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mnfilesv\10103000総務課\02 財産係\_堀内PC\04_財産台帳関係\【新台帳（AsyzAP）】固定資産台帳関係\R4\市ホームページへの固定資産台帳の掲載\03公表用\"/>
    </mc:Choice>
  </mc:AlternateContent>
  <bookViews>
    <workbookView xWindow="0" yWindow="0" windowWidth="14040" windowHeight="8355"/>
  </bookViews>
  <sheets>
    <sheet name="template" sheetId="1" r:id="rId1"/>
  </sheets>
  <definedNames>
    <definedName name="_xlnm._FilterDatabase" localSheetId="0" hidden="1">template!$A$1:$IT$1554</definedName>
  </definedNames>
  <calcPr calcId="162913"/>
</workbook>
</file>

<file path=xl/calcChain.xml><?xml version="1.0" encoding="utf-8"?>
<calcChain xmlns="http://schemas.openxmlformats.org/spreadsheetml/2006/main">
  <c r="DG1554" i="1" l="1"/>
  <c r="DB1554" i="1"/>
  <c r="R1554" i="1"/>
  <c r="Q1554" i="1"/>
  <c r="DA1554" i="1"/>
  <c r="V1554" i="1"/>
  <c r="W1554" i="1"/>
  <c r="CZ1554" i="1"/>
  <c r="O1554" i="1"/>
  <c r="CY1554" i="1"/>
  <c r="BP1554" i="1"/>
  <c r="BO1554" i="1"/>
  <c r="DG1515" i="1"/>
  <c r="R1515" i="1"/>
  <c r="Q1515" i="1"/>
  <c r="DA1515" i="1"/>
  <c r="V1515" i="1"/>
  <c r="W1515" i="1"/>
  <c r="CZ1515" i="1"/>
  <c r="O1515" i="1"/>
  <c r="CY1515" i="1"/>
  <c r="BP1515" i="1"/>
  <c r="BO1515" i="1"/>
  <c r="DG1539" i="1"/>
  <c r="R1539" i="1"/>
  <c r="Q1539" i="1"/>
  <c r="DA1539" i="1"/>
  <c r="V1539" i="1"/>
  <c r="W1539" i="1"/>
  <c r="CZ1539" i="1"/>
  <c r="O1539" i="1"/>
  <c r="CY1539" i="1"/>
  <c r="BP1539" i="1"/>
  <c r="BO1539" i="1"/>
  <c r="DG1538" i="1"/>
  <c r="R1538" i="1"/>
  <c r="Q1538" i="1"/>
  <c r="DA1538" i="1"/>
  <c r="V1538" i="1"/>
  <c r="W1538" i="1"/>
  <c r="CZ1538" i="1"/>
  <c r="O1538" i="1"/>
  <c r="CY1538" i="1"/>
  <c r="BP1538" i="1"/>
  <c r="BO1538" i="1"/>
  <c r="DG1545" i="1"/>
  <c r="R1545" i="1"/>
  <c r="Q1545" i="1"/>
  <c r="DA1545" i="1"/>
  <c r="V1545" i="1"/>
  <c r="W1545" i="1"/>
  <c r="CZ1545" i="1"/>
  <c r="O1545" i="1"/>
  <c r="CY1545" i="1"/>
  <c r="BP1545" i="1"/>
  <c r="BO1545" i="1"/>
  <c r="DG1541" i="1"/>
  <c r="R1541" i="1"/>
  <c r="Q1541" i="1"/>
  <c r="DA1541" i="1"/>
  <c r="V1541" i="1"/>
  <c r="W1541" i="1"/>
  <c r="CZ1541" i="1"/>
  <c r="O1541" i="1"/>
  <c r="CY1541" i="1"/>
  <c r="BP1541" i="1"/>
  <c r="BO1541" i="1"/>
  <c r="DG1544" i="1"/>
  <c r="R1544" i="1"/>
  <c r="Q1544" i="1"/>
  <c r="DA1544" i="1"/>
  <c r="V1544" i="1"/>
  <c r="W1544" i="1"/>
  <c r="CZ1544" i="1"/>
  <c r="O1544" i="1"/>
  <c r="CY1544" i="1"/>
  <c r="BP1544" i="1"/>
  <c r="BO1544" i="1"/>
  <c r="DG1546" i="1"/>
  <c r="R1546" i="1"/>
  <c r="Q1546" i="1"/>
  <c r="DA1546" i="1"/>
  <c r="V1546" i="1"/>
  <c r="W1546" i="1"/>
  <c r="CZ1546" i="1"/>
  <c r="O1546" i="1"/>
  <c r="CY1546" i="1"/>
  <c r="BP1546" i="1"/>
  <c r="BO1546" i="1"/>
  <c r="DO445" i="1"/>
  <c r="DG445" i="1"/>
  <c r="R445" i="1"/>
  <c r="Q445" i="1"/>
  <c r="DA445" i="1"/>
  <c r="W445" i="1"/>
  <c r="CZ445" i="1"/>
  <c r="O445" i="1"/>
  <c r="CY445" i="1"/>
  <c r="BP445" i="1"/>
  <c r="BO445" i="1"/>
  <c r="DG1520" i="1"/>
  <c r="R1520" i="1"/>
  <c r="Q1520" i="1"/>
  <c r="DA1520" i="1"/>
  <c r="V1520" i="1"/>
  <c r="W1520" i="1"/>
  <c r="CZ1520" i="1"/>
  <c r="O1520" i="1"/>
  <c r="CY1520" i="1"/>
  <c r="BP1520" i="1"/>
  <c r="BO1520" i="1"/>
  <c r="DG1517" i="1"/>
  <c r="R1517" i="1"/>
  <c r="Q1517" i="1"/>
  <c r="DA1517" i="1"/>
  <c r="V1517" i="1"/>
  <c r="W1517" i="1"/>
  <c r="CZ1517" i="1"/>
  <c r="O1517" i="1"/>
  <c r="CY1517" i="1"/>
  <c r="BP1517" i="1"/>
  <c r="BO1517" i="1"/>
  <c r="DG1547" i="1"/>
  <c r="R1547" i="1"/>
  <c r="Q1547" i="1"/>
  <c r="DA1547" i="1"/>
  <c r="V1547" i="1"/>
  <c r="W1547" i="1"/>
  <c r="CZ1547" i="1"/>
  <c r="O1547" i="1"/>
  <c r="CY1547" i="1"/>
  <c r="BP1547" i="1"/>
  <c r="BO1547" i="1"/>
  <c r="DO21" i="1"/>
  <c r="DG21" i="1"/>
  <c r="R21" i="1"/>
  <c r="Q21" i="1"/>
  <c r="DA21" i="1"/>
  <c r="W21" i="1"/>
  <c r="CZ21" i="1"/>
  <c r="O21" i="1"/>
  <c r="CY21" i="1"/>
  <c r="BP21" i="1"/>
  <c r="BO21" i="1"/>
  <c r="DG1514" i="1"/>
  <c r="R1514" i="1"/>
  <c r="Q1514" i="1"/>
  <c r="DA1514" i="1"/>
  <c r="V1514" i="1"/>
  <c r="W1514" i="1"/>
  <c r="CZ1514" i="1"/>
  <c r="O1514" i="1"/>
  <c r="CY1514" i="1"/>
  <c r="BP1514" i="1"/>
  <c r="BO1514" i="1"/>
  <c r="DG1522" i="1"/>
  <c r="R1522" i="1"/>
  <c r="Q1522" i="1"/>
  <c r="DA1522" i="1"/>
  <c r="V1522" i="1"/>
  <c r="W1522" i="1"/>
  <c r="CZ1522" i="1"/>
  <c r="O1522" i="1"/>
  <c r="CY1522" i="1"/>
  <c r="BP1522" i="1"/>
  <c r="BO1522" i="1"/>
  <c r="DO6" i="1"/>
  <c r="DG6" i="1"/>
  <c r="R6" i="1"/>
  <c r="Q6" i="1"/>
  <c r="DA6" i="1"/>
  <c r="V6" i="1"/>
  <c r="W6" i="1"/>
  <c r="CZ6" i="1"/>
  <c r="O6" i="1"/>
  <c r="CY6" i="1"/>
  <c r="BP6" i="1"/>
  <c r="BO6" i="1"/>
  <c r="DG1526" i="1"/>
  <c r="R1526" i="1"/>
  <c r="Q1526" i="1"/>
  <c r="DA1526" i="1"/>
  <c r="V1526" i="1"/>
  <c r="W1526" i="1"/>
  <c r="CZ1526" i="1"/>
  <c r="O1526" i="1"/>
  <c r="CY1526" i="1"/>
  <c r="BP1526" i="1"/>
  <c r="BO1526" i="1"/>
  <c r="DG1527" i="1"/>
  <c r="R1527" i="1"/>
  <c r="Q1527" i="1"/>
  <c r="DA1527" i="1"/>
  <c r="V1527" i="1"/>
  <c r="W1527" i="1"/>
  <c r="CZ1527" i="1"/>
  <c r="O1527" i="1"/>
  <c r="CY1527" i="1"/>
  <c r="BP1527" i="1"/>
  <c r="BO1527" i="1"/>
  <c r="DO258" i="1"/>
  <c r="DG258" i="1"/>
  <c r="R258" i="1"/>
  <c r="Q258" i="1"/>
  <c r="DA258" i="1"/>
  <c r="W258" i="1"/>
  <c r="CZ258" i="1"/>
  <c r="O258" i="1"/>
  <c r="CY258" i="1"/>
  <c r="BP258" i="1"/>
  <c r="BO258" i="1"/>
  <c r="DG1519" i="1"/>
  <c r="R1519" i="1"/>
  <c r="Q1519" i="1"/>
  <c r="DA1519" i="1"/>
  <c r="V1519" i="1"/>
  <c r="W1519" i="1"/>
  <c r="CZ1519" i="1"/>
  <c r="O1519" i="1"/>
  <c r="CY1519" i="1"/>
  <c r="BP1519" i="1"/>
  <c r="BO1519" i="1"/>
  <c r="DO1224" i="1"/>
  <c r="DG1224" i="1"/>
  <c r="R1224" i="1"/>
  <c r="Q1224" i="1"/>
  <c r="DA1224" i="1"/>
  <c r="V1224" i="1"/>
  <c r="W1224" i="1"/>
  <c r="CZ1224" i="1"/>
  <c r="O1224" i="1"/>
  <c r="CY1224" i="1"/>
  <c r="BP1224" i="1"/>
  <c r="BO1224" i="1"/>
  <c r="DG1535" i="1"/>
  <c r="R1535" i="1"/>
  <c r="Q1535" i="1"/>
  <c r="DA1535" i="1"/>
  <c r="V1535" i="1"/>
  <c r="W1535" i="1"/>
  <c r="CZ1535" i="1"/>
  <c r="O1535" i="1"/>
  <c r="CY1535" i="1"/>
  <c r="BP1535" i="1"/>
  <c r="BO1535" i="1"/>
  <c r="DG1536" i="1"/>
  <c r="R1536" i="1"/>
  <c r="Q1536" i="1"/>
  <c r="DA1536" i="1"/>
  <c r="V1536" i="1"/>
  <c r="W1536" i="1"/>
  <c r="CZ1536" i="1"/>
  <c r="O1536" i="1"/>
  <c r="CY1536" i="1"/>
  <c r="BP1536" i="1"/>
  <c r="BO1536" i="1"/>
  <c r="DG1523" i="1"/>
  <c r="R1523" i="1"/>
  <c r="Q1523" i="1"/>
  <c r="DA1523" i="1"/>
  <c r="V1523" i="1"/>
  <c r="W1523" i="1"/>
  <c r="CZ1523" i="1"/>
  <c r="O1523" i="1"/>
  <c r="CY1523" i="1"/>
  <c r="BP1523" i="1"/>
  <c r="BO1523" i="1"/>
  <c r="DG1524" i="1"/>
  <c r="R1524" i="1"/>
  <c r="Q1524" i="1"/>
  <c r="DA1524" i="1"/>
  <c r="V1524" i="1"/>
  <c r="W1524" i="1"/>
  <c r="CZ1524" i="1"/>
  <c r="O1524" i="1"/>
  <c r="CY1524" i="1"/>
  <c r="BP1524" i="1"/>
  <c r="BO1524" i="1"/>
  <c r="DG1525" i="1"/>
  <c r="R1525" i="1"/>
  <c r="Q1525" i="1"/>
  <c r="DA1525" i="1"/>
  <c r="V1525" i="1"/>
  <c r="W1525" i="1"/>
  <c r="CZ1525" i="1"/>
  <c r="O1525" i="1"/>
  <c r="CY1525" i="1"/>
  <c r="BP1525" i="1"/>
  <c r="BO1525" i="1"/>
  <c r="DG1543" i="1"/>
  <c r="R1543" i="1"/>
  <c r="Q1543" i="1"/>
  <c r="DA1543" i="1"/>
  <c r="V1543" i="1"/>
  <c r="W1543" i="1"/>
  <c r="CZ1543" i="1"/>
  <c r="O1543" i="1"/>
  <c r="CY1543" i="1"/>
  <c r="BP1543" i="1"/>
  <c r="BO1543" i="1"/>
  <c r="DG1542" i="1"/>
  <c r="R1542" i="1"/>
  <c r="Q1542" i="1"/>
  <c r="DA1542" i="1"/>
  <c r="V1542" i="1"/>
  <c r="W1542" i="1"/>
  <c r="CZ1542" i="1"/>
  <c r="O1542" i="1"/>
  <c r="CY1542" i="1"/>
  <c r="BP1542" i="1"/>
  <c r="BO1542" i="1"/>
  <c r="DG1540" i="1"/>
  <c r="R1540" i="1"/>
  <c r="Q1540" i="1"/>
  <c r="DA1540" i="1"/>
  <c r="V1540" i="1"/>
  <c r="W1540" i="1"/>
  <c r="CZ1540" i="1"/>
  <c r="O1540" i="1"/>
  <c r="CY1540" i="1"/>
  <c r="BP1540" i="1"/>
  <c r="BO1540" i="1"/>
  <c r="DG1537" i="1"/>
  <c r="R1537" i="1"/>
  <c r="Q1537" i="1"/>
  <c r="DA1537" i="1"/>
  <c r="V1537" i="1"/>
  <c r="W1537" i="1"/>
  <c r="CZ1537" i="1"/>
  <c r="O1537" i="1"/>
  <c r="CY1537" i="1"/>
  <c r="BP1537" i="1"/>
  <c r="BO1537" i="1"/>
  <c r="DG1505" i="1"/>
  <c r="R1505" i="1"/>
  <c r="Q1505" i="1"/>
  <c r="DA1505" i="1"/>
  <c r="V1505" i="1"/>
  <c r="W1505" i="1"/>
  <c r="CZ1505" i="1"/>
  <c r="O1505" i="1"/>
  <c r="CY1505" i="1"/>
  <c r="BP1505" i="1"/>
  <c r="BO1505" i="1"/>
  <c r="DG1532" i="1"/>
  <c r="R1532" i="1"/>
  <c r="Q1532" i="1"/>
  <c r="DA1532" i="1"/>
  <c r="V1532" i="1"/>
  <c r="W1532" i="1"/>
  <c r="CZ1532" i="1"/>
  <c r="O1532" i="1"/>
  <c r="CY1532" i="1"/>
  <c r="BP1532" i="1"/>
  <c r="BO1532" i="1"/>
  <c r="DG1506" i="1"/>
  <c r="R1506" i="1"/>
  <c r="Q1506" i="1"/>
  <c r="DA1506" i="1"/>
  <c r="V1506" i="1"/>
  <c r="W1506" i="1"/>
  <c r="CZ1506" i="1"/>
  <c r="O1506" i="1"/>
  <c r="CY1506" i="1"/>
  <c r="BP1506" i="1"/>
  <c r="BO1506" i="1"/>
  <c r="DG1529" i="1"/>
  <c r="R1529" i="1"/>
  <c r="Q1529" i="1"/>
  <c r="DA1529" i="1"/>
  <c r="V1529" i="1"/>
  <c r="W1529" i="1"/>
  <c r="CZ1529" i="1"/>
  <c r="O1529" i="1"/>
  <c r="CY1529" i="1"/>
  <c r="BP1529" i="1"/>
  <c r="BO1529" i="1"/>
  <c r="DG1531" i="1"/>
  <c r="R1531" i="1"/>
  <c r="Q1531" i="1"/>
  <c r="DA1531" i="1"/>
  <c r="V1531" i="1"/>
  <c r="W1531" i="1"/>
  <c r="CZ1531" i="1"/>
  <c r="O1531" i="1"/>
  <c r="CY1531" i="1"/>
  <c r="BP1531" i="1"/>
  <c r="BO1531" i="1"/>
  <c r="DO1256" i="1"/>
  <c r="DG1256" i="1"/>
  <c r="R1256" i="1"/>
  <c r="Q1256" i="1"/>
  <c r="DA1256" i="1"/>
  <c r="V1256" i="1"/>
  <c r="W1256" i="1"/>
  <c r="CZ1256" i="1"/>
  <c r="O1256" i="1"/>
  <c r="CY1256" i="1"/>
  <c r="BP1256" i="1"/>
  <c r="BO1256" i="1"/>
  <c r="DG1507" i="1"/>
  <c r="R1507" i="1"/>
  <c r="Q1507" i="1"/>
  <c r="DA1507" i="1"/>
  <c r="V1507" i="1"/>
  <c r="W1507" i="1"/>
  <c r="CZ1507" i="1"/>
  <c r="O1507" i="1"/>
  <c r="CY1507" i="1"/>
  <c r="BP1507" i="1"/>
  <c r="BO1507" i="1"/>
  <c r="DG1510" i="1"/>
  <c r="R1510" i="1"/>
  <c r="Q1510" i="1"/>
  <c r="DA1510" i="1"/>
  <c r="V1510" i="1"/>
  <c r="W1510" i="1"/>
  <c r="CZ1510" i="1"/>
  <c r="O1510" i="1"/>
  <c r="CY1510" i="1"/>
  <c r="BP1510" i="1"/>
  <c r="BO1510" i="1"/>
  <c r="DG1513" i="1"/>
  <c r="R1513" i="1"/>
  <c r="Q1513" i="1"/>
  <c r="DA1513" i="1"/>
  <c r="V1513" i="1"/>
  <c r="W1513" i="1"/>
  <c r="CZ1513" i="1"/>
  <c r="O1513" i="1"/>
  <c r="CY1513" i="1"/>
  <c r="BP1513" i="1"/>
  <c r="BO1513" i="1"/>
  <c r="DO1114" i="1"/>
  <c r="DG1114" i="1"/>
  <c r="R1114" i="1"/>
  <c r="Q1114" i="1"/>
  <c r="DA1114" i="1"/>
  <c r="V1114" i="1"/>
  <c r="W1114" i="1"/>
  <c r="CZ1114" i="1"/>
  <c r="O1114" i="1"/>
  <c r="CY1114" i="1"/>
  <c r="BP1114" i="1"/>
  <c r="BO1114" i="1"/>
  <c r="DG1549" i="1"/>
  <c r="R1549" i="1"/>
  <c r="Q1549" i="1"/>
  <c r="DA1549" i="1"/>
  <c r="V1549" i="1"/>
  <c r="W1549" i="1"/>
  <c r="CZ1549" i="1"/>
  <c r="O1549" i="1"/>
  <c r="CY1549" i="1"/>
  <c r="BP1549" i="1"/>
  <c r="BO1549" i="1"/>
  <c r="DG1530" i="1"/>
  <c r="R1530" i="1"/>
  <c r="Q1530" i="1"/>
  <c r="DA1530" i="1"/>
  <c r="V1530" i="1"/>
  <c r="W1530" i="1"/>
  <c r="CZ1530" i="1"/>
  <c r="O1530" i="1"/>
  <c r="CY1530" i="1"/>
  <c r="BP1530" i="1"/>
  <c r="BO1530" i="1"/>
  <c r="DG1528" i="1"/>
  <c r="R1528" i="1"/>
  <c r="Q1528" i="1"/>
  <c r="DA1528" i="1"/>
  <c r="V1528" i="1"/>
  <c r="W1528" i="1"/>
  <c r="CZ1528" i="1"/>
  <c r="O1528" i="1"/>
  <c r="CY1528" i="1"/>
  <c r="BP1528" i="1"/>
  <c r="BO1528" i="1"/>
  <c r="DG1550" i="1"/>
  <c r="R1550" i="1"/>
  <c r="Q1550" i="1"/>
  <c r="DA1550" i="1"/>
  <c r="V1550" i="1"/>
  <c r="W1550" i="1"/>
  <c r="CZ1550" i="1"/>
  <c r="O1550" i="1"/>
  <c r="CY1550" i="1"/>
  <c r="BP1550" i="1"/>
  <c r="BO1550" i="1"/>
  <c r="DG1534" i="1"/>
  <c r="R1534" i="1"/>
  <c r="Q1534" i="1"/>
  <c r="DA1534" i="1"/>
  <c r="V1534" i="1"/>
  <c r="W1534" i="1"/>
  <c r="CZ1534" i="1"/>
  <c r="O1534" i="1"/>
  <c r="CY1534" i="1"/>
  <c r="BP1534" i="1"/>
  <c r="BO1534" i="1"/>
  <c r="DG1533" i="1"/>
  <c r="R1533" i="1"/>
  <c r="Q1533" i="1"/>
  <c r="DA1533" i="1"/>
  <c r="V1533" i="1"/>
  <c r="W1533" i="1"/>
  <c r="CZ1533" i="1"/>
  <c r="O1533" i="1"/>
  <c r="CY1533" i="1"/>
  <c r="BP1533" i="1"/>
  <c r="BO1533" i="1"/>
  <c r="DG1552" i="1"/>
  <c r="R1552" i="1"/>
  <c r="Q1552" i="1"/>
  <c r="DA1552" i="1"/>
  <c r="V1552" i="1"/>
  <c r="W1552" i="1"/>
  <c r="CZ1552" i="1"/>
  <c r="O1552" i="1"/>
  <c r="CY1552" i="1"/>
  <c r="BP1552" i="1"/>
  <c r="BO1552" i="1"/>
  <c r="DG1504" i="1"/>
  <c r="R1504" i="1"/>
  <c r="Q1504" i="1"/>
  <c r="DA1504" i="1"/>
  <c r="V1504" i="1"/>
  <c r="W1504" i="1"/>
  <c r="CZ1504" i="1"/>
  <c r="O1504" i="1"/>
  <c r="CY1504" i="1"/>
  <c r="BP1504" i="1"/>
  <c r="BO1504" i="1"/>
  <c r="DG1508" i="1"/>
  <c r="R1508" i="1"/>
  <c r="Q1508" i="1"/>
  <c r="DA1508" i="1"/>
  <c r="V1508" i="1"/>
  <c r="W1508" i="1"/>
  <c r="CZ1508" i="1"/>
  <c r="O1508" i="1"/>
  <c r="CY1508" i="1"/>
  <c r="BP1508" i="1"/>
  <c r="BO1508" i="1"/>
  <c r="DG1509" i="1"/>
  <c r="R1509" i="1"/>
  <c r="Q1509" i="1"/>
  <c r="DA1509" i="1"/>
  <c r="V1509" i="1"/>
  <c r="W1509" i="1"/>
  <c r="CZ1509" i="1"/>
  <c r="O1509" i="1"/>
  <c r="CY1509" i="1"/>
  <c r="BP1509" i="1"/>
  <c r="BO1509" i="1"/>
  <c r="DG1548" i="1"/>
  <c r="R1548" i="1"/>
  <c r="Q1548" i="1"/>
  <c r="DA1548" i="1"/>
  <c r="V1548" i="1"/>
  <c r="W1548" i="1"/>
  <c r="CZ1548" i="1"/>
  <c r="O1548" i="1"/>
  <c r="CY1548" i="1"/>
  <c r="BP1548" i="1"/>
  <c r="BO1548" i="1"/>
  <c r="DG1511" i="1"/>
  <c r="R1511" i="1"/>
  <c r="Q1511" i="1"/>
  <c r="DA1511" i="1"/>
  <c r="V1511" i="1"/>
  <c r="W1511" i="1"/>
  <c r="CZ1511" i="1"/>
  <c r="O1511" i="1"/>
  <c r="CY1511" i="1"/>
  <c r="BP1511" i="1"/>
  <c r="BO1511" i="1"/>
  <c r="DG1512" i="1"/>
  <c r="R1512" i="1"/>
  <c r="Q1512" i="1"/>
  <c r="DA1512" i="1"/>
  <c r="V1512" i="1"/>
  <c r="W1512" i="1"/>
  <c r="CZ1512" i="1"/>
  <c r="O1512" i="1"/>
  <c r="CY1512" i="1"/>
  <c r="BP1512" i="1"/>
  <c r="BO1512" i="1"/>
  <c r="DG1551" i="1"/>
  <c r="R1551" i="1"/>
  <c r="Q1551" i="1"/>
  <c r="DA1551" i="1"/>
  <c r="V1551" i="1"/>
  <c r="W1551" i="1"/>
  <c r="CZ1551" i="1"/>
  <c r="O1551" i="1"/>
  <c r="CY1551" i="1"/>
  <c r="BP1551" i="1"/>
  <c r="BO1551" i="1"/>
  <c r="DG1516" i="1"/>
  <c r="R1516" i="1"/>
  <c r="Q1516" i="1"/>
  <c r="DA1516" i="1"/>
  <c r="V1516" i="1"/>
  <c r="W1516" i="1"/>
  <c r="CZ1516" i="1"/>
  <c r="O1516" i="1"/>
  <c r="CY1516" i="1"/>
  <c r="BP1516" i="1"/>
  <c r="BO1516" i="1"/>
  <c r="DO1553" i="1"/>
  <c r="DG1553" i="1"/>
  <c r="R1553" i="1"/>
  <c r="Q1553" i="1"/>
  <c r="DA1553" i="1"/>
  <c r="V1553" i="1"/>
  <c r="W1553" i="1"/>
  <c r="CZ1553" i="1"/>
  <c r="O1553" i="1"/>
  <c r="CY1553" i="1"/>
  <c r="BP1553" i="1"/>
  <c r="BO1553" i="1"/>
  <c r="DG1518" i="1"/>
  <c r="R1518" i="1"/>
  <c r="Q1518" i="1"/>
  <c r="DA1518" i="1"/>
  <c r="V1518" i="1"/>
  <c r="W1518" i="1"/>
  <c r="CZ1518" i="1"/>
  <c r="O1518" i="1"/>
  <c r="CY1518" i="1"/>
  <c r="BP1518" i="1"/>
  <c r="BO1518" i="1"/>
  <c r="DG1521" i="1"/>
  <c r="R1521" i="1"/>
  <c r="Q1521" i="1"/>
  <c r="DA1521" i="1"/>
  <c r="V1521" i="1"/>
  <c r="W1521" i="1"/>
  <c r="CZ1521" i="1"/>
  <c r="O1521" i="1"/>
  <c r="CY1521" i="1"/>
  <c r="BP1521" i="1"/>
  <c r="BO1521" i="1"/>
  <c r="DO1483" i="1"/>
  <c r="R1483" i="1"/>
  <c r="Q1483" i="1"/>
  <c r="DA1483" i="1"/>
  <c r="W1483" i="1"/>
  <c r="CZ1483" i="1"/>
  <c r="O1483" i="1"/>
  <c r="BP1483" i="1"/>
  <c r="BO1483" i="1"/>
  <c r="DO1479" i="1"/>
  <c r="R1479" i="1"/>
  <c r="Q1479" i="1"/>
  <c r="DA1479" i="1"/>
  <c r="W1479" i="1"/>
  <c r="CZ1479" i="1"/>
  <c r="O1479" i="1"/>
  <c r="BP1479" i="1"/>
  <c r="BO1479" i="1"/>
  <c r="DO1477" i="1"/>
  <c r="R1477" i="1"/>
  <c r="Q1477" i="1"/>
  <c r="DA1477" i="1"/>
  <c r="W1477" i="1"/>
  <c r="CZ1477" i="1"/>
  <c r="O1477" i="1"/>
  <c r="BP1477" i="1"/>
  <c r="BO1477" i="1"/>
  <c r="DO1485" i="1"/>
  <c r="DG1485" i="1"/>
  <c r="R1485" i="1"/>
  <c r="Q1485" i="1"/>
  <c r="DA1485" i="1"/>
  <c r="V1485" i="1"/>
  <c r="W1485" i="1"/>
  <c r="CZ1485" i="1"/>
  <c r="O1485" i="1"/>
  <c r="CY1485" i="1"/>
  <c r="BP1485" i="1"/>
  <c r="BO1485" i="1"/>
  <c r="DO1482" i="1"/>
  <c r="R1482" i="1"/>
  <c r="Q1482" i="1"/>
  <c r="DA1482" i="1"/>
  <c r="W1482" i="1"/>
  <c r="CZ1482" i="1"/>
  <c r="O1482" i="1"/>
  <c r="BP1482" i="1"/>
  <c r="BO1482" i="1"/>
  <c r="DO1481" i="1"/>
  <c r="DG1481" i="1"/>
  <c r="R1481" i="1"/>
  <c r="Q1481" i="1"/>
  <c r="DA1481" i="1"/>
  <c r="V1481" i="1"/>
  <c r="W1481" i="1"/>
  <c r="CZ1481" i="1"/>
  <c r="O1481" i="1"/>
  <c r="CY1481" i="1"/>
  <c r="BP1481" i="1"/>
  <c r="BO1481" i="1"/>
  <c r="DO1484" i="1"/>
  <c r="DG1484" i="1"/>
  <c r="R1484" i="1"/>
  <c r="Q1484" i="1"/>
  <c r="DA1484" i="1"/>
  <c r="V1484" i="1"/>
  <c r="W1484" i="1"/>
  <c r="CZ1484" i="1"/>
  <c r="O1484" i="1"/>
  <c r="CY1484" i="1"/>
  <c r="BP1484" i="1"/>
  <c r="BO1484" i="1"/>
  <c r="DO1487" i="1"/>
  <c r="DG1487" i="1"/>
  <c r="R1487" i="1"/>
  <c r="Q1487" i="1"/>
  <c r="DA1487" i="1"/>
  <c r="V1487" i="1"/>
  <c r="W1487" i="1"/>
  <c r="CZ1487" i="1"/>
  <c r="O1487" i="1"/>
  <c r="CY1487" i="1"/>
  <c r="BP1487" i="1"/>
  <c r="BO1487" i="1"/>
  <c r="DO1488" i="1"/>
  <c r="DG1488" i="1"/>
  <c r="R1488" i="1"/>
  <c r="Q1488" i="1"/>
  <c r="DA1488" i="1"/>
  <c r="V1488" i="1"/>
  <c r="W1488" i="1"/>
  <c r="CZ1488" i="1"/>
  <c r="O1488" i="1"/>
  <c r="CY1488" i="1"/>
  <c r="BP1488" i="1"/>
  <c r="BO1488" i="1"/>
  <c r="DO1478" i="1"/>
  <c r="R1478" i="1"/>
  <c r="Q1478" i="1"/>
  <c r="DA1478" i="1"/>
  <c r="W1478" i="1"/>
  <c r="CZ1478" i="1"/>
  <c r="O1478" i="1"/>
  <c r="BP1478" i="1"/>
  <c r="BO1478" i="1"/>
  <c r="DO1486" i="1"/>
  <c r="DG1486" i="1"/>
  <c r="R1486" i="1"/>
  <c r="Q1486" i="1"/>
  <c r="DA1486" i="1"/>
  <c r="V1486" i="1"/>
  <c r="W1486" i="1"/>
  <c r="CZ1486" i="1"/>
  <c r="O1486" i="1"/>
  <c r="CY1486" i="1"/>
  <c r="BP1486" i="1"/>
  <c r="BO1486" i="1"/>
  <c r="DO1480" i="1"/>
  <c r="R1480" i="1"/>
  <c r="Q1480" i="1"/>
  <c r="DA1480" i="1"/>
  <c r="W1480" i="1"/>
  <c r="CZ1480" i="1"/>
  <c r="O1480" i="1"/>
  <c r="BP1480" i="1"/>
  <c r="BO1480" i="1"/>
  <c r="DO280" i="1"/>
  <c r="DG280" i="1"/>
  <c r="R280" i="1"/>
  <c r="Q280" i="1"/>
  <c r="DA280" i="1"/>
  <c r="V280" i="1"/>
  <c r="W280" i="1"/>
  <c r="CZ280" i="1"/>
  <c r="O280" i="1"/>
  <c r="CY280" i="1"/>
  <c r="BP280" i="1"/>
  <c r="BO280" i="1"/>
  <c r="DO511" i="1"/>
  <c r="DG511" i="1"/>
  <c r="R511" i="1"/>
  <c r="Q511" i="1"/>
  <c r="DA511" i="1"/>
  <c r="V511" i="1"/>
  <c r="W511" i="1"/>
  <c r="CZ511" i="1"/>
  <c r="O511" i="1"/>
  <c r="CY511" i="1"/>
  <c r="BP511" i="1"/>
  <c r="BO511" i="1"/>
  <c r="DO295" i="1"/>
  <c r="DG295" i="1"/>
  <c r="R295" i="1"/>
  <c r="Q295" i="1"/>
  <c r="DA295" i="1"/>
  <c r="V295" i="1"/>
  <c r="W295" i="1"/>
  <c r="CZ295" i="1"/>
  <c r="O295" i="1"/>
  <c r="CY295" i="1"/>
  <c r="BP295" i="1"/>
  <c r="BO295" i="1"/>
  <c r="DO1262" i="1"/>
  <c r="R1262" i="1"/>
  <c r="Q1262" i="1"/>
  <c r="DA1262" i="1"/>
  <c r="W1262" i="1"/>
  <c r="CZ1262" i="1"/>
  <c r="O1262" i="1"/>
  <c r="BP1262" i="1"/>
  <c r="BO1262" i="1"/>
  <c r="DO288" i="1"/>
  <c r="DG288" i="1"/>
  <c r="R288" i="1"/>
  <c r="Q288" i="1"/>
  <c r="DA288" i="1"/>
  <c r="V288" i="1"/>
  <c r="W288" i="1"/>
  <c r="CZ288" i="1"/>
  <c r="O288" i="1"/>
  <c r="CY288" i="1"/>
  <c r="BP288" i="1"/>
  <c r="BO288" i="1"/>
  <c r="DO1261" i="1"/>
  <c r="R1261" i="1"/>
  <c r="Q1261" i="1"/>
  <c r="DA1261" i="1"/>
  <c r="W1261" i="1"/>
  <c r="CZ1261" i="1"/>
  <c r="O1261" i="1"/>
  <c r="BP1261" i="1"/>
  <c r="BO1261" i="1"/>
  <c r="DG282" i="1"/>
  <c r="R282" i="1"/>
  <c r="Q282" i="1"/>
  <c r="DA282" i="1"/>
  <c r="V282" i="1"/>
  <c r="W282" i="1"/>
  <c r="CZ282" i="1"/>
  <c r="O282" i="1"/>
  <c r="CY282" i="1"/>
  <c r="BP282" i="1"/>
  <c r="DO1260" i="1"/>
  <c r="R1260" i="1"/>
  <c r="Q1260" i="1"/>
  <c r="DA1260" i="1"/>
  <c r="W1260" i="1"/>
  <c r="CZ1260" i="1"/>
  <c r="O1260" i="1"/>
  <c r="BP1260" i="1"/>
  <c r="BO1260" i="1"/>
  <c r="DO286" i="1"/>
  <c r="DG286" i="1"/>
  <c r="R286" i="1"/>
  <c r="Q286" i="1"/>
  <c r="DA286" i="1"/>
  <c r="V286" i="1"/>
  <c r="W286" i="1"/>
  <c r="CZ286" i="1"/>
  <c r="O286" i="1"/>
  <c r="CY286" i="1"/>
  <c r="BP286" i="1"/>
  <c r="BO286" i="1"/>
  <c r="DO1174" i="1"/>
  <c r="DG1174" i="1"/>
  <c r="R1174" i="1"/>
  <c r="Q1174" i="1"/>
  <c r="DA1174" i="1"/>
  <c r="V1174" i="1"/>
  <c r="W1174" i="1"/>
  <c r="CZ1174" i="1"/>
  <c r="O1174" i="1"/>
  <c r="CY1174" i="1"/>
  <c r="BP1174" i="1"/>
  <c r="BO1174" i="1"/>
  <c r="DO284" i="1"/>
  <c r="DG284" i="1"/>
  <c r="R284" i="1"/>
  <c r="Q284" i="1"/>
  <c r="DA284" i="1"/>
  <c r="V284" i="1"/>
  <c r="W284" i="1"/>
  <c r="CZ284" i="1"/>
  <c r="O284" i="1"/>
  <c r="CY284" i="1"/>
  <c r="BP284" i="1"/>
  <c r="BO284" i="1"/>
  <c r="DO264" i="1"/>
  <c r="R264" i="1"/>
  <c r="Q264" i="1"/>
  <c r="DA264" i="1"/>
  <c r="W264" i="1"/>
  <c r="CZ264" i="1"/>
  <c r="O264" i="1"/>
  <c r="BP264" i="1"/>
  <c r="BO264" i="1"/>
  <c r="DO301" i="1"/>
  <c r="R301" i="1"/>
  <c r="Q301" i="1"/>
  <c r="DA301" i="1"/>
  <c r="W301" i="1"/>
  <c r="CZ301" i="1"/>
  <c r="O301" i="1"/>
  <c r="BP301" i="1"/>
  <c r="BO301" i="1"/>
  <c r="DO302" i="1"/>
  <c r="R302" i="1"/>
  <c r="Q302" i="1"/>
  <c r="DA302" i="1"/>
  <c r="W302" i="1"/>
  <c r="CZ302" i="1"/>
  <c r="O302" i="1"/>
  <c r="BP302" i="1"/>
  <c r="BO302" i="1"/>
  <c r="DO263" i="1"/>
  <c r="R263" i="1"/>
  <c r="Q263" i="1"/>
  <c r="DA263" i="1"/>
  <c r="W263" i="1"/>
  <c r="CZ263" i="1"/>
  <c r="O263" i="1"/>
  <c r="BP263" i="1"/>
  <c r="BO263" i="1"/>
  <c r="DO3" i="1"/>
  <c r="R3" i="1"/>
  <c r="Q3" i="1"/>
  <c r="DA3" i="1"/>
  <c r="W3" i="1"/>
  <c r="CZ3" i="1"/>
  <c r="O3" i="1"/>
  <c r="BP3" i="1"/>
  <c r="BO3" i="1"/>
  <c r="DO11" i="1"/>
  <c r="R11" i="1"/>
  <c r="Q11" i="1"/>
  <c r="DA11" i="1"/>
  <c r="W11" i="1"/>
  <c r="CZ11" i="1"/>
  <c r="O11" i="1"/>
  <c r="BP11" i="1"/>
  <c r="BO11" i="1"/>
  <c r="DO1409" i="1"/>
  <c r="R1409" i="1"/>
  <c r="Q1409" i="1"/>
  <c r="DA1409" i="1"/>
  <c r="W1409" i="1"/>
  <c r="CZ1409" i="1"/>
  <c r="O1409" i="1"/>
  <c r="BP1409" i="1"/>
  <c r="BO1409" i="1"/>
  <c r="DO1083" i="1"/>
  <c r="R1083" i="1"/>
  <c r="Q1083" i="1"/>
  <c r="DA1083" i="1"/>
  <c r="W1083" i="1"/>
  <c r="CZ1083" i="1"/>
  <c r="O1083" i="1"/>
  <c r="BP1083" i="1"/>
  <c r="BO1083" i="1"/>
  <c r="DO265" i="1"/>
  <c r="R265" i="1"/>
  <c r="Q265" i="1"/>
  <c r="DA265" i="1"/>
  <c r="W265" i="1"/>
  <c r="CZ265" i="1"/>
  <c r="O265" i="1"/>
  <c r="BP265" i="1"/>
  <c r="BO265" i="1"/>
  <c r="DO1232" i="1"/>
  <c r="DG1232" i="1"/>
  <c r="R1232" i="1"/>
  <c r="Q1232" i="1"/>
  <c r="DA1232" i="1"/>
  <c r="V1232" i="1"/>
  <c r="W1232" i="1"/>
  <c r="CZ1232" i="1"/>
  <c r="O1232" i="1"/>
  <c r="CY1232" i="1"/>
  <c r="BP1232" i="1"/>
  <c r="BO1232" i="1"/>
  <c r="DO1217" i="1"/>
  <c r="DG1217" i="1"/>
  <c r="R1217" i="1"/>
  <c r="Q1217" i="1"/>
  <c r="DA1217" i="1"/>
  <c r="V1217" i="1"/>
  <c r="W1217" i="1"/>
  <c r="CZ1217" i="1"/>
  <c r="O1217" i="1"/>
  <c r="CY1217" i="1"/>
  <c r="BP1217" i="1"/>
  <c r="BO1217" i="1"/>
  <c r="DO1212" i="1"/>
  <c r="DG1212" i="1"/>
  <c r="R1212" i="1"/>
  <c r="Q1212" i="1"/>
  <c r="DA1212" i="1"/>
  <c r="V1212" i="1"/>
  <c r="W1212" i="1"/>
  <c r="CZ1212" i="1"/>
  <c r="O1212" i="1"/>
  <c r="CY1212" i="1"/>
  <c r="BP1212" i="1"/>
  <c r="BO1212" i="1"/>
  <c r="DO1160" i="1"/>
  <c r="DG1160" i="1"/>
  <c r="R1160" i="1"/>
  <c r="Q1160" i="1"/>
  <c r="DA1160" i="1"/>
  <c r="V1160" i="1"/>
  <c r="W1160" i="1"/>
  <c r="CZ1160" i="1"/>
  <c r="O1160" i="1"/>
  <c r="CY1160" i="1"/>
  <c r="BP1160" i="1"/>
  <c r="BO1160" i="1"/>
  <c r="DO1081" i="1"/>
  <c r="DG1081" i="1"/>
  <c r="R1081" i="1"/>
  <c r="Q1081" i="1"/>
  <c r="DA1081" i="1"/>
  <c r="V1081" i="1"/>
  <c r="W1081" i="1"/>
  <c r="CZ1081" i="1"/>
  <c r="O1081" i="1"/>
  <c r="CY1081" i="1"/>
  <c r="BP1081" i="1"/>
  <c r="BO1081" i="1"/>
  <c r="DG1032" i="1"/>
  <c r="R1032" i="1"/>
  <c r="Q1032" i="1"/>
  <c r="DA1032" i="1"/>
  <c r="V1032" i="1"/>
  <c r="W1032" i="1"/>
  <c r="CZ1032" i="1"/>
  <c r="O1032" i="1"/>
  <c r="CY1032" i="1"/>
  <c r="BP1032" i="1"/>
  <c r="DO1029" i="1"/>
  <c r="DG1029" i="1"/>
  <c r="R1029" i="1"/>
  <c r="Q1029" i="1"/>
  <c r="DA1029" i="1"/>
  <c r="V1029" i="1"/>
  <c r="W1029" i="1"/>
  <c r="CZ1029" i="1"/>
  <c r="O1029" i="1"/>
  <c r="CY1029" i="1"/>
  <c r="BP1029" i="1"/>
  <c r="BO1029" i="1"/>
  <c r="DO297" i="1"/>
  <c r="DG297" i="1"/>
  <c r="R297" i="1"/>
  <c r="Q297" i="1"/>
  <c r="DA297" i="1"/>
  <c r="V297" i="1"/>
  <c r="W297" i="1"/>
  <c r="CZ297" i="1"/>
  <c r="O297" i="1"/>
  <c r="CY297" i="1"/>
  <c r="BP297" i="1"/>
  <c r="BO297" i="1"/>
  <c r="DO276" i="1"/>
  <c r="DG276" i="1"/>
  <c r="R276" i="1"/>
  <c r="Q276" i="1"/>
  <c r="DA276" i="1"/>
  <c r="V276" i="1"/>
  <c r="W276" i="1"/>
  <c r="CZ276" i="1"/>
  <c r="O276" i="1"/>
  <c r="CY276" i="1"/>
  <c r="BP276" i="1"/>
  <c r="BO276" i="1"/>
  <c r="DO261" i="1"/>
  <c r="DG261" i="1"/>
  <c r="R261" i="1"/>
  <c r="Q261" i="1"/>
  <c r="DA261" i="1"/>
  <c r="V261" i="1"/>
  <c r="W261" i="1"/>
  <c r="CZ261" i="1"/>
  <c r="O261" i="1"/>
  <c r="CY261" i="1"/>
  <c r="BP261" i="1"/>
  <c r="BO261" i="1"/>
  <c r="DO1070" i="1"/>
  <c r="R1070" i="1"/>
  <c r="Q1070" i="1"/>
  <c r="DA1070" i="1"/>
  <c r="W1070" i="1"/>
  <c r="CZ1070" i="1"/>
  <c r="O1070" i="1"/>
  <c r="BP1070" i="1"/>
  <c r="BO1070" i="1"/>
  <c r="DO1075" i="1"/>
  <c r="R1075" i="1"/>
  <c r="Q1075" i="1"/>
  <c r="DA1075" i="1"/>
  <c r="W1075" i="1"/>
  <c r="CZ1075" i="1"/>
  <c r="O1075" i="1"/>
  <c r="BP1075" i="1"/>
  <c r="BO1075" i="1"/>
  <c r="DO1077" i="1"/>
  <c r="R1077" i="1"/>
  <c r="Q1077" i="1"/>
  <c r="DA1077" i="1"/>
  <c r="W1077" i="1"/>
  <c r="CZ1077" i="1"/>
  <c r="O1077" i="1"/>
  <c r="BP1077" i="1"/>
  <c r="BO1077" i="1"/>
  <c r="DO1078" i="1"/>
  <c r="R1078" i="1"/>
  <c r="Q1078" i="1"/>
  <c r="DA1078" i="1"/>
  <c r="W1078" i="1"/>
  <c r="CZ1078" i="1"/>
  <c r="O1078" i="1"/>
  <c r="BP1078" i="1"/>
  <c r="BO1078" i="1"/>
  <c r="DO259" i="1"/>
  <c r="DG259" i="1"/>
  <c r="R259" i="1"/>
  <c r="Q259" i="1"/>
  <c r="DA259" i="1"/>
  <c r="V259" i="1"/>
  <c r="W259" i="1"/>
  <c r="CZ259" i="1"/>
  <c r="O259" i="1"/>
  <c r="CY259" i="1"/>
  <c r="BP259" i="1"/>
  <c r="BO259" i="1"/>
  <c r="DO244" i="1"/>
  <c r="DG244" i="1"/>
  <c r="R244" i="1"/>
  <c r="Q244" i="1"/>
  <c r="DA244" i="1"/>
  <c r="V244" i="1"/>
  <c r="W244" i="1"/>
  <c r="CZ244" i="1"/>
  <c r="O244" i="1"/>
  <c r="CY244" i="1"/>
  <c r="BP244" i="1"/>
  <c r="BO244" i="1"/>
  <c r="DO233" i="1"/>
  <c r="DG233" i="1"/>
  <c r="R233" i="1"/>
  <c r="Q233" i="1"/>
  <c r="DA233" i="1"/>
  <c r="V233" i="1"/>
  <c r="W233" i="1"/>
  <c r="CZ233" i="1"/>
  <c r="O233" i="1"/>
  <c r="CY233" i="1"/>
  <c r="BP233" i="1"/>
  <c r="BO233" i="1"/>
  <c r="DO1165" i="1"/>
  <c r="R1165" i="1"/>
  <c r="Q1165" i="1"/>
  <c r="DA1165" i="1"/>
  <c r="W1165" i="1"/>
  <c r="CZ1165" i="1"/>
  <c r="O1165" i="1"/>
  <c r="BP1165" i="1"/>
  <c r="BO1165" i="1"/>
  <c r="DO1187" i="1"/>
  <c r="R1187" i="1"/>
  <c r="Q1187" i="1"/>
  <c r="DA1187" i="1"/>
  <c r="W1187" i="1"/>
  <c r="CZ1187" i="1"/>
  <c r="O1187" i="1"/>
  <c r="BP1187" i="1"/>
  <c r="BO1187" i="1"/>
  <c r="DO1257" i="1"/>
  <c r="R1257" i="1"/>
  <c r="Q1257" i="1"/>
  <c r="DA1257" i="1"/>
  <c r="W1257" i="1"/>
  <c r="CZ1257" i="1"/>
  <c r="O1257" i="1"/>
  <c r="BP1257" i="1"/>
  <c r="BO1257" i="1"/>
  <c r="DO1374" i="1"/>
  <c r="R1374" i="1"/>
  <c r="Q1374" i="1"/>
  <c r="DA1374" i="1"/>
  <c r="W1374" i="1"/>
  <c r="CZ1374" i="1"/>
  <c r="O1374" i="1"/>
  <c r="BP1374" i="1"/>
  <c r="BO1374" i="1"/>
  <c r="DO149" i="1"/>
  <c r="DG149" i="1"/>
  <c r="R149" i="1"/>
  <c r="Q149" i="1"/>
  <c r="DA149" i="1"/>
  <c r="V149" i="1"/>
  <c r="W149" i="1"/>
  <c r="CZ149" i="1"/>
  <c r="O149" i="1"/>
  <c r="CY149" i="1"/>
  <c r="BP149" i="1"/>
  <c r="BO149" i="1"/>
  <c r="DO4" i="1"/>
  <c r="R4" i="1"/>
  <c r="Q4" i="1"/>
  <c r="DA4" i="1"/>
  <c r="W4" i="1"/>
  <c r="CZ4" i="1"/>
  <c r="O4" i="1"/>
  <c r="BP4" i="1"/>
  <c r="BO4" i="1"/>
  <c r="DO270" i="1"/>
  <c r="R270" i="1"/>
  <c r="Q270" i="1"/>
  <c r="DA270" i="1"/>
  <c r="W270" i="1"/>
  <c r="CZ270" i="1"/>
  <c r="O270" i="1"/>
  <c r="BP270" i="1"/>
  <c r="BO270" i="1"/>
  <c r="DO271" i="1"/>
  <c r="R271" i="1"/>
  <c r="Q271" i="1"/>
  <c r="DA271" i="1"/>
  <c r="W271" i="1"/>
  <c r="CZ271" i="1"/>
  <c r="O271" i="1"/>
  <c r="BP271" i="1"/>
  <c r="BO271" i="1"/>
  <c r="DO1498" i="1"/>
  <c r="R1498" i="1"/>
  <c r="Q1498" i="1"/>
  <c r="DA1498" i="1"/>
  <c r="W1498" i="1"/>
  <c r="CZ1498" i="1"/>
  <c r="O1498" i="1"/>
  <c r="BP1498" i="1"/>
  <c r="BO1498" i="1"/>
  <c r="DO455" i="1"/>
  <c r="R455" i="1"/>
  <c r="Q455" i="1"/>
  <c r="DA455" i="1"/>
  <c r="W455" i="1"/>
  <c r="CZ455" i="1"/>
  <c r="O455" i="1"/>
  <c r="BP455" i="1"/>
  <c r="BO455" i="1"/>
  <c r="DO285" i="1"/>
  <c r="DG285" i="1"/>
  <c r="R285" i="1"/>
  <c r="Q285" i="1"/>
  <c r="DA285" i="1"/>
  <c r="V285" i="1"/>
  <c r="W285" i="1"/>
  <c r="CZ285" i="1"/>
  <c r="O285" i="1"/>
  <c r="CY285" i="1"/>
  <c r="BP285" i="1"/>
  <c r="BO285" i="1"/>
  <c r="DO267" i="1"/>
  <c r="R267" i="1"/>
  <c r="Q267" i="1"/>
  <c r="DA267" i="1"/>
  <c r="W267" i="1"/>
  <c r="CZ267" i="1"/>
  <c r="O267" i="1"/>
  <c r="BP267" i="1"/>
  <c r="BO267" i="1"/>
  <c r="DO19" i="1"/>
  <c r="DG19" i="1"/>
  <c r="R19" i="1"/>
  <c r="Q19" i="1"/>
  <c r="DA19" i="1"/>
  <c r="V19" i="1"/>
  <c r="W19" i="1"/>
  <c r="CZ19" i="1"/>
  <c r="O19" i="1"/>
  <c r="CY19" i="1"/>
  <c r="BP19" i="1"/>
  <c r="BO19" i="1"/>
  <c r="DO266" i="1"/>
  <c r="R266" i="1"/>
  <c r="Q266" i="1"/>
  <c r="DA266" i="1"/>
  <c r="W266" i="1"/>
  <c r="CZ266" i="1"/>
  <c r="O266" i="1"/>
  <c r="BP266" i="1"/>
  <c r="BO266" i="1"/>
  <c r="DO935" i="1"/>
  <c r="R935" i="1"/>
  <c r="Q935" i="1"/>
  <c r="DA935" i="1"/>
  <c r="W935" i="1"/>
  <c r="CZ935" i="1"/>
  <c r="O935" i="1"/>
  <c r="BP935" i="1"/>
  <c r="BO935" i="1"/>
  <c r="DO1366" i="1"/>
  <c r="R1366" i="1"/>
  <c r="Q1366" i="1"/>
  <c r="DA1366" i="1"/>
  <c r="W1366" i="1"/>
  <c r="CZ1366" i="1"/>
  <c r="O1366" i="1"/>
  <c r="BP1366" i="1"/>
  <c r="BO1366" i="1"/>
  <c r="DO920" i="1"/>
  <c r="R920" i="1"/>
  <c r="Q920" i="1"/>
  <c r="DA920" i="1"/>
  <c r="W920" i="1"/>
  <c r="CZ920" i="1"/>
  <c r="O920" i="1"/>
  <c r="BP920" i="1"/>
  <c r="BO920" i="1"/>
  <c r="DO925" i="1"/>
  <c r="DG925" i="1"/>
  <c r="R925" i="1"/>
  <c r="Q925" i="1"/>
  <c r="DA925" i="1"/>
  <c r="V925" i="1"/>
  <c r="W925" i="1"/>
  <c r="CZ925" i="1"/>
  <c r="O925" i="1"/>
  <c r="CY925" i="1"/>
  <c r="BP925" i="1"/>
  <c r="BO925" i="1"/>
  <c r="DO940" i="1"/>
  <c r="R940" i="1"/>
  <c r="Q940" i="1"/>
  <c r="DA940" i="1"/>
  <c r="W940" i="1"/>
  <c r="CZ940" i="1"/>
  <c r="O940" i="1"/>
  <c r="BP940" i="1"/>
  <c r="BO940" i="1"/>
  <c r="DO931" i="1"/>
  <c r="R931" i="1"/>
  <c r="Q931" i="1"/>
  <c r="DA931" i="1"/>
  <c r="W931" i="1"/>
  <c r="CZ931" i="1"/>
  <c r="O931" i="1"/>
  <c r="BP931" i="1"/>
  <c r="BO931" i="1"/>
  <c r="DO941" i="1"/>
  <c r="DG941" i="1"/>
  <c r="R941" i="1"/>
  <c r="Q941" i="1"/>
  <c r="DA941" i="1"/>
  <c r="V941" i="1"/>
  <c r="W941" i="1"/>
  <c r="CZ941" i="1"/>
  <c r="O941" i="1"/>
  <c r="CY941" i="1"/>
  <c r="BP941" i="1"/>
  <c r="BO941" i="1"/>
  <c r="DO13" i="1"/>
  <c r="DG13" i="1"/>
  <c r="R13" i="1"/>
  <c r="Q13" i="1"/>
  <c r="DA13" i="1"/>
  <c r="V13" i="1"/>
  <c r="W13" i="1"/>
  <c r="CZ13" i="1"/>
  <c r="O13" i="1"/>
  <c r="CY13" i="1"/>
  <c r="BP13" i="1"/>
  <c r="BO13" i="1"/>
  <c r="DO55" i="1"/>
  <c r="R55" i="1"/>
  <c r="Q55" i="1"/>
  <c r="DA55" i="1"/>
  <c r="W55" i="1"/>
  <c r="CZ55" i="1"/>
  <c r="O55" i="1"/>
  <c r="BP55" i="1"/>
  <c r="BO55" i="1"/>
  <c r="DO54" i="1"/>
  <c r="R54" i="1"/>
  <c r="Q54" i="1"/>
  <c r="DA54" i="1"/>
  <c r="W54" i="1"/>
  <c r="CZ54" i="1"/>
  <c r="O54" i="1"/>
  <c r="BP54" i="1"/>
  <c r="BO54" i="1"/>
  <c r="DO53" i="1"/>
  <c r="R53" i="1"/>
  <c r="Q53" i="1"/>
  <c r="DA53" i="1"/>
  <c r="W53" i="1"/>
  <c r="CZ53" i="1"/>
  <c r="O53" i="1"/>
  <c r="BP53" i="1"/>
  <c r="BO53" i="1"/>
  <c r="DO52" i="1"/>
  <c r="R52" i="1"/>
  <c r="Q52" i="1"/>
  <c r="DA52" i="1"/>
  <c r="W52" i="1"/>
  <c r="CZ52" i="1"/>
  <c r="O52" i="1"/>
  <c r="BP52" i="1"/>
  <c r="BO52" i="1"/>
  <c r="DO49" i="1"/>
  <c r="R49" i="1"/>
  <c r="Q49" i="1"/>
  <c r="DA49" i="1"/>
  <c r="W49" i="1"/>
  <c r="CZ49" i="1"/>
  <c r="O49" i="1"/>
  <c r="BP49" i="1"/>
  <c r="BO49" i="1"/>
  <c r="DO48" i="1"/>
  <c r="R48" i="1"/>
  <c r="Q48" i="1"/>
  <c r="DA48" i="1"/>
  <c r="W48" i="1"/>
  <c r="CZ48" i="1"/>
  <c r="O48" i="1"/>
  <c r="BP48" i="1"/>
  <c r="BO48" i="1"/>
  <c r="DO47" i="1"/>
  <c r="R47" i="1"/>
  <c r="Q47" i="1"/>
  <c r="DA47" i="1"/>
  <c r="W47" i="1"/>
  <c r="CZ47" i="1"/>
  <c r="O47" i="1"/>
  <c r="BP47" i="1"/>
  <c r="BO47" i="1"/>
  <c r="DO46" i="1"/>
  <c r="R46" i="1"/>
  <c r="Q46" i="1"/>
  <c r="DA46" i="1"/>
  <c r="W46" i="1"/>
  <c r="CZ46" i="1"/>
  <c r="O46" i="1"/>
  <c r="BP46" i="1"/>
  <c r="BO46" i="1"/>
  <c r="DO45" i="1"/>
  <c r="R45" i="1"/>
  <c r="Q45" i="1"/>
  <c r="DA45" i="1"/>
  <c r="W45" i="1"/>
  <c r="CZ45" i="1"/>
  <c r="O45" i="1"/>
  <c r="BP45" i="1"/>
  <c r="BO45" i="1"/>
  <c r="DO44" i="1"/>
  <c r="R44" i="1"/>
  <c r="Q44" i="1"/>
  <c r="DA44" i="1"/>
  <c r="W44" i="1"/>
  <c r="CZ44" i="1"/>
  <c r="O44" i="1"/>
  <c r="BP44" i="1"/>
  <c r="BO44" i="1"/>
  <c r="DO87" i="1"/>
  <c r="R87" i="1"/>
  <c r="Q87" i="1"/>
  <c r="DA87" i="1"/>
  <c r="W87" i="1"/>
  <c r="CZ87" i="1"/>
  <c r="O87" i="1"/>
  <c r="BP87" i="1"/>
  <c r="BO87" i="1"/>
  <c r="DO86" i="1"/>
  <c r="R86" i="1"/>
  <c r="Q86" i="1"/>
  <c r="DA86" i="1"/>
  <c r="W86" i="1"/>
  <c r="CZ86" i="1"/>
  <c r="O86" i="1"/>
  <c r="BP86" i="1"/>
  <c r="BO86" i="1"/>
  <c r="DO447" i="1"/>
  <c r="R447" i="1"/>
  <c r="Q447" i="1"/>
  <c r="DA447" i="1"/>
  <c r="W447" i="1"/>
  <c r="CZ447" i="1"/>
  <c r="O447" i="1"/>
  <c r="BP447" i="1"/>
  <c r="BO447" i="1"/>
  <c r="DO442" i="1"/>
  <c r="R442" i="1"/>
  <c r="Q442" i="1"/>
  <c r="DA442" i="1"/>
  <c r="W442" i="1"/>
  <c r="CZ442" i="1"/>
  <c r="O442" i="1"/>
  <c r="BP442" i="1"/>
  <c r="BO442" i="1"/>
  <c r="DO441" i="1"/>
  <c r="R441" i="1"/>
  <c r="Q441" i="1"/>
  <c r="DA441" i="1"/>
  <c r="W441" i="1"/>
  <c r="CZ441" i="1"/>
  <c r="O441" i="1"/>
  <c r="BP441" i="1"/>
  <c r="BO441" i="1"/>
  <c r="DO85" i="1"/>
  <c r="R85" i="1"/>
  <c r="Q85" i="1"/>
  <c r="DA85" i="1"/>
  <c r="W85" i="1"/>
  <c r="CZ85" i="1"/>
  <c r="O85" i="1"/>
  <c r="BP85" i="1"/>
  <c r="BO85" i="1"/>
  <c r="DO1407" i="1"/>
  <c r="DG1407" i="1"/>
  <c r="R1407" i="1"/>
  <c r="Q1407" i="1"/>
  <c r="DA1407" i="1"/>
  <c r="V1407" i="1"/>
  <c r="W1407" i="1"/>
  <c r="CZ1407" i="1"/>
  <c r="O1407" i="1"/>
  <c r="CY1407" i="1"/>
  <c r="BP1407" i="1"/>
  <c r="BO1407" i="1"/>
  <c r="DO1248" i="1"/>
  <c r="DG1248" i="1"/>
  <c r="R1248" i="1"/>
  <c r="Q1248" i="1"/>
  <c r="DA1248" i="1"/>
  <c r="V1248" i="1"/>
  <c r="W1248" i="1"/>
  <c r="CZ1248" i="1"/>
  <c r="O1248" i="1"/>
  <c r="CY1248" i="1"/>
  <c r="BP1248" i="1"/>
  <c r="BO1248" i="1"/>
  <c r="DO1245" i="1"/>
  <c r="DG1245" i="1"/>
  <c r="R1245" i="1"/>
  <c r="Q1245" i="1"/>
  <c r="DA1245" i="1"/>
  <c r="V1245" i="1"/>
  <c r="W1245" i="1"/>
  <c r="CZ1245" i="1"/>
  <c r="O1245" i="1"/>
  <c r="CY1245" i="1"/>
  <c r="BP1245" i="1"/>
  <c r="BO1245" i="1"/>
  <c r="DO1236" i="1"/>
  <c r="DG1236" i="1"/>
  <c r="R1236" i="1"/>
  <c r="Q1236" i="1"/>
  <c r="DA1236" i="1"/>
  <c r="V1236" i="1"/>
  <c r="W1236" i="1"/>
  <c r="CZ1236" i="1"/>
  <c r="O1236" i="1"/>
  <c r="CY1236" i="1"/>
  <c r="BP1236" i="1"/>
  <c r="BO1236" i="1"/>
  <c r="DO1233" i="1"/>
  <c r="DG1233" i="1"/>
  <c r="R1233" i="1"/>
  <c r="Q1233" i="1"/>
  <c r="DA1233" i="1"/>
  <c r="V1233" i="1"/>
  <c r="W1233" i="1"/>
  <c r="CZ1233" i="1"/>
  <c r="O1233" i="1"/>
  <c r="CY1233" i="1"/>
  <c r="BP1233" i="1"/>
  <c r="BO1233" i="1"/>
  <c r="DO399" i="1"/>
  <c r="R399" i="1"/>
  <c r="Q399" i="1"/>
  <c r="DA399" i="1"/>
  <c r="W399" i="1"/>
  <c r="CZ399" i="1"/>
  <c r="O399" i="1"/>
  <c r="BP399" i="1"/>
  <c r="BO399" i="1"/>
  <c r="DO1229" i="1"/>
  <c r="DG1229" i="1"/>
  <c r="R1229" i="1"/>
  <c r="Q1229" i="1"/>
  <c r="DA1229" i="1"/>
  <c r="V1229" i="1"/>
  <c r="W1229" i="1"/>
  <c r="CZ1229" i="1"/>
  <c r="O1229" i="1"/>
  <c r="CY1229" i="1"/>
  <c r="BP1229" i="1"/>
  <c r="BO1229" i="1"/>
  <c r="DO104" i="1"/>
  <c r="R104" i="1"/>
  <c r="Q104" i="1"/>
  <c r="DA104" i="1"/>
  <c r="W104" i="1"/>
  <c r="CZ104" i="1"/>
  <c r="O104" i="1"/>
  <c r="BP104" i="1"/>
  <c r="BO104" i="1"/>
  <c r="DO413" i="1"/>
  <c r="R413" i="1"/>
  <c r="Q413" i="1"/>
  <c r="DA413" i="1"/>
  <c r="W413" i="1"/>
  <c r="CZ413" i="1"/>
  <c r="O413" i="1"/>
  <c r="BP413" i="1"/>
  <c r="BO413" i="1"/>
  <c r="DO1208" i="1"/>
  <c r="DG1208" i="1"/>
  <c r="R1208" i="1"/>
  <c r="Q1208" i="1"/>
  <c r="DA1208" i="1"/>
  <c r="V1208" i="1"/>
  <c r="W1208" i="1"/>
  <c r="CZ1208" i="1"/>
  <c r="O1208" i="1"/>
  <c r="CY1208" i="1"/>
  <c r="BP1208" i="1"/>
  <c r="BO1208" i="1"/>
  <c r="DO1179" i="1"/>
  <c r="DG1179" i="1"/>
  <c r="R1179" i="1"/>
  <c r="Q1179" i="1"/>
  <c r="DA1179" i="1"/>
  <c r="V1179" i="1"/>
  <c r="W1179" i="1"/>
  <c r="CZ1179" i="1"/>
  <c r="O1179" i="1"/>
  <c r="CY1179" i="1"/>
  <c r="BP1179" i="1"/>
  <c r="BO1179" i="1"/>
  <c r="DO1178" i="1"/>
  <c r="DG1178" i="1"/>
  <c r="R1178" i="1"/>
  <c r="Q1178" i="1"/>
  <c r="DA1178" i="1"/>
  <c r="V1178" i="1"/>
  <c r="W1178" i="1"/>
  <c r="CZ1178" i="1"/>
  <c r="O1178" i="1"/>
  <c r="CY1178" i="1"/>
  <c r="BP1178" i="1"/>
  <c r="BO1178" i="1"/>
  <c r="DO1177" i="1"/>
  <c r="DG1177" i="1"/>
  <c r="R1177" i="1"/>
  <c r="Q1177" i="1"/>
  <c r="DA1177" i="1"/>
  <c r="V1177" i="1"/>
  <c r="W1177" i="1"/>
  <c r="CZ1177" i="1"/>
  <c r="O1177" i="1"/>
  <c r="CY1177" i="1"/>
  <c r="BP1177" i="1"/>
  <c r="BO1177" i="1"/>
  <c r="DO1175" i="1"/>
  <c r="DG1175" i="1"/>
  <c r="R1175" i="1"/>
  <c r="Q1175" i="1"/>
  <c r="DA1175" i="1"/>
  <c r="V1175" i="1"/>
  <c r="W1175" i="1"/>
  <c r="CZ1175" i="1"/>
  <c r="O1175" i="1"/>
  <c r="CY1175" i="1"/>
  <c r="BP1175" i="1"/>
  <c r="BO1175" i="1"/>
  <c r="DO39" i="1"/>
  <c r="R39" i="1"/>
  <c r="Q39" i="1"/>
  <c r="DA39" i="1"/>
  <c r="W39" i="1"/>
  <c r="CZ39" i="1"/>
  <c r="O39" i="1"/>
  <c r="BP39" i="1"/>
  <c r="BO39" i="1"/>
  <c r="DO172" i="1"/>
  <c r="R172" i="1"/>
  <c r="Q172" i="1"/>
  <c r="DA172" i="1"/>
  <c r="W172" i="1"/>
  <c r="CZ172" i="1"/>
  <c r="O172" i="1"/>
  <c r="BP172" i="1"/>
  <c r="BO172" i="1"/>
  <c r="DO1152" i="1"/>
  <c r="DG1152" i="1"/>
  <c r="R1152" i="1"/>
  <c r="Q1152" i="1"/>
  <c r="DA1152" i="1"/>
  <c r="V1152" i="1"/>
  <c r="W1152" i="1"/>
  <c r="CZ1152" i="1"/>
  <c r="O1152" i="1"/>
  <c r="CY1152" i="1"/>
  <c r="BP1152" i="1"/>
  <c r="BO1152" i="1"/>
  <c r="DO1138" i="1"/>
  <c r="DG1138" i="1"/>
  <c r="R1138" i="1"/>
  <c r="Q1138" i="1"/>
  <c r="DA1138" i="1"/>
  <c r="V1138" i="1"/>
  <c r="W1138" i="1"/>
  <c r="CZ1138" i="1"/>
  <c r="O1138" i="1"/>
  <c r="CY1138" i="1"/>
  <c r="BP1138" i="1"/>
  <c r="BO1138" i="1"/>
  <c r="DG1093" i="1"/>
  <c r="R1093" i="1"/>
  <c r="Q1093" i="1"/>
  <c r="DA1093" i="1"/>
  <c r="V1093" i="1"/>
  <c r="W1093" i="1"/>
  <c r="CZ1093" i="1"/>
  <c r="O1093" i="1"/>
  <c r="CY1093" i="1"/>
  <c r="BP1093" i="1"/>
  <c r="DO100" i="1"/>
  <c r="R100" i="1"/>
  <c r="Q100" i="1"/>
  <c r="DA100" i="1"/>
  <c r="W100" i="1"/>
  <c r="CZ100" i="1"/>
  <c r="O100" i="1"/>
  <c r="BP100" i="1"/>
  <c r="BO100" i="1"/>
  <c r="DO1071" i="1"/>
  <c r="DG1071" i="1"/>
  <c r="R1071" i="1"/>
  <c r="Q1071" i="1"/>
  <c r="DA1071" i="1"/>
  <c r="V1071" i="1"/>
  <c r="W1071" i="1"/>
  <c r="CZ1071" i="1"/>
  <c r="O1071" i="1"/>
  <c r="CY1071" i="1"/>
  <c r="BP1071" i="1"/>
  <c r="BO1071" i="1"/>
  <c r="DO1065" i="1"/>
  <c r="DG1065" i="1"/>
  <c r="R1065" i="1"/>
  <c r="Q1065" i="1"/>
  <c r="DA1065" i="1"/>
  <c r="V1065" i="1"/>
  <c r="W1065" i="1"/>
  <c r="CZ1065" i="1"/>
  <c r="O1065" i="1"/>
  <c r="CY1065" i="1"/>
  <c r="BP1065" i="1"/>
  <c r="BO1065" i="1"/>
  <c r="DO576" i="1"/>
  <c r="R576" i="1"/>
  <c r="Q576" i="1"/>
  <c r="DA576" i="1"/>
  <c r="W576" i="1"/>
  <c r="CZ576" i="1"/>
  <c r="O576" i="1"/>
  <c r="BP576" i="1"/>
  <c r="BO576" i="1"/>
  <c r="DO473" i="1"/>
  <c r="R473" i="1"/>
  <c r="Q473" i="1"/>
  <c r="DA473" i="1"/>
  <c r="W473" i="1"/>
  <c r="CZ473" i="1"/>
  <c r="O473" i="1"/>
  <c r="BP473" i="1"/>
  <c r="BO473" i="1"/>
  <c r="DO84" i="1"/>
  <c r="R84" i="1"/>
  <c r="Q84" i="1"/>
  <c r="DA84" i="1"/>
  <c r="W84" i="1"/>
  <c r="CZ84" i="1"/>
  <c r="O84" i="1"/>
  <c r="BP84" i="1"/>
  <c r="BO84" i="1"/>
  <c r="DO83" i="1"/>
  <c r="R83" i="1"/>
  <c r="Q83" i="1"/>
  <c r="DA83" i="1"/>
  <c r="W83" i="1"/>
  <c r="CZ83" i="1"/>
  <c r="O83" i="1"/>
  <c r="BP83" i="1"/>
  <c r="BO83" i="1"/>
  <c r="DO419" i="1"/>
  <c r="R419" i="1"/>
  <c r="Q419" i="1"/>
  <c r="DA419" i="1"/>
  <c r="W419" i="1"/>
  <c r="CZ419" i="1"/>
  <c r="O419" i="1"/>
  <c r="BP419" i="1"/>
  <c r="BO419" i="1"/>
  <c r="DO82" i="1"/>
  <c r="R82" i="1"/>
  <c r="Q82" i="1"/>
  <c r="DA82" i="1"/>
  <c r="W82" i="1"/>
  <c r="CZ82" i="1"/>
  <c r="O82" i="1"/>
  <c r="BP82" i="1"/>
  <c r="BO82" i="1"/>
  <c r="DO314" i="1"/>
  <c r="R314" i="1"/>
  <c r="Q314" i="1"/>
  <c r="DA314" i="1"/>
  <c r="W314" i="1"/>
  <c r="CZ314" i="1"/>
  <c r="O314" i="1"/>
  <c r="BP314" i="1"/>
  <c r="BO314" i="1"/>
  <c r="DO392" i="1"/>
  <c r="R392" i="1"/>
  <c r="Q392" i="1"/>
  <c r="DA392" i="1"/>
  <c r="W392" i="1"/>
  <c r="CZ392" i="1"/>
  <c r="O392" i="1"/>
  <c r="BP392" i="1"/>
  <c r="BO392" i="1"/>
  <c r="DO378" i="1"/>
  <c r="R378" i="1"/>
  <c r="Q378" i="1"/>
  <c r="DA378" i="1"/>
  <c r="W378" i="1"/>
  <c r="CZ378" i="1"/>
  <c r="O378" i="1"/>
  <c r="BP378" i="1"/>
  <c r="BO378" i="1"/>
  <c r="DO377" i="1"/>
  <c r="R377" i="1"/>
  <c r="Q377" i="1"/>
  <c r="DA377" i="1"/>
  <c r="W377" i="1"/>
  <c r="CZ377" i="1"/>
  <c r="O377" i="1"/>
  <c r="BP377" i="1"/>
  <c r="BO377" i="1"/>
  <c r="DO1335" i="1"/>
  <c r="R1335" i="1"/>
  <c r="Q1335" i="1"/>
  <c r="DA1335" i="1"/>
  <c r="W1335" i="1"/>
  <c r="CZ1335" i="1"/>
  <c r="O1335" i="1"/>
  <c r="BP1335" i="1"/>
  <c r="BO1335" i="1"/>
  <c r="DO337" i="1"/>
  <c r="R337" i="1"/>
  <c r="Q337" i="1"/>
  <c r="DA337" i="1"/>
  <c r="W337" i="1"/>
  <c r="CZ337" i="1"/>
  <c r="O337" i="1"/>
  <c r="BP337" i="1"/>
  <c r="BO337" i="1"/>
  <c r="DO325" i="1"/>
  <c r="R325" i="1"/>
  <c r="Q325" i="1"/>
  <c r="DA325" i="1"/>
  <c r="W325" i="1"/>
  <c r="CZ325" i="1"/>
  <c r="O325" i="1"/>
  <c r="BP325" i="1"/>
  <c r="BO325" i="1"/>
  <c r="DO323" i="1"/>
  <c r="R323" i="1"/>
  <c r="Q323" i="1"/>
  <c r="DA323" i="1"/>
  <c r="W323" i="1"/>
  <c r="CZ323" i="1"/>
  <c r="O323" i="1"/>
  <c r="BP323" i="1"/>
  <c r="BO323" i="1"/>
  <c r="DO321" i="1"/>
  <c r="R321" i="1"/>
  <c r="Q321" i="1"/>
  <c r="DA321" i="1"/>
  <c r="W321" i="1"/>
  <c r="CZ321" i="1"/>
  <c r="O321" i="1"/>
  <c r="BP321" i="1"/>
  <c r="BO321" i="1"/>
  <c r="DO278" i="1"/>
  <c r="R278" i="1"/>
  <c r="Q278" i="1"/>
  <c r="DA278" i="1"/>
  <c r="W278" i="1"/>
  <c r="CZ278" i="1"/>
  <c r="O278" i="1"/>
  <c r="BP278" i="1"/>
  <c r="BO278" i="1"/>
  <c r="DO1085" i="1"/>
  <c r="R1085" i="1"/>
  <c r="Q1085" i="1"/>
  <c r="DA1085" i="1"/>
  <c r="W1085" i="1"/>
  <c r="CZ1085" i="1"/>
  <c r="O1085" i="1"/>
  <c r="BP1085" i="1"/>
  <c r="BO1085" i="1"/>
  <c r="DO260" i="1"/>
  <c r="R260" i="1"/>
  <c r="Q260" i="1"/>
  <c r="DA260" i="1"/>
  <c r="W260" i="1"/>
  <c r="CZ260" i="1"/>
  <c r="O260" i="1"/>
  <c r="BP260" i="1"/>
  <c r="BO260" i="1"/>
  <c r="DO257" i="1"/>
  <c r="R257" i="1"/>
  <c r="Q257" i="1"/>
  <c r="DA257" i="1"/>
  <c r="W257" i="1"/>
  <c r="CZ257" i="1"/>
  <c r="O257" i="1"/>
  <c r="BP257" i="1"/>
  <c r="BO257" i="1"/>
  <c r="DO256" i="1"/>
  <c r="R256" i="1"/>
  <c r="Q256" i="1"/>
  <c r="DA256" i="1"/>
  <c r="W256" i="1"/>
  <c r="CZ256" i="1"/>
  <c r="O256" i="1"/>
  <c r="BP256" i="1"/>
  <c r="BO256" i="1"/>
  <c r="DO255" i="1"/>
  <c r="R255" i="1"/>
  <c r="Q255" i="1"/>
  <c r="DA255" i="1"/>
  <c r="W255" i="1"/>
  <c r="CZ255" i="1"/>
  <c r="O255" i="1"/>
  <c r="BP255" i="1"/>
  <c r="BO255" i="1"/>
  <c r="DO254" i="1"/>
  <c r="R254" i="1"/>
  <c r="Q254" i="1"/>
  <c r="DA254" i="1"/>
  <c r="W254" i="1"/>
  <c r="CZ254" i="1"/>
  <c r="O254" i="1"/>
  <c r="BP254" i="1"/>
  <c r="BO254" i="1"/>
  <c r="DO251" i="1"/>
  <c r="R251" i="1"/>
  <c r="Q251" i="1"/>
  <c r="DA251" i="1"/>
  <c r="W251" i="1"/>
  <c r="CZ251" i="1"/>
  <c r="O251" i="1"/>
  <c r="BP251" i="1"/>
  <c r="BO251" i="1"/>
  <c r="DO250" i="1"/>
  <c r="R250" i="1"/>
  <c r="Q250" i="1"/>
  <c r="DA250" i="1"/>
  <c r="W250" i="1"/>
  <c r="CZ250" i="1"/>
  <c r="O250" i="1"/>
  <c r="BP250" i="1"/>
  <c r="BO250" i="1"/>
  <c r="DO249" i="1"/>
  <c r="R249" i="1"/>
  <c r="Q249" i="1"/>
  <c r="DA249" i="1"/>
  <c r="W249" i="1"/>
  <c r="CZ249" i="1"/>
  <c r="O249" i="1"/>
  <c r="BP249" i="1"/>
  <c r="BO249" i="1"/>
  <c r="DO248" i="1"/>
  <c r="R248" i="1"/>
  <c r="Q248" i="1"/>
  <c r="DA248" i="1"/>
  <c r="W248" i="1"/>
  <c r="CZ248" i="1"/>
  <c r="O248" i="1"/>
  <c r="BP248" i="1"/>
  <c r="BO248" i="1"/>
  <c r="DO237" i="1"/>
  <c r="R237" i="1"/>
  <c r="Q237" i="1"/>
  <c r="DA237" i="1"/>
  <c r="W237" i="1"/>
  <c r="CZ237" i="1"/>
  <c r="O237" i="1"/>
  <c r="BP237" i="1"/>
  <c r="BO237" i="1"/>
  <c r="DO236" i="1"/>
  <c r="R236" i="1"/>
  <c r="Q236" i="1"/>
  <c r="DA236" i="1"/>
  <c r="W236" i="1"/>
  <c r="CZ236" i="1"/>
  <c r="O236" i="1"/>
  <c r="BP236" i="1"/>
  <c r="BO236" i="1"/>
  <c r="DO210" i="1"/>
  <c r="R210" i="1"/>
  <c r="Q210" i="1"/>
  <c r="DA210" i="1"/>
  <c r="W210" i="1"/>
  <c r="CZ210" i="1"/>
  <c r="O210" i="1"/>
  <c r="BP210" i="1"/>
  <c r="BO210" i="1"/>
  <c r="DO209" i="1"/>
  <c r="R209" i="1"/>
  <c r="Q209" i="1"/>
  <c r="DA209" i="1"/>
  <c r="W209" i="1"/>
  <c r="CZ209" i="1"/>
  <c r="O209" i="1"/>
  <c r="BP209" i="1"/>
  <c r="BO209" i="1"/>
  <c r="DO208" i="1"/>
  <c r="R208" i="1"/>
  <c r="Q208" i="1"/>
  <c r="DA208" i="1"/>
  <c r="W208" i="1"/>
  <c r="CZ208" i="1"/>
  <c r="O208" i="1"/>
  <c r="BP208" i="1"/>
  <c r="BO208" i="1"/>
  <c r="DO207" i="1"/>
  <c r="R207" i="1"/>
  <c r="Q207" i="1"/>
  <c r="DA207" i="1"/>
  <c r="W207" i="1"/>
  <c r="CZ207" i="1"/>
  <c r="O207" i="1"/>
  <c r="BP207" i="1"/>
  <c r="BO207" i="1"/>
  <c r="DO206" i="1"/>
  <c r="R206" i="1"/>
  <c r="Q206" i="1"/>
  <c r="DA206" i="1"/>
  <c r="W206" i="1"/>
  <c r="CZ206" i="1"/>
  <c r="O206" i="1"/>
  <c r="BP206" i="1"/>
  <c r="BO206" i="1"/>
  <c r="DO205" i="1"/>
  <c r="R205" i="1"/>
  <c r="Q205" i="1"/>
  <c r="DA205" i="1"/>
  <c r="W205" i="1"/>
  <c r="CZ205" i="1"/>
  <c r="O205" i="1"/>
  <c r="BP205" i="1"/>
  <c r="BO205" i="1"/>
  <c r="DO202" i="1"/>
  <c r="R202" i="1"/>
  <c r="Q202" i="1"/>
  <c r="DA202" i="1"/>
  <c r="W202" i="1"/>
  <c r="CZ202" i="1"/>
  <c r="O202" i="1"/>
  <c r="BP202" i="1"/>
  <c r="BO202" i="1"/>
  <c r="DO201" i="1"/>
  <c r="R201" i="1"/>
  <c r="Q201" i="1"/>
  <c r="DA201" i="1"/>
  <c r="W201" i="1"/>
  <c r="CZ201" i="1"/>
  <c r="O201" i="1"/>
  <c r="BP201" i="1"/>
  <c r="BO201" i="1"/>
  <c r="DO200" i="1"/>
  <c r="R200" i="1"/>
  <c r="Q200" i="1"/>
  <c r="DA200" i="1"/>
  <c r="W200" i="1"/>
  <c r="CZ200" i="1"/>
  <c r="O200" i="1"/>
  <c r="BP200" i="1"/>
  <c r="BO200" i="1"/>
  <c r="DO199" i="1"/>
  <c r="R199" i="1"/>
  <c r="Q199" i="1"/>
  <c r="DA199" i="1"/>
  <c r="W199" i="1"/>
  <c r="CZ199" i="1"/>
  <c r="O199" i="1"/>
  <c r="BP199" i="1"/>
  <c r="BO199" i="1"/>
  <c r="DO198" i="1"/>
  <c r="R198" i="1"/>
  <c r="Q198" i="1"/>
  <c r="DA198" i="1"/>
  <c r="W198" i="1"/>
  <c r="CZ198" i="1"/>
  <c r="O198" i="1"/>
  <c r="BP198" i="1"/>
  <c r="BO198" i="1"/>
  <c r="DO197" i="1"/>
  <c r="R197" i="1"/>
  <c r="Q197" i="1"/>
  <c r="DA197" i="1"/>
  <c r="W197" i="1"/>
  <c r="CZ197" i="1"/>
  <c r="O197" i="1"/>
  <c r="BP197" i="1"/>
  <c r="BO197" i="1"/>
  <c r="DO196" i="1"/>
  <c r="R196" i="1"/>
  <c r="Q196" i="1"/>
  <c r="DA196" i="1"/>
  <c r="W196" i="1"/>
  <c r="CZ196" i="1"/>
  <c r="O196" i="1"/>
  <c r="BP196" i="1"/>
  <c r="BO196" i="1"/>
  <c r="DO195" i="1"/>
  <c r="R195" i="1"/>
  <c r="Q195" i="1"/>
  <c r="DA195" i="1"/>
  <c r="W195" i="1"/>
  <c r="CZ195" i="1"/>
  <c r="O195" i="1"/>
  <c r="BP195" i="1"/>
  <c r="BO195" i="1"/>
  <c r="DO194" i="1"/>
  <c r="R194" i="1"/>
  <c r="Q194" i="1"/>
  <c r="DA194" i="1"/>
  <c r="W194" i="1"/>
  <c r="CZ194" i="1"/>
  <c r="O194" i="1"/>
  <c r="BP194" i="1"/>
  <c r="BO194" i="1"/>
  <c r="DO193" i="1"/>
  <c r="R193" i="1"/>
  <c r="Q193" i="1"/>
  <c r="DA193" i="1"/>
  <c r="W193" i="1"/>
  <c r="CZ193" i="1"/>
  <c r="O193" i="1"/>
  <c r="BP193" i="1"/>
  <c r="BO193" i="1"/>
  <c r="DO192" i="1"/>
  <c r="R192" i="1"/>
  <c r="Q192" i="1"/>
  <c r="DA192" i="1"/>
  <c r="W192" i="1"/>
  <c r="CZ192" i="1"/>
  <c r="O192" i="1"/>
  <c r="BP192" i="1"/>
  <c r="BO192" i="1"/>
  <c r="DO191" i="1"/>
  <c r="R191" i="1"/>
  <c r="Q191" i="1"/>
  <c r="DA191" i="1"/>
  <c r="W191" i="1"/>
  <c r="CZ191" i="1"/>
  <c r="O191" i="1"/>
  <c r="BP191" i="1"/>
  <c r="BO191" i="1"/>
  <c r="DO190" i="1"/>
  <c r="R190" i="1"/>
  <c r="Q190" i="1"/>
  <c r="DA190" i="1"/>
  <c r="W190" i="1"/>
  <c r="CZ190" i="1"/>
  <c r="O190" i="1"/>
  <c r="BP190" i="1"/>
  <c r="BO190" i="1"/>
  <c r="DO189" i="1"/>
  <c r="R189" i="1"/>
  <c r="Q189" i="1"/>
  <c r="DA189" i="1"/>
  <c r="W189" i="1"/>
  <c r="CZ189" i="1"/>
  <c r="O189" i="1"/>
  <c r="BP189" i="1"/>
  <c r="BO189" i="1"/>
  <c r="DO188" i="1"/>
  <c r="R188" i="1"/>
  <c r="Q188" i="1"/>
  <c r="DA188" i="1"/>
  <c r="W188" i="1"/>
  <c r="CZ188" i="1"/>
  <c r="O188" i="1"/>
  <c r="BP188" i="1"/>
  <c r="BO188" i="1"/>
  <c r="DO187" i="1"/>
  <c r="R187" i="1"/>
  <c r="Q187" i="1"/>
  <c r="DA187" i="1"/>
  <c r="W187" i="1"/>
  <c r="CZ187" i="1"/>
  <c r="O187" i="1"/>
  <c r="BP187" i="1"/>
  <c r="BO187" i="1"/>
  <c r="DO184" i="1"/>
  <c r="R184" i="1"/>
  <c r="Q184" i="1"/>
  <c r="DA184" i="1"/>
  <c r="W184" i="1"/>
  <c r="CZ184" i="1"/>
  <c r="O184" i="1"/>
  <c r="BP184" i="1"/>
  <c r="BO184" i="1"/>
  <c r="DO183" i="1"/>
  <c r="R183" i="1"/>
  <c r="Q183" i="1"/>
  <c r="DA183" i="1"/>
  <c r="W183" i="1"/>
  <c r="CZ183" i="1"/>
  <c r="O183" i="1"/>
  <c r="BP183" i="1"/>
  <c r="BO183" i="1"/>
  <c r="DO182" i="1"/>
  <c r="R182" i="1"/>
  <c r="Q182" i="1"/>
  <c r="DA182" i="1"/>
  <c r="W182" i="1"/>
  <c r="CZ182" i="1"/>
  <c r="O182" i="1"/>
  <c r="BP182" i="1"/>
  <c r="BO182" i="1"/>
  <c r="DO181" i="1"/>
  <c r="R181" i="1"/>
  <c r="Q181" i="1"/>
  <c r="DA181" i="1"/>
  <c r="W181" i="1"/>
  <c r="CZ181" i="1"/>
  <c r="O181" i="1"/>
  <c r="BP181" i="1"/>
  <c r="BO181" i="1"/>
  <c r="DO180" i="1"/>
  <c r="R180" i="1"/>
  <c r="Q180" i="1"/>
  <c r="DA180" i="1"/>
  <c r="W180" i="1"/>
  <c r="CZ180" i="1"/>
  <c r="O180" i="1"/>
  <c r="BP180" i="1"/>
  <c r="BO180" i="1"/>
  <c r="DO179" i="1"/>
  <c r="R179" i="1"/>
  <c r="Q179" i="1"/>
  <c r="DA179" i="1"/>
  <c r="W179" i="1"/>
  <c r="CZ179" i="1"/>
  <c r="O179" i="1"/>
  <c r="BP179" i="1"/>
  <c r="BO179" i="1"/>
  <c r="DO178" i="1"/>
  <c r="R178" i="1"/>
  <c r="Q178" i="1"/>
  <c r="DA178" i="1"/>
  <c r="W178" i="1"/>
  <c r="CZ178" i="1"/>
  <c r="O178" i="1"/>
  <c r="BP178" i="1"/>
  <c r="BO178" i="1"/>
  <c r="DO177" i="1"/>
  <c r="R177" i="1"/>
  <c r="Q177" i="1"/>
  <c r="DA177" i="1"/>
  <c r="W177" i="1"/>
  <c r="CZ177" i="1"/>
  <c r="O177" i="1"/>
  <c r="BP177" i="1"/>
  <c r="BO177" i="1"/>
  <c r="DO943" i="1"/>
  <c r="DG943" i="1"/>
  <c r="R943" i="1"/>
  <c r="Q943" i="1"/>
  <c r="DA943" i="1"/>
  <c r="V943" i="1"/>
  <c r="W943" i="1"/>
  <c r="CZ943" i="1"/>
  <c r="O943" i="1"/>
  <c r="CY943" i="1"/>
  <c r="BP943" i="1"/>
  <c r="BO943" i="1"/>
  <c r="DO942" i="1"/>
  <c r="DG942" i="1"/>
  <c r="R942" i="1"/>
  <c r="Q942" i="1"/>
  <c r="DA942" i="1"/>
  <c r="V942" i="1"/>
  <c r="W942" i="1"/>
  <c r="CZ942" i="1"/>
  <c r="O942" i="1"/>
  <c r="CY942" i="1"/>
  <c r="BP942" i="1"/>
  <c r="BO942" i="1"/>
  <c r="DO933" i="1"/>
  <c r="DG933" i="1"/>
  <c r="R933" i="1"/>
  <c r="Q933" i="1"/>
  <c r="DA933" i="1"/>
  <c r="V933" i="1"/>
  <c r="W933" i="1"/>
  <c r="CZ933" i="1"/>
  <c r="O933" i="1"/>
  <c r="CY933" i="1"/>
  <c r="BP933" i="1"/>
  <c r="BO933" i="1"/>
  <c r="DO923" i="1"/>
  <c r="DG923" i="1"/>
  <c r="R923" i="1"/>
  <c r="Q923" i="1"/>
  <c r="DA923" i="1"/>
  <c r="V923" i="1"/>
  <c r="W923" i="1"/>
  <c r="CZ923" i="1"/>
  <c r="O923" i="1"/>
  <c r="CY923" i="1"/>
  <c r="BP923" i="1"/>
  <c r="BO923" i="1"/>
  <c r="DO1073" i="1"/>
  <c r="DG1073" i="1"/>
  <c r="R1073" i="1"/>
  <c r="Q1073" i="1"/>
  <c r="DA1073" i="1"/>
  <c r="V1073" i="1"/>
  <c r="W1073" i="1"/>
  <c r="CZ1073" i="1"/>
  <c r="O1073" i="1"/>
  <c r="CY1073" i="1"/>
  <c r="BP1073" i="1"/>
  <c r="BO1073" i="1"/>
  <c r="DO536" i="1"/>
  <c r="DG536" i="1"/>
  <c r="R536" i="1"/>
  <c r="Q536" i="1"/>
  <c r="DA536" i="1"/>
  <c r="V536" i="1"/>
  <c r="W536" i="1"/>
  <c r="CZ536" i="1"/>
  <c r="O536" i="1"/>
  <c r="CY536" i="1"/>
  <c r="BP536" i="1"/>
  <c r="BO536" i="1"/>
  <c r="DO527" i="1"/>
  <c r="DG527" i="1"/>
  <c r="R527" i="1"/>
  <c r="Q527" i="1"/>
  <c r="DA527" i="1"/>
  <c r="V527" i="1"/>
  <c r="W527" i="1"/>
  <c r="CZ527" i="1"/>
  <c r="O527" i="1"/>
  <c r="CY527" i="1"/>
  <c r="BP527" i="1"/>
  <c r="BO527" i="1"/>
  <c r="DO524" i="1"/>
  <c r="DG524" i="1"/>
  <c r="R524" i="1"/>
  <c r="Q524" i="1"/>
  <c r="DA524" i="1"/>
  <c r="V524" i="1"/>
  <c r="W524" i="1"/>
  <c r="CZ524" i="1"/>
  <c r="O524" i="1"/>
  <c r="CY524" i="1"/>
  <c r="BP524" i="1"/>
  <c r="BO524" i="1"/>
  <c r="DO523" i="1"/>
  <c r="DG523" i="1"/>
  <c r="R523" i="1"/>
  <c r="Q523" i="1"/>
  <c r="DA523" i="1"/>
  <c r="V523" i="1"/>
  <c r="W523" i="1"/>
  <c r="CZ523" i="1"/>
  <c r="O523" i="1"/>
  <c r="CY523" i="1"/>
  <c r="BP523" i="1"/>
  <c r="BO523" i="1"/>
  <c r="DO522" i="1"/>
  <c r="DG522" i="1"/>
  <c r="R522" i="1"/>
  <c r="Q522" i="1"/>
  <c r="DA522" i="1"/>
  <c r="V522" i="1"/>
  <c r="W522" i="1"/>
  <c r="CZ522" i="1"/>
  <c r="O522" i="1"/>
  <c r="CY522" i="1"/>
  <c r="BP522" i="1"/>
  <c r="BO522" i="1"/>
  <c r="DO521" i="1"/>
  <c r="DG521" i="1"/>
  <c r="R521" i="1"/>
  <c r="Q521" i="1"/>
  <c r="DA521" i="1"/>
  <c r="V521" i="1"/>
  <c r="W521" i="1"/>
  <c r="CZ521" i="1"/>
  <c r="O521" i="1"/>
  <c r="CY521" i="1"/>
  <c r="BP521" i="1"/>
  <c r="BO521" i="1"/>
  <c r="DO176" i="1"/>
  <c r="R176" i="1"/>
  <c r="Q176" i="1"/>
  <c r="DA176" i="1"/>
  <c r="W176" i="1"/>
  <c r="CZ176" i="1"/>
  <c r="O176" i="1"/>
  <c r="BP176" i="1"/>
  <c r="BO176" i="1"/>
  <c r="DO423" i="1"/>
  <c r="DG423" i="1"/>
  <c r="R423" i="1"/>
  <c r="Q423" i="1"/>
  <c r="DA423" i="1"/>
  <c r="V423" i="1"/>
  <c r="W423" i="1"/>
  <c r="CZ423" i="1"/>
  <c r="O423" i="1"/>
  <c r="CY423" i="1"/>
  <c r="BP423" i="1"/>
  <c r="BO423" i="1"/>
  <c r="DO407" i="1"/>
  <c r="DG407" i="1"/>
  <c r="R407" i="1"/>
  <c r="Q407" i="1"/>
  <c r="DA407" i="1"/>
  <c r="V407" i="1"/>
  <c r="W407" i="1"/>
  <c r="CZ407" i="1"/>
  <c r="O407" i="1"/>
  <c r="CY407" i="1"/>
  <c r="BP407" i="1"/>
  <c r="BO407" i="1"/>
  <c r="DO322" i="1"/>
  <c r="DG322" i="1"/>
  <c r="R322" i="1"/>
  <c r="Q322" i="1"/>
  <c r="DA322" i="1"/>
  <c r="V322" i="1"/>
  <c r="W322" i="1"/>
  <c r="CZ322" i="1"/>
  <c r="O322" i="1"/>
  <c r="CY322" i="1"/>
  <c r="BP322" i="1"/>
  <c r="BO322" i="1"/>
  <c r="DO474" i="1"/>
  <c r="R474" i="1"/>
  <c r="Q474" i="1"/>
  <c r="DA474" i="1"/>
  <c r="W474" i="1"/>
  <c r="CZ474" i="1"/>
  <c r="O474" i="1"/>
  <c r="BP474" i="1"/>
  <c r="BO474" i="1"/>
  <c r="DO296" i="1"/>
  <c r="DG296" i="1"/>
  <c r="R296" i="1"/>
  <c r="Q296" i="1"/>
  <c r="DA296" i="1"/>
  <c r="V296" i="1"/>
  <c r="W296" i="1"/>
  <c r="CZ296" i="1"/>
  <c r="O296" i="1"/>
  <c r="CY296" i="1"/>
  <c r="BP296" i="1"/>
  <c r="BO296" i="1"/>
  <c r="DO173" i="1"/>
  <c r="R173" i="1"/>
  <c r="Q173" i="1"/>
  <c r="DA173" i="1"/>
  <c r="W173" i="1"/>
  <c r="CZ173" i="1"/>
  <c r="O173" i="1"/>
  <c r="BP173" i="1"/>
  <c r="BO173" i="1"/>
  <c r="DO290" i="1"/>
  <c r="DG290" i="1"/>
  <c r="R290" i="1"/>
  <c r="Q290" i="1"/>
  <c r="DA290" i="1"/>
  <c r="V290" i="1"/>
  <c r="W290" i="1"/>
  <c r="CZ290" i="1"/>
  <c r="O290" i="1"/>
  <c r="CY290" i="1"/>
  <c r="BP290" i="1"/>
  <c r="BO290" i="1"/>
  <c r="DO170" i="1"/>
  <c r="R170" i="1"/>
  <c r="Q170" i="1"/>
  <c r="DA170" i="1"/>
  <c r="W170" i="1"/>
  <c r="CZ170" i="1"/>
  <c r="O170" i="1"/>
  <c r="BP170" i="1"/>
  <c r="BO170" i="1"/>
  <c r="DO287" i="1"/>
  <c r="DG287" i="1"/>
  <c r="R287" i="1"/>
  <c r="Q287" i="1"/>
  <c r="DA287" i="1"/>
  <c r="V287" i="1"/>
  <c r="W287" i="1"/>
  <c r="CZ287" i="1"/>
  <c r="O287" i="1"/>
  <c r="CY287" i="1"/>
  <c r="BP287" i="1"/>
  <c r="BO287" i="1"/>
  <c r="DO169" i="1"/>
  <c r="R169" i="1"/>
  <c r="Q169" i="1"/>
  <c r="DA169" i="1"/>
  <c r="W169" i="1"/>
  <c r="CZ169" i="1"/>
  <c r="O169" i="1"/>
  <c r="BP169" i="1"/>
  <c r="BO169" i="1"/>
  <c r="DO164" i="1"/>
  <c r="R164" i="1"/>
  <c r="Q164" i="1"/>
  <c r="DA164" i="1"/>
  <c r="W164" i="1"/>
  <c r="CZ164" i="1"/>
  <c r="O164" i="1"/>
  <c r="BP164" i="1"/>
  <c r="BO164" i="1"/>
  <c r="DO163" i="1"/>
  <c r="R163" i="1"/>
  <c r="Q163" i="1"/>
  <c r="DA163" i="1"/>
  <c r="W163" i="1"/>
  <c r="CZ163" i="1"/>
  <c r="O163" i="1"/>
  <c r="BP163" i="1"/>
  <c r="BO163" i="1"/>
  <c r="DO162" i="1"/>
  <c r="R162" i="1"/>
  <c r="Q162" i="1"/>
  <c r="DA162" i="1"/>
  <c r="W162" i="1"/>
  <c r="CZ162" i="1"/>
  <c r="O162" i="1"/>
  <c r="BP162" i="1"/>
  <c r="BO162" i="1"/>
  <c r="DO281" i="1"/>
  <c r="DG281" i="1"/>
  <c r="R281" i="1"/>
  <c r="Q281" i="1"/>
  <c r="DA281" i="1"/>
  <c r="V281" i="1"/>
  <c r="W281" i="1"/>
  <c r="CZ281" i="1"/>
  <c r="O281" i="1"/>
  <c r="CY281" i="1"/>
  <c r="BP281" i="1"/>
  <c r="BO281" i="1"/>
  <c r="DO159" i="1"/>
  <c r="R159" i="1"/>
  <c r="Q159" i="1"/>
  <c r="DA159" i="1"/>
  <c r="W159" i="1"/>
  <c r="CZ159" i="1"/>
  <c r="O159" i="1"/>
  <c r="BP159" i="1"/>
  <c r="BO159" i="1"/>
  <c r="DO921" i="1"/>
  <c r="R921" i="1"/>
  <c r="Q921" i="1"/>
  <c r="DA921" i="1"/>
  <c r="W921" i="1"/>
  <c r="CZ921" i="1"/>
  <c r="O921" i="1"/>
  <c r="BP921" i="1"/>
  <c r="BO921" i="1"/>
  <c r="DO92" i="1"/>
  <c r="R92" i="1"/>
  <c r="Q92" i="1"/>
  <c r="DA92" i="1"/>
  <c r="W92" i="1"/>
  <c r="CZ92" i="1"/>
  <c r="O92" i="1"/>
  <c r="BP92" i="1"/>
  <c r="BO92" i="1"/>
  <c r="DO185" i="1"/>
  <c r="R185" i="1"/>
  <c r="Q185" i="1"/>
  <c r="DA185" i="1"/>
  <c r="W185" i="1"/>
  <c r="CZ185" i="1"/>
  <c r="O185" i="1"/>
  <c r="BP185" i="1"/>
  <c r="BO185" i="1"/>
  <c r="DO158" i="1"/>
  <c r="R158" i="1"/>
  <c r="Q158" i="1"/>
  <c r="DA158" i="1"/>
  <c r="W158" i="1"/>
  <c r="CZ158" i="1"/>
  <c r="O158" i="1"/>
  <c r="BP158" i="1"/>
  <c r="BO158" i="1"/>
  <c r="DO156" i="1"/>
  <c r="R156" i="1"/>
  <c r="Q156" i="1"/>
  <c r="DA156" i="1"/>
  <c r="W156" i="1"/>
  <c r="CZ156" i="1"/>
  <c r="O156" i="1"/>
  <c r="BP156" i="1"/>
  <c r="BO156" i="1"/>
  <c r="DO155" i="1"/>
  <c r="R155" i="1"/>
  <c r="Q155" i="1"/>
  <c r="DA155" i="1"/>
  <c r="W155" i="1"/>
  <c r="CZ155" i="1"/>
  <c r="O155" i="1"/>
  <c r="BP155" i="1"/>
  <c r="BO155" i="1"/>
  <c r="DO154" i="1"/>
  <c r="R154" i="1"/>
  <c r="Q154" i="1"/>
  <c r="DA154" i="1"/>
  <c r="W154" i="1"/>
  <c r="CZ154" i="1"/>
  <c r="O154" i="1"/>
  <c r="BP154" i="1"/>
  <c r="BO154" i="1"/>
  <c r="DO153" i="1"/>
  <c r="R153" i="1"/>
  <c r="Q153" i="1"/>
  <c r="DA153" i="1"/>
  <c r="W153" i="1"/>
  <c r="CZ153" i="1"/>
  <c r="O153" i="1"/>
  <c r="BP153" i="1"/>
  <c r="BO153" i="1"/>
  <c r="DO152" i="1"/>
  <c r="R152" i="1"/>
  <c r="Q152" i="1"/>
  <c r="DA152" i="1"/>
  <c r="W152" i="1"/>
  <c r="CZ152" i="1"/>
  <c r="O152" i="1"/>
  <c r="BP152" i="1"/>
  <c r="BO152" i="1"/>
  <c r="DO151" i="1"/>
  <c r="R151" i="1"/>
  <c r="Q151" i="1"/>
  <c r="DA151" i="1"/>
  <c r="W151" i="1"/>
  <c r="CZ151" i="1"/>
  <c r="O151" i="1"/>
  <c r="BP151" i="1"/>
  <c r="BO151" i="1"/>
  <c r="DO150" i="1"/>
  <c r="R150" i="1"/>
  <c r="Q150" i="1"/>
  <c r="DA150" i="1"/>
  <c r="W150" i="1"/>
  <c r="CZ150" i="1"/>
  <c r="O150" i="1"/>
  <c r="BP150" i="1"/>
  <c r="BO150" i="1"/>
  <c r="DO148" i="1"/>
  <c r="R148" i="1"/>
  <c r="Q148" i="1"/>
  <c r="DA148" i="1"/>
  <c r="W148" i="1"/>
  <c r="CZ148" i="1"/>
  <c r="O148" i="1"/>
  <c r="BP148" i="1"/>
  <c r="BO148" i="1"/>
  <c r="DO147" i="1"/>
  <c r="R147" i="1"/>
  <c r="Q147" i="1"/>
  <c r="DA147" i="1"/>
  <c r="W147" i="1"/>
  <c r="CZ147" i="1"/>
  <c r="O147" i="1"/>
  <c r="BP147" i="1"/>
  <c r="BO147" i="1"/>
  <c r="DO146" i="1"/>
  <c r="R146" i="1"/>
  <c r="Q146" i="1"/>
  <c r="DA146" i="1"/>
  <c r="W146" i="1"/>
  <c r="CZ146" i="1"/>
  <c r="O146" i="1"/>
  <c r="BP146" i="1"/>
  <c r="BO146" i="1"/>
  <c r="DO145" i="1"/>
  <c r="R145" i="1"/>
  <c r="Q145" i="1"/>
  <c r="DA145" i="1"/>
  <c r="W145" i="1"/>
  <c r="CZ145" i="1"/>
  <c r="O145" i="1"/>
  <c r="BP145" i="1"/>
  <c r="BO145" i="1"/>
  <c r="DO144" i="1"/>
  <c r="R144" i="1"/>
  <c r="Q144" i="1"/>
  <c r="DA144" i="1"/>
  <c r="W144" i="1"/>
  <c r="CZ144" i="1"/>
  <c r="O144" i="1"/>
  <c r="BP144" i="1"/>
  <c r="BO144" i="1"/>
  <c r="DO143" i="1"/>
  <c r="R143" i="1"/>
  <c r="Q143" i="1"/>
  <c r="DA143" i="1"/>
  <c r="W143" i="1"/>
  <c r="CZ143" i="1"/>
  <c r="O143" i="1"/>
  <c r="BP143" i="1"/>
  <c r="BO143" i="1"/>
  <c r="DO142" i="1"/>
  <c r="R142" i="1"/>
  <c r="Q142" i="1"/>
  <c r="DA142" i="1"/>
  <c r="W142" i="1"/>
  <c r="CZ142" i="1"/>
  <c r="O142" i="1"/>
  <c r="BP142" i="1"/>
  <c r="BO142" i="1"/>
  <c r="DO141" i="1"/>
  <c r="R141" i="1"/>
  <c r="Q141" i="1"/>
  <c r="DA141" i="1"/>
  <c r="W141" i="1"/>
  <c r="CZ141" i="1"/>
  <c r="O141" i="1"/>
  <c r="BP141" i="1"/>
  <c r="BO141" i="1"/>
  <c r="DO135" i="1"/>
  <c r="R135" i="1"/>
  <c r="Q135" i="1"/>
  <c r="DA135" i="1"/>
  <c r="W135" i="1"/>
  <c r="CZ135" i="1"/>
  <c r="O135" i="1"/>
  <c r="BP135" i="1"/>
  <c r="BO135" i="1"/>
  <c r="DO134" i="1"/>
  <c r="R134" i="1"/>
  <c r="Q134" i="1"/>
  <c r="DA134" i="1"/>
  <c r="W134" i="1"/>
  <c r="CZ134" i="1"/>
  <c r="O134" i="1"/>
  <c r="BP134" i="1"/>
  <c r="BO134" i="1"/>
  <c r="DO130" i="1"/>
  <c r="R130" i="1"/>
  <c r="Q130" i="1"/>
  <c r="DA130" i="1"/>
  <c r="W130" i="1"/>
  <c r="CZ130" i="1"/>
  <c r="O130" i="1"/>
  <c r="BP130" i="1"/>
  <c r="BO130" i="1"/>
  <c r="DO128" i="1"/>
  <c r="R128" i="1"/>
  <c r="Q128" i="1"/>
  <c r="DA128" i="1"/>
  <c r="W128" i="1"/>
  <c r="CZ128" i="1"/>
  <c r="O128" i="1"/>
  <c r="BP128" i="1"/>
  <c r="BO128" i="1"/>
  <c r="DO127" i="1"/>
  <c r="R127" i="1"/>
  <c r="Q127" i="1"/>
  <c r="DA127" i="1"/>
  <c r="W127" i="1"/>
  <c r="CZ127" i="1"/>
  <c r="O127" i="1"/>
  <c r="BP127" i="1"/>
  <c r="BO127" i="1"/>
  <c r="DO126" i="1"/>
  <c r="R126" i="1"/>
  <c r="Q126" i="1"/>
  <c r="DA126" i="1"/>
  <c r="W126" i="1"/>
  <c r="CZ126" i="1"/>
  <c r="O126" i="1"/>
  <c r="BP126" i="1"/>
  <c r="BO126" i="1"/>
  <c r="DO125" i="1"/>
  <c r="R125" i="1"/>
  <c r="Q125" i="1"/>
  <c r="DA125" i="1"/>
  <c r="W125" i="1"/>
  <c r="CZ125" i="1"/>
  <c r="O125" i="1"/>
  <c r="BP125" i="1"/>
  <c r="BO125" i="1"/>
  <c r="DO81" i="1"/>
  <c r="R81" i="1"/>
  <c r="Q81" i="1"/>
  <c r="DA81" i="1"/>
  <c r="W81" i="1"/>
  <c r="CZ81" i="1"/>
  <c r="O81" i="1"/>
  <c r="BP81" i="1"/>
  <c r="BO81" i="1"/>
  <c r="DO80" i="1"/>
  <c r="R80" i="1"/>
  <c r="Q80" i="1"/>
  <c r="DA80" i="1"/>
  <c r="W80" i="1"/>
  <c r="CZ80" i="1"/>
  <c r="O80" i="1"/>
  <c r="BP80" i="1"/>
  <c r="BO80" i="1"/>
  <c r="DO79" i="1"/>
  <c r="R79" i="1"/>
  <c r="Q79" i="1"/>
  <c r="DA79" i="1"/>
  <c r="W79" i="1"/>
  <c r="CZ79" i="1"/>
  <c r="O79" i="1"/>
  <c r="BP79" i="1"/>
  <c r="BO79" i="1"/>
  <c r="DO78" i="1"/>
  <c r="R78" i="1"/>
  <c r="Q78" i="1"/>
  <c r="DA78" i="1"/>
  <c r="W78" i="1"/>
  <c r="CZ78" i="1"/>
  <c r="O78" i="1"/>
  <c r="BP78" i="1"/>
  <c r="BO78" i="1"/>
  <c r="DO77" i="1"/>
  <c r="R77" i="1"/>
  <c r="Q77" i="1"/>
  <c r="DA77" i="1"/>
  <c r="W77" i="1"/>
  <c r="CZ77" i="1"/>
  <c r="O77" i="1"/>
  <c r="BP77" i="1"/>
  <c r="BO77" i="1"/>
  <c r="DO76" i="1"/>
  <c r="R76" i="1"/>
  <c r="Q76" i="1"/>
  <c r="DA76" i="1"/>
  <c r="W76" i="1"/>
  <c r="CZ76" i="1"/>
  <c r="O76" i="1"/>
  <c r="BP76" i="1"/>
  <c r="BO76" i="1"/>
  <c r="DO75" i="1"/>
  <c r="R75" i="1"/>
  <c r="Q75" i="1"/>
  <c r="DA75" i="1"/>
  <c r="W75" i="1"/>
  <c r="CZ75" i="1"/>
  <c r="O75" i="1"/>
  <c r="BP75" i="1"/>
  <c r="BO75" i="1"/>
  <c r="DO74" i="1"/>
  <c r="R74" i="1"/>
  <c r="Q74" i="1"/>
  <c r="DA74" i="1"/>
  <c r="W74" i="1"/>
  <c r="CZ74" i="1"/>
  <c r="O74" i="1"/>
  <c r="BP74" i="1"/>
  <c r="BO74" i="1"/>
  <c r="DO73" i="1"/>
  <c r="R73" i="1"/>
  <c r="Q73" i="1"/>
  <c r="DA73" i="1"/>
  <c r="W73" i="1"/>
  <c r="CZ73" i="1"/>
  <c r="O73" i="1"/>
  <c r="BP73" i="1"/>
  <c r="BO73" i="1"/>
  <c r="DO69" i="1"/>
  <c r="R69" i="1"/>
  <c r="Q69" i="1"/>
  <c r="DA69" i="1"/>
  <c r="W69" i="1"/>
  <c r="CZ69" i="1"/>
  <c r="O69" i="1"/>
  <c r="BP69" i="1"/>
  <c r="BO69" i="1"/>
  <c r="DO67" i="1"/>
  <c r="R67" i="1"/>
  <c r="Q67" i="1"/>
  <c r="DA67" i="1"/>
  <c r="W67" i="1"/>
  <c r="CZ67" i="1"/>
  <c r="O67" i="1"/>
  <c r="BP67" i="1"/>
  <c r="BO67" i="1"/>
  <c r="DO139" i="1"/>
  <c r="R139" i="1"/>
  <c r="Q139" i="1"/>
  <c r="DA139" i="1"/>
  <c r="W139" i="1"/>
  <c r="CZ139" i="1"/>
  <c r="O139" i="1"/>
  <c r="BP139" i="1"/>
  <c r="BO139" i="1"/>
  <c r="DO62" i="1"/>
  <c r="R62" i="1"/>
  <c r="Q62" i="1"/>
  <c r="DA62" i="1"/>
  <c r="W62" i="1"/>
  <c r="CZ62" i="1"/>
  <c r="O62" i="1"/>
  <c r="BP62" i="1"/>
  <c r="BO62" i="1"/>
  <c r="DO61" i="1"/>
  <c r="R61" i="1"/>
  <c r="Q61" i="1"/>
  <c r="DA61" i="1"/>
  <c r="W61" i="1"/>
  <c r="CZ61" i="1"/>
  <c r="O61" i="1"/>
  <c r="BP61" i="1"/>
  <c r="BO61" i="1"/>
  <c r="DO59" i="1"/>
  <c r="R59" i="1"/>
  <c r="Q59" i="1"/>
  <c r="DA59" i="1"/>
  <c r="W59" i="1"/>
  <c r="CZ59" i="1"/>
  <c r="O59" i="1"/>
  <c r="BP59" i="1"/>
  <c r="BO59" i="1"/>
  <c r="DO58" i="1"/>
  <c r="R58" i="1"/>
  <c r="Q58" i="1"/>
  <c r="DA58" i="1"/>
  <c r="W58" i="1"/>
  <c r="CZ58" i="1"/>
  <c r="O58" i="1"/>
  <c r="BP58" i="1"/>
  <c r="BO58" i="1"/>
  <c r="DO1489" i="1"/>
  <c r="R1489" i="1"/>
  <c r="Q1489" i="1"/>
  <c r="DA1489" i="1"/>
  <c r="W1489" i="1"/>
  <c r="CZ1489" i="1"/>
  <c r="O1489" i="1"/>
  <c r="BP1489" i="1"/>
  <c r="BO1489" i="1"/>
  <c r="DO51" i="1"/>
  <c r="R51" i="1"/>
  <c r="Q51" i="1"/>
  <c r="DA51" i="1"/>
  <c r="W51" i="1"/>
  <c r="CZ51" i="1"/>
  <c r="O51" i="1"/>
  <c r="BP51" i="1"/>
  <c r="BO51" i="1"/>
  <c r="DO50" i="1"/>
  <c r="R50" i="1"/>
  <c r="Q50" i="1"/>
  <c r="DA50" i="1"/>
  <c r="W50" i="1"/>
  <c r="CZ50" i="1"/>
  <c r="O50" i="1"/>
  <c r="BP50" i="1"/>
  <c r="BO50" i="1"/>
  <c r="DO43" i="1"/>
  <c r="R43" i="1"/>
  <c r="Q43" i="1"/>
  <c r="DA43" i="1"/>
  <c r="W43" i="1"/>
  <c r="CZ43" i="1"/>
  <c r="O43" i="1"/>
  <c r="BP43" i="1"/>
  <c r="BO43" i="1"/>
  <c r="DO42" i="1"/>
  <c r="R42" i="1"/>
  <c r="Q42" i="1"/>
  <c r="DA42" i="1"/>
  <c r="W42" i="1"/>
  <c r="CZ42" i="1"/>
  <c r="O42" i="1"/>
  <c r="BP42" i="1"/>
  <c r="BO42" i="1"/>
  <c r="DO137" i="1"/>
  <c r="R137" i="1"/>
  <c r="Q137" i="1"/>
  <c r="DA137" i="1"/>
  <c r="W137" i="1"/>
  <c r="CZ137" i="1"/>
  <c r="O137" i="1"/>
  <c r="BP137" i="1"/>
  <c r="BO137" i="1"/>
  <c r="DO120" i="1"/>
  <c r="R120" i="1"/>
  <c r="Q120" i="1"/>
  <c r="DA120" i="1"/>
  <c r="W120" i="1"/>
  <c r="CZ120" i="1"/>
  <c r="O120" i="1"/>
  <c r="BP120" i="1"/>
  <c r="BO120" i="1"/>
  <c r="DO119" i="1"/>
  <c r="R119" i="1"/>
  <c r="Q119" i="1"/>
  <c r="DA119" i="1"/>
  <c r="W119" i="1"/>
  <c r="CZ119" i="1"/>
  <c r="O119" i="1"/>
  <c r="BP119" i="1"/>
  <c r="BO119" i="1"/>
  <c r="DO118" i="1"/>
  <c r="R118" i="1"/>
  <c r="Q118" i="1"/>
  <c r="DA118" i="1"/>
  <c r="W118" i="1"/>
  <c r="CZ118" i="1"/>
  <c r="O118" i="1"/>
  <c r="BP118" i="1"/>
  <c r="BO118" i="1"/>
  <c r="DO117" i="1"/>
  <c r="R117" i="1"/>
  <c r="Q117" i="1"/>
  <c r="DA117" i="1"/>
  <c r="W117" i="1"/>
  <c r="CZ117" i="1"/>
  <c r="O117" i="1"/>
  <c r="BP117" i="1"/>
  <c r="BO117" i="1"/>
  <c r="DO300" i="1"/>
  <c r="DG300" i="1"/>
  <c r="R300" i="1"/>
  <c r="Q300" i="1"/>
  <c r="DA300" i="1"/>
  <c r="V300" i="1"/>
  <c r="W300" i="1"/>
  <c r="CZ300" i="1"/>
  <c r="O300" i="1"/>
  <c r="CY300" i="1"/>
  <c r="BP300" i="1"/>
  <c r="BO300" i="1"/>
  <c r="DO115" i="1"/>
  <c r="R115" i="1"/>
  <c r="Q115" i="1"/>
  <c r="DA115" i="1"/>
  <c r="W115" i="1"/>
  <c r="CZ115" i="1"/>
  <c r="O115" i="1"/>
  <c r="BP115" i="1"/>
  <c r="BO115" i="1"/>
  <c r="DO113" i="1"/>
  <c r="R113" i="1"/>
  <c r="Q113" i="1"/>
  <c r="DA113" i="1"/>
  <c r="W113" i="1"/>
  <c r="CZ113" i="1"/>
  <c r="O113" i="1"/>
  <c r="BP113" i="1"/>
  <c r="BO113" i="1"/>
  <c r="DO112" i="1"/>
  <c r="R112" i="1"/>
  <c r="Q112" i="1"/>
  <c r="DA112" i="1"/>
  <c r="W112" i="1"/>
  <c r="CZ112" i="1"/>
  <c r="O112" i="1"/>
  <c r="BP112" i="1"/>
  <c r="BO112" i="1"/>
  <c r="DO111" i="1"/>
  <c r="R111" i="1"/>
  <c r="Q111" i="1"/>
  <c r="DA111" i="1"/>
  <c r="W111" i="1"/>
  <c r="CZ111" i="1"/>
  <c r="O111" i="1"/>
  <c r="BP111" i="1"/>
  <c r="BO111" i="1"/>
  <c r="DO110" i="1"/>
  <c r="R110" i="1"/>
  <c r="Q110" i="1"/>
  <c r="DA110" i="1"/>
  <c r="W110" i="1"/>
  <c r="CZ110" i="1"/>
  <c r="O110" i="1"/>
  <c r="BP110" i="1"/>
  <c r="BO110" i="1"/>
  <c r="DO279" i="1"/>
  <c r="DG279" i="1"/>
  <c r="R279" i="1"/>
  <c r="Q279" i="1"/>
  <c r="DA279" i="1"/>
  <c r="V279" i="1"/>
  <c r="W279" i="1"/>
  <c r="CZ279" i="1"/>
  <c r="O279" i="1"/>
  <c r="CY279" i="1"/>
  <c r="BP279" i="1"/>
  <c r="BO279" i="1"/>
  <c r="DO1050" i="1"/>
  <c r="R1050" i="1"/>
  <c r="Q1050" i="1"/>
  <c r="DA1050" i="1"/>
  <c r="W1050" i="1"/>
  <c r="CZ1050" i="1"/>
  <c r="O1050" i="1"/>
  <c r="BP1050" i="1"/>
  <c r="BO1050" i="1"/>
  <c r="DO101" i="1"/>
  <c r="R101" i="1"/>
  <c r="Q101" i="1"/>
  <c r="DA101" i="1"/>
  <c r="W101" i="1"/>
  <c r="CZ101" i="1"/>
  <c r="O101" i="1"/>
  <c r="BP101" i="1"/>
  <c r="BO101" i="1"/>
  <c r="DO160" i="1"/>
  <c r="R160" i="1"/>
  <c r="Q160" i="1"/>
  <c r="DA160" i="1"/>
  <c r="W160" i="1"/>
  <c r="CZ160" i="1"/>
  <c r="O160" i="1"/>
  <c r="BP160" i="1"/>
  <c r="BO160" i="1"/>
  <c r="DO161" i="1"/>
  <c r="R161" i="1"/>
  <c r="Q161" i="1"/>
  <c r="DA161" i="1"/>
  <c r="W161" i="1"/>
  <c r="CZ161" i="1"/>
  <c r="O161" i="1"/>
  <c r="BP161" i="1"/>
  <c r="BO161" i="1"/>
  <c r="DO491" i="1"/>
  <c r="R491" i="1"/>
  <c r="Q491" i="1"/>
  <c r="DA491" i="1"/>
  <c r="W491" i="1"/>
  <c r="CZ491" i="1"/>
  <c r="O491" i="1"/>
  <c r="BP491" i="1"/>
  <c r="BO491" i="1"/>
  <c r="DO106" i="1"/>
  <c r="R106" i="1"/>
  <c r="Q106" i="1"/>
  <c r="DA106" i="1"/>
  <c r="W106" i="1"/>
  <c r="CZ106" i="1"/>
  <c r="O106" i="1"/>
  <c r="BP106" i="1"/>
  <c r="BO106" i="1"/>
  <c r="DO109" i="1"/>
  <c r="R109" i="1"/>
  <c r="Q109" i="1"/>
  <c r="DA109" i="1"/>
  <c r="W109" i="1"/>
  <c r="CZ109" i="1"/>
  <c r="O109" i="1"/>
  <c r="BP109" i="1"/>
  <c r="BO109" i="1"/>
  <c r="DO1089" i="1"/>
  <c r="R1089" i="1"/>
  <c r="Q1089" i="1"/>
  <c r="DA1089" i="1"/>
  <c r="W1089" i="1"/>
  <c r="CZ1089" i="1"/>
  <c r="O1089" i="1"/>
  <c r="BP1089" i="1"/>
  <c r="BO1089" i="1"/>
  <c r="DO93" i="1"/>
  <c r="R93" i="1"/>
  <c r="Q93" i="1"/>
  <c r="DA93" i="1"/>
  <c r="W93" i="1"/>
  <c r="CZ93" i="1"/>
  <c r="O93" i="1"/>
  <c r="BP93" i="1"/>
  <c r="BO93" i="1"/>
  <c r="DO203" i="1"/>
  <c r="R203" i="1"/>
  <c r="Q203" i="1"/>
  <c r="DA203" i="1"/>
  <c r="W203" i="1"/>
  <c r="CZ203" i="1"/>
  <c r="O203" i="1"/>
  <c r="BP203" i="1"/>
  <c r="BO203" i="1"/>
  <c r="DO253" i="1"/>
  <c r="DG253" i="1"/>
  <c r="R253" i="1"/>
  <c r="Q253" i="1"/>
  <c r="DA253" i="1"/>
  <c r="V253" i="1"/>
  <c r="W253" i="1"/>
  <c r="CZ253" i="1"/>
  <c r="O253" i="1"/>
  <c r="CY253" i="1"/>
  <c r="BP253" i="1"/>
  <c r="BO253" i="1"/>
  <c r="DO252" i="1"/>
  <c r="DG252" i="1"/>
  <c r="R252" i="1"/>
  <c r="Q252" i="1"/>
  <c r="DA252" i="1"/>
  <c r="V252" i="1"/>
  <c r="W252" i="1"/>
  <c r="CZ252" i="1"/>
  <c r="O252" i="1"/>
  <c r="CY252" i="1"/>
  <c r="BP252" i="1"/>
  <c r="BO252" i="1"/>
  <c r="DO107" i="1"/>
  <c r="R107" i="1"/>
  <c r="Q107" i="1"/>
  <c r="DA107" i="1"/>
  <c r="W107" i="1"/>
  <c r="CZ107" i="1"/>
  <c r="O107" i="1"/>
  <c r="BP107" i="1"/>
  <c r="BO107" i="1"/>
  <c r="DO235" i="1"/>
  <c r="DG235" i="1"/>
  <c r="R235" i="1"/>
  <c r="Q235" i="1"/>
  <c r="DA235" i="1"/>
  <c r="V235" i="1"/>
  <c r="W235" i="1"/>
  <c r="CZ235" i="1"/>
  <c r="O235" i="1"/>
  <c r="CY235" i="1"/>
  <c r="BP235" i="1"/>
  <c r="BO235" i="1"/>
  <c r="DO1103" i="1"/>
  <c r="R1103" i="1"/>
  <c r="Q1103" i="1"/>
  <c r="DA1103" i="1"/>
  <c r="W1103" i="1"/>
  <c r="CZ1103" i="1"/>
  <c r="O1103" i="1"/>
  <c r="BP1103" i="1"/>
  <c r="BO1103" i="1"/>
  <c r="DO234" i="1"/>
  <c r="DG234" i="1"/>
  <c r="R234" i="1"/>
  <c r="Q234" i="1"/>
  <c r="DA234" i="1"/>
  <c r="V234" i="1"/>
  <c r="W234" i="1"/>
  <c r="CZ234" i="1"/>
  <c r="O234" i="1"/>
  <c r="CY234" i="1"/>
  <c r="BP234" i="1"/>
  <c r="BO234" i="1"/>
  <c r="DO556" i="1"/>
  <c r="R556" i="1"/>
  <c r="Q556" i="1"/>
  <c r="DA556" i="1"/>
  <c r="W556" i="1"/>
  <c r="CZ556" i="1"/>
  <c r="O556" i="1"/>
  <c r="BP556" i="1"/>
  <c r="BO556" i="1"/>
  <c r="DO232" i="1"/>
  <c r="DG232" i="1"/>
  <c r="R232" i="1"/>
  <c r="Q232" i="1"/>
  <c r="DA232" i="1"/>
  <c r="V232" i="1"/>
  <c r="W232" i="1"/>
  <c r="CZ232" i="1"/>
  <c r="O232" i="1"/>
  <c r="CY232" i="1"/>
  <c r="BP232" i="1"/>
  <c r="BO232" i="1"/>
  <c r="DO231" i="1"/>
  <c r="DG231" i="1"/>
  <c r="R231" i="1"/>
  <c r="Q231" i="1"/>
  <c r="DA231" i="1"/>
  <c r="V231" i="1"/>
  <c r="W231" i="1"/>
  <c r="CZ231" i="1"/>
  <c r="O231" i="1"/>
  <c r="CY231" i="1"/>
  <c r="BP231" i="1"/>
  <c r="BO231" i="1"/>
  <c r="DO204" i="1"/>
  <c r="R204" i="1"/>
  <c r="Q204" i="1"/>
  <c r="DA204" i="1"/>
  <c r="W204" i="1"/>
  <c r="CZ204" i="1"/>
  <c r="O204" i="1"/>
  <c r="BP204" i="1"/>
  <c r="BO204" i="1"/>
  <c r="DO230" i="1"/>
  <c r="DG230" i="1"/>
  <c r="R230" i="1"/>
  <c r="Q230" i="1"/>
  <c r="DA230" i="1"/>
  <c r="V230" i="1"/>
  <c r="W230" i="1"/>
  <c r="CZ230" i="1"/>
  <c r="O230" i="1"/>
  <c r="CY230" i="1"/>
  <c r="BP230" i="1"/>
  <c r="BO230" i="1"/>
  <c r="DO229" i="1"/>
  <c r="DG229" i="1"/>
  <c r="R229" i="1"/>
  <c r="Q229" i="1"/>
  <c r="DA229" i="1"/>
  <c r="V229" i="1"/>
  <c r="W229" i="1"/>
  <c r="CZ229" i="1"/>
  <c r="O229" i="1"/>
  <c r="CY229" i="1"/>
  <c r="BP229" i="1"/>
  <c r="BO229" i="1"/>
  <c r="DO1474" i="1"/>
  <c r="R1474" i="1"/>
  <c r="Q1474" i="1"/>
  <c r="DA1474" i="1"/>
  <c r="W1474" i="1"/>
  <c r="CZ1474" i="1"/>
  <c r="O1474" i="1"/>
  <c r="BP1474" i="1"/>
  <c r="BO1474" i="1"/>
  <c r="DO1107" i="1"/>
  <c r="R1107" i="1"/>
  <c r="Q1107" i="1"/>
  <c r="DA1107" i="1"/>
  <c r="W1107" i="1"/>
  <c r="CZ1107" i="1"/>
  <c r="O1107" i="1"/>
  <c r="BP1107" i="1"/>
  <c r="BO1107" i="1"/>
  <c r="DO228" i="1"/>
  <c r="DG228" i="1"/>
  <c r="R228" i="1"/>
  <c r="Q228" i="1"/>
  <c r="DA228" i="1"/>
  <c r="V228" i="1"/>
  <c r="W228" i="1"/>
  <c r="CZ228" i="1"/>
  <c r="O228" i="1"/>
  <c r="CY228" i="1"/>
  <c r="BP228" i="1"/>
  <c r="BO228" i="1"/>
  <c r="DO227" i="1"/>
  <c r="DG227" i="1"/>
  <c r="R227" i="1"/>
  <c r="Q227" i="1"/>
  <c r="DA227" i="1"/>
  <c r="V227" i="1"/>
  <c r="W227" i="1"/>
  <c r="CZ227" i="1"/>
  <c r="O227" i="1"/>
  <c r="CY227" i="1"/>
  <c r="BP227" i="1"/>
  <c r="BO227" i="1"/>
  <c r="DO226" i="1"/>
  <c r="DG226" i="1"/>
  <c r="R226" i="1"/>
  <c r="Q226" i="1"/>
  <c r="DA226" i="1"/>
  <c r="V226" i="1"/>
  <c r="W226" i="1"/>
  <c r="CZ226" i="1"/>
  <c r="O226" i="1"/>
  <c r="CY226" i="1"/>
  <c r="BP226" i="1"/>
  <c r="BO226" i="1"/>
  <c r="DO1264" i="1"/>
  <c r="R1264" i="1"/>
  <c r="Q1264" i="1"/>
  <c r="DA1264" i="1"/>
  <c r="W1264" i="1"/>
  <c r="CZ1264" i="1"/>
  <c r="O1264" i="1"/>
  <c r="BP1264" i="1"/>
  <c r="BO1264" i="1"/>
  <c r="DO435" i="1"/>
  <c r="R435" i="1"/>
  <c r="Q435" i="1"/>
  <c r="DA435" i="1"/>
  <c r="W435" i="1"/>
  <c r="CZ435" i="1"/>
  <c r="O435" i="1"/>
  <c r="BP435" i="1"/>
  <c r="BO435" i="1"/>
  <c r="DO94" i="1"/>
  <c r="R94" i="1"/>
  <c r="Q94" i="1"/>
  <c r="DA94" i="1"/>
  <c r="W94" i="1"/>
  <c r="CZ94" i="1"/>
  <c r="O94" i="1"/>
  <c r="BP94" i="1"/>
  <c r="BO94" i="1"/>
  <c r="DO225" i="1"/>
  <c r="DG225" i="1"/>
  <c r="R225" i="1"/>
  <c r="Q225" i="1"/>
  <c r="DA225" i="1"/>
  <c r="V225" i="1"/>
  <c r="W225" i="1"/>
  <c r="CZ225" i="1"/>
  <c r="O225" i="1"/>
  <c r="CY225" i="1"/>
  <c r="BP225" i="1"/>
  <c r="BO225" i="1"/>
  <c r="DO224" i="1"/>
  <c r="DG224" i="1"/>
  <c r="R224" i="1"/>
  <c r="Q224" i="1"/>
  <c r="DA224" i="1"/>
  <c r="V224" i="1"/>
  <c r="W224" i="1"/>
  <c r="CZ224" i="1"/>
  <c r="O224" i="1"/>
  <c r="CY224" i="1"/>
  <c r="BP224" i="1"/>
  <c r="BO224" i="1"/>
  <c r="DO1155" i="1"/>
  <c r="R1155" i="1"/>
  <c r="Q1155" i="1"/>
  <c r="DA1155" i="1"/>
  <c r="W1155" i="1"/>
  <c r="CZ1155" i="1"/>
  <c r="O1155" i="1"/>
  <c r="BP1155" i="1"/>
  <c r="BO1155" i="1"/>
  <c r="DO1258" i="1"/>
  <c r="R1258" i="1"/>
  <c r="Q1258" i="1"/>
  <c r="DA1258" i="1"/>
  <c r="W1258" i="1"/>
  <c r="CZ1258" i="1"/>
  <c r="O1258" i="1"/>
  <c r="BP1258" i="1"/>
  <c r="BO1258" i="1"/>
  <c r="DO223" i="1"/>
  <c r="DG223" i="1"/>
  <c r="R223" i="1"/>
  <c r="Q223" i="1"/>
  <c r="DA223" i="1"/>
  <c r="V223" i="1"/>
  <c r="W223" i="1"/>
  <c r="CZ223" i="1"/>
  <c r="O223" i="1"/>
  <c r="CY223" i="1"/>
  <c r="BP223" i="1"/>
  <c r="BO223" i="1"/>
  <c r="DO1437" i="1"/>
  <c r="R1437" i="1"/>
  <c r="Q1437" i="1"/>
  <c r="DA1437" i="1"/>
  <c r="W1437" i="1"/>
  <c r="CZ1437" i="1"/>
  <c r="O1437" i="1"/>
  <c r="BP1437" i="1"/>
  <c r="BO1437" i="1"/>
  <c r="DO1475" i="1"/>
  <c r="R1475" i="1"/>
  <c r="Q1475" i="1"/>
  <c r="DA1475" i="1"/>
  <c r="W1475" i="1"/>
  <c r="CZ1475" i="1"/>
  <c r="O1475" i="1"/>
  <c r="BP1475" i="1"/>
  <c r="BO1475" i="1"/>
  <c r="DO1368" i="1"/>
  <c r="R1368" i="1"/>
  <c r="Q1368" i="1"/>
  <c r="DA1368" i="1"/>
  <c r="W1368" i="1"/>
  <c r="CZ1368" i="1"/>
  <c r="O1368" i="1"/>
  <c r="BP1368" i="1"/>
  <c r="BO1368" i="1"/>
  <c r="DO222" i="1"/>
  <c r="DG222" i="1"/>
  <c r="R222" i="1"/>
  <c r="Q222" i="1"/>
  <c r="DA222" i="1"/>
  <c r="V222" i="1"/>
  <c r="W222" i="1"/>
  <c r="CZ222" i="1"/>
  <c r="O222" i="1"/>
  <c r="CY222" i="1"/>
  <c r="BP222" i="1"/>
  <c r="BO222" i="1"/>
  <c r="DO95" i="1"/>
  <c r="R95" i="1"/>
  <c r="Q95" i="1"/>
  <c r="DA95" i="1"/>
  <c r="W95" i="1"/>
  <c r="CZ95" i="1"/>
  <c r="O95" i="1"/>
  <c r="BP95" i="1"/>
  <c r="BO95" i="1"/>
  <c r="DO221" i="1"/>
  <c r="DG221" i="1"/>
  <c r="R221" i="1"/>
  <c r="Q221" i="1"/>
  <c r="DA221" i="1"/>
  <c r="V221" i="1"/>
  <c r="W221" i="1"/>
  <c r="CZ221" i="1"/>
  <c r="O221" i="1"/>
  <c r="CY221" i="1"/>
  <c r="BP221" i="1"/>
  <c r="BO221" i="1"/>
  <c r="DO1273" i="1"/>
  <c r="R1273" i="1"/>
  <c r="Q1273" i="1"/>
  <c r="DA1273" i="1"/>
  <c r="W1273" i="1"/>
  <c r="CZ1273" i="1"/>
  <c r="O1273" i="1"/>
  <c r="BP1273" i="1"/>
  <c r="BO1273" i="1"/>
  <c r="DO220" i="1"/>
  <c r="DG220" i="1"/>
  <c r="R220" i="1"/>
  <c r="Q220" i="1"/>
  <c r="DA220" i="1"/>
  <c r="V220" i="1"/>
  <c r="W220" i="1"/>
  <c r="CZ220" i="1"/>
  <c r="O220" i="1"/>
  <c r="CY220" i="1"/>
  <c r="BP220" i="1"/>
  <c r="BO220" i="1"/>
  <c r="DO219" i="1"/>
  <c r="DG219" i="1"/>
  <c r="R219" i="1"/>
  <c r="Q219" i="1"/>
  <c r="DA219" i="1"/>
  <c r="V219" i="1"/>
  <c r="W219" i="1"/>
  <c r="CZ219" i="1"/>
  <c r="O219" i="1"/>
  <c r="CY219" i="1"/>
  <c r="BP219" i="1"/>
  <c r="BO219" i="1"/>
  <c r="DO218" i="1"/>
  <c r="DG218" i="1"/>
  <c r="R218" i="1"/>
  <c r="Q218" i="1"/>
  <c r="DA218" i="1"/>
  <c r="V218" i="1"/>
  <c r="W218" i="1"/>
  <c r="CZ218" i="1"/>
  <c r="O218" i="1"/>
  <c r="CY218" i="1"/>
  <c r="BP218" i="1"/>
  <c r="BO218" i="1"/>
  <c r="DO217" i="1"/>
  <c r="DG217" i="1"/>
  <c r="R217" i="1"/>
  <c r="Q217" i="1"/>
  <c r="DA217" i="1"/>
  <c r="V217" i="1"/>
  <c r="W217" i="1"/>
  <c r="CZ217" i="1"/>
  <c r="O217" i="1"/>
  <c r="CY217" i="1"/>
  <c r="BP217" i="1"/>
  <c r="BO217" i="1"/>
  <c r="DO216" i="1"/>
  <c r="DG216" i="1"/>
  <c r="R216" i="1"/>
  <c r="Q216" i="1"/>
  <c r="DA216" i="1"/>
  <c r="V216" i="1"/>
  <c r="W216" i="1"/>
  <c r="CZ216" i="1"/>
  <c r="O216" i="1"/>
  <c r="CY216" i="1"/>
  <c r="BP216" i="1"/>
  <c r="BO216" i="1"/>
  <c r="DO215" i="1"/>
  <c r="DG215" i="1"/>
  <c r="R215" i="1"/>
  <c r="Q215" i="1"/>
  <c r="DA215" i="1"/>
  <c r="V215" i="1"/>
  <c r="W215" i="1"/>
  <c r="CZ215" i="1"/>
  <c r="O215" i="1"/>
  <c r="CY215" i="1"/>
  <c r="BP215" i="1"/>
  <c r="BO215" i="1"/>
  <c r="DO1300" i="1"/>
  <c r="R1300" i="1"/>
  <c r="Q1300" i="1"/>
  <c r="DA1300" i="1"/>
  <c r="W1300" i="1"/>
  <c r="CZ1300" i="1"/>
  <c r="O1300" i="1"/>
  <c r="BP1300" i="1"/>
  <c r="BO1300" i="1"/>
  <c r="DO1333" i="1"/>
  <c r="R1333" i="1"/>
  <c r="Q1333" i="1"/>
  <c r="DA1333" i="1"/>
  <c r="W1333" i="1"/>
  <c r="CZ1333" i="1"/>
  <c r="O1333" i="1"/>
  <c r="BP1333" i="1"/>
  <c r="BO1333" i="1"/>
  <c r="DO214" i="1"/>
  <c r="DG214" i="1"/>
  <c r="R214" i="1"/>
  <c r="Q214" i="1"/>
  <c r="DA214" i="1"/>
  <c r="V214" i="1"/>
  <c r="W214" i="1"/>
  <c r="CZ214" i="1"/>
  <c r="O214" i="1"/>
  <c r="CY214" i="1"/>
  <c r="BP214" i="1"/>
  <c r="BO214" i="1"/>
  <c r="DO213" i="1"/>
  <c r="DG213" i="1"/>
  <c r="R213" i="1"/>
  <c r="Q213" i="1"/>
  <c r="DA213" i="1"/>
  <c r="V213" i="1"/>
  <c r="W213" i="1"/>
  <c r="CZ213" i="1"/>
  <c r="O213" i="1"/>
  <c r="CY213" i="1"/>
  <c r="BP213" i="1"/>
  <c r="BO213" i="1"/>
  <c r="DO212" i="1"/>
  <c r="DG212" i="1"/>
  <c r="R212" i="1"/>
  <c r="Q212" i="1"/>
  <c r="DA212" i="1"/>
  <c r="V212" i="1"/>
  <c r="W212" i="1"/>
  <c r="CZ212" i="1"/>
  <c r="O212" i="1"/>
  <c r="CY212" i="1"/>
  <c r="BP212" i="1"/>
  <c r="BO212" i="1"/>
  <c r="DO1346" i="1"/>
  <c r="R1346" i="1"/>
  <c r="Q1346" i="1"/>
  <c r="DA1346" i="1"/>
  <c r="W1346" i="1"/>
  <c r="CZ1346" i="1"/>
  <c r="O1346" i="1"/>
  <c r="BP1346" i="1"/>
  <c r="BO1346" i="1"/>
  <c r="DO1347" i="1"/>
  <c r="R1347" i="1"/>
  <c r="Q1347" i="1"/>
  <c r="DA1347" i="1"/>
  <c r="W1347" i="1"/>
  <c r="CZ1347" i="1"/>
  <c r="O1347" i="1"/>
  <c r="BP1347" i="1"/>
  <c r="BO1347" i="1"/>
  <c r="DG211" i="1"/>
  <c r="R211" i="1"/>
  <c r="Q211" i="1"/>
  <c r="DA211" i="1"/>
  <c r="V211" i="1"/>
  <c r="W211" i="1"/>
  <c r="CZ211" i="1"/>
  <c r="O211" i="1"/>
  <c r="CY211" i="1"/>
  <c r="BP211" i="1"/>
  <c r="DO186" i="1"/>
  <c r="DG186" i="1"/>
  <c r="R186" i="1"/>
  <c r="Q186" i="1"/>
  <c r="DA186" i="1"/>
  <c r="V186" i="1"/>
  <c r="W186" i="1"/>
  <c r="CZ186" i="1"/>
  <c r="O186" i="1"/>
  <c r="CY186" i="1"/>
  <c r="BP186" i="1"/>
  <c r="BO186" i="1"/>
  <c r="DO96" i="1"/>
  <c r="R96" i="1"/>
  <c r="Q96" i="1"/>
  <c r="DA96" i="1"/>
  <c r="W96" i="1"/>
  <c r="CZ96" i="1"/>
  <c r="O96" i="1"/>
  <c r="BP96" i="1"/>
  <c r="BO96" i="1"/>
  <c r="DO175" i="1"/>
  <c r="DG175" i="1"/>
  <c r="R175" i="1"/>
  <c r="Q175" i="1"/>
  <c r="DA175" i="1"/>
  <c r="V175" i="1"/>
  <c r="W175" i="1"/>
  <c r="CZ175" i="1"/>
  <c r="O175" i="1"/>
  <c r="CY175" i="1"/>
  <c r="BP175" i="1"/>
  <c r="BO175" i="1"/>
  <c r="DO174" i="1"/>
  <c r="DG174" i="1"/>
  <c r="R174" i="1"/>
  <c r="Q174" i="1"/>
  <c r="DA174" i="1"/>
  <c r="V174" i="1"/>
  <c r="W174" i="1"/>
  <c r="CZ174" i="1"/>
  <c r="O174" i="1"/>
  <c r="CY174" i="1"/>
  <c r="BP174" i="1"/>
  <c r="BO174" i="1"/>
  <c r="DG171" i="1"/>
  <c r="R171" i="1"/>
  <c r="Q171" i="1"/>
  <c r="DA171" i="1"/>
  <c r="V171" i="1"/>
  <c r="W171" i="1"/>
  <c r="CZ171" i="1"/>
  <c r="O171" i="1"/>
  <c r="CY171" i="1"/>
  <c r="BP171" i="1"/>
  <c r="DO168" i="1"/>
  <c r="DG168" i="1"/>
  <c r="R168" i="1"/>
  <c r="Q168" i="1"/>
  <c r="DA168" i="1"/>
  <c r="V168" i="1"/>
  <c r="W168" i="1"/>
  <c r="CZ168" i="1"/>
  <c r="O168" i="1"/>
  <c r="CY168" i="1"/>
  <c r="BP168" i="1"/>
  <c r="BO168" i="1"/>
  <c r="DO1359" i="1"/>
  <c r="R1359" i="1"/>
  <c r="Q1359" i="1"/>
  <c r="DA1359" i="1"/>
  <c r="W1359" i="1"/>
  <c r="CZ1359" i="1"/>
  <c r="O1359" i="1"/>
  <c r="BP1359" i="1"/>
  <c r="BO1359" i="1"/>
  <c r="DO167" i="1"/>
  <c r="DG167" i="1"/>
  <c r="R167" i="1"/>
  <c r="Q167" i="1"/>
  <c r="DA167" i="1"/>
  <c r="V167" i="1"/>
  <c r="W167" i="1"/>
  <c r="CZ167" i="1"/>
  <c r="O167" i="1"/>
  <c r="CY167" i="1"/>
  <c r="BP167" i="1"/>
  <c r="BO167" i="1"/>
  <c r="DO166" i="1"/>
  <c r="DG166" i="1"/>
  <c r="R166" i="1"/>
  <c r="Q166" i="1"/>
  <c r="DA166" i="1"/>
  <c r="V166" i="1"/>
  <c r="W166" i="1"/>
  <c r="CZ166" i="1"/>
  <c r="O166" i="1"/>
  <c r="CY166" i="1"/>
  <c r="BP166" i="1"/>
  <c r="BO166" i="1"/>
  <c r="DO165" i="1"/>
  <c r="DG165" i="1"/>
  <c r="R165" i="1"/>
  <c r="Q165" i="1"/>
  <c r="DA165" i="1"/>
  <c r="V165" i="1"/>
  <c r="W165" i="1"/>
  <c r="CZ165" i="1"/>
  <c r="O165" i="1"/>
  <c r="CY165" i="1"/>
  <c r="BP165" i="1"/>
  <c r="BO165" i="1"/>
  <c r="DG157" i="1"/>
  <c r="R157" i="1"/>
  <c r="Q157" i="1"/>
  <c r="DA157" i="1"/>
  <c r="V157" i="1"/>
  <c r="W157" i="1"/>
  <c r="CZ157" i="1"/>
  <c r="O157" i="1"/>
  <c r="CY157" i="1"/>
  <c r="BP157" i="1"/>
  <c r="DO108" i="1"/>
  <c r="R108" i="1"/>
  <c r="Q108" i="1"/>
  <c r="DA108" i="1"/>
  <c r="W108" i="1"/>
  <c r="CZ108" i="1"/>
  <c r="O108" i="1"/>
  <c r="BP108" i="1"/>
  <c r="BO108" i="1"/>
  <c r="DO1375" i="1"/>
  <c r="R1375" i="1"/>
  <c r="Q1375" i="1"/>
  <c r="DA1375" i="1"/>
  <c r="W1375" i="1"/>
  <c r="CZ1375" i="1"/>
  <c r="O1375" i="1"/>
  <c r="BP1375" i="1"/>
  <c r="BO1375" i="1"/>
  <c r="DO1024" i="1"/>
  <c r="R1024" i="1"/>
  <c r="Q1024" i="1"/>
  <c r="DA1024" i="1"/>
  <c r="W1024" i="1"/>
  <c r="CZ1024" i="1"/>
  <c r="O1024" i="1"/>
  <c r="BP1024" i="1"/>
  <c r="BO1024" i="1"/>
  <c r="DG140" i="1"/>
  <c r="R140" i="1"/>
  <c r="Q140" i="1"/>
  <c r="DA140" i="1"/>
  <c r="V140" i="1"/>
  <c r="W140" i="1"/>
  <c r="CZ140" i="1"/>
  <c r="O140" i="1"/>
  <c r="CY140" i="1"/>
  <c r="BP140" i="1"/>
  <c r="DO1401" i="1"/>
  <c r="R1401" i="1"/>
  <c r="Q1401" i="1"/>
  <c r="DA1401" i="1"/>
  <c r="W1401" i="1"/>
  <c r="CZ1401" i="1"/>
  <c r="O1401" i="1"/>
  <c r="BP1401" i="1"/>
  <c r="BO1401" i="1"/>
  <c r="DO138" i="1"/>
  <c r="DG138" i="1"/>
  <c r="R138" i="1"/>
  <c r="Q138" i="1"/>
  <c r="DA138" i="1"/>
  <c r="V138" i="1"/>
  <c r="W138" i="1"/>
  <c r="CZ138" i="1"/>
  <c r="O138" i="1"/>
  <c r="CY138" i="1"/>
  <c r="BP138" i="1"/>
  <c r="BO138" i="1"/>
  <c r="DO1405" i="1"/>
  <c r="R1405" i="1"/>
  <c r="Q1405" i="1"/>
  <c r="DA1405" i="1"/>
  <c r="W1405" i="1"/>
  <c r="CZ1405" i="1"/>
  <c r="O1405" i="1"/>
  <c r="BP1405" i="1"/>
  <c r="BO1405" i="1"/>
  <c r="DO136" i="1"/>
  <c r="DG136" i="1"/>
  <c r="R136" i="1"/>
  <c r="Q136" i="1"/>
  <c r="DA136" i="1"/>
  <c r="V136" i="1"/>
  <c r="W136" i="1"/>
  <c r="CZ136" i="1"/>
  <c r="O136" i="1"/>
  <c r="CY136" i="1"/>
  <c r="BP136" i="1"/>
  <c r="BO136" i="1"/>
  <c r="DO133" i="1"/>
  <c r="DG133" i="1"/>
  <c r="R133" i="1"/>
  <c r="Q133" i="1"/>
  <c r="DA133" i="1"/>
  <c r="V133" i="1"/>
  <c r="W133" i="1"/>
  <c r="CZ133" i="1"/>
  <c r="O133" i="1"/>
  <c r="CY133" i="1"/>
  <c r="BP133" i="1"/>
  <c r="BO133" i="1"/>
  <c r="DO1411" i="1"/>
  <c r="R1411" i="1"/>
  <c r="Q1411" i="1"/>
  <c r="DA1411" i="1"/>
  <c r="W1411" i="1"/>
  <c r="CZ1411" i="1"/>
  <c r="O1411" i="1"/>
  <c r="BP1411" i="1"/>
  <c r="BO1411" i="1"/>
  <c r="DO1412" i="1"/>
  <c r="R1412" i="1"/>
  <c r="Q1412" i="1"/>
  <c r="DA1412" i="1"/>
  <c r="W1412" i="1"/>
  <c r="CZ1412" i="1"/>
  <c r="O1412" i="1"/>
  <c r="BP1412" i="1"/>
  <c r="BO1412" i="1"/>
  <c r="DO1413" i="1"/>
  <c r="R1413" i="1"/>
  <c r="Q1413" i="1"/>
  <c r="DA1413" i="1"/>
  <c r="W1413" i="1"/>
  <c r="CZ1413" i="1"/>
  <c r="O1413" i="1"/>
  <c r="BP1413" i="1"/>
  <c r="BO1413" i="1"/>
  <c r="DO1414" i="1"/>
  <c r="R1414" i="1"/>
  <c r="Q1414" i="1"/>
  <c r="DA1414" i="1"/>
  <c r="W1414" i="1"/>
  <c r="CZ1414" i="1"/>
  <c r="O1414" i="1"/>
  <c r="BP1414" i="1"/>
  <c r="BO1414" i="1"/>
  <c r="DO1415" i="1"/>
  <c r="R1415" i="1"/>
  <c r="Q1415" i="1"/>
  <c r="DA1415" i="1"/>
  <c r="W1415" i="1"/>
  <c r="CZ1415" i="1"/>
  <c r="O1415" i="1"/>
  <c r="BP1415" i="1"/>
  <c r="BO1415" i="1"/>
  <c r="DO132" i="1"/>
  <c r="DG132" i="1"/>
  <c r="R132" i="1"/>
  <c r="Q132" i="1"/>
  <c r="DA132" i="1"/>
  <c r="V132" i="1"/>
  <c r="W132" i="1"/>
  <c r="CZ132" i="1"/>
  <c r="O132" i="1"/>
  <c r="CY132" i="1"/>
  <c r="BP132" i="1"/>
  <c r="BO132" i="1"/>
  <c r="DO131" i="1"/>
  <c r="DG131" i="1"/>
  <c r="R131" i="1"/>
  <c r="Q131" i="1"/>
  <c r="DA131" i="1"/>
  <c r="V131" i="1"/>
  <c r="W131" i="1"/>
  <c r="CZ131" i="1"/>
  <c r="O131" i="1"/>
  <c r="CY131" i="1"/>
  <c r="BP131" i="1"/>
  <c r="BO131" i="1"/>
  <c r="DO1418" i="1"/>
  <c r="R1418" i="1"/>
  <c r="Q1418" i="1"/>
  <c r="DA1418" i="1"/>
  <c r="W1418" i="1"/>
  <c r="CZ1418" i="1"/>
  <c r="O1418" i="1"/>
  <c r="BP1418" i="1"/>
  <c r="BO1418" i="1"/>
  <c r="DO1419" i="1"/>
  <c r="R1419" i="1"/>
  <c r="Q1419" i="1"/>
  <c r="DA1419" i="1"/>
  <c r="W1419" i="1"/>
  <c r="CZ1419" i="1"/>
  <c r="O1419" i="1"/>
  <c r="BP1419" i="1"/>
  <c r="BO1419" i="1"/>
  <c r="DO129" i="1"/>
  <c r="DG129" i="1"/>
  <c r="R129" i="1"/>
  <c r="Q129" i="1"/>
  <c r="DA129" i="1"/>
  <c r="V129" i="1"/>
  <c r="W129" i="1"/>
  <c r="CZ129" i="1"/>
  <c r="O129" i="1"/>
  <c r="CY129" i="1"/>
  <c r="BP129" i="1"/>
  <c r="BO129" i="1"/>
  <c r="DO124" i="1"/>
  <c r="DG124" i="1"/>
  <c r="R124" i="1"/>
  <c r="Q124" i="1"/>
  <c r="DA124" i="1"/>
  <c r="V124" i="1"/>
  <c r="W124" i="1"/>
  <c r="CZ124" i="1"/>
  <c r="O124" i="1"/>
  <c r="CY124" i="1"/>
  <c r="BP124" i="1"/>
  <c r="BO124" i="1"/>
  <c r="DO123" i="1"/>
  <c r="DG123" i="1"/>
  <c r="R123" i="1"/>
  <c r="Q123" i="1"/>
  <c r="DA123" i="1"/>
  <c r="V123" i="1"/>
  <c r="W123" i="1"/>
  <c r="CZ123" i="1"/>
  <c r="O123" i="1"/>
  <c r="CY123" i="1"/>
  <c r="BP123" i="1"/>
  <c r="BO123" i="1"/>
  <c r="DO122" i="1"/>
  <c r="DG122" i="1"/>
  <c r="R122" i="1"/>
  <c r="Q122" i="1"/>
  <c r="DA122" i="1"/>
  <c r="V122" i="1"/>
  <c r="W122" i="1"/>
  <c r="CZ122" i="1"/>
  <c r="O122" i="1"/>
  <c r="CY122" i="1"/>
  <c r="BP122" i="1"/>
  <c r="BO122" i="1"/>
  <c r="DO121" i="1"/>
  <c r="DG121" i="1"/>
  <c r="R121" i="1"/>
  <c r="Q121" i="1"/>
  <c r="DA121" i="1"/>
  <c r="V121" i="1"/>
  <c r="W121" i="1"/>
  <c r="CZ121" i="1"/>
  <c r="O121" i="1"/>
  <c r="CY121" i="1"/>
  <c r="BP121" i="1"/>
  <c r="BO121" i="1"/>
  <c r="DO1440" i="1"/>
  <c r="R1440" i="1"/>
  <c r="Q1440" i="1"/>
  <c r="DA1440" i="1"/>
  <c r="W1440" i="1"/>
  <c r="CZ1440" i="1"/>
  <c r="O1440" i="1"/>
  <c r="BP1440" i="1"/>
  <c r="BO1440" i="1"/>
  <c r="DO114" i="1"/>
  <c r="DG114" i="1"/>
  <c r="R114" i="1"/>
  <c r="Q114" i="1"/>
  <c r="DA114" i="1"/>
  <c r="V114" i="1"/>
  <c r="W114" i="1"/>
  <c r="CZ114" i="1"/>
  <c r="O114" i="1"/>
  <c r="CY114" i="1"/>
  <c r="BP114" i="1"/>
  <c r="BO114" i="1"/>
  <c r="DO482" i="1"/>
  <c r="R482" i="1"/>
  <c r="Q482" i="1"/>
  <c r="DA482" i="1"/>
  <c r="W482" i="1"/>
  <c r="CZ482" i="1"/>
  <c r="O482" i="1"/>
  <c r="BP482" i="1"/>
  <c r="BO482" i="1"/>
  <c r="DG105" i="1"/>
  <c r="R105" i="1"/>
  <c r="Q105" i="1"/>
  <c r="DA105" i="1"/>
  <c r="V105" i="1"/>
  <c r="W105" i="1"/>
  <c r="CZ105" i="1"/>
  <c r="O105" i="1"/>
  <c r="CY105" i="1"/>
  <c r="BP105" i="1"/>
  <c r="DO1447" i="1"/>
  <c r="R1447" i="1"/>
  <c r="Q1447" i="1"/>
  <c r="DA1447" i="1"/>
  <c r="W1447" i="1"/>
  <c r="CZ1447" i="1"/>
  <c r="O1447" i="1"/>
  <c r="BP1447" i="1"/>
  <c r="BO1447" i="1"/>
  <c r="DO41" i="1"/>
  <c r="DG41" i="1"/>
  <c r="R41" i="1"/>
  <c r="Q41" i="1"/>
  <c r="DA41" i="1"/>
  <c r="V41" i="1"/>
  <c r="W41" i="1"/>
  <c r="CZ41" i="1"/>
  <c r="O41" i="1"/>
  <c r="CY41" i="1"/>
  <c r="BP41" i="1"/>
  <c r="BO41" i="1"/>
  <c r="DO97" i="1"/>
  <c r="R97" i="1"/>
  <c r="Q97" i="1"/>
  <c r="DA97" i="1"/>
  <c r="W97" i="1"/>
  <c r="CZ97" i="1"/>
  <c r="O97" i="1"/>
  <c r="BP97" i="1"/>
  <c r="BO97" i="1"/>
  <c r="DO1452" i="1"/>
  <c r="R1452" i="1"/>
  <c r="Q1452" i="1"/>
  <c r="DA1452" i="1"/>
  <c r="W1452" i="1"/>
  <c r="CZ1452" i="1"/>
  <c r="O1452" i="1"/>
  <c r="BP1452" i="1"/>
  <c r="BO1452" i="1"/>
  <c r="DO1458" i="1"/>
  <c r="R1458" i="1"/>
  <c r="Q1458" i="1"/>
  <c r="DA1458" i="1"/>
  <c r="W1458" i="1"/>
  <c r="CZ1458" i="1"/>
  <c r="O1458" i="1"/>
  <c r="BP1458" i="1"/>
  <c r="BO1458" i="1"/>
  <c r="DO1462" i="1"/>
  <c r="R1462" i="1"/>
  <c r="Q1462" i="1"/>
  <c r="DA1462" i="1"/>
  <c r="W1462" i="1"/>
  <c r="CZ1462" i="1"/>
  <c r="O1462" i="1"/>
  <c r="BP1462" i="1"/>
  <c r="BO1462" i="1"/>
  <c r="DO40" i="1"/>
  <c r="DG40" i="1"/>
  <c r="R40" i="1"/>
  <c r="Q40" i="1"/>
  <c r="DA40" i="1"/>
  <c r="V40" i="1"/>
  <c r="W40" i="1"/>
  <c r="CZ40" i="1"/>
  <c r="O40" i="1"/>
  <c r="CY40" i="1"/>
  <c r="BP40" i="1"/>
  <c r="BO40" i="1"/>
  <c r="DO1464" i="1"/>
  <c r="R1464" i="1"/>
  <c r="Q1464" i="1"/>
  <c r="DA1464" i="1"/>
  <c r="W1464" i="1"/>
  <c r="CZ1464" i="1"/>
  <c r="O1464" i="1"/>
  <c r="BP1464" i="1"/>
  <c r="BO1464" i="1"/>
  <c r="DO37" i="1"/>
  <c r="DG37" i="1"/>
  <c r="R37" i="1"/>
  <c r="Q37" i="1"/>
  <c r="DA37" i="1"/>
  <c r="V37" i="1"/>
  <c r="W37" i="1"/>
  <c r="CZ37" i="1"/>
  <c r="O37" i="1"/>
  <c r="CY37" i="1"/>
  <c r="BP37" i="1"/>
  <c r="BO37" i="1"/>
  <c r="DO1466" i="1"/>
  <c r="R1466" i="1"/>
  <c r="Q1466" i="1"/>
  <c r="DA1466" i="1"/>
  <c r="W1466" i="1"/>
  <c r="CZ1466" i="1"/>
  <c r="O1466" i="1"/>
  <c r="BP1466" i="1"/>
  <c r="BO1466" i="1"/>
  <c r="DO1467" i="1"/>
  <c r="R1467" i="1"/>
  <c r="Q1467" i="1"/>
  <c r="DA1467" i="1"/>
  <c r="W1467" i="1"/>
  <c r="CZ1467" i="1"/>
  <c r="O1467" i="1"/>
  <c r="BP1467" i="1"/>
  <c r="BO1467" i="1"/>
  <c r="DO1468" i="1"/>
  <c r="R1468" i="1"/>
  <c r="Q1468" i="1"/>
  <c r="DA1468" i="1"/>
  <c r="W1468" i="1"/>
  <c r="CZ1468" i="1"/>
  <c r="O1468" i="1"/>
  <c r="BP1468" i="1"/>
  <c r="BO1468" i="1"/>
  <c r="DO29" i="1"/>
  <c r="DG29" i="1"/>
  <c r="R29" i="1"/>
  <c r="Q29" i="1"/>
  <c r="DA29" i="1"/>
  <c r="V29" i="1"/>
  <c r="W29" i="1"/>
  <c r="CZ29" i="1"/>
  <c r="O29" i="1"/>
  <c r="CY29" i="1"/>
  <c r="BP29" i="1"/>
  <c r="BO29" i="1"/>
  <c r="DO98" i="1"/>
  <c r="R98" i="1"/>
  <c r="Q98" i="1"/>
  <c r="DA98" i="1"/>
  <c r="W98" i="1"/>
  <c r="CZ98" i="1"/>
  <c r="O98" i="1"/>
  <c r="BP98" i="1"/>
  <c r="BO98" i="1"/>
  <c r="DO27" i="1"/>
  <c r="DG27" i="1"/>
  <c r="R27" i="1"/>
  <c r="Q27" i="1"/>
  <c r="DA27" i="1"/>
  <c r="V27" i="1"/>
  <c r="W27" i="1"/>
  <c r="CZ27" i="1"/>
  <c r="O27" i="1"/>
  <c r="CY27" i="1"/>
  <c r="BP27" i="1"/>
  <c r="BO27" i="1"/>
  <c r="DO26" i="1"/>
  <c r="DG26" i="1"/>
  <c r="R26" i="1"/>
  <c r="Q26" i="1"/>
  <c r="DA26" i="1"/>
  <c r="V26" i="1"/>
  <c r="W26" i="1"/>
  <c r="CZ26" i="1"/>
  <c r="O26" i="1"/>
  <c r="CY26" i="1"/>
  <c r="BP26" i="1"/>
  <c r="BO26" i="1"/>
  <c r="DO25" i="1"/>
  <c r="DG25" i="1"/>
  <c r="R25" i="1"/>
  <c r="Q25" i="1"/>
  <c r="DA25" i="1"/>
  <c r="V25" i="1"/>
  <c r="W25" i="1"/>
  <c r="CZ25" i="1"/>
  <c r="O25" i="1"/>
  <c r="CY25" i="1"/>
  <c r="BP25" i="1"/>
  <c r="BO25" i="1"/>
  <c r="DO1457" i="1"/>
  <c r="R1457" i="1"/>
  <c r="Q1457" i="1"/>
  <c r="DA1457" i="1"/>
  <c r="W1457" i="1"/>
  <c r="CZ1457" i="1"/>
  <c r="O1457" i="1"/>
  <c r="BP1457" i="1"/>
  <c r="BO1457" i="1"/>
  <c r="DO1461" i="1"/>
  <c r="R1461" i="1"/>
  <c r="Q1461" i="1"/>
  <c r="DA1461" i="1"/>
  <c r="W1461" i="1"/>
  <c r="CZ1461" i="1"/>
  <c r="O1461" i="1"/>
  <c r="BP1461" i="1"/>
  <c r="BO1461" i="1"/>
  <c r="DO591" i="1"/>
  <c r="R591" i="1"/>
  <c r="Q591" i="1"/>
  <c r="DA591" i="1"/>
  <c r="W591" i="1"/>
  <c r="CZ591" i="1"/>
  <c r="O591" i="1"/>
  <c r="BP591" i="1"/>
  <c r="BO591" i="1"/>
  <c r="DO1157" i="1"/>
  <c r="R1157" i="1"/>
  <c r="Q1157" i="1"/>
  <c r="DA1157" i="1"/>
  <c r="W1157" i="1"/>
  <c r="CZ1157" i="1"/>
  <c r="O1157" i="1"/>
  <c r="BP1157" i="1"/>
  <c r="BO1157" i="1"/>
  <c r="DO102" i="1"/>
  <c r="R102" i="1"/>
  <c r="Q102" i="1"/>
  <c r="DA102" i="1"/>
  <c r="W102" i="1"/>
  <c r="CZ102" i="1"/>
  <c r="O102" i="1"/>
  <c r="BP102" i="1"/>
  <c r="BO102" i="1"/>
  <c r="DO38" i="1"/>
  <c r="R38" i="1"/>
  <c r="Q38" i="1"/>
  <c r="DA38" i="1"/>
  <c r="W38" i="1"/>
  <c r="CZ38" i="1"/>
  <c r="O38" i="1"/>
  <c r="BP38" i="1"/>
  <c r="BO38" i="1"/>
  <c r="DO329" i="1"/>
  <c r="R329" i="1"/>
  <c r="Q329" i="1"/>
  <c r="DA329" i="1"/>
  <c r="W329" i="1"/>
  <c r="CZ329" i="1"/>
  <c r="O329" i="1"/>
  <c r="BP329" i="1"/>
  <c r="BO329" i="1"/>
  <c r="DO1013" i="1"/>
  <c r="R1013" i="1"/>
  <c r="Q1013" i="1"/>
  <c r="DA1013" i="1"/>
  <c r="W1013" i="1"/>
  <c r="CZ1013" i="1"/>
  <c r="O1013" i="1"/>
  <c r="BP1013" i="1"/>
  <c r="BO1013" i="1"/>
  <c r="DO1365" i="1"/>
  <c r="R1365" i="1"/>
  <c r="Q1365" i="1"/>
  <c r="DA1365" i="1"/>
  <c r="W1365" i="1"/>
  <c r="CZ1365" i="1"/>
  <c r="O1365" i="1"/>
  <c r="BP1365" i="1"/>
  <c r="BO1365" i="1"/>
  <c r="DO306" i="1"/>
  <c r="R306" i="1"/>
  <c r="Q306" i="1"/>
  <c r="DA306" i="1"/>
  <c r="W306" i="1"/>
  <c r="CZ306" i="1"/>
  <c r="O306" i="1"/>
  <c r="BP306" i="1"/>
  <c r="BO306" i="1"/>
  <c r="DO310" i="1"/>
  <c r="R310" i="1"/>
  <c r="Q310" i="1"/>
  <c r="DA310" i="1"/>
  <c r="W310" i="1"/>
  <c r="CZ310" i="1"/>
  <c r="O310" i="1"/>
  <c r="BP310" i="1"/>
  <c r="BO310" i="1"/>
  <c r="DO5" i="1"/>
  <c r="DG5" i="1"/>
  <c r="R5" i="1"/>
  <c r="Q5" i="1"/>
  <c r="DA5" i="1"/>
  <c r="V5" i="1"/>
  <c r="W5" i="1"/>
  <c r="CZ5" i="1"/>
  <c r="O5" i="1"/>
  <c r="CY5" i="1"/>
  <c r="BP5" i="1"/>
  <c r="BO5" i="1"/>
  <c r="DO483" i="1"/>
  <c r="R483" i="1"/>
  <c r="Q483" i="1"/>
  <c r="DA483" i="1"/>
  <c r="W483" i="1"/>
  <c r="CZ483" i="1"/>
  <c r="O483" i="1"/>
  <c r="BP483" i="1"/>
  <c r="BO483" i="1"/>
  <c r="DO344" i="1"/>
  <c r="R344" i="1"/>
  <c r="Q344" i="1"/>
  <c r="DA344" i="1"/>
  <c r="W344" i="1"/>
  <c r="CZ344" i="1"/>
  <c r="O344" i="1"/>
  <c r="BP344" i="1"/>
  <c r="BO344" i="1"/>
  <c r="DO345" i="1"/>
  <c r="R345" i="1"/>
  <c r="Q345" i="1"/>
  <c r="DA345" i="1"/>
  <c r="W345" i="1"/>
  <c r="CZ345" i="1"/>
  <c r="O345" i="1"/>
  <c r="BP345" i="1"/>
  <c r="BO345" i="1"/>
  <c r="DO99" i="1"/>
  <c r="R99" i="1"/>
  <c r="Q99" i="1"/>
  <c r="DA99" i="1"/>
  <c r="W99" i="1"/>
  <c r="CZ99" i="1"/>
  <c r="O99" i="1"/>
  <c r="BP99" i="1"/>
  <c r="BO99" i="1"/>
  <c r="DO354" i="1"/>
  <c r="R354" i="1"/>
  <c r="Q354" i="1"/>
  <c r="DA354" i="1"/>
  <c r="W354" i="1"/>
  <c r="CZ354" i="1"/>
  <c r="O354" i="1"/>
  <c r="BP354" i="1"/>
  <c r="BO354" i="1"/>
  <c r="DO1494" i="1"/>
  <c r="R1494" i="1"/>
  <c r="Q1494" i="1"/>
  <c r="DA1494" i="1"/>
  <c r="W1494" i="1"/>
  <c r="CZ1494" i="1"/>
  <c r="O1494" i="1"/>
  <c r="BP1494" i="1"/>
  <c r="BO1494" i="1"/>
  <c r="DO369" i="1"/>
  <c r="R369" i="1"/>
  <c r="Q369" i="1"/>
  <c r="DA369" i="1"/>
  <c r="W369" i="1"/>
  <c r="CZ369" i="1"/>
  <c r="O369" i="1"/>
  <c r="BP369" i="1"/>
  <c r="BO369" i="1"/>
  <c r="DO370" i="1"/>
  <c r="R370" i="1"/>
  <c r="Q370" i="1"/>
  <c r="DA370" i="1"/>
  <c r="W370" i="1"/>
  <c r="CZ370" i="1"/>
  <c r="O370" i="1"/>
  <c r="BP370" i="1"/>
  <c r="BO370" i="1"/>
  <c r="DO103" i="1"/>
  <c r="R103" i="1"/>
  <c r="Q103" i="1"/>
  <c r="DA103" i="1"/>
  <c r="W103" i="1"/>
  <c r="CZ103" i="1"/>
  <c r="O103" i="1"/>
  <c r="BP103" i="1"/>
  <c r="BO103" i="1"/>
  <c r="DO532" i="1"/>
  <c r="R532" i="1"/>
  <c r="Q532" i="1"/>
  <c r="DA532" i="1"/>
  <c r="W532" i="1"/>
  <c r="CZ532" i="1"/>
  <c r="O532" i="1"/>
  <c r="BP532" i="1"/>
  <c r="BO532" i="1"/>
  <c r="DO518" i="1"/>
  <c r="R518" i="1"/>
  <c r="Q518" i="1"/>
  <c r="DA518" i="1"/>
  <c r="W518" i="1"/>
  <c r="CZ518" i="1"/>
  <c r="O518" i="1"/>
  <c r="BP518" i="1"/>
  <c r="BO518" i="1"/>
  <c r="DO89" i="1"/>
  <c r="R89" i="1"/>
  <c r="Q89" i="1"/>
  <c r="DA89" i="1"/>
  <c r="W89" i="1"/>
  <c r="CZ89" i="1"/>
  <c r="O89" i="1"/>
  <c r="BP89" i="1"/>
  <c r="BO89" i="1"/>
  <c r="DO546" i="1"/>
  <c r="R546" i="1"/>
  <c r="Q546" i="1"/>
  <c r="DA546" i="1"/>
  <c r="W546" i="1"/>
  <c r="CZ546" i="1"/>
  <c r="O546" i="1"/>
  <c r="BP546" i="1"/>
  <c r="BO546" i="1"/>
  <c r="DO553" i="1"/>
  <c r="R553" i="1"/>
  <c r="Q553" i="1"/>
  <c r="DA553" i="1"/>
  <c r="W553" i="1"/>
  <c r="CZ553" i="1"/>
  <c r="O553" i="1"/>
  <c r="BP553" i="1"/>
  <c r="BO553" i="1"/>
  <c r="DO563" i="1"/>
  <c r="R563" i="1"/>
  <c r="Q563" i="1"/>
  <c r="DA563" i="1"/>
  <c r="W563" i="1"/>
  <c r="CZ563" i="1"/>
  <c r="O563" i="1"/>
  <c r="BP563" i="1"/>
  <c r="BO563" i="1"/>
  <c r="DO564" i="1"/>
  <c r="R564" i="1"/>
  <c r="Q564" i="1"/>
  <c r="DA564" i="1"/>
  <c r="W564" i="1"/>
  <c r="CZ564" i="1"/>
  <c r="O564" i="1"/>
  <c r="BP564" i="1"/>
  <c r="BO564" i="1"/>
  <c r="DO565" i="1"/>
  <c r="R565" i="1"/>
  <c r="Q565" i="1"/>
  <c r="DA565" i="1"/>
  <c r="W565" i="1"/>
  <c r="CZ565" i="1"/>
  <c r="O565" i="1"/>
  <c r="BP565" i="1"/>
  <c r="BO565" i="1"/>
  <c r="DO566" i="1"/>
  <c r="R566" i="1"/>
  <c r="Q566" i="1"/>
  <c r="DA566" i="1"/>
  <c r="W566" i="1"/>
  <c r="CZ566" i="1"/>
  <c r="O566" i="1"/>
  <c r="BP566" i="1"/>
  <c r="BO566" i="1"/>
  <c r="DO567" i="1"/>
  <c r="R567" i="1"/>
  <c r="Q567" i="1"/>
  <c r="DA567" i="1"/>
  <c r="W567" i="1"/>
  <c r="CZ567" i="1"/>
  <c r="O567" i="1"/>
  <c r="BP567" i="1"/>
  <c r="BO567" i="1"/>
  <c r="DO90" i="1"/>
  <c r="R90" i="1"/>
  <c r="Q90" i="1"/>
  <c r="DA90" i="1"/>
  <c r="W90" i="1"/>
  <c r="CZ90" i="1"/>
  <c r="O90" i="1"/>
  <c r="BP90" i="1"/>
  <c r="BO90" i="1"/>
  <c r="DO88" i="1"/>
  <c r="R88" i="1"/>
  <c r="Q88" i="1"/>
  <c r="DA88" i="1"/>
  <c r="W88" i="1"/>
  <c r="CZ88" i="1"/>
  <c r="O88" i="1"/>
  <c r="BP88" i="1"/>
  <c r="BO88" i="1"/>
  <c r="DO91" i="1"/>
  <c r="R91" i="1"/>
  <c r="Q91" i="1"/>
  <c r="DA91" i="1"/>
  <c r="W91" i="1"/>
  <c r="CZ91" i="1"/>
  <c r="O91" i="1"/>
  <c r="BP91" i="1"/>
  <c r="BO91" i="1"/>
  <c r="DO502" i="1"/>
  <c r="R502" i="1"/>
  <c r="Q502" i="1"/>
  <c r="DA502" i="1"/>
  <c r="W502" i="1"/>
  <c r="CZ502" i="1"/>
  <c r="O502" i="1"/>
  <c r="BP502" i="1"/>
  <c r="BO502" i="1"/>
  <c r="DO434" i="1"/>
  <c r="R434" i="1"/>
  <c r="Q434" i="1"/>
  <c r="DA434" i="1"/>
  <c r="W434" i="1"/>
  <c r="CZ434" i="1"/>
  <c r="O434" i="1"/>
  <c r="BP434" i="1"/>
  <c r="BO434" i="1"/>
  <c r="DO494" i="1"/>
  <c r="R494" i="1"/>
  <c r="Q494" i="1"/>
  <c r="DA494" i="1"/>
  <c r="W494" i="1"/>
  <c r="CZ494" i="1"/>
  <c r="O494" i="1"/>
  <c r="BP494" i="1"/>
  <c r="BO494" i="1"/>
  <c r="DO1161" i="1"/>
  <c r="R1161" i="1"/>
  <c r="Q1161" i="1"/>
  <c r="DA1161" i="1"/>
  <c r="W1161" i="1"/>
  <c r="CZ1161" i="1"/>
  <c r="O1161" i="1"/>
  <c r="BP1161" i="1"/>
  <c r="BO1161" i="1"/>
  <c r="DO465" i="1"/>
  <c r="R465" i="1"/>
  <c r="Q465" i="1"/>
  <c r="DA465" i="1"/>
  <c r="W465" i="1"/>
  <c r="CZ465" i="1"/>
  <c r="O465" i="1"/>
  <c r="BP465" i="1"/>
  <c r="BO465" i="1"/>
  <c r="DO464" i="1"/>
  <c r="R464" i="1"/>
  <c r="Q464" i="1"/>
  <c r="DA464" i="1"/>
  <c r="W464" i="1"/>
  <c r="CZ464" i="1"/>
  <c r="O464" i="1"/>
  <c r="BP464" i="1"/>
  <c r="BO464" i="1"/>
  <c r="DO934" i="1"/>
  <c r="R934" i="1"/>
  <c r="Q934" i="1"/>
  <c r="DA934" i="1"/>
  <c r="W934" i="1"/>
  <c r="CZ934" i="1"/>
  <c r="O934" i="1"/>
  <c r="BP934" i="1"/>
  <c r="BO934" i="1"/>
  <c r="DO303" i="1"/>
  <c r="R303" i="1"/>
  <c r="Q303" i="1"/>
  <c r="DA303" i="1"/>
  <c r="W303" i="1"/>
  <c r="CZ303" i="1"/>
  <c r="O303" i="1"/>
  <c r="BP303" i="1"/>
  <c r="BO303" i="1"/>
  <c r="DO71" i="1"/>
  <c r="R71" i="1"/>
  <c r="Q71" i="1"/>
  <c r="DA71" i="1"/>
  <c r="W71" i="1"/>
  <c r="CZ71" i="1"/>
  <c r="O71" i="1"/>
  <c r="BP71" i="1"/>
  <c r="BO71" i="1"/>
  <c r="DO70" i="1"/>
  <c r="R70" i="1"/>
  <c r="Q70" i="1"/>
  <c r="DA70" i="1"/>
  <c r="W70" i="1"/>
  <c r="CZ70" i="1"/>
  <c r="O70" i="1"/>
  <c r="BP70" i="1"/>
  <c r="BO70" i="1"/>
  <c r="DO68" i="1"/>
  <c r="R68" i="1"/>
  <c r="Q68" i="1"/>
  <c r="DA68" i="1"/>
  <c r="W68" i="1"/>
  <c r="CZ68" i="1"/>
  <c r="O68" i="1"/>
  <c r="BP68" i="1"/>
  <c r="BO68" i="1"/>
  <c r="DO66" i="1"/>
  <c r="R66" i="1"/>
  <c r="Q66" i="1"/>
  <c r="DA66" i="1"/>
  <c r="W66" i="1"/>
  <c r="CZ66" i="1"/>
  <c r="O66" i="1"/>
  <c r="BP66" i="1"/>
  <c r="BO66" i="1"/>
  <c r="DO65" i="1"/>
  <c r="R65" i="1"/>
  <c r="Q65" i="1"/>
  <c r="DA65" i="1"/>
  <c r="W65" i="1"/>
  <c r="CZ65" i="1"/>
  <c r="O65" i="1"/>
  <c r="BP65" i="1"/>
  <c r="BO65" i="1"/>
  <c r="DO64" i="1"/>
  <c r="R64" i="1"/>
  <c r="Q64" i="1"/>
  <c r="DA64" i="1"/>
  <c r="W64" i="1"/>
  <c r="CZ64" i="1"/>
  <c r="O64" i="1"/>
  <c r="BP64" i="1"/>
  <c r="BO64" i="1"/>
  <c r="DO63" i="1"/>
  <c r="R63" i="1"/>
  <c r="Q63" i="1"/>
  <c r="DA63" i="1"/>
  <c r="W63" i="1"/>
  <c r="CZ63" i="1"/>
  <c r="O63" i="1"/>
  <c r="BP63" i="1"/>
  <c r="BO63" i="1"/>
  <c r="DO60" i="1"/>
  <c r="R60" i="1"/>
  <c r="Q60" i="1"/>
  <c r="DA60" i="1"/>
  <c r="W60" i="1"/>
  <c r="CZ60" i="1"/>
  <c r="O60" i="1"/>
  <c r="BP60" i="1"/>
  <c r="BO60" i="1"/>
  <c r="DO57" i="1"/>
  <c r="R57" i="1"/>
  <c r="Q57" i="1"/>
  <c r="DA57" i="1"/>
  <c r="W57" i="1"/>
  <c r="CZ57" i="1"/>
  <c r="O57" i="1"/>
  <c r="BP57" i="1"/>
  <c r="BO57" i="1"/>
  <c r="DO56" i="1"/>
  <c r="R56" i="1"/>
  <c r="Q56" i="1"/>
  <c r="DA56" i="1"/>
  <c r="W56" i="1"/>
  <c r="CZ56" i="1"/>
  <c r="O56" i="1"/>
  <c r="BP56" i="1"/>
  <c r="BO56" i="1"/>
  <c r="DO915" i="1"/>
  <c r="R915" i="1"/>
  <c r="Q915" i="1"/>
  <c r="DA915" i="1"/>
  <c r="W915" i="1"/>
  <c r="CZ915" i="1"/>
  <c r="O915" i="1"/>
  <c r="BP915" i="1"/>
  <c r="BO915" i="1"/>
  <c r="DO909" i="1"/>
  <c r="R909" i="1"/>
  <c r="Q909" i="1"/>
  <c r="DA909" i="1"/>
  <c r="W909" i="1"/>
  <c r="CZ909" i="1"/>
  <c r="O909" i="1"/>
  <c r="BP909" i="1"/>
  <c r="BO909" i="1"/>
  <c r="DO537" i="1"/>
  <c r="R537" i="1"/>
  <c r="Q537" i="1"/>
  <c r="DA537" i="1"/>
  <c r="W537" i="1"/>
  <c r="CZ537" i="1"/>
  <c r="O537" i="1"/>
  <c r="BP537" i="1"/>
  <c r="BO537" i="1"/>
  <c r="DO495" i="1"/>
  <c r="R495" i="1"/>
  <c r="Q495" i="1"/>
  <c r="DA495" i="1"/>
  <c r="W495" i="1"/>
  <c r="CZ495" i="1"/>
  <c r="O495" i="1"/>
  <c r="BP495" i="1"/>
  <c r="BO495" i="1"/>
  <c r="DO72" i="1"/>
  <c r="R72" i="1"/>
  <c r="Q72" i="1"/>
  <c r="DA72" i="1"/>
  <c r="W72" i="1"/>
  <c r="CZ72" i="1"/>
  <c r="O72" i="1"/>
  <c r="BP72" i="1"/>
  <c r="BO72" i="1"/>
  <c r="DO577" i="1"/>
  <c r="R577" i="1"/>
  <c r="Q577" i="1"/>
  <c r="DA577" i="1"/>
  <c r="W577" i="1"/>
  <c r="CZ577" i="1"/>
  <c r="O577" i="1"/>
  <c r="BP577" i="1"/>
  <c r="BO577" i="1"/>
  <c r="DO274" i="1"/>
  <c r="R274" i="1"/>
  <c r="Q274" i="1"/>
  <c r="DA274" i="1"/>
  <c r="W274" i="1"/>
  <c r="CZ274" i="1"/>
  <c r="O274" i="1"/>
  <c r="BP274" i="1"/>
  <c r="BO274" i="1"/>
  <c r="DO315" i="1"/>
  <c r="R315" i="1"/>
  <c r="Q315" i="1"/>
  <c r="DA315" i="1"/>
  <c r="W315" i="1"/>
  <c r="CZ315" i="1"/>
  <c r="O315" i="1"/>
  <c r="BP315" i="1"/>
  <c r="BO315" i="1"/>
  <c r="DO358" i="1"/>
  <c r="R358" i="1"/>
  <c r="Q358" i="1"/>
  <c r="DA358" i="1"/>
  <c r="W358" i="1"/>
  <c r="CZ358" i="1"/>
  <c r="O358" i="1"/>
  <c r="BP358" i="1"/>
  <c r="BO358" i="1"/>
  <c r="DO366" i="1"/>
  <c r="R366" i="1"/>
  <c r="Q366" i="1"/>
  <c r="DA366" i="1"/>
  <c r="W366" i="1"/>
  <c r="CZ366" i="1"/>
  <c r="O366" i="1"/>
  <c r="BP366" i="1"/>
  <c r="BO366" i="1"/>
  <c r="DO375" i="1"/>
  <c r="R375" i="1"/>
  <c r="Q375" i="1"/>
  <c r="DA375" i="1"/>
  <c r="W375" i="1"/>
  <c r="CZ375" i="1"/>
  <c r="O375" i="1"/>
  <c r="BP375" i="1"/>
  <c r="BO375" i="1"/>
  <c r="DO394" i="1"/>
  <c r="R394" i="1"/>
  <c r="Q394" i="1"/>
  <c r="DA394" i="1"/>
  <c r="W394" i="1"/>
  <c r="CZ394" i="1"/>
  <c r="O394" i="1"/>
  <c r="BP394" i="1"/>
  <c r="BO394" i="1"/>
  <c r="DO404" i="1"/>
  <c r="R404" i="1"/>
  <c r="Q404" i="1"/>
  <c r="DA404" i="1"/>
  <c r="W404" i="1"/>
  <c r="CZ404" i="1"/>
  <c r="O404" i="1"/>
  <c r="BP404" i="1"/>
  <c r="BO404" i="1"/>
  <c r="DO411" i="1"/>
  <c r="R411" i="1"/>
  <c r="Q411" i="1"/>
  <c r="DA411" i="1"/>
  <c r="W411" i="1"/>
  <c r="CZ411" i="1"/>
  <c r="O411" i="1"/>
  <c r="BP411" i="1"/>
  <c r="BO411" i="1"/>
  <c r="DO420" i="1"/>
  <c r="R420" i="1"/>
  <c r="Q420" i="1"/>
  <c r="DA420" i="1"/>
  <c r="W420" i="1"/>
  <c r="CZ420" i="1"/>
  <c r="O420" i="1"/>
  <c r="BP420" i="1"/>
  <c r="BO420" i="1"/>
  <c r="DO430" i="1"/>
  <c r="R430" i="1"/>
  <c r="Q430" i="1"/>
  <c r="DA430" i="1"/>
  <c r="W430" i="1"/>
  <c r="CZ430" i="1"/>
  <c r="O430" i="1"/>
  <c r="BP430" i="1"/>
  <c r="BO430" i="1"/>
  <c r="DO438" i="1"/>
  <c r="R438" i="1"/>
  <c r="Q438" i="1"/>
  <c r="DA438" i="1"/>
  <c r="W438" i="1"/>
  <c r="CZ438" i="1"/>
  <c r="O438" i="1"/>
  <c r="BP438" i="1"/>
  <c r="BO438" i="1"/>
  <c r="DO461" i="1"/>
  <c r="R461" i="1"/>
  <c r="Q461" i="1"/>
  <c r="DA461" i="1"/>
  <c r="W461" i="1"/>
  <c r="CZ461" i="1"/>
  <c r="O461" i="1"/>
  <c r="BP461" i="1"/>
  <c r="BO461" i="1"/>
  <c r="DO463" i="1"/>
  <c r="R463" i="1"/>
  <c r="Q463" i="1"/>
  <c r="DA463" i="1"/>
  <c r="W463" i="1"/>
  <c r="CZ463" i="1"/>
  <c r="O463" i="1"/>
  <c r="BP463" i="1"/>
  <c r="BO463" i="1"/>
  <c r="DO481" i="1"/>
  <c r="R481" i="1"/>
  <c r="Q481" i="1"/>
  <c r="DA481" i="1"/>
  <c r="W481" i="1"/>
  <c r="CZ481" i="1"/>
  <c r="O481" i="1"/>
  <c r="BP481" i="1"/>
  <c r="BO481" i="1"/>
  <c r="DO503" i="1"/>
  <c r="R503" i="1"/>
  <c r="Q503" i="1"/>
  <c r="DA503" i="1"/>
  <c r="W503" i="1"/>
  <c r="CZ503" i="1"/>
  <c r="O503" i="1"/>
  <c r="BP503" i="1"/>
  <c r="BO503" i="1"/>
  <c r="DO510" i="1"/>
  <c r="R510" i="1"/>
  <c r="Q510" i="1"/>
  <c r="DA510" i="1"/>
  <c r="W510" i="1"/>
  <c r="CZ510" i="1"/>
  <c r="O510" i="1"/>
  <c r="BP510" i="1"/>
  <c r="BO510" i="1"/>
  <c r="DO543" i="1"/>
  <c r="R543" i="1"/>
  <c r="Q543" i="1"/>
  <c r="DA543" i="1"/>
  <c r="W543" i="1"/>
  <c r="CZ543" i="1"/>
  <c r="O543" i="1"/>
  <c r="BP543" i="1"/>
  <c r="BO543" i="1"/>
  <c r="DO545" i="1"/>
  <c r="R545" i="1"/>
  <c r="Q545" i="1"/>
  <c r="DA545" i="1"/>
  <c r="W545" i="1"/>
  <c r="CZ545" i="1"/>
  <c r="O545" i="1"/>
  <c r="BP545" i="1"/>
  <c r="BO545" i="1"/>
  <c r="DO568" i="1"/>
  <c r="R568" i="1"/>
  <c r="Q568" i="1"/>
  <c r="DA568" i="1"/>
  <c r="W568" i="1"/>
  <c r="CZ568" i="1"/>
  <c r="O568" i="1"/>
  <c r="BP568" i="1"/>
  <c r="BO568" i="1"/>
  <c r="DO571" i="1"/>
  <c r="R571" i="1"/>
  <c r="Q571" i="1"/>
  <c r="DA571" i="1"/>
  <c r="W571" i="1"/>
  <c r="CZ571" i="1"/>
  <c r="O571" i="1"/>
  <c r="BP571" i="1"/>
  <c r="BO571" i="1"/>
  <c r="DO596" i="1"/>
  <c r="R596" i="1"/>
  <c r="Q596" i="1"/>
  <c r="DA596" i="1"/>
  <c r="W596" i="1"/>
  <c r="CZ596" i="1"/>
  <c r="O596" i="1"/>
  <c r="BP596" i="1"/>
  <c r="BO596" i="1"/>
  <c r="DO932" i="1"/>
  <c r="R932" i="1"/>
  <c r="Q932" i="1"/>
  <c r="DA932" i="1"/>
  <c r="W932" i="1"/>
  <c r="CZ932" i="1"/>
  <c r="O932" i="1"/>
  <c r="BP932" i="1"/>
  <c r="BO932" i="1"/>
  <c r="DO939" i="1"/>
  <c r="R939" i="1"/>
  <c r="Q939" i="1"/>
  <c r="DA939" i="1"/>
  <c r="W939" i="1"/>
  <c r="CZ939" i="1"/>
  <c r="O939" i="1"/>
  <c r="BP939" i="1"/>
  <c r="BO939" i="1"/>
  <c r="DO1092" i="1"/>
  <c r="R1092" i="1"/>
  <c r="Q1092" i="1"/>
  <c r="DA1092" i="1"/>
  <c r="W1092" i="1"/>
  <c r="CZ1092" i="1"/>
  <c r="O1092" i="1"/>
  <c r="BP1092" i="1"/>
  <c r="BO1092" i="1"/>
  <c r="DO1205" i="1"/>
  <c r="R1205" i="1"/>
  <c r="Q1205" i="1"/>
  <c r="DA1205" i="1"/>
  <c r="W1205" i="1"/>
  <c r="CZ1205" i="1"/>
  <c r="O1205" i="1"/>
  <c r="BP1205" i="1"/>
  <c r="BO1205" i="1"/>
  <c r="DO1216" i="1"/>
  <c r="R1216" i="1"/>
  <c r="Q1216" i="1"/>
  <c r="DA1216" i="1"/>
  <c r="W1216" i="1"/>
  <c r="CZ1216" i="1"/>
  <c r="O1216" i="1"/>
  <c r="BP1216" i="1"/>
  <c r="BO1216" i="1"/>
  <c r="DO1270" i="1"/>
  <c r="R1270" i="1"/>
  <c r="Q1270" i="1"/>
  <c r="DA1270" i="1"/>
  <c r="W1270" i="1"/>
  <c r="CZ1270" i="1"/>
  <c r="O1270" i="1"/>
  <c r="BP1270" i="1"/>
  <c r="BO1270" i="1"/>
  <c r="DO1350" i="1"/>
  <c r="R1350" i="1"/>
  <c r="Q1350" i="1"/>
  <c r="DA1350" i="1"/>
  <c r="W1350" i="1"/>
  <c r="CZ1350" i="1"/>
  <c r="O1350" i="1"/>
  <c r="BP1350" i="1"/>
  <c r="BO1350" i="1"/>
  <c r="DO1442" i="1"/>
  <c r="R1442" i="1"/>
  <c r="Q1442" i="1"/>
  <c r="DA1442" i="1"/>
  <c r="W1442" i="1"/>
  <c r="CZ1442" i="1"/>
  <c r="O1442" i="1"/>
  <c r="BP1442" i="1"/>
  <c r="BO1442" i="1"/>
  <c r="DO1449" i="1"/>
  <c r="R1449" i="1"/>
  <c r="Q1449" i="1"/>
  <c r="DA1449" i="1"/>
  <c r="W1449" i="1"/>
  <c r="CZ1449" i="1"/>
  <c r="O1449" i="1"/>
  <c r="BP1449" i="1"/>
  <c r="BO1449" i="1"/>
  <c r="DO1470" i="1"/>
  <c r="R1470" i="1"/>
  <c r="Q1470" i="1"/>
  <c r="DA1470" i="1"/>
  <c r="W1470" i="1"/>
  <c r="CZ1470" i="1"/>
  <c r="O1470" i="1"/>
  <c r="BP1470" i="1"/>
  <c r="BO1470" i="1"/>
  <c r="DO12" i="1"/>
  <c r="R12" i="1"/>
  <c r="Q12" i="1"/>
  <c r="DA12" i="1"/>
  <c r="W12" i="1"/>
  <c r="CZ12" i="1"/>
  <c r="O12" i="1"/>
  <c r="BP12" i="1"/>
  <c r="BO12" i="1"/>
  <c r="DO341" i="1"/>
  <c r="R341" i="1"/>
  <c r="Q341" i="1"/>
  <c r="DA341" i="1"/>
  <c r="W341" i="1"/>
  <c r="CZ341" i="1"/>
  <c r="O341" i="1"/>
  <c r="BP341" i="1"/>
  <c r="BO341" i="1"/>
  <c r="DO386" i="1"/>
  <c r="R386" i="1"/>
  <c r="Q386" i="1"/>
  <c r="DA386" i="1"/>
  <c r="W386" i="1"/>
  <c r="CZ386" i="1"/>
  <c r="O386" i="1"/>
  <c r="BP386" i="1"/>
  <c r="BO386" i="1"/>
  <c r="DO400" i="1"/>
  <c r="R400" i="1"/>
  <c r="Q400" i="1"/>
  <c r="DA400" i="1"/>
  <c r="W400" i="1"/>
  <c r="CZ400" i="1"/>
  <c r="O400" i="1"/>
  <c r="BP400" i="1"/>
  <c r="BO400" i="1"/>
  <c r="DO472" i="1"/>
  <c r="R472" i="1"/>
  <c r="Q472" i="1"/>
  <c r="DA472" i="1"/>
  <c r="W472" i="1"/>
  <c r="CZ472" i="1"/>
  <c r="O472" i="1"/>
  <c r="BP472" i="1"/>
  <c r="BO472" i="1"/>
  <c r="DO492" i="1"/>
  <c r="R492" i="1"/>
  <c r="Q492" i="1"/>
  <c r="DA492" i="1"/>
  <c r="W492" i="1"/>
  <c r="CZ492" i="1"/>
  <c r="O492" i="1"/>
  <c r="BP492" i="1"/>
  <c r="BO492" i="1"/>
  <c r="DO535" i="1"/>
  <c r="R535" i="1"/>
  <c r="Q535" i="1"/>
  <c r="DA535" i="1"/>
  <c r="W535" i="1"/>
  <c r="CZ535" i="1"/>
  <c r="O535" i="1"/>
  <c r="BP535" i="1"/>
  <c r="BO535" i="1"/>
  <c r="DO555" i="1"/>
  <c r="R555" i="1"/>
  <c r="Q555" i="1"/>
  <c r="DA555" i="1"/>
  <c r="W555" i="1"/>
  <c r="CZ555" i="1"/>
  <c r="O555" i="1"/>
  <c r="BP555" i="1"/>
  <c r="BO555" i="1"/>
  <c r="DO589" i="1"/>
  <c r="R589" i="1"/>
  <c r="Q589" i="1"/>
  <c r="DA589" i="1"/>
  <c r="W589" i="1"/>
  <c r="CZ589" i="1"/>
  <c r="O589" i="1"/>
  <c r="BP589" i="1"/>
  <c r="BO589" i="1"/>
  <c r="DO1214" i="1"/>
  <c r="R1214" i="1"/>
  <c r="Q1214" i="1"/>
  <c r="DA1214" i="1"/>
  <c r="W1214" i="1"/>
  <c r="CZ1214" i="1"/>
  <c r="O1214" i="1"/>
  <c r="BP1214" i="1"/>
  <c r="BO1214" i="1"/>
  <c r="DO1454" i="1"/>
  <c r="R1454" i="1"/>
  <c r="Q1454" i="1"/>
  <c r="DA1454" i="1"/>
  <c r="W1454" i="1"/>
  <c r="CZ1454" i="1"/>
  <c r="O1454" i="1"/>
  <c r="BP1454" i="1"/>
  <c r="BO1454" i="1"/>
  <c r="DO1455" i="1"/>
  <c r="R1455" i="1"/>
  <c r="Q1455" i="1"/>
  <c r="DA1455" i="1"/>
  <c r="W1455" i="1"/>
  <c r="CZ1455" i="1"/>
  <c r="O1455" i="1"/>
  <c r="BP1455" i="1"/>
  <c r="BO1455" i="1"/>
  <c r="DO1389" i="1"/>
  <c r="R1389" i="1"/>
  <c r="Q1389" i="1"/>
  <c r="DA1389" i="1"/>
  <c r="W1389" i="1"/>
  <c r="CZ1389" i="1"/>
  <c r="O1389" i="1"/>
  <c r="BP1389" i="1"/>
  <c r="BO1389" i="1"/>
  <c r="DG1009" i="1"/>
  <c r="R1009" i="1"/>
  <c r="Q1009" i="1"/>
  <c r="DA1009" i="1"/>
  <c r="V1009" i="1"/>
  <c r="W1009" i="1"/>
  <c r="CZ1009" i="1"/>
  <c r="O1009" i="1"/>
  <c r="CY1009" i="1"/>
  <c r="BP1009" i="1"/>
  <c r="DG8" i="1"/>
  <c r="R8" i="1"/>
  <c r="Q8" i="1"/>
  <c r="DA8" i="1"/>
  <c r="V8" i="1"/>
  <c r="W8" i="1"/>
  <c r="CZ8" i="1"/>
  <c r="O8" i="1"/>
  <c r="CY8" i="1"/>
  <c r="BP8" i="1"/>
  <c r="DG9" i="1"/>
  <c r="R9" i="1"/>
  <c r="Q9" i="1"/>
  <c r="DA9" i="1"/>
  <c r="V9" i="1"/>
  <c r="W9" i="1"/>
  <c r="CZ9" i="1"/>
  <c r="O9" i="1"/>
  <c r="CY9" i="1"/>
  <c r="BP9" i="1"/>
  <c r="DG14" i="1"/>
  <c r="R14" i="1"/>
  <c r="Q14" i="1"/>
  <c r="DA14" i="1"/>
  <c r="V14" i="1"/>
  <c r="W14" i="1"/>
  <c r="CZ14" i="1"/>
  <c r="O14" i="1"/>
  <c r="CY14" i="1"/>
  <c r="BP14" i="1"/>
  <c r="DG15" i="1"/>
  <c r="R15" i="1"/>
  <c r="Q15" i="1"/>
  <c r="DA15" i="1"/>
  <c r="V15" i="1"/>
  <c r="W15" i="1"/>
  <c r="CZ15" i="1"/>
  <c r="O15" i="1"/>
  <c r="CY15" i="1"/>
  <c r="BP15" i="1"/>
  <c r="DG16" i="1"/>
  <c r="R16" i="1"/>
  <c r="Q16" i="1"/>
  <c r="DA16" i="1"/>
  <c r="V16" i="1"/>
  <c r="W16" i="1"/>
  <c r="CZ16" i="1"/>
  <c r="O16" i="1"/>
  <c r="CY16" i="1"/>
  <c r="BP16" i="1"/>
  <c r="DG17" i="1"/>
  <c r="R17" i="1"/>
  <c r="Q17" i="1"/>
  <c r="DA17" i="1"/>
  <c r="V17" i="1"/>
  <c r="W17" i="1"/>
  <c r="CZ17" i="1"/>
  <c r="O17" i="1"/>
  <c r="CY17" i="1"/>
  <c r="BP17" i="1"/>
  <c r="DG18" i="1"/>
  <c r="R18" i="1"/>
  <c r="Q18" i="1"/>
  <c r="DA18" i="1"/>
  <c r="V18" i="1"/>
  <c r="W18" i="1"/>
  <c r="CZ18" i="1"/>
  <c r="O18" i="1"/>
  <c r="CY18" i="1"/>
  <c r="BP18" i="1"/>
  <c r="DG35" i="1"/>
  <c r="R35" i="1"/>
  <c r="Q35" i="1"/>
  <c r="DA35" i="1"/>
  <c r="V35" i="1"/>
  <c r="W35" i="1"/>
  <c r="CZ35" i="1"/>
  <c r="O35" i="1"/>
  <c r="CY35" i="1"/>
  <c r="BP35" i="1"/>
  <c r="DG36" i="1"/>
  <c r="R36" i="1"/>
  <c r="Q36" i="1"/>
  <c r="DA36" i="1"/>
  <c r="V36" i="1"/>
  <c r="W36" i="1"/>
  <c r="CZ36" i="1"/>
  <c r="O36" i="1"/>
  <c r="CY36" i="1"/>
  <c r="BP36" i="1"/>
  <c r="DG239" i="1"/>
  <c r="R239" i="1"/>
  <c r="Q239" i="1"/>
  <c r="DA239" i="1"/>
  <c r="V239" i="1"/>
  <c r="W239" i="1"/>
  <c r="CZ239" i="1"/>
  <c r="O239" i="1"/>
  <c r="CY239" i="1"/>
  <c r="BP239" i="1"/>
  <c r="DG268" i="1"/>
  <c r="R268" i="1"/>
  <c r="Q268" i="1"/>
  <c r="DA268" i="1"/>
  <c r="V268" i="1"/>
  <c r="W268" i="1"/>
  <c r="CZ268" i="1"/>
  <c r="O268" i="1"/>
  <c r="CY268" i="1"/>
  <c r="BP268" i="1"/>
  <c r="DG269" i="1"/>
  <c r="R269" i="1"/>
  <c r="Q269" i="1"/>
  <c r="DA269" i="1"/>
  <c r="V269" i="1"/>
  <c r="W269" i="1"/>
  <c r="CZ269" i="1"/>
  <c r="O269" i="1"/>
  <c r="CY269" i="1"/>
  <c r="BP269" i="1"/>
  <c r="DG275" i="1"/>
  <c r="R275" i="1"/>
  <c r="Q275" i="1"/>
  <c r="DA275" i="1"/>
  <c r="V275" i="1"/>
  <c r="W275" i="1"/>
  <c r="CZ275" i="1"/>
  <c r="O275" i="1"/>
  <c r="CY275" i="1"/>
  <c r="BP275" i="1"/>
  <c r="DG283" i="1"/>
  <c r="R283" i="1"/>
  <c r="Q283" i="1"/>
  <c r="DA283" i="1"/>
  <c r="V283" i="1"/>
  <c r="W283" i="1"/>
  <c r="CZ283" i="1"/>
  <c r="O283" i="1"/>
  <c r="CY283" i="1"/>
  <c r="BP283" i="1"/>
  <c r="DG291" i="1"/>
  <c r="R291" i="1"/>
  <c r="Q291" i="1"/>
  <c r="DA291" i="1"/>
  <c r="V291" i="1"/>
  <c r="W291" i="1"/>
  <c r="CZ291" i="1"/>
  <c r="O291" i="1"/>
  <c r="CY291" i="1"/>
  <c r="BP291" i="1"/>
  <c r="DG292" i="1"/>
  <c r="R292" i="1"/>
  <c r="Q292" i="1"/>
  <c r="DA292" i="1"/>
  <c r="V292" i="1"/>
  <c r="W292" i="1"/>
  <c r="CZ292" i="1"/>
  <c r="O292" i="1"/>
  <c r="CY292" i="1"/>
  <c r="BP292" i="1"/>
  <c r="DG293" i="1"/>
  <c r="R293" i="1"/>
  <c r="Q293" i="1"/>
  <c r="DA293" i="1"/>
  <c r="V293" i="1"/>
  <c r="W293" i="1"/>
  <c r="CZ293" i="1"/>
  <c r="O293" i="1"/>
  <c r="CY293" i="1"/>
  <c r="BP293" i="1"/>
  <c r="DG294" i="1"/>
  <c r="R294" i="1"/>
  <c r="Q294" i="1"/>
  <c r="DA294" i="1"/>
  <c r="V294" i="1"/>
  <c r="W294" i="1"/>
  <c r="CZ294" i="1"/>
  <c r="O294" i="1"/>
  <c r="CY294" i="1"/>
  <c r="BP294" i="1"/>
  <c r="DG298" i="1"/>
  <c r="R298" i="1"/>
  <c r="Q298" i="1"/>
  <c r="DA298" i="1"/>
  <c r="V298" i="1"/>
  <c r="W298" i="1"/>
  <c r="CZ298" i="1"/>
  <c r="O298" i="1"/>
  <c r="CY298" i="1"/>
  <c r="BP298" i="1"/>
  <c r="DG299" i="1"/>
  <c r="R299" i="1"/>
  <c r="Q299" i="1"/>
  <c r="DA299" i="1"/>
  <c r="V299" i="1"/>
  <c r="W299" i="1"/>
  <c r="CZ299" i="1"/>
  <c r="O299" i="1"/>
  <c r="CY299" i="1"/>
  <c r="BP299" i="1"/>
  <c r="DG307" i="1"/>
  <c r="R307" i="1"/>
  <c r="Q307" i="1"/>
  <c r="DA307" i="1"/>
  <c r="V307" i="1"/>
  <c r="W307" i="1"/>
  <c r="CZ307" i="1"/>
  <c r="O307" i="1"/>
  <c r="CY307" i="1"/>
  <c r="BP307" i="1"/>
  <c r="DG311" i="1"/>
  <c r="R311" i="1"/>
  <c r="Q311" i="1"/>
  <c r="DA311" i="1"/>
  <c r="V311" i="1"/>
  <c r="W311" i="1"/>
  <c r="CZ311" i="1"/>
  <c r="O311" i="1"/>
  <c r="CY311" i="1"/>
  <c r="BP311" i="1"/>
  <c r="DG317" i="1"/>
  <c r="R317" i="1"/>
  <c r="Q317" i="1"/>
  <c r="DA317" i="1"/>
  <c r="V317" i="1"/>
  <c r="W317" i="1"/>
  <c r="CZ317" i="1"/>
  <c r="O317" i="1"/>
  <c r="CY317" i="1"/>
  <c r="BP317" i="1"/>
  <c r="DG318" i="1"/>
  <c r="R318" i="1"/>
  <c r="Q318" i="1"/>
  <c r="DA318" i="1"/>
  <c r="V318" i="1"/>
  <c r="W318" i="1"/>
  <c r="CZ318" i="1"/>
  <c r="O318" i="1"/>
  <c r="CY318" i="1"/>
  <c r="BP318" i="1"/>
  <c r="DG327" i="1"/>
  <c r="R327" i="1"/>
  <c r="Q327" i="1"/>
  <c r="DA327" i="1"/>
  <c r="V327" i="1"/>
  <c r="W327" i="1"/>
  <c r="CZ327" i="1"/>
  <c r="O327" i="1"/>
  <c r="CY327" i="1"/>
  <c r="BP327" i="1"/>
  <c r="DG330" i="1"/>
  <c r="R330" i="1"/>
  <c r="Q330" i="1"/>
  <c r="DA330" i="1"/>
  <c r="V330" i="1"/>
  <c r="W330" i="1"/>
  <c r="CZ330" i="1"/>
  <c r="O330" i="1"/>
  <c r="CY330" i="1"/>
  <c r="BP330" i="1"/>
  <c r="DG336" i="1"/>
  <c r="R336" i="1"/>
  <c r="Q336" i="1"/>
  <c r="DA336" i="1"/>
  <c r="V336" i="1"/>
  <c r="W336" i="1"/>
  <c r="CZ336" i="1"/>
  <c r="O336" i="1"/>
  <c r="CY336" i="1"/>
  <c r="BP336" i="1"/>
  <c r="DG340" i="1"/>
  <c r="R340" i="1"/>
  <c r="Q340" i="1"/>
  <c r="DA340" i="1"/>
  <c r="V340" i="1"/>
  <c r="W340" i="1"/>
  <c r="CZ340" i="1"/>
  <c r="O340" i="1"/>
  <c r="CY340" i="1"/>
  <c r="BP340" i="1"/>
  <c r="DG346" i="1"/>
  <c r="R346" i="1"/>
  <c r="Q346" i="1"/>
  <c r="DA346" i="1"/>
  <c r="V346" i="1"/>
  <c r="W346" i="1"/>
  <c r="CZ346" i="1"/>
  <c r="O346" i="1"/>
  <c r="CY346" i="1"/>
  <c r="BP346" i="1"/>
  <c r="DG350" i="1"/>
  <c r="R350" i="1"/>
  <c r="Q350" i="1"/>
  <c r="DA350" i="1"/>
  <c r="V350" i="1"/>
  <c r="W350" i="1"/>
  <c r="CZ350" i="1"/>
  <c r="O350" i="1"/>
  <c r="CY350" i="1"/>
  <c r="BP350" i="1"/>
  <c r="DG355" i="1"/>
  <c r="R355" i="1"/>
  <c r="Q355" i="1"/>
  <c r="DA355" i="1"/>
  <c r="V355" i="1"/>
  <c r="W355" i="1"/>
  <c r="CZ355" i="1"/>
  <c r="O355" i="1"/>
  <c r="CY355" i="1"/>
  <c r="BP355" i="1"/>
  <c r="DG356" i="1"/>
  <c r="R356" i="1"/>
  <c r="Q356" i="1"/>
  <c r="DA356" i="1"/>
  <c r="V356" i="1"/>
  <c r="W356" i="1"/>
  <c r="CZ356" i="1"/>
  <c r="O356" i="1"/>
  <c r="CY356" i="1"/>
  <c r="BP356" i="1"/>
  <c r="DG357" i="1"/>
  <c r="R357" i="1"/>
  <c r="Q357" i="1"/>
  <c r="DA357" i="1"/>
  <c r="V357" i="1"/>
  <c r="W357" i="1"/>
  <c r="CZ357" i="1"/>
  <c r="O357" i="1"/>
  <c r="CY357" i="1"/>
  <c r="BP357" i="1"/>
  <c r="DG361" i="1"/>
  <c r="R361" i="1"/>
  <c r="Q361" i="1"/>
  <c r="DA361" i="1"/>
  <c r="V361" i="1"/>
  <c r="W361" i="1"/>
  <c r="CZ361" i="1"/>
  <c r="O361" i="1"/>
  <c r="CY361" i="1"/>
  <c r="BP361" i="1"/>
  <c r="DG362" i="1"/>
  <c r="R362" i="1"/>
  <c r="Q362" i="1"/>
  <c r="DA362" i="1"/>
  <c r="V362" i="1"/>
  <c r="W362" i="1"/>
  <c r="CZ362" i="1"/>
  <c r="O362" i="1"/>
  <c r="CY362" i="1"/>
  <c r="BP362" i="1"/>
  <c r="DG371" i="1"/>
  <c r="R371" i="1"/>
  <c r="Q371" i="1"/>
  <c r="DA371" i="1"/>
  <c r="V371" i="1"/>
  <c r="W371" i="1"/>
  <c r="CZ371" i="1"/>
  <c r="O371" i="1"/>
  <c r="CY371" i="1"/>
  <c r="BP371" i="1"/>
  <c r="DG372" i="1"/>
  <c r="R372" i="1"/>
  <c r="Q372" i="1"/>
  <c r="DA372" i="1"/>
  <c r="V372" i="1"/>
  <c r="W372" i="1"/>
  <c r="CZ372" i="1"/>
  <c r="O372" i="1"/>
  <c r="CY372" i="1"/>
  <c r="BP372" i="1"/>
  <c r="DG383" i="1"/>
  <c r="R383" i="1"/>
  <c r="Q383" i="1"/>
  <c r="DA383" i="1"/>
  <c r="V383" i="1"/>
  <c r="W383" i="1"/>
  <c r="CZ383" i="1"/>
  <c r="O383" i="1"/>
  <c r="CY383" i="1"/>
  <c r="BP383" i="1"/>
  <c r="DG387" i="1"/>
  <c r="R387" i="1"/>
  <c r="Q387" i="1"/>
  <c r="DA387" i="1"/>
  <c r="V387" i="1"/>
  <c r="W387" i="1"/>
  <c r="CZ387" i="1"/>
  <c r="O387" i="1"/>
  <c r="CY387" i="1"/>
  <c r="BP387" i="1"/>
  <c r="DG388" i="1"/>
  <c r="R388" i="1"/>
  <c r="Q388" i="1"/>
  <c r="DA388" i="1"/>
  <c r="V388" i="1"/>
  <c r="W388" i="1"/>
  <c r="CZ388" i="1"/>
  <c r="O388" i="1"/>
  <c r="CY388" i="1"/>
  <c r="BP388" i="1"/>
  <c r="DG389" i="1"/>
  <c r="R389" i="1"/>
  <c r="Q389" i="1"/>
  <c r="DA389" i="1"/>
  <c r="V389" i="1"/>
  <c r="W389" i="1"/>
  <c r="CZ389" i="1"/>
  <c r="O389" i="1"/>
  <c r="CY389" i="1"/>
  <c r="BP389" i="1"/>
  <c r="DG395" i="1"/>
  <c r="R395" i="1"/>
  <c r="Q395" i="1"/>
  <c r="DA395" i="1"/>
  <c r="V395" i="1"/>
  <c r="W395" i="1"/>
  <c r="CZ395" i="1"/>
  <c r="O395" i="1"/>
  <c r="CY395" i="1"/>
  <c r="BP395" i="1"/>
  <c r="DG402" i="1"/>
  <c r="R402" i="1"/>
  <c r="Q402" i="1"/>
  <c r="DA402" i="1"/>
  <c r="V402" i="1"/>
  <c r="W402" i="1"/>
  <c r="CZ402" i="1"/>
  <c r="O402" i="1"/>
  <c r="CY402" i="1"/>
  <c r="BP402" i="1"/>
  <c r="DG408" i="1"/>
  <c r="R408" i="1"/>
  <c r="Q408" i="1"/>
  <c r="DA408" i="1"/>
  <c r="V408" i="1"/>
  <c r="W408" i="1"/>
  <c r="CZ408" i="1"/>
  <c r="O408" i="1"/>
  <c r="CY408" i="1"/>
  <c r="BP408" i="1"/>
  <c r="DG409" i="1"/>
  <c r="R409" i="1"/>
  <c r="Q409" i="1"/>
  <c r="DA409" i="1"/>
  <c r="V409" i="1"/>
  <c r="W409" i="1"/>
  <c r="CZ409" i="1"/>
  <c r="O409" i="1"/>
  <c r="CY409" i="1"/>
  <c r="BP409" i="1"/>
  <c r="DG410" i="1"/>
  <c r="R410" i="1"/>
  <c r="Q410" i="1"/>
  <c r="DA410" i="1"/>
  <c r="V410" i="1"/>
  <c r="W410" i="1"/>
  <c r="CZ410" i="1"/>
  <c r="O410" i="1"/>
  <c r="CY410" i="1"/>
  <c r="BP410" i="1"/>
  <c r="DG416" i="1"/>
  <c r="R416" i="1"/>
  <c r="Q416" i="1"/>
  <c r="DA416" i="1"/>
  <c r="V416" i="1"/>
  <c r="W416" i="1"/>
  <c r="CZ416" i="1"/>
  <c r="O416" i="1"/>
  <c r="CY416" i="1"/>
  <c r="BP416" i="1"/>
  <c r="DG424" i="1"/>
  <c r="R424" i="1"/>
  <c r="Q424" i="1"/>
  <c r="DA424" i="1"/>
  <c r="V424" i="1"/>
  <c r="W424" i="1"/>
  <c r="CZ424" i="1"/>
  <c r="O424" i="1"/>
  <c r="CY424" i="1"/>
  <c r="BP424" i="1"/>
  <c r="DO428" i="1"/>
  <c r="DG428" i="1"/>
  <c r="R428" i="1"/>
  <c r="Q428" i="1"/>
  <c r="DA428" i="1"/>
  <c r="V428" i="1"/>
  <c r="W428" i="1"/>
  <c r="CZ428" i="1"/>
  <c r="O428" i="1"/>
  <c r="CY428" i="1"/>
  <c r="BP428" i="1"/>
  <c r="BO428" i="1"/>
  <c r="DG429" i="1"/>
  <c r="R429" i="1"/>
  <c r="Q429" i="1"/>
  <c r="DA429" i="1"/>
  <c r="V429" i="1"/>
  <c r="W429" i="1"/>
  <c r="CZ429" i="1"/>
  <c r="O429" i="1"/>
  <c r="CY429" i="1"/>
  <c r="BP429" i="1"/>
  <c r="DG436" i="1"/>
  <c r="R436" i="1"/>
  <c r="Q436" i="1"/>
  <c r="DA436" i="1"/>
  <c r="V436" i="1"/>
  <c r="W436" i="1"/>
  <c r="CZ436" i="1"/>
  <c r="O436" i="1"/>
  <c r="CY436" i="1"/>
  <c r="BP436" i="1"/>
  <c r="DG437" i="1"/>
  <c r="R437" i="1"/>
  <c r="Q437" i="1"/>
  <c r="DA437" i="1"/>
  <c r="V437" i="1"/>
  <c r="W437" i="1"/>
  <c r="CZ437" i="1"/>
  <c r="O437" i="1"/>
  <c r="CY437" i="1"/>
  <c r="BP437" i="1"/>
  <c r="DG443" i="1"/>
  <c r="R443" i="1"/>
  <c r="Q443" i="1"/>
  <c r="DA443" i="1"/>
  <c r="V443" i="1"/>
  <c r="W443" i="1"/>
  <c r="CZ443" i="1"/>
  <c r="O443" i="1"/>
  <c r="CY443" i="1"/>
  <c r="BP443" i="1"/>
  <c r="DG444" i="1"/>
  <c r="R444" i="1"/>
  <c r="Q444" i="1"/>
  <c r="DA444" i="1"/>
  <c r="V444" i="1"/>
  <c r="W444" i="1"/>
  <c r="CZ444" i="1"/>
  <c r="O444" i="1"/>
  <c r="CY444" i="1"/>
  <c r="BP444" i="1"/>
  <c r="DO450" i="1"/>
  <c r="DG450" i="1"/>
  <c r="R450" i="1"/>
  <c r="Q450" i="1"/>
  <c r="DA450" i="1"/>
  <c r="V450" i="1"/>
  <c r="W450" i="1"/>
  <c r="CZ450" i="1"/>
  <c r="O450" i="1"/>
  <c r="CY450" i="1"/>
  <c r="BP450" i="1"/>
  <c r="BO450" i="1"/>
  <c r="DG451" i="1"/>
  <c r="R451" i="1"/>
  <c r="Q451" i="1"/>
  <c r="DA451" i="1"/>
  <c r="V451" i="1"/>
  <c r="W451" i="1"/>
  <c r="CZ451" i="1"/>
  <c r="O451" i="1"/>
  <c r="CY451" i="1"/>
  <c r="BP451" i="1"/>
  <c r="DG452" i="1"/>
  <c r="R452" i="1"/>
  <c r="Q452" i="1"/>
  <c r="DA452" i="1"/>
  <c r="V452" i="1"/>
  <c r="W452" i="1"/>
  <c r="CZ452" i="1"/>
  <c r="O452" i="1"/>
  <c r="CY452" i="1"/>
  <c r="BP452" i="1"/>
  <c r="DG457" i="1"/>
  <c r="R457" i="1"/>
  <c r="Q457" i="1"/>
  <c r="DA457" i="1"/>
  <c r="V457" i="1"/>
  <c r="W457" i="1"/>
  <c r="CZ457" i="1"/>
  <c r="O457" i="1"/>
  <c r="CY457" i="1"/>
  <c r="BP457" i="1"/>
  <c r="DG458" i="1"/>
  <c r="R458" i="1"/>
  <c r="Q458" i="1"/>
  <c r="DA458" i="1"/>
  <c r="V458" i="1"/>
  <c r="W458" i="1"/>
  <c r="CZ458" i="1"/>
  <c r="O458" i="1"/>
  <c r="CY458" i="1"/>
  <c r="BP458" i="1"/>
  <c r="DG468" i="1"/>
  <c r="R468" i="1"/>
  <c r="Q468" i="1"/>
  <c r="DA468" i="1"/>
  <c r="V468" i="1"/>
  <c r="W468" i="1"/>
  <c r="CZ468" i="1"/>
  <c r="O468" i="1"/>
  <c r="CY468" i="1"/>
  <c r="BP468" i="1"/>
  <c r="DG469" i="1"/>
  <c r="R469" i="1"/>
  <c r="Q469" i="1"/>
  <c r="DA469" i="1"/>
  <c r="V469" i="1"/>
  <c r="W469" i="1"/>
  <c r="CZ469" i="1"/>
  <c r="O469" i="1"/>
  <c r="CY469" i="1"/>
  <c r="BP469" i="1"/>
  <c r="DG477" i="1"/>
  <c r="R477" i="1"/>
  <c r="Q477" i="1"/>
  <c r="DA477" i="1"/>
  <c r="V477" i="1"/>
  <c r="W477" i="1"/>
  <c r="CZ477" i="1"/>
  <c r="O477" i="1"/>
  <c r="CY477" i="1"/>
  <c r="BP477" i="1"/>
  <c r="DG478" i="1"/>
  <c r="R478" i="1"/>
  <c r="Q478" i="1"/>
  <c r="DA478" i="1"/>
  <c r="V478" i="1"/>
  <c r="W478" i="1"/>
  <c r="CZ478" i="1"/>
  <c r="O478" i="1"/>
  <c r="CY478" i="1"/>
  <c r="BP478" i="1"/>
  <c r="DG486" i="1"/>
  <c r="R486" i="1"/>
  <c r="Q486" i="1"/>
  <c r="DA486" i="1"/>
  <c r="V486" i="1"/>
  <c r="W486" i="1"/>
  <c r="CZ486" i="1"/>
  <c r="O486" i="1"/>
  <c r="CY486" i="1"/>
  <c r="BP486" i="1"/>
  <c r="DG487" i="1"/>
  <c r="R487" i="1"/>
  <c r="Q487" i="1"/>
  <c r="DA487" i="1"/>
  <c r="V487" i="1"/>
  <c r="W487" i="1"/>
  <c r="CZ487" i="1"/>
  <c r="O487" i="1"/>
  <c r="CY487" i="1"/>
  <c r="BP487" i="1"/>
  <c r="DG498" i="1"/>
  <c r="R498" i="1"/>
  <c r="Q498" i="1"/>
  <c r="DA498" i="1"/>
  <c r="V498" i="1"/>
  <c r="W498" i="1"/>
  <c r="CZ498" i="1"/>
  <c r="O498" i="1"/>
  <c r="CY498" i="1"/>
  <c r="BP498" i="1"/>
  <c r="DG499" i="1"/>
  <c r="R499" i="1"/>
  <c r="Q499" i="1"/>
  <c r="DA499" i="1"/>
  <c r="V499" i="1"/>
  <c r="W499" i="1"/>
  <c r="CZ499" i="1"/>
  <c r="O499" i="1"/>
  <c r="CY499" i="1"/>
  <c r="BP499" i="1"/>
  <c r="DG504" i="1"/>
  <c r="R504" i="1"/>
  <c r="Q504" i="1"/>
  <c r="DA504" i="1"/>
  <c r="V504" i="1"/>
  <c r="W504" i="1"/>
  <c r="CZ504" i="1"/>
  <c r="O504" i="1"/>
  <c r="CY504" i="1"/>
  <c r="BP504" i="1"/>
  <c r="DG505" i="1"/>
  <c r="R505" i="1"/>
  <c r="Q505" i="1"/>
  <c r="DA505" i="1"/>
  <c r="V505" i="1"/>
  <c r="W505" i="1"/>
  <c r="CZ505" i="1"/>
  <c r="O505" i="1"/>
  <c r="CY505" i="1"/>
  <c r="BP505" i="1"/>
  <c r="DG506" i="1"/>
  <c r="R506" i="1"/>
  <c r="Q506" i="1"/>
  <c r="DA506" i="1"/>
  <c r="V506" i="1"/>
  <c r="W506" i="1"/>
  <c r="CZ506" i="1"/>
  <c r="O506" i="1"/>
  <c r="CY506" i="1"/>
  <c r="BP506" i="1"/>
  <c r="DG513" i="1"/>
  <c r="R513" i="1"/>
  <c r="Q513" i="1"/>
  <c r="DA513" i="1"/>
  <c r="V513" i="1"/>
  <c r="W513" i="1"/>
  <c r="CZ513" i="1"/>
  <c r="O513" i="1"/>
  <c r="CY513" i="1"/>
  <c r="BP513" i="1"/>
  <c r="DG514" i="1"/>
  <c r="R514" i="1"/>
  <c r="Q514" i="1"/>
  <c r="DA514" i="1"/>
  <c r="V514" i="1"/>
  <c r="W514" i="1"/>
  <c r="CZ514" i="1"/>
  <c r="O514" i="1"/>
  <c r="CY514" i="1"/>
  <c r="BP514" i="1"/>
  <c r="DG515" i="1"/>
  <c r="R515" i="1"/>
  <c r="Q515" i="1"/>
  <c r="DA515" i="1"/>
  <c r="V515" i="1"/>
  <c r="W515" i="1"/>
  <c r="CZ515" i="1"/>
  <c r="O515" i="1"/>
  <c r="CY515" i="1"/>
  <c r="BP515" i="1"/>
  <c r="DO525" i="1"/>
  <c r="DG525" i="1"/>
  <c r="R525" i="1"/>
  <c r="Q525" i="1"/>
  <c r="DA525" i="1"/>
  <c r="V525" i="1"/>
  <c r="W525" i="1"/>
  <c r="CZ525" i="1"/>
  <c r="O525" i="1"/>
  <c r="CY525" i="1"/>
  <c r="BP525" i="1"/>
  <c r="BO525" i="1"/>
  <c r="DO528" i="1"/>
  <c r="DG528" i="1"/>
  <c r="R528" i="1"/>
  <c r="Q528" i="1"/>
  <c r="DA528" i="1"/>
  <c r="V528" i="1"/>
  <c r="W528" i="1"/>
  <c r="CZ528" i="1"/>
  <c r="O528" i="1"/>
  <c r="CY528" i="1"/>
  <c r="BP528" i="1"/>
  <c r="BO528" i="1"/>
  <c r="DG529" i="1"/>
  <c r="R529" i="1"/>
  <c r="Q529" i="1"/>
  <c r="DA529" i="1"/>
  <c r="V529" i="1"/>
  <c r="W529" i="1"/>
  <c r="CZ529" i="1"/>
  <c r="O529" i="1"/>
  <c r="CY529" i="1"/>
  <c r="BP529" i="1"/>
  <c r="DG530" i="1"/>
  <c r="R530" i="1"/>
  <c r="Q530" i="1"/>
  <c r="DA530" i="1"/>
  <c r="V530" i="1"/>
  <c r="W530" i="1"/>
  <c r="CZ530" i="1"/>
  <c r="O530" i="1"/>
  <c r="CY530" i="1"/>
  <c r="BP530" i="1"/>
  <c r="DG539" i="1"/>
  <c r="R539" i="1"/>
  <c r="Q539" i="1"/>
  <c r="DA539" i="1"/>
  <c r="V539" i="1"/>
  <c r="W539" i="1"/>
  <c r="CZ539" i="1"/>
  <c r="O539" i="1"/>
  <c r="CY539" i="1"/>
  <c r="BP539" i="1"/>
  <c r="DG540" i="1"/>
  <c r="R540" i="1"/>
  <c r="Q540" i="1"/>
  <c r="DA540" i="1"/>
  <c r="V540" i="1"/>
  <c r="W540" i="1"/>
  <c r="CZ540" i="1"/>
  <c r="O540" i="1"/>
  <c r="CY540" i="1"/>
  <c r="BP540" i="1"/>
  <c r="DG547" i="1"/>
  <c r="R547" i="1"/>
  <c r="Q547" i="1"/>
  <c r="DA547" i="1"/>
  <c r="V547" i="1"/>
  <c r="W547" i="1"/>
  <c r="CZ547" i="1"/>
  <c r="O547" i="1"/>
  <c r="CY547" i="1"/>
  <c r="BP547" i="1"/>
  <c r="DG548" i="1"/>
  <c r="R548" i="1"/>
  <c r="Q548" i="1"/>
  <c r="DA548" i="1"/>
  <c r="V548" i="1"/>
  <c r="W548" i="1"/>
  <c r="CZ548" i="1"/>
  <c r="O548" i="1"/>
  <c r="CY548" i="1"/>
  <c r="BP548" i="1"/>
  <c r="DG549" i="1"/>
  <c r="R549" i="1"/>
  <c r="Q549" i="1"/>
  <c r="DA549" i="1"/>
  <c r="V549" i="1"/>
  <c r="W549" i="1"/>
  <c r="CZ549" i="1"/>
  <c r="O549" i="1"/>
  <c r="CY549" i="1"/>
  <c r="BP549" i="1"/>
  <c r="DG550" i="1"/>
  <c r="R550" i="1"/>
  <c r="Q550" i="1"/>
  <c r="DA550" i="1"/>
  <c r="V550" i="1"/>
  <c r="W550" i="1"/>
  <c r="CZ550" i="1"/>
  <c r="O550" i="1"/>
  <c r="CY550" i="1"/>
  <c r="BP550" i="1"/>
  <c r="DG557" i="1"/>
  <c r="R557" i="1"/>
  <c r="Q557" i="1"/>
  <c r="DA557" i="1"/>
  <c r="V557" i="1"/>
  <c r="W557" i="1"/>
  <c r="CZ557" i="1"/>
  <c r="O557" i="1"/>
  <c r="CY557" i="1"/>
  <c r="BP557" i="1"/>
  <c r="DG558" i="1"/>
  <c r="R558" i="1"/>
  <c r="Q558" i="1"/>
  <c r="DA558" i="1"/>
  <c r="V558" i="1"/>
  <c r="W558" i="1"/>
  <c r="CZ558" i="1"/>
  <c r="O558" i="1"/>
  <c r="CY558" i="1"/>
  <c r="BP558" i="1"/>
  <c r="DG559" i="1"/>
  <c r="R559" i="1"/>
  <c r="Q559" i="1"/>
  <c r="DA559" i="1"/>
  <c r="V559" i="1"/>
  <c r="W559" i="1"/>
  <c r="CZ559" i="1"/>
  <c r="O559" i="1"/>
  <c r="CY559" i="1"/>
  <c r="BP559" i="1"/>
  <c r="DG560" i="1"/>
  <c r="R560" i="1"/>
  <c r="Q560" i="1"/>
  <c r="DA560" i="1"/>
  <c r="V560" i="1"/>
  <c r="W560" i="1"/>
  <c r="CZ560" i="1"/>
  <c r="O560" i="1"/>
  <c r="CY560" i="1"/>
  <c r="BP560" i="1"/>
  <c r="DG570" i="1"/>
  <c r="R570" i="1"/>
  <c r="Q570" i="1"/>
  <c r="DA570" i="1"/>
  <c r="V570" i="1"/>
  <c r="W570" i="1"/>
  <c r="CZ570" i="1"/>
  <c r="O570" i="1"/>
  <c r="CY570" i="1"/>
  <c r="BP570" i="1"/>
  <c r="DG578" i="1"/>
  <c r="R578" i="1"/>
  <c r="Q578" i="1"/>
  <c r="DA578" i="1"/>
  <c r="V578" i="1"/>
  <c r="W578" i="1"/>
  <c r="CZ578" i="1"/>
  <c r="O578" i="1"/>
  <c r="CY578" i="1"/>
  <c r="BP578" i="1"/>
  <c r="DG580" i="1"/>
  <c r="R580" i="1"/>
  <c r="Q580" i="1"/>
  <c r="DA580" i="1"/>
  <c r="V580" i="1"/>
  <c r="W580" i="1"/>
  <c r="CZ580" i="1"/>
  <c r="O580" i="1"/>
  <c r="CY580" i="1"/>
  <c r="BP580" i="1"/>
  <c r="DO582" i="1"/>
  <c r="DG582" i="1"/>
  <c r="R582" i="1"/>
  <c r="Q582" i="1"/>
  <c r="DA582" i="1"/>
  <c r="V582" i="1"/>
  <c r="W582" i="1"/>
  <c r="CZ582" i="1"/>
  <c r="O582" i="1"/>
  <c r="CY582" i="1"/>
  <c r="BP582" i="1"/>
  <c r="BO582" i="1"/>
  <c r="DG585" i="1"/>
  <c r="R585" i="1"/>
  <c r="Q585" i="1"/>
  <c r="DA585" i="1"/>
  <c r="V585" i="1"/>
  <c r="W585" i="1"/>
  <c r="CZ585" i="1"/>
  <c r="O585" i="1"/>
  <c r="CY585" i="1"/>
  <c r="BP585" i="1"/>
  <c r="DG592" i="1"/>
  <c r="R592" i="1"/>
  <c r="Q592" i="1"/>
  <c r="DA592" i="1"/>
  <c r="V592" i="1"/>
  <c r="W592" i="1"/>
  <c r="CZ592" i="1"/>
  <c r="O592" i="1"/>
  <c r="CY592" i="1"/>
  <c r="BP592" i="1"/>
  <c r="DG593" i="1"/>
  <c r="R593" i="1"/>
  <c r="Q593" i="1"/>
  <c r="DA593" i="1"/>
  <c r="V593" i="1"/>
  <c r="W593" i="1"/>
  <c r="CZ593" i="1"/>
  <c r="O593" i="1"/>
  <c r="CY593" i="1"/>
  <c r="BP593" i="1"/>
  <c r="DG597" i="1"/>
  <c r="R597" i="1"/>
  <c r="Q597" i="1"/>
  <c r="DA597" i="1"/>
  <c r="V597" i="1"/>
  <c r="W597" i="1"/>
  <c r="CZ597" i="1"/>
  <c r="O597" i="1"/>
  <c r="CY597" i="1"/>
  <c r="BP597" i="1"/>
  <c r="DG598" i="1"/>
  <c r="R598" i="1"/>
  <c r="Q598" i="1"/>
  <c r="DA598" i="1"/>
  <c r="V598" i="1"/>
  <c r="W598" i="1"/>
  <c r="CZ598" i="1"/>
  <c r="O598" i="1"/>
  <c r="CY598" i="1"/>
  <c r="BP598" i="1"/>
  <c r="DG599" i="1"/>
  <c r="R599" i="1"/>
  <c r="Q599" i="1"/>
  <c r="DA599" i="1"/>
  <c r="V599" i="1"/>
  <c r="W599" i="1"/>
  <c r="CZ599" i="1"/>
  <c r="O599" i="1"/>
  <c r="CY599" i="1"/>
  <c r="BP599" i="1"/>
  <c r="DG600" i="1"/>
  <c r="R600" i="1"/>
  <c r="Q600" i="1"/>
  <c r="DA600" i="1"/>
  <c r="V600" i="1"/>
  <c r="W600" i="1"/>
  <c r="CZ600" i="1"/>
  <c r="O600" i="1"/>
  <c r="CY600" i="1"/>
  <c r="BP600" i="1"/>
  <c r="DG757" i="1"/>
  <c r="R757" i="1"/>
  <c r="Q757" i="1"/>
  <c r="DA757" i="1"/>
  <c r="V757" i="1"/>
  <c r="W757" i="1"/>
  <c r="CZ757" i="1"/>
  <c r="O757" i="1"/>
  <c r="CY757" i="1"/>
  <c r="BP757" i="1"/>
  <c r="DG911" i="1"/>
  <c r="R911" i="1"/>
  <c r="Q911" i="1"/>
  <c r="DA911" i="1"/>
  <c r="V911" i="1"/>
  <c r="W911" i="1"/>
  <c r="CZ911" i="1"/>
  <c r="O911" i="1"/>
  <c r="CY911" i="1"/>
  <c r="BP911" i="1"/>
  <c r="DG918" i="1"/>
  <c r="R918" i="1"/>
  <c r="Q918" i="1"/>
  <c r="DA918" i="1"/>
  <c r="V918" i="1"/>
  <c r="W918" i="1"/>
  <c r="CZ918" i="1"/>
  <c r="O918" i="1"/>
  <c r="CY918" i="1"/>
  <c r="BP918" i="1"/>
  <c r="DG927" i="1"/>
  <c r="R927" i="1"/>
  <c r="Q927" i="1"/>
  <c r="DA927" i="1"/>
  <c r="V927" i="1"/>
  <c r="W927" i="1"/>
  <c r="CZ927" i="1"/>
  <c r="O927" i="1"/>
  <c r="CY927" i="1"/>
  <c r="BP927" i="1"/>
  <c r="DG1006" i="1"/>
  <c r="R1006" i="1"/>
  <c r="Q1006" i="1"/>
  <c r="DA1006" i="1"/>
  <c r="V1006" i="1"/>
  <c r="W1006" i="1"/>
  <c r="CZ1006" i="1"/>
  <c r="O1006" i="1"/>
  <c r="CY1006" i="1"/>
  <c r="BP1006" i="1"/>
  <c r="DG1007" i="1"/>
  <c r="R1007" i="1"/>
  <c r="Q1007" i="1"/>
  <c r="DA1007" i="1"/>
  <c r="V1007" i="1"/>
  <c r="W1007" i="1"/>
  <c r="CZ1007" i="1"/>
  <c r="O1007" i="1"/>
  <c r="CY1007" i="1"/>
  <c r="BP1007" i="1"/>
  <c r="DG1008" i="1"/>
  <c r="R1008" i="1"/>
  <c r="Q1008" i="1"/>
  <c r="DA1008" i="1"/>
  <c r="V1008" i="1"/>
  <c r="W1008" i="1"/>
  <c r="CZ1008" i="1"/>
  <c r="O1008" i="1"/>
  <c r="CY1008" i="1"/>
  <c r="BP1008" i="1"/>
  <c r="DG1010" i="1"/>
  <c r="R1010" i="1"/>
  <c r="Q1010" i="1"/>
  <c r="DA1010" i="1"/>
  <c r="V1010" i="1"/>
  <c r="W1010" i="1"/>
  <c r="CZ1010" i="1"/>
  <c r="O1010" i="1"/>
  <c r="CY1010" i="1"/>
  <c r="BP1010" i="1"/>
  <c r="DG1016" i="1"/>
  <c r="R1016" i="1"/>
  <c r="Q1016" i="1"/>
  <c r="DA1016" i="1"/>
  <c r="V1016" i="1"/>
  <c r="W1016" i="1"/>
  <c r="CZ1016" i="1"/>
  <c r="O1016" i="1"/>
  <c r="CY1016" i="1"/>
  <c r="BP1016" i="1"/>
  <c r="DG1017" i="1"/>
  <c r="R1017" i="1"/>
  <c r="Q1017" i="1"/>
  <c r="DA1017" i="1"/>
  <c r="V1017" i="1"/>
  <c r="W1017" i="1"/>
  <c r="CZ1017" i="1"/>
  <c r="O1017" i="1"/>
  <c r="CY1017" i="1"/>
  <c r="BP1017" i="1"/>
  <c r="DG1018" i="1"/>
  <c r="R1018" i="1"/>
  <c r="Q1018" i="1"/>
  <c r="DA1018" i="1"/>
  <c r="V1018" i="1"/>
  <c r="W1018" i="1"/>
  <c r="CZ1018" i="1"/>
  <c r="O1018" i="1"/>
  <c r="CY1018" i="1"/>
  <c r="BP1018" i="1"/>
  <c r="DG1022" i="1"/>
  <c r="R1022" i="1"/>
  <c r="Q1022" i="1"/>
  <c r="DA1022" i="1"/>
  <c r="V1022" i="1"/>
  <c r="W1022" i="1"/>
  <c r="CZ1022" i="1"/>
  <c r="O1022" i="1"/>
  <c r="CY1022" i="1"/>
  <c r="BP1022" i="1"/>
  <c r="DG1036" i="1"/>
  <c r="R1036" i="1"/>
  <c r="Q1036" i="1"/>
  <c r="DA1036" i="1"/>
  <c r="V1036" i="1"/>
  <c r="W1036" i="1"/>
  <c r="CZ1036" i="1"/>
  <c r="O1036" i="1"/>
  <c r="CY1036" i="1"/>
  <c r="BP1036" i="1"/>
  <c r="DG1039" i="1"/>
  <c r="R1039" i="1"/>
  <c r="Q1039" i="1"/>
  <c r="DA1039" i="1"/>
  <c r="V1039" i="1"/>
  <c r="W1039" i="1"/>
  <c r="CZ1039" i="1"/>
  <c r="O1039" i="1"/>
  <c r="CY1039" i="1"/>
  <c r="BP1039" i="1"/>
  <c r="DG1043" i="1"/>
  <c r="R1043" i="1"/>
  <c r="Q1043" i="1"/>
  <c r="DA1043" i="1"/>
  <c r="V1043" i="1"/>
  <c r="W1043" i="1"/>
  <c r="CZ1043" i="1"/>
  <c r="O1043" i="1"/>
  <c r="CY1043" i="1"/>
  <c r="BP1043" i="1"/>
  <c r="DG1046" i="1"/>
  <c r="R1046" i="1"/>
  <c r="Q1046" i="1"/>
  <c r="DA1046" i="1"/>
  <c r="V1046" i="1"/>
  <c r="W1046" i="1"/>
  <c r="CZ1046" i="1"/>
  <c r="O1046" i="1"/>
  <c r="CY1046" i="1"/>
  <c r="BP1046" i="1"/>
  <c r="DG1056" i="1"/>
  <c r="R1056" i="1"/>
  <c r="Q1056" i="1"/>
  <c r="DA1056" i="1"/>
  <c r="V1056" i="1"/>
  <c r="W1056" i="1"/>
  <c r="CZ1056" i="1"/>
  <c r="O1056" i="1"/>
  <c r="CY1056" i="1"/>
  <c r="BP1056" i="1"/>
  <c r="DG1060" i="1"/>
  <c r="R1060" i="1"/>
  <c r="Q1060" i="1"/>
  <c r="DA1060" i="1"/>
  <c r="V1060" i="1"/>
  <c r="W1060" i="1"/>
  <c r="CZ1060" i="1"/>
  <c r="O1060" i="1"/>
  <c r="CY1060" i="1"/>
  <c r="BP1060" i="1"/>
  <c r="DG1063" i="1"/>
  <c r="R1063" i="1"/>
  <c r="Q1063" i="1"/>
  <c r="DA1063" i="1"/>
  <c r="V1063" i="1"/>
  <c r="W1063" i="1"/>
  <c r="CZ1063" i="1"/>
  <c r="O1063" i="1"/>
  <c r="CY1063" i="1"/>
  <c r="BP1063" i="1"/>
  <c r="DG1066" i="1"/>
  <c r="R1066" i="1"/>
  <c r="Q1066" i="1"/>
  <c r="DA1066" i="1"/>
  <c r="V1066" i="1"/>
  <c r="W1066" i="1"/>
  <c r="CZ1066" i="1"/>
  <c r="O1066" i="1"/>
  <c r="CY1066" i="1"/>
  <c r="BP1066" i="1"/>
  <c r="DG1079" i="1"/>
  <c r="R1079" i="1"/>
  <c r="Q1079" i="1"/>
  <c r="DA1079" i="1"/>
  <c r="V1079" i="1"/>
  <c r="W1079" i="1"/>
  <c r="CZ1079" i="1"/>
  <c r="O1079" i="1"/>
  <c r="CY1079" i="1"/>
  <c r="BP1079" i="1"/>
  <c r="DG1086" i="1"/>
  <c r="R1086" i="1"/>
  <c r="Q1086" i="1"/>
  <c r="DA1086" i="1"/>
  <c r="V1086" i="1"/>
  <c r="W1086" i="1"/>
  <c r="CZ1086" i="1"/>
  <c r="O1086" i="1"/>
  <c r="CY1086" i="1"/>
  <c r="BP1086" i="1"/>
  <c r="DG1111" i="1"/>
  <c r="R1111" i="1"/>
  <c r="Q1111" i="1"/>
  <c r="DA1111" i="1"/>
  <c r="V1111" i="1"/>
  <c r="W1111" i="1"/>
  <c r="CZ1111" i="1"/>
  <c r="O1111" i="1"/>
  <c r="CY1111" i="1"/>
  <c r="BP1111" i="1"/>
  <c r="DG1112" i="1"/>
  <c r="R1112" i="1"/>
  <c r="Q1112" i="1"/>
  <c r="DA1112" i="1"/>
  <c r="V1112" i="1"/>
  <c r="W1112" i="1"/>
  <c r="CZ1112" i="1"/>
  <c r="O1112" i="1"/>
  <c r="CY1112" i="1"/>
  <c r="BP1112" i="1"/>
  <c r="DG1117" i="1"/>
  <c r="R1117" i="1"/>
  <c r="Q1117" i="1"/>
  <c r="DA1117" i="1"/>
  <c r="V1117" i="1"/>
  <c r="W1117" i="1"/>
  <c r="CZ1117" i="1"/>
  <c r="O1117" i="1"/>
  <c r="CY1117" i="1"/>
  <c r="BP1117" i="1"/>
  <c r="DG1118" i="1"/>
  <c r="R1118" i="1"/>
  <c r="Q1118" i="1"/>
  <c r="DA1118" i="1"/>
  <c r="V1118" i="1"/>
  <c r="W1118" i="1"/>
  <c r="CZ1118" i="1"/>
  <c r="O1118" i="1"/>
  <c r="CY1118" i="1"/>
  <c r="BP1118" i="1"/>
  <c r="DG1120" i="1"/>
  <c r="R1120" i="1"/>
  <c r="Q1120" i="1"/>
  <c r="DA1120" i="1"/>
  <c r="V1120" i="1"/>
  <c r="W1120" i="1"/>
  <c r="CZ1120" i="1"/>
  <c r="O1120" i="1"/>
  <c r="CY1120" i="1"/>
  <c r="BP1120" i="1"/>
  <c r="DG1122" i="1"/>
  <c r="R1122" i="1"/>
  <c r="Q1122" i="1"/>
  <c r="DA1122" i="1"/>
  <c r="V1122" i="1"/>
  <c r="W1122" i="1"/>
  <c r="CZ1122" i="1"/>
  <c r="O1122" i="1"/>
  <c r="CY1122" i="1"/>
  <c r="BP1122" i="1"/>
  <c r="DG1123" i="1"/>
  <c r="R1123" i="1"/>
  <c r="Q1123" i="1"/>
  <c r="DA1123" i="1"/>
  <c r="V1123" i="1"/>
  <c r="W1123" i="1"/>
  <c r="CZ1123" i="1"/>
  <c r="O1123" i="1"/>
  <c r="CY1123" i="1"/>
  <c r="BP1123" i="1"/>
  <c r="DG1124" i="1"/>
  <c r="R1124" i="1"/>
  <c r="Q1124" i="1"/>
  <c r="DA1124" i="1"/>
  <c r="V1124" i="1"/>
  <c r="W1124" i="1"/>
  <c r="CZ1124" i="1"/>
  <c r="O1124" i="1"/>
  <c r="CY1124" i="1"/>
  <c r="BP1124" i="1"/>
  <c r="DG1140" i="1"/>
  <c r="R1140" i="1"/>
  <c r="Q1140" i="1"/>
  <c r="DA1140" i="1"/>
  <c r="V1140" i="1"/>
  <c r="W1140" i="1"/>
  <c r="CZ1140" i="1"/>
  <c r="O1140" i="1"/>
  <c r="CY1140" i="1"/>
  <c r="BP1140" i="1"/>
  <c r="DG1142" i="1"/>
  <c r="R1142" i="1"/>
  <c r="Q1142" i="1"/>
  <c r="DA1142" i="1"/>
  <c r="V1142" i="1"/>
  <c r="W1142" i="1"/>
  <c r="CZ1142" i="1"/>
  <c r="O1142" i="1"/>
  <c r="CY1142" i="1"/>
  <c r="BP1142" i="1"/>
  <c r="DG1148" i="1"/>
  <c r="R1148" i="1"/>
  <c r="Q1148" i="1"/>
  <c r="DA1148" i="1"/>
  <c r="V1148" i="1"/>
  <c r="W1148" i="1"/>
  <c r="CZ1148" i="1"/>
  <c r="O1148" i="1"/>
  <c r="CY1148" i="1"/>
  <c r="BP1148" i="1"/>
  <c r="DG1154" i="1"/>
  <c r="R1154" i="1"/>
  <c r="Q1154" i="1"/>
  <c r="DA1154" i="1"/>
  <c r="V1154" i="1"/>
  <c r="W1154" i="1"/>
  <c r="CZ1154" i="1"/>
  <c r="O1154" i="1"/>
  <c r="CY1154" i="1"/>
  <c r="BP1154" i="1"/>
  <c r="DG1168" i="1"/>
  <c r="R1168" i="1"/>
  <c r="Q1168" i="1"/>
  <c r="DA1168" i="1"/>
  <c r="V1168" i="1"/>
  <c r="W1168" i="1"/>
  <c r="CZ1168" i="1"/>
  <c r="O1168" i="1"/>
  <c r="CY1168" i="1"/>
  <c r="BP1168" i="1"/>
  <c r="DG1195" i="1"/>
  <c r="R1195" i="1"/>
  <c r="Q1195" i="1"/>
  <c r="DA1195" i="1"/>
  <c r="V1195" i="1"/>
  <c r="W1195" i="1"/>
  <c r="CZ1195" i="1"/>
  <c r="O1195" i="1"/>
  <c r="CY1195" i="1"/>
  <c r="BP1195" i="1"/>
  <c r="DG1200" i="1"/>
  <c r="R1200" i="1"/>
  <c r="Q1200" i="1"/>
  <c r="DA1200" i="1"/>
  <c r="V1200" i="1"/>
  <c r="W1200" i="1"/>
  <c r="CZ1200" i="1"/>
  <c r="O1200" i="1"/>
  <c r="CY1200" i="1"/>
  <c r="BP1200" i="1"/>
  <c r="DG1204" i="1"/>
  <c r="R1204" i="1"/>
  <c r="Q1204" i="1"/>
  <c r="DA1204" i="1"/>
  <c r="V1204" i="1"/>
  <c r="W1204" i="1"/>
  <c r="CZ1204" i="1"/>
  <c r="O1204" i="1"/>
  <c r="CY1204" i="1"/>
  <c r="BP1204" i="1"/>
  <c r="DG1219" i="1"/>
  <c r="R1219" i="1"/>
  <c r="Q1219" i="1"/>
  <c r="DA1219" i="1"/>
  <c r="V1219" i="1"/>
  <c r="W1219" i="1"/>
  <c r="CZ1219" i="1"/>
  <c r="O1219" i="1"/>
  <c r="CY1219" i="1"/>
  <c r="BP1219" i="1"/>
  <c r="DG1220" i="1"/>
  <c r="R1220" i="1"/>
  <c r="Q1220" i="1"/>
  <c r="DA1220" i="1"/>
  <c r="V1220" i="1"/>
  <c r="W1220" i="1"/>
  <c r="CZ1220" i="1"/>
  <c r="O1220" i="1"/>
  <c r="CY1220" i="1"/>
  <c r="BP1220" i="1"/>
  <c r="DG1221" i="1"/>
  <c r="R1221" i="1"/>
  <c r="Q1221" i="1"/>
  <c r="DA1221" i="1"/>
  <c r="V1221" i="1"/>
  <c r="W1221" i="1"/>
  <c r="CZ1221" i="1"/>
  <c r="O1221" i="1"/>
  <c r="CY1221" i="1"/>
  <c r="BP1221" i="1"/>
  <c r="DG1250" i="1"/>
  <c r="R1250" i="1"/>
  <c r="Q1250" i="1"/>
  <c r="DA1250" i="1"/>
  <c r="V1250" i="1"/>
  <c r="W1250" i="1"/>
  <c r="CZ1250" i="1"/>
  <c r="O1250" i="1"/>
  <c r="CY1250" i="1"/>
  <c r="BP1250" i="1"/>
  <c r="DG1253" i="1"/>
  <c r="R1253" i="1"/>
  <c r="Q1253" i="1"/>
  <c r="DA1253" i="1"/>
  <c r="V1253" i="1"/>
  <c r="W1253" i="1"/>
  <c r="CZ1253" i="1"/>
  <c r="O1253" i="1"/>
  <c r="CY1253" i="1"/>
  <c r="BP1253" i="1"/>
  <c r="DG1272" i="1"/>
  <c r="R1272" i="1"/>
  <c r="Q1272" i="1"/>
  <c r="DA1272" i="1"/>
  <c r="V1272" i="1"/>
  <c r="W1272" i="1"/>
  <c r="CZ1272" i="1"/>
  <c r="O1272" i="1"/>
  <c r="CY1272" i="1"/>
  <c r="BP1272" i="1"/>
  <c r="DG1280" i="1"/>
  <c r="R1280" i="1"/>
  <c r="Q1280" i="1"/>
  <c r="DA1280" i="1"/>
  <c r="V1280" i="1"/>
  <c r="W1280" i="1"/>
  <c r="CZ1280" i="1"/>
  <c r="O1280" i="1"/>
  <c r="CY1280" i="1"/>
  <c r="BP1280" i="1"/>
  <c r="DG1283" i="1"/>
  <c r="R1283" i="1"/>
  <c r="Q1283" i="1"/>
  <c r="DA1283" i="1"/>
  <c r="V1283" i="1"/>
  <c r="W1283" i="1"/>
  <c r="CZ1283" i="1"/>
  <c r="O1283" i="1"/>
  <c r="CY1283" i="1"/>
  <c r="BP1283" i="1"/>
  <c r="DG1284" i="1"/>
  <c r="R1284" i="1"/>
  <c r="Q1284" i="1"/>
  <c r="DA1284" i="1"/>
  <c r="V1284" i="1"/>
  <c r="W1284" i="1"/>
  <c r="CZ1284" i="1"/>
  <c r="O1284" i="1"/>
  <c r="CY1284" i="1"/>
  <c r="BP1284" i="1"/>
  <c r="DG1285" i="1"/>
  <c r="R1285" i="1"/>
  <c r="Q1285" i="1"/>
  <c r="DA1285" i="1"/>
  <c r="V1285" i="1"/>
  <c r="W1285" i="1"/>
  <c r="CZ1285" i="1"/>
  <c r="O1285" i="1"/>
  <c r="CY1285" i="1"/>
  <c r="BP1285" i="1"/>
  <c r="DG1286" i="1"/>
  <c r="R1286" i="1"/>
  <c r="Q1286" i="1"/>
  <c r="DA1286" i="1"/>
  <c r="V1286" i="1"/>
  <c r="W1286" i="1"/>
  <c r="CZ1286" i="1"/>
  <c r="O1286" i="1"/>
  <c r="CY1286" i="1"/>
  <c r="BP1286" i="1"/>
  <c r="DG1287" i="1"/>
  <c r="R1287" i="1"/>
  <c r="Q1287" i="1"/>
  <c r="DA1287" i="1"/>
  <c r="V1287" i="1"/>
  <c r="W1287" i="1"/>
  <c r="CZ1287" i="1"/>
  <c r="O1287" i="1"/>
  <c r="CY1287" i="1"/>
  <c r="BP1287" i="1"/>
  <c r="DG1292" i="1"/>
  <c r="R1292" i="1"/>
  <c r="Q1292" i="1"/>
  <c r="DA1292" i="1"/>
  <c r="V1292" i="1"/>
  <c r="W1292" i="1"/>
  <c r="CZ1292" i="1"/>
  <c r="O1292" i="1"/>
  <c r="CY1292" i="1"/>
  <c r="BP1292" i="1"/>
  <c r="DG1294" i="1"/>
  <c r="R1294" i="1"/>
  <c r="Q1294" i="1"/>
  <c r="DA1294" i="1"/>
  <c r="V1294" i="1"/>
  <c r="W1294" i="1"/>
  <c r="CZ1294" i="1"/>
  <c r="O1294" i="1"/>
  <c r="CY1294" i="1"/>
  <c r="BP1294" i="1"/>
  <c r="DG1303" i="1"/>
  <c r="R1303" i="1"/>
  <c r="Q1303" i="1"/>
  <c r="DA1303" i="1"/>
  <c r="V1303" i="1"/>
  <c r="W1303" i="1"/>
  <c r="CZ1303" i="1"/>
  <c r="O1303" i="1"/>
  <c r="CY1303" i="1"/>
  <c r="BP1303" i="1"/>
  <c r="DO1327" i="1"/>
  <c r="DG1327" i="1"/>
  <c r="R1327" i="1"/>
  <c r="Q1327" i="1"/>
  <c r="DA1327" i="1"/>
  <c r="V1327" i="1"/>
  <c r="W1327" i="1"/>
  <c r="CZ1327" i="1"/>
  <c r="O1327" i="1"/>
  <c r="CY1327" i="1"/>
  <c r="BP1327" i="1"/>
  <c r="BO1327" i="1"/>
  <c r="DO1328" i="1"/>
  <c r="DG1328" i="1"/>
  <c r="R1328" i="1"/>
  <c r="Q1328" i="1"/>
  <c r="DA1328" i="1"/>
  <c r="V1328" i="1"/>
  <c r="W1328" i="1"/>
  <c r="CZ1328" i="1"/>
  <c r="O1328" i="1"/>
  <c r="CY1328" i="1"/>
  <c r="BP1328" i="1"/>
  <c r="BO1328" i="1"/>
  <c r="DO1329" i="1"/>
  <c r="DG1329" i="1"/>
  <c r="R1329" i="1"/>
  <c r="Q1329" i="1"/>
  <c r="DA1329" i="1"/>
  <c r="V1329" i="1"/>
  <c r="W1329" i="1"/>
  <c r="CZ1329" i="1"/>
  <c r="O1329" i="1"/>
  <c r="CY1329" i="1"/>
  <c r="BP1329" i="1"/>
  <c r="BO1329" i="1"/>
  <c r="DO1330" i="1"/>
  <c r="DG1330" i="1"/>
  <c r="R1330" i="1"/>
  <c r="Q1330" i="1"/>
  <c r="DA1330" i="1"/>
  <c r="V1330" i="1"/>
  <c r="W1330" i="1"/>
  <c r="CZ1330" i="1"/>
  <c r="O1330" i="1"/>
  <c r="CY1330" i="1"/>
  <c r="BP1330" i="1"/>
  <c r="BO1330" i="1"/>
  <c r="DG1342" i="1"/>
  <c r="R1342" i="1"/>
  <c r="Q1342" i="1"/>
  <c r="DA1342" i="1"/>
  <c r="V1342" i="1"/>
  <c r="W1342" i="1"/>
  <c r="CZ1342" i="1"/>
  <c r="O1342" i="1"/>
  <c r="CY1342" i="1"/>
  <c r="BP1342" i="1"/>
  <c r="DG1343" i="1"/>
  <c r="R1343" i="1"/>
  <c r="Q1343" i="1"/>
  <c r="DA1343" i="1"/>
  <c r="V1343" i="1"/>
  <c r="W1343" i="1"/>
  <c r="CZ1343" i="1"/>
  <c r="O1343" i="1"/>
  <c r="CY1343" i="1"/>
  <c r="BP1343" i="1"/>
  <c r="DG1355" i="1"/>
  <c r="R1355" i="1"/>
  <c r="Q1355" i="1"/>
  <c r="DA1355" i="1"/>
  <c r="V1355" i="1"/>
  <c r="W1355" i="1"/>
  <c r="CZ1355" i="1"/>
  <c r="O1355" i="1"/>
  <c r="CY1355" i="1"/>
  <c r="BP1355" i="1"/>
  <c r="DG1382" i="1"/>
  <c r="R1382" i="1"/>
  <c r="Q1382" i="1"/>
  <c r="DA1382" i="1"/>
  <c r="V1382" i="1"/>
  <c r="W1382" i="1"/>
  <c r="CZ1382" i="1"/>
  <c r="O1382" i="1"/>
  <c r="CY1382" i="1"/>
  <c r="BP1382" i="1"/>
  <c r="DO1387" i="1"/>
  <c r="DG1387" i="1"/>
  <c r="R1387" i="1"/>
  <c r="Q1387" i="1"/>
  <c r="DA1387" i="1"/>
  <c r="V1387" i="1"/>
  <c r="W1387" i="1"/>
  <c r="CZ1387" i="1"/>
  <c r="O1387" i="1"/>
  <c r="CY1387" i="1"/>
  <c r="BP1387" i="1"/>
  <c r="BO1387" i="1"/>
  <c r="DO1388" i="1"/>
  <c r="DG1388" i="1"/>
  <c r="R1388" i="1"/>
  <c r="Q1388" i="1"/>
  <c r="DA1388" i="1"/>
  <c r="V1388" i="1"/>
  <c r="W1388" i="1"/>
  <c r="CZ1388" i="1"/>
  <c r="O1388" i="1"/>
  <c r="CY1388" i="1"/>
  <c r="BP1388" i="1"/>
  <c r="BO1388" i="1"/>
  <c r="DG1392" i="1"/>
  <c r="R1392" i="1"/>
  <c r="Q1392" i="1"/>
  <c r="DA1392" i="1"/>
  <c r="V1392" i="1"/>
  <c r="W1392" i="1"/>
  <c r="CZ1392" i="1"/>
  <c r="O1392" i="1"/>
  <c r="CY1392" i="1"/>
  <c r="BP1392" i="1"/>
  <c r="DG1393" i="1"/>
  <c r="R1393" i="1"/>
  <c r="Q1393" i="1"/>
  <c r="DA1393" i="1"/>
  <c r="V1393" i="1"/>
  <c r="W1393" i="1"/>
  <c r="CZ1393" i="1"/>
  <c r="O1393" i="1"/>
  <c r="CY1393" i="1"/>
  <c r="BP1393" i="1"/>
  <c r="DG1394" i="1"/>
  <c r="R1394" i="1"/>
  <c r="Q1394" i="1"/>
  <c r="DA1394" i="1"/>
  <c r="V1394" i="1"/>
  <c r="W1394" i="1"/>
  <c r="CZ1394" i="1"/>
  <c r="O1394" i="1"/>
  <c r="CY1394" i="1"/>
  <c r="BP1394" i="1"/>
  <c r="DG1434" i="1"/>
  <c r="R1434" i="1"/>
  <c r="Q1434" i="1"/>
  <c r="DA1434" i="1"/>
  <c r="V1434" i="1"/>
  <c r="W1434" i="1"/>
  <c r="CZ1434" i="1"/>
  <c r="O1434" i="1"/>
  <c r="CY1434" i="1"/>
  <c r="BP1434" i="1"/>
  <c r="DG1435" i="1"/>
  <c r="R1435" i="1"/>
  <c r="Q1435" i="1"/>
  <c r="DA1435" i="1"/>
  <c r="V1435" i="1"/>
  <c r="W1435" i="1"/>
  <c r="CZ1435" i="1"/>
  <c r="O1435" i="1"/>
  <c r="CY1435" i="1"/>
  <c r="BP1435" i="1"/>
  <c r="DG1491" i="1"/>
  <c r="R1491" i="1"/>
  <c r="Q1491" i="1"/>
  <c r="DA1491" i="1"/>
  <c r="V1491" i="1"/>
  <c r="W1491" i="1"/>
  <c r="CZ1491" i="1"/>
  <c r="O1491" i="1"/>
  <c r="CY1491" i="1"/>
  <c r="BP1491" i="1"/>
  <c r="DG1500" i="1"/>
  <c r="R1500" i="1"/>
  <c r="Q1500" i="1"/>
  <c r="DA1500" i="1"/>
  <c r="V1500" i="1"/>
  <c r="W1500" i="1"/>
  <c r="CZ1500" i="1"/>
  <c r="O1500" i="1"/>
  <c r="CY1500" i="1"/>
  <c r="BP1500" i="1"/>
  <c r="DO456" i="1"/>
  <c r="R456" i="1"/>
  <c r="Q456" i="1"/>
  <c r="DA456" i="1"/>
  <c r="W456" i="1"/>
  <c r="CZ456" i="1"/>
  <c r="O456" i="1"/>
  <c r="BP456" i="1"/>
  <c r="BO456" i="1"/>
  <c r="DO497" i="1"/>
  <c r="R497" i="1"/>
  <c r="Q497" i="1"/>
  <c r="DA497" i="1"/>
  <c r="W497" i="1"/>
  <c r="CZ497" i="1"/>
  <c r="O497" i="1"/>
  <c r="BP497" i="1"/>
  <c r="BO497" i="1"/>
  <c r="DO1385" i="1"/>
  <c r="R1385" i="1"/>
  <c r="Q1385" i="1"/>
  <c r="DA1385" i="1"/>
  <c r="W1385" i="1"/>
  <c r="CZ1385" i="1"/>
  <c r="O1385" i="1"/>
  <c r="BP1385" i="1"/>
  <c r="BO1385" i="1"/>
  <c r="DO1386" i="1"/>
  <c r="R1386" i="1"/>
  <c r="Q1386" i="1"/>
  <c r="DA1386" i="1"/>
  <c r="W1386" i="1"/>
  <c r="CZ1386" i="1"/>
  <c r="O1386" i="1"/>
  <c r="BP1386" i="1"/>
  <c r="BO1386" i="1"/>
  <c r="DG1119" i="1"/>
  <c r="R1119" i="1"/>
  <c r="Q1119" i="1"/>
  <c r="DA1119" i="1"/>
  <c r="V1119" i="1"/>
  <c r="W1119" i="1"/>
  <c r="CZ1119" i="1"/>
  <c r="O1119" i="1"/>
  <c r="CY1119" i="1"/>
  <c r="BP1119" i="1"/>
  <c r="DO740" i="1"/>
  <c r="R740" i="1"/>
  <c r="Q740" i="1"/>
  <c r="DA740" i="1"/>
  <c r="W740" i="1"/>
  <c r="CZ740" i="1"/>
  <c r="O740" i="1"/>
  <c r="BP740" i="1"/>
  <c r="BO740" i="1"/>
  <c r="DO742" i="1"/>
  <c r="R742" i="1"/>
  <c r="Q742" i="1"/>
  <c r="DA742" i="1"/>
  <c r="W742" i="1"/>
  <c r="CZ742" i="1"/>
  <c r="O742" i="1"/>
  <c r="BP742" i="1"/>
  <c r="BO742" i="1"/>
  <c r="DO743" i="1"/>
  <c r="R743" i="1"/>
  <c r="Q743" i="1"/>
  <c r="DA743" i="1"/>
  <c r="W743" i="1"/>
  <c r="CZ743" i="1"/>
  <c r="O743" i="1"/>
  <c r="BP743" i="1"/>
  <c r="BO743" i="1"/>
  <c r="DO877" i="1"/>
  <c r="R877" i="1"/>
  <c r="Q877" i="1"/>
  <c r="DA877" i="1"/>
  <c r="W877" i="1"/>
  <c r="CZ877" i="1"/>
  <c r="O877" i="1"/>
  <c r="BP877" i="1"/>
  <c r="BO877" i="1"/>
  <c r="DO876" i="1"/>
  <c r="R876" i="1"/>
  <c r="Q876" i="1"/>
  <c r="DA876" i="1"/>
  <c r="W876" i="1"/>
  <c r="CZ876" i="1"/>
  <c r="O876" i="1"/>
  <c r="BP876" i="1"/>
  <c r="BO876" i="1"/>
  <c r="DO875" i="1"/>
  <c r="R875" i="1"/>
  <c r="Q875" i="1"/>
  <c r="DA875" i="1"/>
  <c r="W875" i="1"/>
  <c r="CZ875" i="1"/>
  <c r="O875" i="1"/>
  <c r="BP875" i="1"/>
  <c r="BO875" i="1"/>
  <c r="DO744" i="1"/>
  <c r="R744" i="1"/>
  <c r="Q744" i="1"/>
  <c r="DA744" i="1"/>
  <c r="W744" i="1"/>
  <c r="CZ744" i="1"/>
  <c r="O744" i="1"/>
  <c r="BP744" i="1"/>
  <c r="BO744" i="1"/>
  <c r="DO745" i="1"/>
  <c r="R745" i="1"/>
  <c r="Q745" i="1"/>
  <c r="DA745" i="1"/>
  <c r="W745" i="1"/>
  <c r="CZ745" i="1"/>
  <c r="O745" i="1"/>
  <c r="BP745" i="1"/>
  <c r="BO745" i="1"/>
  <c r="DO746" i="1"/>
  <c r="R746" i="1"/>
  <c r="Q746" i="1"/>
  <c r="DA746" i="1"/>
  <c r="W746" i="1"/>
  <c r="CZ746" i="1"/>
  <c r="O746" i="1"/>
  <c r="BP746" i="1"/>
  <c r="BO746" i="1"/>
  <c r="DO747" i="1"/>
  <c r="R747" i="1"/>
  <c r="Q747" i="1"/>
  <c r="DA747" i="1"/>
  <c r="W747" i="1"/>
  <c r="CZ747" i="1"/>
  <c r="O747" i="1"/>
  <c r="BP747" i="1"/>
  <c r="BO747" i="1"/>
  <c r="DO748" i="1"/>
  <c r="R748" i="1"/>
  <c r="Q748" i="1"/>
  <c r="DA748" i="1"/>
  <c r="W748" i="1"/>
  <c r="CZ748" i="1"/>
  <c r="O748" i="1"/>
  <c r="BP748" i="1"/>
  <c r="BO748" i="1"/>
  <c r="DO758" i="1"/>
  <c r="R758" i="1"/>
  <c r="Q758" i="1"/>
  <c r="DA758" i="1"/>
  <c r="W758" i="1"/>
  <c r="CZ758" i="1"/>
  <c r="O758" i="1"/>
  <c r="BP758" i="1"/>
  <c r="BO758" i="1"/>
  <c r="DO874" i="1"/>
  <c r="R874" i="1"/>
  <c r="Q874" i="1"/>
  <c r="DA874" i="1"/>
  <c r="W874" i="1"/>
  <c r="CZ874" i="1"/>
  <c r="O874" i="1"/>
  <c r="BP874" i="1"/>
  <c r="BO874" i="1"/>
  <c r="DO759" i="1"/>
  <c r="R759" i="1"/>
  <c r="Q759" i="1"/>
  <c r="DA759" i="1"/>
  <c r="W759" i="1"/>
  <c r="CZ759" i="1"/>
  <c r="O759" i="1"/>
  <c r="BP759" i="1"/>
  <c r="BO759" i="1"/>
  <c r="DO760" i="1"/>
  <c r="R760" i="1"/>
  <c r="Q760" i="1"/>
  <c r="DA760" i="1"/>
  <c r="W760" i="1"/>
  <c r="CZ760" i="1"/>
  <c r="O760" i="1"/>
  <c r="BP760" i="1"/>
  <c r="BO760" i="1"/>
  <c r="DO762" i="1"/>
  <c r="R762" i="1"/>
  <c r="Q762" i="1"/>
  <c r="DA762" i="1"/>
  <c r="W762" i="1"/>
  <c r="CZ762" i="1"/>
  <c r="O762" i="1"/>
  <c r="BP762" i="1"/>
  <c r="BO762" i="1"/>
  <c r="DO763" i="1"/>
  <c r="R763" i="1"/>
  <c r="Q763" i="1"/>
  <c r="DA763" i="1"/>
  <c r="W763" i="1"/>
  <c r="CZ763" i="1"/>
  <c r="O763" i="1"/>
  <c r="BP763" i="1"/>
  <c r="BO763" i="1"/>
  <c r="DO764" i="1"/>
  <c r="R764" i="1"/>
  <c r="Q764" i="1"/>
  <c r="DA764" i="1"/>
  <c r="W764" i="1"/>
  <c r="CZ764" i="1"/>
  <c r="O764" i="1"/>
  <c r="BP764" i="1"/>
  <c r="BO764" i="1"/>
  <c r="DO765" i="1"/>
  <c r="R765" i="1"/>
  <c r="Q765" i="1"/>
  <c r="DA765" i="1"/>
  <c r="W765" i="1"/>
  <c r="CZ765" i="1"/>
  <c r="O765" i="1"/>
  <c r="BP765" i="1"/>
  <c r="BO765" i="1"/>
  <c r="DO798" i="1"/>
  <c r="R798" i="1"/>
  <c r="Q798" i="1"/>
  <c r="DA798" i="1"/>
  <c r="W798" i="1"/>
  <c r="CZ798" i="1"/>
  <c r="O798" i="1"/>
  <c r="BP798" i="1"/>
  <c r="BO798" i="1"/>
  <c r="DO799" i="1"/>
  <c r="R799" i="1"/>
  <c r="Q799" i="1"/>
  <c r="DA799" i="1"/>
  <c r="W799" i="1"/>
  <c r="CZ799" i="1"/>
  <c r="O799" i="1"/>
  <c r="BP799" i="1"/>
  <c r="BO799" i="1"/>
  <c r="DO830" i="1"/>
  <c r="R830" i="1"/>
  <c r="Q830" i="1"/>
  <c r="DA830" i="1"/>
  <c r="W830" i="1"/>
  <c r="CZ830" i="1"/>
  <c r="O830" i="1"/>
  <c r="BP830" i="1"/>
  <c r="BO830" i="1"/>
  <c r="DO831" i="1"/>
  <c r="R831" i="1"/>
  <c r="Q831" i="1"/>
  <c r="DA831" i="1"/>
  <c r="W831" i="1"/>
  <c r="CZ831" i="1"/>
  <c r="O831" i="1"/>
  <c r="BP831" i="1"/>
  <c r="BO831" i="1"/>
  <c r="DO832" i="1"/>
  <c r="R832" i="1"/>
  <c r="Q832" i="1"/>
  <c r="DA832" i="1"/>
  <c r="W832" i="1"/>
  <c r="CZ832" i="1"/>
  <c r="O832" i="1"/>
  <c r="BP832" i="1"/>
  <c r="BO832" i="1"/>
  <c r="DO833" i="1"/>
  <c r="R833" i="1"/>
  <c r="Q833" i="1"/>
  <c r="DA833" i="1"/>
  <c r="W833" i="1"/>
  <c r="CZ833" i="1"/>
  <c r="O833" i="1"/>
  <c r="BP833" i="1"/>
  <c r="BO833" i="1"/>
  <c r="DO834" i="1"/>
  <c r="R834" i="1"/>
  <c r="Q834" i="1"/>
  <c r="DA834" i="1"/>
  <c r="W834" i="1"/>
  <c r="CZ834" i="1"/>
  <c r="O834" i="1"/>
  <c r="BP834" i="1"/>
  <c r="BO834" i="1"/>
  <c r="DO835" i="1"/>
  <c r="R835" i="1"/>
  <c r="Q835" i="1"/>
  <c r="DA835" i="1"/>
  <c r="W835" i="1"/>
  <c r="CZ835" i="1"/>
  <c r="O835" i="1"/>
  <c r="BP835" i="1"/>
  <c r="BO835" i="1"/>
  <c r="DO836" i="1"/>
  <c r="R836" i="1"/>
  <c r="Q836" i="1"/>
  <c r="DA836" i="1"/>
  <c r="W836" i="1"/>
  <c r="CZ836" i="1"/>
  <c r="O836" i="1"/>
  <c r="BP836" i="1"/>
  <c r="BO836" i="1"/>
  <c r="DO837" i="1"/>
  <c r="R837" i="1"/>
  <c r="Q837" i="1"/>
  <c r="DA837" i="1"/>
  <c r="W837" i="1"/>
  <c r="CZ837" i="1"/>
  <c r="O837" i="1"/>
  <c r="BP837" i="1"/>
  <c r="BO837" i="1"/>
  <c r="DO838" i="1"/>
  <c r="R838" i="1"/>
  <c r="Q838" i="1"/>
  <c r="DA838" i="1"/>
  <c r="W838" i="1"/>
  <c r="CZ838" i="1"/>
  <c r="O838" i="1"/>
  <c r="BP838" i="1"/>
  <c r="BO838" i="1"/>
  <c r="DO878" i="1"/>
  <c r="R878" i="1"/>
  <c r="Q878" i="1"/>
  <c r="DA878" i="1"/>
  <c r="W878" i="1"/>
  <c r="CZ878" i="1"/>
  <c r="O878" i="1"/>
  <c r="BP878" i="1"/>
  <c r="BO878" i="1"/>
  <c r="DO879" i="1"/>
  <c r="R879" i="1"/>
  <c r="Q879" i="1"/>
  <c r="DA879" i="1"/>
  <c r="W879" i="1"/>
  <c r="CZ879" i="1"/>
  <c r="O879" i="1"/>
  <c r="BP879" i="1"/>
  <c r="BO879" i="1"/>
  <c r="DO873" i="1"/>
  <c r="R873" i="1"/>
  <c r="Q873" i="1"/>
  <c r="DA873" i="1"/>
  <c r="W873" i="1"/>
  <c r="CZ873" i="1"/>
  <c r="O873" i="1"/>
  <c r="BP873" i="1"/>
  <c r="BO873" i="1"/>
  <c r="DO901" i="1"/>
  <c r="R901" i="1"/>
  <c r="Q901" i="1"/>
  <c r="DA901" i="1"/>
  <c r="W901" i="1"/>
  <c r="CZ901" i="1"/>
  <c r="O901" i="1"/>
  <c r="BP901" i="1"/>
  <c r="BO901" i="1"/>
  <c r="DO902" i="1"/>
  <c r="R902" i="1"/>
  <c r="Q902" i="1"/>
  <c r="DA902" i="1"/>
  <c r="W902" i="1"/>
  <c r="CZ902" i="1"/>
  <c r="O902" i="1"/>
  <c r="BP902" i="1"/>
  <c r="BO902" i="1"/>
  <c r="DO903" i="1"/>
  <c r="R903" i="1"/>
  <c r="Q903" i="1"/>
  <c r="DA903" i="1"/>
  <c r="W903" i="1"/>
  <c r="CZ903" i="1"/>
  <c r="O903" i="1"/>
  <c r="BP903" i="1"/>
  <c r="BO903" i="1"/>
  <c r="DO872" i="1"/>
  <c r="R872" i="1"/>
  <c r="Q872" i="1"/>
  <c r="DA872" i="1"/>
  <c r="W872" i="1"/>
  <c r="CZ872" i="1"/>
  <c r="O872" i="1"/>
  <c r="BP872" i="1"/>
  <c r="BO872" i="1"/>
  <c r="DO613" i="1"/>
  <c r="R613" i="1"/>
  <c r="Q613" i="1"/>
  <c r="DA613" i="1"/>
  <c r="W613" i="1"/>
  <c r="CZ613" i="1"/>
  <c r="O613" i="1"/>
  <c r="BP613" i="1"/>
  <c r="BO613" i="1"/>
  <c r="DO612" i="1"/>
  <c r="R612" i="1"/>
  <c r="Q612" i="1"/>
  <c r="DA612" i="1"/>
  <c r="W612" i="1"/>
  <c r="CZ612" i="1"/>
  <c r="O612" i="1"/>
  <c r="BP612" i="1"/>
  <c r="BO612" i="1"/>
  <c r="DO611" i="1"/>
  <c r="R611" i="1"/>
  <c r="Q611" i="1"/>
  <c r="DA611" i="1"/>
  <c r="W611" i="1"/>
  <c r="CZ611" i="1"/>
  <c r="O611" i="1"/>
  <c r="BP611" i="1"/>
  <c r="BO611" i="1"/>
  <c r="DO610" i="1"/>
  <c r="R610" i="1"/>
  <c r="Q610" i="1"/>
  <c r="DA610" i="1"/>
  <c r="W610" i="1"/>
  <c r="CZ610" i="1"/>
  <c r="O610" i="1"/>
  <c r="BP610" i="1"/>
  <c r="BO610" i="1"/>
  <c r="DO609" i="1"/>
  <c r="R609" i="1"/>
  <c r="Q609" i="1"/>
  <c r="DA609" i="1"/>
  <c r="W609" i="1"/>
  <c r="CZ609" i="1"/>
  <c r="O609" i="1"/>
  <c r="BP609" i="1"/>
  <c r="BO609" i="1"/>
  <c r="DO608" i="1"/>
  <c r="R608" i="1"/>
  <c r="Q608" i="1"/>
  <c r="DA608" i="1"/>
  <c r="W608" i="1"/>
  <c r="CZ608" i="1"/>
  <c r="O608" i="1"/>
  <c r="BP608" i="1"/>
  <c r="BO608" i="1"/>
  <c r="DO607" i="1"/>
  <c r="R607" i="1"/>
  <c r="Q607" i="1"/>
  <c r="DA607" i="1"/>
  <c r="W607" i="1"/>
  <c r="CZ607" i="1"/>
  <c r="O607" i="1"/>
  <c r="BP607" i="1"/>
  <c r="BO607" i="1"/>
  <c r="DO606" i="1"/>
  <c r="R606" i="1"/>
  <c r="Q606" i="1"/>
  <c r="DA606" i="1"/>
  <c r="W606" i="1"/>
  <c r="CZ606" i="1"/>
  <c r="O606" i="1"/>
  <c r="BP606" i="1"/>
  <c r="BO606" i="1"/>
  <c r="DO605" i="1"/>
  <c r="R605" i="1"/>
  <c r="Q605" i="1"/>
  <c r="DA605" i="1"/>
  <c r="W605" i="1"/>
  <c r="CZ605" i="1"/>
  <c r="O605" i="1"/>
  <c r="BP605" i="1"/>
  <c r="BO605" i="1"/>
  <c r="DO604" i="1"/>
  <c r="R604" i="1"/>
  <c r="Q604" i="1"/>
  <c r="DA604" i="1"/>
  <c r="W604" i="1"/>
  <c r="CZ604" i="1"/>
  <c r="O604" i="1"/>
  <c r="BP604" i="1"/>
  <c r="BO604" i="1"/>
  <c r="DO871" i="1"/>
  <c r="R871" i="1"/>
  <c r="Q871" i="1"/>
  <c r="DA871" i="1"/>
  <c r="W871" i="1"/>
  <c r="CZ871" i="1"/>
  <c r="O871" i="1"/>
  <c r="BP871" i="1"/>
  <c r="BO871" i="1"/>
  <c r="DO863" i="1"/>
  <c r="R863" i="1"/>
  <c r="Q863" i="1"/>
  <c r="DA863" i="1"/>
  <c r="W863" i="1"/>
  <c r="CZ863" i="1"/>
  <c r="O863" i="1"/>
  <c r="BP863" i="1"/>
  <c r="BO863" i="1"/>
  <c r="DO862" i="1"/>
  <c r="R862" i="1"/>
  <c r="Q862" i="1"/>
  <c r="DA862" i="1"/>
  <c r="W862" i="1"/>
  <c r="CZ862" i="1"/>
  <c r="O862" i="1"/>
  <c r="BP862" i="1"/>
  <c r="BO862" i="1"/>
  <c r="DO861" i="1"/>
  <c r="R861" i="1"/>
  <c r="Q861" i="1"/>
  <c r="DA861" i="1"/>
  <c r="W861" i="1"/>
  <c r="CZ861" i="1"/>
  <c r="O861" i="1"/>
  <c r="BP861" i="1"/>
  <c r="BO861" i="1"/>
  <c r="DO860" i="1"/>
  <c r="R860" i="1"/>
  <c r="Q860" i="1"/>
  <c r="DA860" i="1"/>
  <c r="W860" i="1"/>
  <c r="CZ860" i="1"/>
  <c r="O860" i="1"/>
  <c r="BP860" i="1"/>
  <c r="BO860" i="1"/>
  <c r="DO859" i="1"/>
  <c r="R859" i="1"/>
  <c r="Q859" i="1"/>
  <c r="DA859" i="1"/>
  <c r="W859" i="1"/>
  <c r="CZ859" i="1"/>
  <c r="O859" i="1"/>
  <c r="BP859" i="1"/>
  <c r="BO859" i="1"/>
  <c r="DO858" i="1"/>
  <c r="R858" i="1"/>
  <c r="Q858" i="1"/>
  <c r="DA858" i="1"/>
  <c r="W858" i="1"/>
  <c r="CZ858" i="1"/>
  <c r="O858" i="1"/>
  <c r="BP858" i="1"/>
  <c r="BO858" i="1"/>
  <c r="DO640" i="1"/>
  <c r="DG640" i="1"/>
  <c r="R640" i="1"/>
  <c r="Q640" i="1"/>
  <c r="DA640" i="1"/>
  <c r="V640" i="1"/>
  <c r="W640" i="1"/>
  <c r="CZ640" i="1"/>
  <c r="O640" i="1"/>
  <c r="CY640" i="1"/>
  <c r="BP640" i="1"/>
  <c r="BO640" i="1"/>
  <c r="DO641" i="1"/>
  <c r="DG641" i="1"/>
  <c r="R641" i="1"/>
  <c r="Q641" i="1"/>
  <c r="DA641" i="1"/>
  <c r="V641" i="1"/>
  <c r="W641" i="1"/>
  <c r="CZ641" i="1"/>
  <c r="O641" i="1"/>
  <c r="CY641" i="1"/>
  <c r="BP641" i="1"/>
  <c r="BO641" i="1"/>
  <c r="DO642" i="1"/>
  <c r="DG642" i="1"/>
  <c r="R642" i="1"/>
  <c r="Q642" i="1"/>
  <c r="DA642" i="1"/>
  <c r="V642" i="1"/>
  <c r="W642" i="1"/>
  <c r="CZ642" i="1"/>
  <c r="O642" i="1"/>
  <c r="CY642" i="1"/>
  <c r="BP642" i="1"/>
  <c r="BO642" i="1"/>
  <c r="DO685" i="1"/>
  <c r="DG685" i="1"/>
  <c r="R685" i="1"/>
  <c r="Q685" i="1"/>
  <c r="DA685" i="1"/>
  <c r="V685" i="1"/>
  <c r="W685" i="1"/>
  <c r="CZ685" i="1"/>
  <c r="O685" i="1"/>
  <c r="CY685" i="1"/>
  <c r="BP685" i="1"/>
  <c r="BO685" i="1"/>
  <c r="DO686" i="1"/>
  <c r="DG686" i="1"/>
  <c r="R686" i="1"/>
  <c r="Q686" i="1"/>
  <c r="DA686" i="1"/>
  <c r="V686" i="1"/>
  <c r="W686" i="1"/>
  <c r="CZ686" i="1"/>
  <c r="O686" i="1"/>
  <c r="CY686" i="1"/>
  <c r="BP686" i="1"/>
  <c r="BO686" i="1"/>
  <c r="DO687" i="1"/>
  <c r="DG687" i="1"/>
  <c r="R687" i="1"/>
  <c r="Q687" i="1"/>
  <c r="DA687" i="1"/>
  <c r="V687" i="1"/>
  <c r="W687" i="1"/>
  <c r="CZ687" i="1"/>
  <c r="O687" i="1"/>
  <c r="CY687" i="1"/>
  <c r="BP687" i="1"/>
  <c r="BO687" i="1"/>
  <c r="DO688" i="1"/>
  <c r="DG688" i="1"/>
  <c r="R688" i="1"/>
  <c r="Q688" i="1"/>
  <c r="DA688" i="1"/>
  <c r="V688" i="1"/>
  <c r="W688" i="1"/>
  <c r="CZ688" i="1"/>
  <c r="O688" i="1"/>
  <c r="CY688" i="1"/>
  <c r="BP688" i="1"/>
  <c r="BO688" i="1"/>
  <c r="DO689" i="1"/>
  <c r="DG689" i="1"/>
  <c r="R689" i="1"/>
  <c r="Q689" i="1"/>
  <c r="DA689" i="1"/>
  <c r="V689" i="1"/>
  <c r="W689" i="1"/>
  <c r="CZ689" i="1"/>
  <c r="O689" i="1"/>
  <c r="CY689" i="1"/>
  <c r="BP689" i="1"/>
  <c r="BO689" i="1"/>
  <c r="DO766" i="1"/>
  <c r="DG766" i="1"/>
  <c r="R766" i="1"/>
  <c r="Q766" i="1"/>
  <c r="DA766" i="1"/>
  <c r="V766" i="1"/>
  <c r="W766" i="1"/>
  <c r="CZ766" i="1"/>
  <c r="O766" i="1"/>
  <c r="CY766" i="1"/>
  <c r="BP766" i="1"/>
  <c r="BO766" i="1"/>
  <c r="DO767" i="1"/>
  <c r="DG767" i="1"/>
  <c r="R767" i="1"/>
  <c r="Q767" i="1"/>
  <c r="DA767" i="1"/>
  <c r="V767" i="1"/>
  <c r="W767" i="1"/>
  <c r="CZ767" i="1"/>
  <c r="O767" i="1"/>
  <c r="CY767" i="1"/>
  <c r="BP767" i="1"/>
  <c r="BO767" i="1"/>
  <c r="DO768" i="1"/>
  <c r="DG768" i="1"/>
  <c r="R768" i="1"/>
  <c r="Q768" i="1"/>
  <c r="DA768" i="1"/>
  <c r="V768" i="1"/>
  <c r="W768" i="1"/>
  <c r="CZ768" i="1"/>
  <c r="O768" i="1"/>
  <c r="CY768" i="1"/>
  <c r="BP768" i="1"/>
  <c r="BO768" i="1"/>
  <c r="DO769" i="1"/>
  <c r="DG769" i="1"/>
  <c r="R769" i="1"/>
  <c r="Q769" i="1"/>
  <c r="DA769" i="1"/>
  <c r="V769" i="1"/>
  <c r="W769" i="1"/>
  <c r="CZ769" i="1"/>
  <c r="O769" i="1"/>
  <c r="CY769" i="1"/>
  <c r="BP769" i="1"/>
  <c r="BO769" i="1"/>
  <c r="DO770" i="1"/>
  <c r="DG770" i="1"/>
  <c r="R770" i="1"/>
  <c r="Q770" i="1"/>
  <c r="DA770" i="1"/>
  <c r="V770" i="1"/>
  <c r="W770" i="1"/>
  <c r="CZ770" i="1"/>
  <c r="O770" i="1"/>
  <c r="CY770" i="1"/>
  <c r="BP770" i="1"/>
  <c r="BO770" i="1"/>
  <c r="DO771" i="1"/>
  <c r="DG771" i="1"/>
  <c r="R771" i="1"/>
  <c r="Q771" i="1"/>
  <c r="DA771" i="1"/>
  <c r="V771" i="1"/>
  <c r="W771" i="1"/>
  <c r="CZ771" i="1"/>
  <c r="O771" i="1"/>
  <c r="CY771" i="1"/>
  <c r="BP771" i="1"/>
  <c r="BO771" i="1"/>
  <c r="DO772" i="1"/>
  <c r="DG772" i="1"/>
  <c r="R772" i="1"/>
  <c r="Q772" i="1"/>
  <c r="DA772" i="1"/>
  <c r="V772" i="1"/>
  <c r="W772" i="1"/>
  <c r="CZ772" i="1"/>
  <c r="O772" i="1"/>
  <c r="CY772" i="1"/>
  <c r="BP772" i="1"/>
  <c r="BO772" i="1"/>
  <c r="DO773" i="1"/>
  <c r="DG773" i="1"/>
  <c r="R773" i="1"/>
  <c r="Q773" i="1"/>
  <c r="DA773" i="1"/>
  <c r="V773" i="1"/>
  <c r="W773" i="1"/>
  <c r="CZ773" i="1"/>
  <c r="O773" i="1"/>
  <c r="CY773" i="1"/>
  <c r="BP773" i="1"/>
  <c r="BO773" i="1"/>
  <c r="DO774" i="1"/>
  <c r="DG774" i="1"/>
  <c r="R774" i="1"/>
  <c r="Q774" i="1"/>
  <c r="DA774" i="1"/>
  <c r="V774" i="1"/>
  <c r="W774" i="1"/>
  <c r="CZ774" i="1"/>
  <c r="O774" i="1"/>
  <c r="CY774" i="1"/>
  <c r="BP774" i="1"/>
  <c r="BO774" i="1"/>
  <c r="DO775" i="1"/>
  <c r="DG775" i="1"/>
  <c r="R775" i="1"/>
  <c r="Q775" i="1"/>
  <c r="DA775" i="1"/>
  <c r="V775" i="1"/>
  <c r="W775" i="1"/>
  <c r="CZ775" i="1"/>
  <c r="O775" i="1"/>
  <c r="CY775" i="1"/>
  <c r="BP775" i="1"/>
  <c r="BO775" i="1"/>
  <c r="DO776" i="1"/>
  <c r="DG776" i="1"/>
  <c r="R776" i="1"/>
  <c r="Q776" i="1"/>
  <c r="DA776" i="1"/>
  <c r="V776" i="1"/>
  <c r="W776" i="1"/>
  <c r="CZ776" i="1"/>
  <c r="O776" i="1"/>
  <c r="CY776" i="1"/>
  <c r="BP776" i="1"/>
  <c r="BO776" i="1"/>
  <c r="DO777" i="1"/>
  <c r="DG777" i="1"/>
  <c r="R777" i="1"/>
  <c r="Q777" i="1"/>
  <c r="DA777" i="1"/>
  <c r="V777" i="1"/>
  <c r="W777" i="1"/>
  <c r="CZ777" i="1"/>
  <c r="O777" i="1"/>
  <c r="CY777" i="1"/>
  <c r="BP777" i="1"/>
  <c r="BO777" i="1"/>
  <c r="DO778" i="1"/>
  <c r="DG778" i="1"/>
  <c r="R778" i="1"/>
  <c r="Q778" i="1"/>
  <c r="DA778" i="1"/>
  <c r="V778" i="1"/>
  <c r="W778" i="1"/>
  <c r="CZ778" i="1"/>
  <c r="O778" i="1"/>
  <c r="CY778" i="1"/>
  <c r="BP778" i="1"/>
  <c r="BO778" i="1"/>
  <c r="DO779" i="1"/>
  <c r="DG779" i="1"/>
  <c r="R779" i="1"/>
  <c r="Q779" i="1"/>
  <c r="DA779" i="1"/>
  <c r="V779" i="1"/>
  <c r="W779" i="1"/>
  <c r="CZ779" i="1"/>
  <c r="O779" i="1"/>
  <c r="CY779" i="1"/>
  <c r="BP779" i="1"/>
  <c r="BO779" i="1"/>
  <c r="DO780" i="1"/>
  <c r="DG780" i="1"/>
  <c r="R780" i="1"/>
  <c r="Q780" i="1"/>
  <c r="DA780" i="1"/>
  <c r="V780" i="1"/>
  <c r="W780" i="1"/>
  <c r="CZ780" i="1"/>
  <c r="O780" i="1"/>
  <c r="CY780" i="1"/>
  <c r="BP780" i="1"/>
  <c r="BO780" i="1"/>
  <c r="DO781" i="1"/>
  <c r="DG781" i="1"/>
  <c r="R781" i="1"/>
  <c r="Q781" i="1"/>
  <c r="DA781" i="1"/>
  <c r="V781" i="1"/>
  <c r="W781" i="1"/>
  <c r="CZ781" i="1"/>
  <c r="O781" i="1"/>
  <c r="CY781" i="1"/>
  <c r="BP781" i="1"/>
  <c r="BO781" i="1"/>
  <c r="DO782" i="1"/>
  <c r="DG782" i="1"/>
  <c r="R782" i="1"/>
  <c r="Q782" i="1"/>
  <c r="DA782" i="1"/>
  <c r="V782" i="1"/>
  <c r="W782" i="1"/>
  <c r="CZ782" i="1"/>
  <c r="O782" i="1"/>
  <c r="CY782" i="1"/>
  <c r="BP782" i="1"/>
  <c r="BO782" i="1"/>
  <c r="DO783" i="1"/>
  <c r="DG783" i="1"/>
  <c r="R783" i="1"/>
  <c r="Q783" i="1"/>
  <c r="DA783" i="1"/>
  <c r="V783" i="1"/>
  <c r="W783" i="1"/>
  <c r="CZ783" i="1"/>
  <c r="O783" i="1"/>
  <c r="CY783" i="1"/>
  <c r="BP783" i="1"/>
  <c r="BO783" i="1"/>
  <c r="DO789" i="1"/>
  <c r="DG789" i="1"/>
  <c r="R789" i="1"/>
  <c r="Q789" i="1"/>
  <c r="DA789" i="1"/>
  <c r="V789" i="1"/>
  <c r="W789" i="1"/>
  <c r="CZ789" i="1"/>
  <c r="O789" i="1"/>
  <c r="CY789" i="1"/>
  <c r="BP789" i="1"/>
  <c r="BO789" i="1"/>
  <c r="DO790" i="1"/>
  <c r="DG790" i="1"/>
  <c r="R790" i="1"/>
  <c r="Q790" i="1"/>
  <c r="DA790" i="1"/>
  <c r="V790" i="1"/>
  <c r="W790" i="1"/>
  <c r="CZ790" i="1"/>
  <c r="O790" i="1"/>
  <c r="CY790" i="1"/>
  <c r="BP790" i="1"/>
  <c r="BO790" i="1"/>
  <c r="DO813" i="1"/>
  <c r="DG813" i="1"/>
  <c r="R813" i="1"/>
  <c r="Q813" i="1"/>
  <c r="DA813" i="1"/>
  <c r="V813" i="1"/>
  <c r="W813" i="1"/>
  <c r="CZ813" i="1"/>
  <c r="O813" i="1"/>
  <c r="CY813" i="1"/>
  <c r="BP813" i="1"/>
  <c r="BO813" i="1"/>
  <c r="DO814" i="1"/>
  <c r="DG814" i="1"/>
  <c r="R814" i="1"/>
  <c r="Q814" i="1"/>
  <c r="DA814" i="1"/>
  <c r="V814" i="1"/>
  <c r="W814" i="1"/>
  <c r="CZ814" i="1"/>
  <c r="O814" i="1"/>
  <c r="CY814" i="1"/>
  <c r="BP814" i="1"/>
  <c r="BO814" i="1"/>
  <c r="DO815" i="1"/>
  <c r="DG815" i="1"/>
  <c r="R815" i="1"/>
  <c r="Q815" i="1"/>
  <c r="DA815" i="1"/>
  <c r="V815" i="1"/>
  <c r="W815" i="1"/>
  <c r="CZ815" i="1"/>
  <c r="O815" i="1"/>
  <c r="CY815" i="1"/>
  <c r="BP815" i="1"/>
  <c r="BO815" i="1"/>
  <c r="DO816" i="1"/>
  <c r="DG816" i="1"/>
  <c r="R816" i="1"/>
  <c r="Q816" i="1"/>
  <c r="DA816" i="1"/>
  <c r="V816" i="1"/>
  <c r="W816" i="1"/>
  <c r="CZ816" i="1"/>
  <c r="O816" i="1"/>
  <c r="CY816" i="1"/>
  <c r="BP816" i="1"/>
  <c r="BO816" i="1"/>
  <c r="DO817" i="1"/>
  <c r="DG817" i="1"/>
  <c r="R817" i="1"/>
  <c r="Q817" i="1"/>
  <c r="DA817" i="1"/>
  <c r="V817" i="1"/>
  <c r="W817" i="1"/>
  <c r="CZ817" i="1"/>
  <c r="O817" i="1"/>
  <c r="CY817" i="1"/>
  <c r="BP817" i="1"/>
  <c r="BO817" i="1"/>
  <c r="DO818" i="1"/>
  <c r="DG818" i="1"/>
  <c r="R818" i="1"/>
  <c r="Q818" i="1"/>
  <c r="DA818" i="1"/>
  <c r="V818" i="1"/>
  <c r="W818" i="1"/>
  <c r="CZ818" i="1"/>
  <c r="O818" i="1"/>
  <c r="CY818" i="1"/>
  <c r="BP818" i="1"/>
  <c r="BO818" i="1"/>
  <c r="DO839" i="1"/>
  <c r="DG839" i="1"/>
  <c r="R839" i="1"/>
  <c r="Q839" i="1"/>
  <c r="DA839" i="1"/>
  <c r="V839" i="1"/>
  <c r="W839" i="1"/>
  <c r="CZ839" i="1"/>
  <c r="O839" i="1"/>
  <c r="CY839" i="1"/>
  <c r="BP839" i="1"/>
  <c r="BO839" i="1"/>
  <c r="DO840" i="1"/>
  <c r="DG840" i="1"/>
  <c r="R840" i="1"/>
  <c r="Q840" i="1"/>
  <c r="DA840" i="1"/>
  <c r="V840" i="1"/>
  <c r="W840" i="1"/>
  <c r="CZ840" i="1"/>
  <c r="O840" i="1"/>
  <c r="CY840" i="1"/>
  <c r="BP840" i="1"/>
  <c r="BO840" i="1"/>
  <c r="DO841" i="1"/>
  <c r="DG841" i="1"/>
  <c r="R841" i="1"/>
  <c r="Q841" i="1"/>
  <c r="DA841" i="1"/>
  <c r="V841" i="1"/>
  <c r="W841" i="1"/>
  <c r="CZ841" i="1"/>
  <c r="O841" i="1"/>
  <c r="CY841" i="1"/>
  <c r="BP841" i="1"/>
  <c r="BO841" i="1"/>
  <c r="DO864" i="1"/>
  <c r="DG864" i="1"/>
  <c r="R864" i="1"/>
  <c r="Q864" i="1"/>
  <c r="DA864" i="1"/>
  <c r="V864" i="1"/>
  <c r="W864" i="1"/>
  <c r="CZ864" i="1"/>
  <c r="O864" i="1"/>
  <c r="CY864" i="1"/>
  <c r="BP864" i="1"/>
  <c r="BO864" i="1"/>
  <c r="DO865" i="1"/>
  <c r="DG865" i="1"/>
  <c r="R865" i="1"/>
  <c r="Q865" i="1"/>
  <c r="DA865" i="1"/>
  <c r="V865" i="1"/>
  <c r="W865" i="1"/>
  <c r="CZ865" i="1"/>
  <c r="O865" i="1"/>
  <c r="CY865" i="1"/>
  <c r="BP865" i="1"/>
  <c r="BO865" i="1"/>
  <c r="DO866" i="1"/>
  <c r="DG866" i="1"/>
  <c r="R866" i="1"/>
  <c r="Q866" i="1"/>
  <c r="DA866" i="1"/>
  <c r="V866" i="1"/>
  <c r="W866" i="1"/>
  <c r="CZ866" i="1"/>
  <c r="O866" i="1"/>
  <c r="CY866" i="1"/>
  <c r="BP866" i="1"/>
  <c r="BO866" i="1"/>
  <c r="DO867" i="1"/>
  <c r="DG867" i="1"/>
  <c r="R867" i="1"/>
  <c r="Q867" i="1"/>
  <c r="DA867" i="1"/>
  <c r="V867" i="1"/>
  <c r="W867" i="1"/>
  <c r="CZ867" i="1"/>
  <c r="O867" i="1"/>
  <c r="CY867" i="1"/>
  <c r="BP867" i="1"/>
  <c r="BO867" i="1"/>
  <c r="DO868" i="1"/>
  <c r="DG868" i="1"/>
  <c r="R868" i="1"/>
  <c r="Q868" i="1"/>
  <c r="DA868" i="1"/>
  <c r="V868" i="1"/>
  <c r="W868" i="1"/>
  <c r="CZ868" i="1"/>
  <c r="O868" i="1"/>
  <c r="CY868" i="1"/>
  <c r="BP868" i="1"/>
  <c r="BO868" i="1"/>
  <c r="DO869" i="1"/>
  <c r="DG869" i="1"/>
  <c r="R869" i="1"/>
  <c r="Q869" i="1"/>
  <c r="DA869" i="1"/>
  <c r="V869" i="1"/>
  <c r="W869" i="1"/>
  <c r="CZ869" i="1"/>
  <c r="O869" i="1"/>
  <c r="CY869" i="1"/>
  <c r="BP869" i="1"/>
  <c r="BO869" i="1"/>
  <c r="DO870" i="1"/>
  <c r="DG870" i="1"/>
  <c r="R870" i="1"/>
  <c r="Q870" i="1"/>
  <c r="DA870" i="1"/>
  <c r="V870" i="1"/>
  <c r="W870" i="1"/>
  <c r="CZ870" i="1"/>
  <c r="O870" i="1"/>
  <c r="CY870" i="1"/>
  <c r="BP870" i="1"/>
  <c r="BO870" i="1"/>
  <c r="DO883" i="1"/>
  <c r="DG883" i="1"/>
  <c r="R883" i="1"/>
  <c r="Q883" i="1"/>
  <c r="DA883" i="1"/>
  <c r="V883" i="1"/>
  <c r="W883" i="1"/>
  <c r="CZ883" i="1"/>
  <c r="O883" i="1"/>
  <c r="CY883" i="1"/>
  <c r="BP883" i="1"/>
  <c r="BO883" i="1"/>
  <c r="DO857" i="1"/>
  <c r="R857" i="1"/>
  <c r="Q857" i="1"/>
  <c r="DA857" i="1"/>
  <c r="W857" i="1"/>
  <c r="CZ857" i="1"/>
  <c r="O857" i="1"/>
  <c r="BP857" i="1"/>
  <c r="BO857" i="1"/>
  <c r="DO884" i="1"/>
  <c r="DG884" i="1"/>
  <c r="R884" i="1"/>
  <c r="Q884" i="1"/>
  <c r="DA884" i="1"/>
  <c r="V884" i="1"/>
  <c r="W884" i="1"/>
  <c r="CZ884" i="1"/>
  <c r="O884" i="1"/>
  <c r="CY884" i="1"/>
  <c r="BP884" i="1"/>
  <c r="BO884" i="1"/>
  <c r="DO888" i="1"/>
  <c r="DG888" i="1"/>
  <c r="R888" i="1"/>
  <c r="Q888" i="1"/>
  <c r="DA888" i="1"/>
  <c r="V888" i="1"/>
  <c r="W888" i="1"/>
  <c r="CZ888" i="1"/>
  <c r="O888" i="1"/>
  <c r="CY888" i="1"/>
  <c r="BP888" i="1"/>
  <c r="BO888" i="1"/>
  <c r="DO889" i="1"/>
  <c r="DG889" i="1"/>
  <c r="R889" i="1"/>
  <c r="Q889" i="1"/>
  <c r="DA889" i="1"/>
  <c r="V889" i="1"/>
  <c r="W889" i="1"/>
  <c r="CZ889" i="1"/>
  <c r="O889" i="1"/>
  <c r="CY889" i="1"/>
  <c r="BP889" i="1"/>
  <c r="BO889" i="1"/>
  <c r="DO890" i="1"/>
  <c r="DG890" i="1"/>
  <c r="R890" i="1"/>
  <c r="Q890" i="1"/>
  <c r="DA890" i="1"/>
  <c r="V890" i="1"/>
  <c r="W890" i="1"/>
  <c r="CZ890" i="1"/>
  <c r="O890" i="1"/>
  <c r="CY890" i="1"/>
  <c r="BP890" i="1"/>
  <c r="BO890" i="1"/>
  <c r="DO891" i="1"/>
  <c r="DG891" i="1"/>
  <c r="R891" i="1"/>
  <c r="Q891" i="1"/>
  <c r="DA891" i="1"/>
  <c r="V891" i="1"/>
  <c r="W891" i="1"/>
  <c r="CZ891" i="1"/>
  <c r="O891" i="1"/>
  <c r="CY891" i="1"/>
  <c r="BP891" i="1"/>
  <c r="BO891" i="1"/>
  <c r="DO892" i="1"/>
  <c r="DG892" i="1"/>
  <c r="R892" i="1"/>
  <c r="Q892" i="1"/>
  <c r="DA892" i="1"/>
  <c r="V892" i="1"/>
  <c r="W892" i="1"/>
  <c r="CZ892" i="1"/>
  <c r="O892" i="1"/>
  <c r="CY892" i="1"/>
  <c r="BP892" i="1"/>
  <c r="BO892" i="1"/>
  <c r="DO893" i="1"/>
  <c r="DG893" i="1"/>
  <c r="R893" i="1"/>
  <c r="Q893" i="1"/>
  <c r="DA893" i="1"/>
  <c r="V893" i="1"/>
  <c r="W893" i="1"/>
  <c r="CZ893" i="1"/>
  <c r="O893" i="1"/>
  <c r="CY893" i="1"/>
  <c r="BP893" i="1"/>
  <c r="BO893" i="1"/>
  <c r="DO894" i="1"/>
  <c r="DG894" i="1"/>
  <c r="R894" i="1"/>
  <c r="Q894" i="1"/>
  <c r="DA894" i="1"/>
  <c r="V894" i="1"/>
  <c r="W894" i="1"/>
  <c r="CZ894" i="1"/>
  <c r="O894" i="1"/>
  <c r="CY894" i="1"/>
  <c r="BP894" i="1"/>
  <c r="BO894" i="1"/>
  <c r="DO898" i="1"/>
  <c r="DG898" i="1"/>
  <c r="R898" i="1"/>
  <c r="Q898" i="1"/>
  <c r="DA898" i="1"/>
  <c r="V898" i="1"/>
  <c r="W898" i="1"/>
  <c r="CZ898" i="1"/>
  <c r="O898" i="1"/>
  <c r="CY898" i="1"/>
  <c r="BP898" i="1"/>
  <c r="BO898" i="1"/>
  <c r="DO899" i="1"/>
  <c r="DG899" i="1"/>
  <c r="R899" i="1"/>
  <c r="Q899" i="1"/>
  <c r="DA899" i="1"/>
  <c r="V899" i="1"/>
  <c r="W899" i="1"/>
  <c r="CZ899" i="1"/>
  <c r="O899" i="1"/>
  <c r="CY899" i="1"/>
  <c r="BP899" i="1"/>
  <c r="BO899" i="1"/>
  <c r="DO900" i="1"/>
  <c r="DG900" i="1"/>
  <c r="R900" i="1"/>
  <c r="Q900" i="1"/>
  <c r="DA900" i="1"/>
  <c r="V900" i="1"/>
  <c r="W900" i="1"/>
  <c r="CZ900" i="1"/>
  <c r="O900" i="1"/>
  <c r="CY900" i="1"/>
  <c r="BP900" i="1"/>
  <c r="BO900" i="1"/>
  <c r="DO906" i="1"/>
  <c r="DG906" i="1"/>
  <c r="R906" i="1"/>
  <c r="Q906" i="1"/>
  <c r="DA906" i="1"/>
  <c r="V906" i="1"/>
  <c r="W906" i="1"/>
  <c r="CZ906" i="1"/>
  <c r="O906" i="1"/>
  <c r="CY906" i="1"/>
  <c r="BP906" i="1"/>
  <c r="BO906" i="1"/>
  <c r="DO907" i="1"/>
  <c r="DG907" i="1"/>
  <c r="R907" i="1"/>
  <c r="Q907" i="1"/>
  <c r="DA907" i="1"/>
  <c r="V907" i="1"/>
  <c r="W907" i="1"/>
  <c r="CZ907" i="1"/>
  <c r="O907" i="1"/>
  <c r="CY907" i="1"/>
  <c r="BP907" i="1"/>
  <c r="BO907" i="1"/>
  <c r="DO910" i="1"/>
  <c r="DG910" i="1"/>
  <c r="R910" i="1"/>
  <c r="Q910" i="1"/>
  <c r="DA910" i="1"/>
  <c r="V910" i="1"/>
  <c r="W910" i="1"/>
  <c r="CZ910" i="1"/>
  <c r="O910" i="1"/>
  <c r="CY910" i="1"/>
  <c r="BP910" i="1"/>
  <c r="BO910" i="1"/>
  <c r="DG912" i="1"/>
  <c r="R912" i="1"/>
  <c r="Q912" i="1"/>
  <c r="DA912" i="1"/>
  <c r="V912" i="1"/>
  <c r="W912" i="1"/>
  <c r="CZ912" i="1"/>
  <c r="O912" i="1"/>
  <c r="CY912" i="1"/>
  <c r="BP912" i="1"/>
  <c r="DG913" i="1"/>
  <c r="R913" i="1"/>
  <c r="Q913" i="1"/>
  <c r="DA913" i="1"/>
  <c r="V913" i="1"/>
  <c r="W913" i="1"/>
  <c r="CZ913" i="1"/>
  <c r="O913" i="1"/>
  <c r="CY913" i="1"/>
  <c r="BP913" i="1"/>
  <c r="DO914" i="1"/>
  <c r="DG914" i="1"/>
  <c r="R914" i="1"/>
  <c r="Q914" i="1"/>
  <c r="DA914" i="1"/>
  <c r="V914" i="1"/>
  <c r="W914" i="1"/>
  <c r="CZ914" i="1"/>
  <c r="O914" i="1"/>
  <c r="CY914" i="1"/>
  <c r="BP914" i="1"/>
  <c r="BO914" i="1"/>
  <c r="DO917" i="1"/>
  <c r="DG917" i="1"/>
  <c r="R917" i="1"/>
  <c r="Q917" i="1"/>
  <c r="DA917" i="1"/>
  <c r="V917" i="1"/>
  <c r="W917" i="1"/>
  <c r="CZ917" i="1"/>
  <c r="O917" i="1"/>
  <c r="CY917" i="1"/>
  <c r="BP917" i="1"/>
  <c r="BO917" i="1"/>
  <c r="DO919" i="1"/>
  <c r="DG919" i="1"/>
  <c r="R919" i="1"/>
  <c r="Q919" i="1"/>
  <c r="DA919" i="1"/>
  <c r="V919" i="1"/>
  <c r="W919" i="1"/>
  <c r="CZ919" i="1"/>
  <c r="O919" i="1"/>
  <c r="CY919" i="1"/>
  <c r="BP919" i="1"/>
  <c r="BO919" i="1"/>
  <c r="DO922" i="1"/>
  <c r="DG922" i="1"/>
  <c r="R922" i="1"/>
  <c r="Q922" i="1"/>
  <c r="DA922" i="1"/>
  <c r="V922" i="1"/>
  <c r="W922" i="1"/>
  <c r="CZ922" i="1"/>
  <c r="O922" i="1"/>
  <c r="CY922" i="1"/>
  <c r="BP922" i="1"/>
  <c r="BO922" i="1"/>
  <c r="DO856" i="1"/>
  <c r="R856" i="1"/>
  <c r="Q856" i="1"/>
  <c r="DA856" i="1"/>
  <c r="W856" i="1"/>
  <c r="CZ856" i="1"/>
  <c r="O856" i="1"/>
  <c r="BP856" i="1"/>
  <c r="BO856" i="1"/>
  <c r="DO855" i="1"/>
  <c r="R855" i="1"/>
  <c r="Q855" i="1"/>
  <c r="DA855" i="1"/>
  <c r="W855" i="1"/>
  <c r="CZ855" i="1"/>
  <c r="O855" i="1"/>
  <c r="BP855" i="1"/>
  <c r="BO855" i="1"/>
  <c r="DO928" i="1"/>
  <c r="DG928" i="1"/>
  <c r="R928" i="1"/>
  <c r="Q928" i="1"/>
  <c r="DA928" i="1"/>
  <c r="V928" i="1"/>
  <c r="W928" i="1"/>
  <c r="CZ928" i="1"/>
  <c r="O928" i="1"/>
  <c r="CY928" i="1"/>
  <c r="BP928" i="1"/>
  <c r="BO928" i="1"/>
  <c r="DO929" i="1"/>
  <c r="DG929" i="1"/>
  <c r="R929" i="1"/>
  <c r="Q929" i="1"/>
  <c r="DA929" i="1"/>
  <c r="V929" i="1"/>
  <c r="W929" i="1"/>
  <c r="CZ929" i="1"/>
  <c r="O929" i="1"/>
  <c r="CY929" i="1"/>
  <c r="BP929" i="1"/>
  <c r="BO929" i="1"/>
  <c r="DO854" i="1"/>
  <c r="R854" i="1"/>
  <c r="Q854" i="1"/>
  <c r="DA854" i="1"/>
  <c r="W854" i="1"/>
  <c r="CZ854" i="1"/>
  <c r="O854" i="1"/>
  <c r="BP854" i="1"/>
  <c r="BO854" i="1"/>
  <c r="DO936" i="1"/>
  <c r="DG936" i="1"/>
  <c r="R936" i="1"/>
  <c r="Q936" i="1"/>
  <c r="DA936" i="1"/>
  <c r="V936" i="1"/>
  <c r="W936" i="1"/>
  <c r="CZ936" i="1"/>
  <c r="O936" i="1"/>
  <c r="CY936" i="1"/>
  <c r="BP936" i="1"/>
  <c r="BO936" i="1"/>
  <c r="DO937" i="1"/>
  <c r="DG937" i="1"/>
  <c r="R937" i="1"/>
  <c r="Q937" i="1"/>
  <c r="DA937" i="1"/>
  <c r="V937" i="1"/>
  <c r="W937" i="1"/>
  <c r="CZ937" i="1"/>
  <c r="O937" i="1"/>
  <c r="CY937" i="1"/>
  <c r="BP937" i="1"/>
  <c r="BO937" i="1"/>
  <c r="DO853" i="1"/>
  <c r="R853" i="1"/>
  <c r="Q853" i="1"/>
  <c r="DA853" i="1"/>
  <c r="W853" i="1"/>
  <c r="CZ853" i="1"/>
  <c r="O853" i="1"/>
  <c r="BP853" i="1"/>
  <c r="BO853" i="1"/>
  <c r="DO852" i="1"/>
  <c r="R852" i="1"/>
  <c r="Q852" i="1"/>
  <c r="DA852" i="1"/>
  <c r="W852" i="1"/>
  <c r="CZ852" i="1"/>
  <c r="O852" i="1"/>
  <c r="BP852" i="1"/>
  <c r="BO852" i="1"/>
  <c r="DO851" i="1"/>
  <c r="R851" i="1"/>
  <c r="Q851" i="1"/>
  <c r="DA851" i="1"/>
  <c r="W851" i="1"/>
  <c r="CZ851" i="1"/>
  <c r="O851" i="1"/>
  <c r="BP851" i="1"/>
  <c r="BO851" i="1"/>
  <c r="DO944" i="1"/>
  <c r="DG944" i="1"/>
  <c r="R944" i="1"/>
  <c r="Q944" i="1"/>
  <c r="DA944" i="1"/>
  <c r="V944" i="1"/>
  <c r="W944" i="1"/>
  <c r="CZ944" i="1"/>
  <c r="O944" i="1"/>
  <c r="CY944" i="1"/>
  <c r="BP944" i="1"/>
  <c r="BO944" i="1"/>
  <c r="DO945" i="1"/>
  <c r="DG945" i="1"/>
  <c r="R945" i="1"/>
  <c r="Q945" i="1"/>
  <c r="DA945" i="1"/>
  <c r="V945" i="1"/>
  <c r="W945" i="1"/>
  <c r="CZ945" i="1"/>
  <c r="O945" i="1"/>
  <c r="CY945" i="1"/>
  <c r="BP945" i="1"/>
  <c r="BO945" i="1"/>
  <c r="DO946" i="1"/>
  <c r="DG946" i="1"/>
  <c r="R946" i="1"/>
  <c r="Q946" i="1"/>
  <c r="DA946" i="1"/>
  <c r="V946" i="1"/>
  <c r="W946" i="1"/>
  <c r="CZ946" i="1"/>
  <c r="O946" i="1"/>
  <c r="CY946" i="1"/>
  <c r="BP946" i="1"/>
  <c r="BO946" i="1"/>
  <c r="DO947" i="1"/>
  <c r="DG947" i="1"/>
  <c r="R947" i="1"/>
  <c r="Q947" i="1"/>
  <c r="DA947" i="1"/>
  <c r="V947" i="1"/>
  <c r="W947" i="1"/>
  <c r="CZ947" i="1"/>
  <c r="O947" i="1"/>
  <c r="CY947" i="1"/>
  <c r="BP947" i="1"/>
  <c r="BO947" i="1"/>
  <c r="DO948" i="1"/>
  <c r="DG948" i="1"/>
  <c r="R948" i="1"/>
  <c r="Q948" i="1"/>
  <c r="DA948" i="1"/>
  <c r="V948" i="1"/>
  <c r="W948" i="1"/>
  <c r="CZ948" i="1"/>
  <c r="O948" i="1"/>
  <c r="CY948" i="1"/>
  <c r="BP948" i="1"/>
  <c r="BO948" i="1"/>
  <c r="DO949" i="1"/>
  <c r="DG949" i="1"/>
  <c r="R949" i="1"/>
  <c r="Q949" i="1"/>
  <c r="DA949" i="1"/>
  <c r="V949" i="1"/>
  <c r="W949" i="1"/>
  <c r="CZ949" i="1"/>
  <c r="O949" i="1"/>
  <c r="CY949" i="1"/>
  <c r="BP949" i="1"/>
  <c r="BO949" i="1"/>
  <c r="DO950" i="1"/>
  <c r="DG950" i="1"/>
  <c r="R950" i="1"/>
  <c r="Q950" i="1"/>
  <c r="DA950" i="1"/>
  <c r="V950" i="1"/>
  <c r="W950" i="1"/>
  <c r="CZ950" i="1"/>
  <c r="O950" i="1"/>
  <c r="CY950" i="1"/>
  <c r="BP950" i="1"/>
  <c r="BO950" i="1"/>
  <c r="DO951" i="1"/>
  <c r="DG951" i="1"/>
  <c r="R951" i="1"/>
  <c r="Q951" i="1"/>
  <c r="DA951" i="1"/>
  <c r="V951" i="1"/>
  <c r="W951" i="1"/>
  <c r="CZ951" i="1"/>
  <c r="O951" i="1"/>
  <c r="CY951" i="1"/>
  <c r="BP951" i="1"/>
  <c r="BO951" i="1"/>
  <c r="DO952" i="1"/>
  <c r="DG952" i="1"/>
  <c r="R952" i="1"/>
  <c r="Q952" i="1"/>
  <c r="DA952" i="1"/>
  <c r="V952" i="1"/>
  <c r="W952" i="1"/>
  <c r="CZ952" i="1"/>
  <c r="O952" i="1"/>
  <c r="CY952" i="1"/>
  <c r="BP952" i="1"/>
  <c r="BO952" i="1"/>
  <c r="DO953" i="1"/>
  <c r="DG953" i="1"/>
  <c r="R953" i="1"/>
  <c r="Q953" i="1"/>
  <c r="DA953" i="1"/>
  <c r="V953" i="1"/>
  <c r="W953" i="1"/>
  <c r="CZ953" i="1"/>
  <c r="O953" i="1"/>
  <c r="CY953" i="1"/>
  <c r="BP953" i="1"/>
  <c r="BO953" i="1"/>
  <c r="DO954" i="1"/>
  <c r="DG954" i="1"/>
  <c r="R954" i="1"/>
  <c r="Q954" i="1"/>
  <c r="DA954" i="1"/>
  <c r="V954" i="1"/>
  <c r="W954" i="1"/>
  <c r="CZ954" i="1"/>
  <c r="O954" i="1"/>
  <c r="CY954" i="1"/>
  <c r="BP954" i="1"/>
  <c r="BO954" i="1"/>
  <c r="DO955" i="1"/>
  <c r="DG955" i="1"/>
  <c r="R955" i="1"/>
  <c r="Q955" i="1"/>
  <c r="DA955" i="1"/>
  <c r="V955" i="1"/>
  <c r="W955" i="1"/>
  <c r="CZ955" i="1"/>
  <c r="O955" i="1"/>
  <c r="CY955" i="1"/>
  <c r="BP955" i="1"/>
  <c r="BO955" i="1"/>
  <c r="DO956" i="1"/>
  <c r="DG956" i="1"/>
  <c r="R956" i="1"/>
  <c r="Q956" i="1"/>
  <c r="DA956" i="1"/>
  <c r="V956" i="1"/>
  <c r="W956" i="1"/>
  <c r="CZ956" i="1"/>
  <c r="O956" i="1"/>
  <c r="CY956" i="1"/>
  <c r="BP956" i="1"/>
  <c r="BO956" i="1"/>
  <c r="DO957" i="1"/>
  <c r="DG957" i="1"/>
  <c r="R957" i="1"/>
  <c r="Q957" i="1"/>
  <c r="DA957" i="1"/>
  <c r="V957" i="1"/>
  <c r="W957" i="1"/>
  <c r="CZ957" i="1"/>
  <c r="O957" i="1"/>
  <c r="CY957" i="1"/>
  <c r="BP957" i="1"/>
  <c r="BO957" i="1"/>
  <c r="DO958" i="1"/>
  <c r="DG958" i="1"/>
  <c r="R958" i="1"/>
  <c r="Q958" i="1"/>
  <c r="DA958" i="1"/>
  <c r="V958" i="1"/>
  <c r="W958" i="1"/>
  <c r="CZ958" i="1"/>
  <c r="O958" i="1"/>
  <c r="CY958" i="1"/>
  <c r="BP958" i="1"/>
  <c r="BO958" i="1"/>
  <c r="DO959" i="1"/>
  <c r="DG959" i="1"/>
  <c r="R959" i="1"/>
  <c r="Q959" i="1"/>
  <c r="DA959" i="1"/>
  <c r="V959" i="1"/>
  <c r="W959" i="1"/>
  <c r="CZ959" i="1"/>
  <c r="O959" i="1"/>
  <c r="CY959" i="1"/>
  <c r="BP959" i="1"/>
  <c r="BO959" i="1"/>
  <c r="DO960" i="1"/>
  <c r="DG960" i="1"/>
  <c r="R960" i="1"/>
  <c r="Q960" i="1"/>
  <c r="DA960" i="1"/>
  <c r="V960" i="1"/>
  <c r="W960" i="1"/>
  <c r="CZ960" i="1"/>
  <c r="O960" i="1"/>
  <c r="CY960" i="1"/>
  <c r="BP960" i="1"/>
  <c r="BO960" i="1"/>
  <c r="DO961" i="1"/>
  <c r="DG961" i="1"/>
  <c r="R961" i="1"/>
  <c r="Q961" i="1"/>
  <c r="DA961" i="1"/>
  <c r="V961" i="1"/>
  <c r="W961" i="1"/>
  <c r="CZ961" i="1"/>
  <c r="O961" i="1"/>
  <c r="CY961" i="1"/>
  <c r="BP961" i="1"/>
  <c r="BO961" i="1"/>
  <c r="DO962" i="1"/>
  <c r="DG962" i="1"/>
  <c r="R962" i="1"/>
  <c r="Q962" i="1"/>
  <c r="DA962" i="1"/>
  <c r="V962" i="1"/>
  <c r="W962" i="1"/>
  <c r="CZ962" i="1"/>
  <c r="O962" i="1"/>
  <c r="CY962" i="1"/>
  <c r="BP962" i="1"/>
  <c r="BO962" i="1"/>
  <c r="DO963" i="1"/>
  <c r="DG963" i="1"/>
  <c r="R963" i="1"/>
  <c r="Q963" i="1"/>
  <c r="DA963" i="1"/>
  <c r="V963" i="1"/>
  <c r="W963" i="1"/>
  <c r="CZ963" i="1"/>
  <c r="O963" i="1"/>
  <c r="CY963" i="1"/>
  <c r="BP963" i="1"/>
  <c r="BO963" i="1"/>
  <c r="DO964" i="1"/>
  <c r="DG964" i="1"/>
  <c r="R964" i="1"/>
  <c r="Q964" i="1"/>
  <c r="DA964" i="1"/>
  <c r="V964" i="1"/>
  <c r="W964" i="1"/>
  <c r="CZ964" i="1"/>
  <c r="O964" i="1"/>
  <c r="CY964" i="1"/>
  <c r="BP964" i="1"/>
  <c r="BO964" i="1"/>
  <c r="DO965" i="1"/>
  <c r="DG965" i="1"/>
  <c r="R965" i="1"/>
  <c r="Q965" i="1"/>
  <c r="DA965" i="1"/>
  <c r="V965" i="1"/>
  <c r="W965" i="1"/>
  <c r="CZ965" i="1"/>
  <c r="O965" i="1"/>
  <c r="CY965" i="1"/>
  <c r="BP965" i="1"/>
  <c r="BO965" i="1"/>
  <c r="DO966" i="1"/>
  <c r="DG966" i="1"/>
  <c r="R966" i="1"/>
  <c r="Q966" i="1"/>
  <c r="DA966" i="1"/>
  <c r="V966" i="1"/>
  <c r="W966" i="1"/>
  <c r="CZ966" i="1"/>
  <c r="O966" i="1"/>
  <c r="CY966" i="1"/>
  <c r="BP966" i="1"/>
  <c r="BO966" i="1"/>
  <c r="DO967" i="1"/>
  <c r="DG967" i="1"/>
  <c r="R967" i="1"/>
  <c r="Q967" i="1"/>
  <c r="DA967" i="1"/>
  <c r="V967" i="1"/>
  <c r="W967" i="1"/>
  <c r="CZ967" i="1"/>
  <c r="O967" i="1"/>
  <c r="CY967" i="1"/>
  <c r="BP967" i="1"/>
  <c r="BO967" i="1"/>
  <c r="DO968" i="1"/>
  <c r="DG968" i="1"/>
  <c r="R968" i="1"/>
  <c r="Q968" i="1"/>
  <c r="DA968" i="1"/>
  <c r="V968" i="1"/>
  <c r="W968" i="1"/>
  <c r="CZ968" i="1"/>
  <c r="O968" i="1"/>
  <c r="CY968" i="1"/>
  <c r="BP968" i="1"/>
  <c r="BO968" i="1"/>
  <c r="DO969" i="1"/>
  <c r="DG969" i="1"/>
  <c r="R969" i="1"/>
  <c r="Q969" i="1"/>
  <c r="DA969" i="1"/>
  <c r="V969" i="1"/>
  <c r="W969" i="1"/>
  <c r="CZ969" i="1"/>
  <c r="O969" i="1"/>
  <c r="CY969" i="1"/>
  <c r="BP969" i="1"/>
  <c r="BO969" i="1"/>
  <c r="DO970" i="1"/>
  <c r="DG970" i="1"/>
  <c r="R970" i="1"/>
  <c r="Q970" i="1"/>
  <c r="DA970" i="1"/>
  <c r="V970" i="1"/>
  <c r="W970" i="1"/>
  <c r="CZ970" i="1"/>
  <c r="O970" i="1"/>
  <c r="CY970" i="1"/>
  <c r="BP970" i="1"/>
  <c r="BO970" i="1"/>
  <c r="DO971" i="1"/>
  <c r="DG971" i="1"/>
  <c r="R971" i="1"/>
  <c r="Q971" i="1"/>
  <c r="DA971" i="1"/>
  <c r="V971" i="1"/>
  <c r="W971" i="1"/>
  <c r="CZ971" i="1"/>
  <c r="O971" i="1"/>
  <c r="CY971" i="1"/>
  <c r="BP971" i="1"/>
  <c r="BO971" i="1"/>
  <c r="DO972" i="1"/>
  <c r="DG972" i="1"/>
  <c r="R972" i="1"/>
  <c r="Q972" i="1"/>
  <c r="DA972" i="1"/>
  <c r="V972" i="1"/>
  <c r="W972" i="1"/>
  <c r="CZ972" i="1"/>
  <c r="O972" i="1"/>
  <c r="CY972" i="1"/>
  <c r="BP972" i="1"/>
  <c r="BO972" i="1"/>
  <c r="DO973" i="1"/>
  <c r="DG973" i="1"/>
  <c r="R973" i="1"/>
  <c r="Q973" i="1"/>
  <c r="DA973" i="1"/>
  <c r="V973" i="1"/>
  <c r="W973" i="1"/>
  <c r="CZ973" i="1"/>
  <c r="O973" i="1"/>
  <c r="CY973" i="1"/>
  <c r="BP973" i="1"/>
  <c r="BO973" i="1"/>
  <c r="DO974" i="1"/>
  <c r="DG974" i="1"/>
  <c r="R974" i="1"/>
  <c r="Q974" i="1"/>
  <c r="DA974" i="1"/>
  <c r="V974" i="1"/>
  <c r="W974" i="1"/>
  <c r="CZ974" i="1"/>
  <c r="O974" i="1"/>
  <c r="CY974" i="1"/>
  <c r="BP974" i="1"/>
  <c r="BO974" i="1"/>
  <c r="DO975" i="1"/>
  <c r="DG975" i="1"/>
  <c r="R975" i="1"/>
  <c r="Q975" i="1"/>
  <c r="DA975" i="1"/>
  <c r="V975" i="1"/>
  <c r="W975" i="1"/>
  <c r="CZ975" i="1"/>
  <c r="O975" i="1"/>
  <c r="CY975" i="1"/>
  <c r="BP975" i="1"/>
  <c r="BO975" i="1"/>
  <c r="DO976" i="1"/>
  <c r="DG976" i="1"/>
  <c r="R976" i="1"/>
  <c r="Q976" i="1"/>
  <c r="DA976" i="1"/>
  <c r="V976" i="1"/>
  <c r="W976" i="1"/>
  <c r="CZ976" i="1"/>
  <c r="O976" i="1"/>
  <c r="CY976" i="1"/>
  <c r="BP976" i="1"/>
  <c r="BO976" i="1"/>
  <c r="DO977" i="1"/>
  <c r="DG977" i="1"/>
  <c r="R977" i="1"/>
  <c r="Q977" i="1"/>
  <c r="DA977" i="1"/>
  <c r="V977" i="1"/>
  <c r="W977" i="1"/>
  <c r="CZ977" i="1"/>
  <c r="O977" i="1"/>
  <c r="CY977" i="1"/>
  <c r="BP977" i="1"/>
  <c r="BO977" i="1"/>
  <c r="DO978" i="1"/>
  <c r="DG978" i="1"/>
  <c r="R978" i="1"/>
  <c r="Q978" i="1"/>
  <c r="DA978" i="1"/>
  <c r="V978" i="1"/>
  <c r="W978" i="1"/>
  <c r="CZ978" i="1"/>
  <c r="O978" i="1"/>
  <c r="CY978" i="1"/>
  <c r="BP978" i="1"/>
  <c r="BO978" i="1"/>
  <c r="DO979" i="1"/>
  <c r="DG979" i="1"/>
  <c r="R979" i="1"/>
  <c r="Q979" i="1"/>
  <c r="DA979" i="1"/>
  <c r="V979" i="1"/>
  <c r="W979" i="1"/>
  <c r="CZ979" i="1"/>
  <c r="O979" i="1"/>
  <c r="CY979" i="1"/>
  <c r="BP979" i="1"/>
  <c r="BO979" i="1"/>
  <c r="DO980" i="1"/>
  <c r="DG980" i="1"/>
  <c r="R980" i="1"/>
  <c r="Q980" i="1"/>
  <c r="DA980" i="1"/>
  <c r="V980" i="1"/>
  <c r="W980" i="1"/>
  <c r="CZ980" i="1"/>
  <c r="O980" i="1"/>
  <c r="CY980" i="1"/>
  <c r="BP980" i="1"/>
  <c r="BO980" i="1"/>
  <c r="DO981" i="1"/>
  <c r="DG981" i="1"/>
  <c r="R981" i="1"/>
  <c r="Q981" i="1"/>
  <c r="DA981" i="1"/>
  <c r="V981" i="1"/>
  <c r="W981" i="1"/>
  <c r="CZ981" i="1"/>
  <c r="O981" i="1"/>
  <c r="CY981" i="1"/>
  <c r="BP981" i="1"/>
  <c r="BO981" i="1"/>
  <c r="DO982" i="1"/>
  <c r="DG982" i="1"/>
  <c r="R982" i="1"/>
  <c r="Q982" i="1"/>
  <c r="DA982" i="1"/>
  <c r="V982" i="1"/>
  <c r="W982" i="1"/>
  <c r="CZ982" i="1"/>
  <c r="O982" i="1"/>
  <c r="CY982" i="1"/>
  <c r="BP982" i="1"/>
  <c r="BO982" i="1"/>
  <c r="DO983" i="1"/>
  <c r="DG983" i="1"/>
  <c r="R983" i="1"/>
  <c r="Q983" i="1"/>
  <c r="DA983" i="1"/>
  <c r="V983" i="1"/>
  <c r="W983" i="1"/>
  <c r="CZ983" i="1"/>
  <c r="O983" i="1"/>
  <c r="CY983" i="1"/>
  <c r="BP983" i="1"/>
  <c r="BO983" i="1"/>
  <c r="DO984" i="1"/>
  <c r="DG984" i="1"/>
  <c r="R984" i="1"/>
  <c r="Q984" i="1"/>
  <c r="DA984" i="1"/>
  <c r="V984" i="1"/>
  <c r="W984" i="1"/>
  <c r="CZ984" i="1"/>
  <c r="O984" i="1"/>
  <c r="CY984" i="1"/>
  <c r="BP984" i="1"/>
  <c r="BO984" i="1"/>
  <c r="DO985" i="1"/>
  <c r="DG985" i="1"/>
  <c r="R985" i="1"/>
  <c r="Q985" i="1"/>
  <c r="DA985" i="1"/>
  <c r="V985" i="1"/>
  <c r="W985" i="1"/>
  <c r="CZ985" i="1"/>
  <c r="O985" i="1"/>
  <c r="CY985" i="1"/>
  <c r="BP985" i="1"/>
  <c r="BO985" i="1"/>
  <c r="DO986" i="1"/>
  <c r="DG986" i="1"/>
  <c r="R986" i="1"/>
  <c r="Q986" i="1"/>
  <c r="DA986" i="1"/>
  <c r="V986" i="1"/>
  <c r="W986" i="1"/>
  <c r="CZ986" i="1"/>
  <c r="O986" i="1"/>
  <c r="CY986" i="1"/>
  <c r="BP986" i="1"/>
  <c r="BO986" i="1"/>
  <c r="DO987" i="1"/>
  <c r="DG987" i="1"/>
  <c r="R987" i="1"/>
  <c r="Q987" i="1"/>
  <c r="DA987" i="1"/>
  <c r="V987" i="1"/>
  <c r="W987" i="1"/>
  <c r="CZ987" i="1"/>
  <c r="O987" i="1"/>
  <c r="CY987" i="1"/>
  <c r="BP987" i="1"/>
  <c r="BO987" i="1"/>
  <c r="DO988" i="1"/>
  <c r="DG988" i="1"/>
  <c r="R988" i="1"/>
  <c r="Q988" i="1"/>
  <c r="DA988" i="1"/>
  <c r="V988" i="1"/>
  <c r="W988" i="1"/>
  <c r="CZ988" i="1"/>
  <c r="O988" i="1"/>
  <c r="CY988" i="1"/>
  <c r="BP988" i="1"/>
  <c r="BO988" i="1"/>
  <c r="DO989" i="1"/>
  <c r="DG989" i="1"/>
  <c r="R989" i="1"/>
  <c r="Q989" i="1"/>
  <c r="DA989" i="1"/>
  <c r="V989" i="1"/>
  <c r="W989" i="1"/>
  <c r="CZ989" i="1"/>
  <c r="O989" i="1"/>
  <c r="CY989" i="1"/>
  <c r="BP989" i="1"/>
  <c r="BO989" i="1"/>
  <c r="DO990" i="1"/>
  <c r="DG990" i="1"/>
  <c r="R990" i="1"/>
  <c r="Q990" i="1"/>
  <c r="DA990" i="1"/>
  <c r="V990" i="1"/>
  <c r="W990" i="1"/>
  <c r="CZ990" i="1"/>
  <c r="O990" i="1"/>
  <c r="CY990" i="1"/>
  <c r="BP990" i="1"/>
  <c r="BO990" i="1"/>
  <c r="DO991" i="1"/>
  <c r="DG991" i="1"/>
  <c r="R991" i="1"/>
  <c r="Q991" i="1"/>
  <c r="DA991" i="1"/>
  <c r="V991" i="1"/>
  <c r="W991" i="1"/>
  <c r="CZ991" i="1"/>
  <c r="O991" i="1"/>
  <c r="CY991" i="1"/>
  <c r="BP991" i="1"/>
  <c r="BO991" i="1"/>
  <c r="DO992" i="1"/>
  <c r="DG992" i="1"/>
  <c r="R992" i="1"/>
  <c r="Q992" i="1"/>
  <c r="DA992" i="1"/>
  <c r="V992" i="1"/>
  <c r="W992" i="1"/>
  <c r="CZ992" i="1"/>
  <c r="O992" i="1"/>
  <c r="CY992" i="1"/>
  <c r="BP992" i="1"/>
  <c r="BO992" i="1"/>
  <c r="DO993" i="1"/>
  <c r="DG993" i="1"/>
  <c r="R993" i="1"/>
  <c r="Q993" i="1"/>
  <c r="DA993" i="1"/>
  <c r="V993" i="1"/>
  <c r="W993" i="1"/>
  <c r="CZ993" i="1"/>
  <c r="O993" i="1"/>
  <c r="CY993" i="1"/>
  <c r="BP993" i="1"/>
  <c r="BO993" i="1"/>
  <c r="DO994" i="1"/>
  <c r="DG994" i="1"/>
  <c r="R994" i="1"/>
  <c r="Q994" i="1"/>
  <c r="DA994" i="1"/>
  <c r="V994" i="1"/>
  <c r="W994" i="1"/>
  <c r="CZ994" i="1"/>
  <c r="O994" i="1"/>
  <c r="CY994" i="1"/>
  <c r="BP994" i="1"/>
  <c r="BO994" i="1"/>
  <c r="DO995" i="1"/>
  <c r="DG995" i="1"/>
  <c r="R995" i="1"/>
  <c r="Q995" i="1"/>
  <c r="DA995" i="1"/>
  <c r="V995" i="1"/>
  <c r="W995" i="1"/>
  <c r="CZ995" i="1"/>
  <c r="O995" i="1"/>
  <c r="CY995" i="1"/>
  <c r="BP995" i="1"/>
  <c r="BO995" i="1"/>
  <c r="DO996" i="1"/>
  <c r="DG996" i="1"/>
  <c r="R996" i="1"/>
  <c r="Q996" i="1"/>
  <c r="DA996" i="1"/>
  <c r="V996" i="1"/>
  <c r="W996" i="1"/>
  <c r="CZ996" i="1"/>
  <c r="O996" i="1"/>
  <c r="CY996" i="1"/>
  <c r="BP996" i="1"/>
  <c r="BO996" i="1"/>
  <c r="DO997" i="1"/>
  <c r="DG997" i="1"/>
  <c r="R997" i="1"/>
  <c r="Q997" i="1"/>
  <c r="DA997" i="1"/>
  <c r="V997" i="1"/>
  <c r="W997" i="1"/>
  <c r="CZ997" i="1"/>
  <c r="O997" i="1"/>
  <c r="CY997" i="1"/>
  <c r="BP997" i="1"/>
  <c r="BO997" i="1"/>
  <c r="DO998" i="1"/>
  <c r="DG998" i="1"/>
  <c r="R998" i="1"/>
  <c r="Q998" i="1"/>
  <c r="DA998" i="1"/>
  <c r="V998" i="1"/>
  <c r="W998" i="1"/>
  <c r="CZ998" i="1"/>
  <c r="O998" i="1"/>
  <c r="CY998" i="1"/>
  <c r="BP998" i="1"/>
  <c r="BO998" i="1"/>
  <c r="DO999" i="1"/>
  <c r="DG999" i="1"/>
  <c r="R999" i="1"/>
  <c r="Q999" i="1"/>
  <c r="DA999" i="1"/>
  <c r="V999" i="1"/>
  <c r="W999" i="1"/>
  <c r="CZ999" i="1"/>
  <c r="O999" i="1"/>
  <c r="CY999" i="1"/>
  <c r="BP999" i="1"/>
  <c r="BO999" i="1"/>
  <c r="DO1000" i="1"/>
  <c r="DG1000" i="1"/>
  <c r="R1000" i="1"/>
  <c r="Q1000" i="1"/>
  <c r="DA1000" i="1"/>
  <c r="V1000" i="1"/>
  <c r="W1000" i="1"/>
  <c r="CZ1000" i="1"/>
  <c r="O1000" i="1"/>
  <c r="CY1000" i="1"/>
  <c r="BP1000" i="1"/>
  <c r="BO1000" i="1"/>
  <c r="DO1001" i="1"/>
  <c r="DG1001" i="1"/>
  <c r="R1001" i="1"/>
  <c r="Q1001" i="1"/>
  <c r="DA1001" i="1"/>
  <c r="V1001" i="1"/>
  <c r="W1001" i="1"/>
  <c r="CZ1001" i="1"/>
  <c r="O1001" i="1"/>
  <c r="CY1001" i="1"/>
  <c r="BP1001" i="1"/>
  <c r="BO1001" i="1"/>
  <c r="DO1002" i="1"/>
  <c r="DG1002" i="1"/>
  <c r="R1002" i="1"/>
  <c r="Q1002" i="1"/>
  <c r="DA1002" i="1"/>
  <c r="V1002" i="1"/>
  <c r="W1002" i="1"/>
  <c r="CZ1002" i="1"/>
  <c r="O1002" i="1"/>
  <c r="CY1002" i="1"/>
  <c r="BP1002" i="1"/>
  <c r="BO1002" i="1"/>
  <c r="DO1003" i="1"/>
  <c r="DG1003" i="1"/>
  <c r="R1003" i="1"/>
  <c r="Q1003" i="1"/>
  <c r="DA1003" i="1"/>
  <c r="V1003" i="1"/>
  <c r="W1003" i="1"/>
  <c r="CZ1003" i="1"/>
  <c r="O1003" i="1"/>
  <c r="CY1003" i="1"/>
  <c r="BP1003" i="1"/>
  <c r="BO1003" i="1"/>
  <c r="DO1004" i="1"/>
  <c r="DG1004" i="1"/>
  <c r="R1004" i="1"/>
  <c r="Q1004" i="1"/>
  <c r="DA1004" i="1"/>
  <c r="V1004" i="1"/>
  <c r="W1004" i="1"/>
  <c r="CZ1004" i="1"/>
  <c r="O1004" i="1"/>
  <c r="CY1004" i="1"/>
  <c r="BP1004" i="1"/>
  <c r="BO1004" i="1"/>
  <c r="DO850" i="1"/>
  <c r="R850" i="1"/>
  <c r="Q850" i="1"/>
  <c r="DA850" i="1"/>
  <c r="W850" i="1"/>
  <c r="CZ850" i="1"/>
  <c r="O850" i="1"/>
  <c r="BP850" i="1"/>
  <c r="BO850" i="1"/>
  <c r="DO849" i="1"/>
  <c r="R849" i="1"/>
  <c r="Q849" i="1"/>
  <c r="DA849" i="1"/>
  <c r="W849" i="1"/>
  <c r="CZ849" i="1"/>
  <c r="O849" i="1"/>
  <c r="BP849" i="1"/>
  <c r="BO849" i="1"/>
  <c r="DO847" i="1"/>
  <c r="R847" i="1"/>
  <c r="Q847" i="1"/>
  <c r="DA847" i="1"/>
  <c r="W847" i="1"/>
  <c r="CZ847" i="1"/>
  <c r="O847" i="1"/>
  <c r="BP847" i="1"/>
  <c r="BO847" i="1"/>
  <c r="DO846" i="1"/>
  <c r="R846" i="1"/>
  <c r="Q846" i="1"/>
  <c r="DA846" i="1"/>
  <c r="W846" i="1"/>
  <c r="CZ846" i="1"/>
  <c r="O846" i="1"/>
  <c r="BP846" i="1"/>
  <c r="BO846" i="1"/>
  <c r="DO845" i="1"/>
  <c r="R845" i="1"/>
  <c r="Q845" i="1"/>
  <c r="DA845" i="1"/>
  <c r="W845" i="1"/>
  <c r="CZ845" i="1"/>
  <c r="O845" i="1"/>
  <c r="BP845" i="1"/>
  <c r="BO845" i="1"/>
  <c r="DO844" i="1"/>
  <c r="R844" i="1"/>
  <c r="Q844" i="1"/>
  <c r="DA844" i="1"/>
  <c r="W844" i="1"/>
  <c r="CZ844" i="1"/>
  <c r="O844" i="1"/>
  <c r="BP844" i="1"/>
  <c r="BO844" i="1"/>
  <c r="DO843" i="1"/>
  <c r="R843" i="1"/>
  <c r="Q843" i="1"/>
  <c r="DA843" i="1"/>
  <c r="W843" i="1"/>
  <c r="CZ843" i="1"/>
  <c r="O843" i="1"/>
  <c r="BP843" i="1"/>
  <c r="BO843" i="1"/>
  <c r="DO842" i="1"/>
  <c r="R842" i="1"/>
  <c r="Q842" i="1"/>
  <c r="DA842" i="1"/>
  <c r="W842" i="1"/>
  <c r="CZ842" i="1"/>
  <c r="O842" i="1"/>
  <c r="BP842" i="1"/>
  <c r="BO842" i="1"/>
  <c r="DO829" i="1"/>
  <c r="R829" i="1"/>
  <c r="Q829" i="1"/>
  <c r="DA829" i="1"/>
  <c r="W829" i="1"/>
  <c r="CZ829" i="1"/>
  <c r="O829" i="1"/>
  <c r="BP829" i="1"/>
  <c r="BO829" i="1"/>
  <c r="DO828" i="1"/>
  <c r="R828" i="1"/>
  <c r="Q828" i="1"/>
  <c r="DA828" i="1"/>
  <c r="W828" i="1"/>
  <c r="CZ828" i="1"/>
  <c r="O828" i="1"/>
  <c r="BP828" i="1"/>
  <c r="BO828" i="1"/>
  <c r="DO827" i="1"/>
  <c r="R827" i="1"/>
  <c r="Q827" i="1"/>
  <c r="DA827" i="1"/>
  <c r="W827" i="1"/>
  <c r="CZ827" i="1"/>
  <c r="O827" i="1"/>
  <c r="BP827" i="1"/>
  <c r="BO827" i="1"/>
  <c r="DO826" i="1"/>
  <c r="R826" i="1"/>
  <c r="Q826" i="1"/>
  <c r="DA826" i="1"/>
  <c r="W826" i="1"/>
  <c r="CZ826" i="1"/>
  <c r="O826" i="1"/>
  <c r="BP826" i="1"/>
  <c r="BO826" i="1"/>
  <c r="DO825" i="1"/>
  <c r="R825" i="1"/>
  <c r="Q825" i="1"/>
  <c r="DA825" i="1"/>
  <c r="W825" i="1"/>
  <c r="CZ825" i="1"/>
  <c r="O825" i="1"/>
  <c r="BP825" i="1"/>
  <c r="BO825" i="1"/>
  <c r="DO824" i="1"/>
  <c r="R824" i="1"/>
  <c r="Q824" i="1"/>
  <c r="DA824" i="1"/>
  <c r="W824" i="1"/>
  <c r="CZ824" i="1"/>
  <c r="O824" i="1"/>
  <c r="BP824" i="1"/>
  <c r="BO824" i="1"/>
  <c r="DO823" i="1"/>
  <c r="R823" i="1"/>
  <c r="Q823" i="1"/>
  <c r="DA823" i="1"/>
  <c r="W823" i="1"/>
  <c r="CZ823" i="1"/>
  <c r="O823" i="1"/>
  <c r="BP823" i="1"/>
  <c r="BO823" i="1"/>
  <c r="DO822" i="1"/>
  <c r="R822" i="1"/>
  <c r="Q822" i="1"/>
  <c r="DA822" i="1"/>
  <c r="W822" i="1"/>
  <c r="CZ822" i="1"/>
  <c r="O822" i="1"/>
  <c r="BP822" i="1"/>
  <c r="BO822" i="1"/>
  <c r="DO821" i="1"/>
  <c r="R821" i="1"/>
  <c r="Q821" i="1"/>
  <c r="DA821" i="1"/>
  <c r="W821" i="1"/>
  <c r="CZ821" i="1"/>
  <c r="O821" i="1"/>
  <c r="BP821" i="1"/>
  <c r="BO821" i="1"/>
  <c r="DO820" i="1"/>
  <c r="R820" i="1"/>
  <c r="Q820" i="1"/>
  <c r="DA820" i="1"/>
  <c r="W820" i="1"/>
  <c r="CZ820" i="1"/>
  <c r="O820" i="1"/>
  <c r="BP820" i="1"/>
  <c r="BO820" i="1"/>
  <c r="DO819" i="1"/>
  <c r="R819" i="1"/>
  <c r="Q819" i="1"/>
  <c r="DA819" i="1"/>
  <c r="W819" i="1"/>
  <c r="CZ819" i="1"/>
  <c r="O819" i="1"/>
  <c r="BP819" i="1"/>
  <c r="BO819" i="1"/>
  <c r="DO812" i="1"/>
  <c r="R812" i="1"/>
  <c r="Q812" i="1"/>
  <c r="DA812" i="1"/>
  <c r="W812" i="1"/>
  <c r="CZ812" i="1"/>
  <c r="O812" i="1"/>
  <c r="BP812" i="1"/>
  <c r="BO812" i="1"/>
  <c r="DO811" i="1"/>
  <c r="R811" i="1"/>
  <c r="Q811" i="1"/>
  <c r="DA811" i="1"/>
  <c r="W811" i="1"/>
  <c r="CZ811" i="1"/>
  <c r="O811" i="1"/>
  <c r="BP811" i="1"/>
  <c r="BO811" i="1"/>
  <c r="DO810" i="1"/>
  <c r="R810" i="1"/>
  <c r="Q810" i="1"/>
  <c r="DA810" i="1"/>
  <c r="W810" i="1"/>
  <c r="CZ810" i="1"/>
  <c r="O810" i="1"/>
  <c r="BP810" i="1"/>
  <c r="BO810" i="1"/>
  <c r="DO809" i="1"/>
  <c r="R809" i="1"/>
  <c r="Q809" i="1"/>
  <c r="DA809" i="1"/>
  <c r="W809" i="1"/>
  <c r="CZ809" i="1"/>
  <c r="O809" i="1"/>
  <c r="BP809" i="1"/>
  <c r="BO809" i="1"/>
  <c r="DO808" i="1"/>
  <c r="R808" i="1"/>
  <c r="Q808" i="1"/>
  <c r="DA808" i="1"/>
  <c r="W808" i="1"/>
  <c r="CZ808" i="1"/>
  <c r="O808" i="1"/>
  <c r="BP808" i="1"/>
  <c r="BO808" i="1"/>
  <c r="DO807" i="1"/>
  <c r="R807" i="1"/>
  <c r="Q807" i="1"/>
  <c r="DA807" i="1"/>
  <c r="W807" i="1"/>
  <c r="CZ807" i="1"/>
  <c r="O807" i="1"/>
  <c r="BP807" i="1"/>
  <c r="BO807" i="1"/>
  <c r="DO806" i="1"/>
  <c r="R806" i="1"/>
  <c r="Q806" i="1"/>
  <c r="DA806" i="1"/>
  <c r="W806" i="1"/>
  <c r="CZ806" i="1"/>
  <c r="O806" i="1"/>
  <c r="BP806" i="1"/>
  <c r="BO806" i="1"/>
  <c r="DO805" i="1"/>
  <c r="R805" i="1"/>
  <c r="Q805" i="1"/>
  <c r="DA805" i="1"/>
  <c r="W805" i="1"/>
  <c r="CZ805" i="1"/>
  <c r="O805" i="1"/>
  <c r="BP805" i="1"/>
  <c r="BO805" i="1"/>
  <c r="DO804" i="1"/>
  <c r="R804" i="1"/>
  <c r="Q804" i="1"/>
  <c r="DA804" i="1"/>
  <c r="W804" i="1"/>
  <c r="CZ804" i="1"/>
  <c r="O804" i="1"/>
  <c r="BP804" i="1"/>
  <c r="BO804" i="1"/>
  <c r="DO803" i="1"/>
  <c r="R803" i="1"/>
  <c r="Q803" i="1"/>
  <c r="DA803" i="1"/>
  <c r="W803" i="1"/>
  <c r="CZ803" i="1"/>
  <c r="O803" i="1"/>
  <c r="BP803" i="1"/>
  <c r="BO803" i="1"/>
  <c r="DO802" i="1"/>
  <c r="R802" i="1"/>
  <c r="Q802" i="1"/>
  <c r="DA802" i="1"/>
  <c r="W802" i="1"/>
  <c r="CZ802" i="1"/>
  <c r="O802" i="1"/>
  <c r="BP802" i="1"/>
  <c r="BO802" i="1"/>
  <c r="DO800" i="1"/>
  <c r="R800" i="1"/>
  <c r="Q800" i="1"/>
  <c r="DA800" i="1"/>
  <c r="W800" i="1"/>
  <c r="CZ800" i="1"/>
  <c r="O800" i="1"/>
  <c r="BP800" i="1"/>
  <c r="BO800" i="1"/>
  <c r="DO797" i="1"/>
  <c r="R797" i="1"/>
  <c r="Q797" i="1"/>
  <c r="DA797" i="1"/>
  <c r="W797" i="1"/>
  <c r="CZ797" i="1"/>
  <c r="O797" i="1"/>
  <c r="BP797" i="1"/>
  <c r="BO797" i="1"/>
  <c r="DO796" i="1"/>
  <c r="R796" i="1"/>
  <c r="Q796" i="1"/>
  <c r="DA796" i="1"/>
  <c r="W796" i="1"/>
  <c r="CZ796" i="1"/>
  <c r="O796" i="1"/>
  <c r="BP796" i="1"/>
  <c r="BO796" i="1"/>
  <c r="DO795" i="1"/>
  <c r="R795" i="1"/>
  <c r="Q795" i="1"/>
  <c r="DA795" i="1"/>
  <c r="W795" i="1"/>
  <c r="CZ795" i="1"/>
  <c r="O795" i="1"/>
  <c r="BP795" i="1"/>
  <c r="BO795" i="1"/>
  <c r="DO794" i="1"/>
  <c r="R794" i="1"/>
  <c r="Q794" i="1"/>
  <c r="DA794" i="1"/>
  <c r="W794" i="1"/>
  <c r="CZ794" i="1"/>
  <c r="O794" i="1"/>
  <c r="BP794" i="1"/>
  <c r="BO794" i="1"/>
  <c r="DO736" i="1"/>
  <c r="R736" i="1"/>
  <c r="Q736" i="1"/>
  <c r="DA736" i="1"/>
  <c r="W736" i="1"/>
  <c r="CZ736" i="1"/>
  <c r="O736" i="1"/>
  <c r="BP736" i="1"/>
  <c r="BO736" i="1"/>
  <c r="DO737" i="1"/>
  <c r="R737" i="1"/>
  <c r="Q737" i="1"/>
  <c r="DA737" i="1"/>
  <c r="W737" i="1"/>
  <c r="CZ737" i="1"/>
  <c r="O737" i="1"/>
  <c r="BP737" i="1"/>
  <c r="BO737" i="1"/>
  <c r="DO793" i="1"/>
  <c r="R793" i="1"/>
  <c r="Q793" i="1"/>
  <c r="DA793" i="1"/>
  <c r="W793" i="1"/>
  <c r="CZ793" i="1"/>
  <c r="O793" i="1"/>
  <c r="BP793" i="1"/>
  <c r="BO793" i="1"/>
  <c r="DO792" i="1"/>
  <c r="R792" i="1"/>
  <c r="Q792" i="1"/>
  <c r="DA792" i="1"/>
  <c r="W792" i="1"/>
  <c r="CZ792" i="1"/>
  <c r="O792" i="1"/>
  <c r="BP792" i="1"/>
  <c r="BO792" i="1"/>
  <c r="DO791" i="1"/>
  <c r="R791" i="1"/>
  <c r="Q791" i="1"/>
  <c r="DA791" i="1"/>
  <c r="W791" i="1"/>
  <c r="CZ791" i="1"/>
  <c r="O791" i="1"/>
  <c r="BP791" i="1"/>
  <c r="BO791" i="1"/>
  <c r="DO788" i="1"/>
  <c r="R788" i="1"/>
  <c r="Q788" i="1"/>
  <c r="DA788" i="1"/>
  <c r="W788" i="1"/>
  <c r="CZ788" i="1"/>
  <c r="O788" i="1"/>
  <c r="BP788" i="1"/>
  <c r="BO788" i="1"/>
  <c r="DO787" i="1"/>
  <c r="R787" i="1"/>
  <c r="Q787" i="1"/>
  <c r="DA787" i="1"/>
  <c r="W787" i="1"/>
  <c r="CZ787" i="1"/>
  <c r="O787" i="1"/>
  <c r="BP787" i="1"/>
  <c r="BO787" i="1"/>
  <c r="DO786" i="1"/>
  <c r="R786" i="1"/>
  <c r="Q786" i="1"/>
  <c r="DA786" i="1"/>
  <c r="W786" i="1"/>
  <c r="CZ786" i="1"/>
  <c r="O786" i="1"/>
  <c r="BP786" i="1"/>
  <c r="BO786" i="1"/>
  <c r="DO785" i="1"/>
  <c r="R785" i="1"/>
  <c r="Q785" i="1"/>
  <c r="DA785" i="1"/>
  <c r="W785" i="1"/>
  <c r="CZ785" i="1"/>
  <c r="O785" i="1"/>
  <c r="BP785" i="1"/>
  <c r="BO785" i="1"/>
  <c r="DO784" i="1"/>
  <c r="R784" i="1"/>
  <c r="Q784" i="1"/>
  <c r="DA784" i="1"/>
  <c r="W784" i="1"/>
  <c r="CZ784" i="1"/>
  <c r="O784" i="1"/>
  <c r="BP784" i="1"/>
  <c r="BO784" i="1"/>
  <c r="DO756" i="1"/>
  <c r="R756" i="1"/>
  <c r="Q756" i="1"/>
  <c r="DA756" i="1"/>
  <c r="W756" i="1"/>
  <c r="CZ756" i="1"/>
  <c r="O756" i="1"/>
  <c r="BP756" i="1"/>
  <c r="BO756" i="1"/>
  <c r="DO755" i="1"/>
  <c r="R755" i="1"/>
  <c r="Q755" i="1"/>
  <c r="DA755" i="1"/>
  <c r="W755" i="1"/>
  <c r="CZ755" i="1"/>
  <c r="O755" i="1"/>
  <c r="BP755" i="1"/>
  <c r="BO755" i="1"/>
  <c r="DO754" i="1"/>
  <c r="R754" i="1"/>
  <c r="Q754" i="1"/>
  <c r="DA754" i="1"/>
  <c r="W754" i="1"/>
  <c r="CZ754" i="1"/>
  <c r="O754" i="1"/>
  <c r="BP754" i="1"/>
  <c r="BO754" i="1"/>
  <c r="DO753" i="1"/>
  <c r="R753" i="1"/>
  <c r="Q753" i="1"/>
  <c r="DA753" i="1"/>
  <c r="W753" i="1"/>
  <c r="CZ753" i="1"/>
  <c r="O753" i="1"/>
  <c r="BP753" i="1"/>
  <c r="BO753" i="1"/>
  <c r="DO752" i="1"/>
  <c r="R752" i="1"/>
  <c r="Q752" i="1"/>
  <c r="DA752" i="1"/>
  <c r="W752" i="1"/>
  <c r="CZ752" i="1"/>
  <c r="O752" i="1"/>
  <c r="BP752" i="1"/>
  <c r="BO752" i="1"/>
  <c r="DO751" i="1"/>
  <c r="R751" i="1"/>
  <c r="Q751" i="1"/>
  <c r="DA751" i="1"/>
  <c r="W751" i="1"/>
  <c r="CZ751" i="1"/>
  <c r="O751" i="1"/>
  <c r="BP751" i="1"/>
  <c r="BO751" i="1"/>
  <c r="DO750" i="1"/>
  <c r="R750" i="1"/>
  <c r="Q750" i="1"/>
  <c r="DA750" i="1"/>
  <c r="W750" i="1"/>
  <c r="CZ750" i="1"/>
  <c r="O750" i="1"/>
  <c r="BP750" i="1"/>
  <c r="BO750" i="1"/>
  <c r="DO749" i="1"/>
  <c r="R749" i="1"/>
  <c r="Q749" i="1"/>
  <c r="DA749" i="1"/>
  <c r="W749" i="1"/>
  <c r="CZ749" i="1"/>
  <c r="O749" i="1"/>
  <c r="BP749" i="1"/>
  <c r="BO749" i="1"/>
  <c r="DO730" i="1"/>
  <c r="R730" i="1"/>
  <c r="Q730" i="1"/>
  <c r="DA730" i="1"/>
  <c r="W730" i="1"/>
  <c r="CZ730" i="1"/>
  <c r="O730" i="1"/>
  <c r="BP730" i="1"/>
  <c r="BO730" i="1"/>
  <c r="DO729" i="1"/>
  <c r="R729" i="1"/>
  <c r="Q729" i="1"/>
  <c r="DA729" i="1"/>
  <c r="W729" i="1"/>
  <c r="CZ729" i="1"/>
  <c r="O729" i="1"/>
  <c r="BP729" i="1"/>
  <c r="BO729" i="1"/>
  <c r="DO727" i="1"/>
  <c r="R727" i="1"/>
  <c r="Q727" i="1"/>
  <c r="DA727" i="1"/>
  <c r="W727" i="1"/>
  <c r="CZ727" i="1"/>
  <c r="O727" i="1"/>
  <c r="BP727" i="1"/>
  <c r="BO727" i="1"/>
  <c r="DO726" i="1"/>
  <c r="R726" i="1"/>
  <c r="Q726" i="1"/>
  <c r="DA726" i="1"/>
  <c r="W726" i="1"/>
  <c r="CZ726" i="1"/>
  <c r="O726" i="1"/>
  <c r="BP726" i="1"/>
  <c r="BO726" i="1"/>
  <c r="DO725" i="1"/>
  <c r="R725" i="1"/>
  <c r="Q725" i="1"/>
  <c r="DA725" i="1"/>
  <c r="W725" i="1"/>
  <c r="CZ725" i="1"/>
  <c r="O725" i="1"/>
  <c r="BP725" i="1"/>
  <c r="BO725" i="1"/>
  <c r="DO904" i="1"/>
  <c r="R904" i="1"/>
  <c r="Q904" i="1"/>
  <c r="DA904" i="1"/>
  <c r="W904" i="1"/>
  <c r="CZ904" i="1"/>
  <c r="O904" i="1"/>
  <c r="BP904" i="1"/>
  <c r="BO904" i="1"/>
  <c r="DO724" i="1"/>
  <c r="R724" i="1"/>
  <c r="Q724" i="1"/>
  <c r="DA724" i="1"/>
  <c r="W724" i="1"/>
  <c r="CZ724" i="1"/>
  <c r="O724" i="1"/>
  <c r="BP724" i="1"/>
  <c r="BO724" i="1"/>
  <c r="DO905" i="1"/>
  <c r="R905" i="1"/>
  <c r="Q905" i="1"/>
  <c r="DA905" i="1"/>
  <c r="W905" i="1"/>
  <c r="CZ905" i="1"/>
  <c r="O905" i="1"/>
  <c r="BP905" i="1"/>
  <c r="BO905" i="1"/>
  <c r="DO723" i="1"/>
  <c r="R723" i="1"/>
  <c r="Q723" i="1"/>
  <c r="DA723" i="1"/>
  <c r="W723" i="1"/>
  <c r="CZ723" i="1"/>
  <c r="O723" i="1"/>
  <c r="BP723" i="1"/>
  <c r="BO723" i="1"/>
  <c r="DO722" i="1"/>
  <c r="R722" i="1"/>
  <c r="Q722" i="1"/>
  <c r="DA722" i="1"/>
  <c r="W722" i="1"/>
  <c r="CZ722" i="1"/>
  <c r="O722" i="1"/>
  <c r="BP722" i="1"/>
  <c r="BO722" i="1"/>
  <c r="DO721" i="1"/>
  <c r="R721" i="1"/>
  <c r="Q721" i="1"/>
  <c r="DA721" i="1"/>
  <c r="W721" i="1"/>
  <c r="CZ721" i="1"/>
  <c r="O721" i="1"/>
  <c r="BP721" i="1"/>
  <c r="BO721" i="1"/>
  <c r="DO684" i="1"/>
  <c r="R684" i="1"/>
  <c r="Q684" i="1"/>
  <c r="DA684" i="1"/>
  <c r="W684" i="1"/>
  <c r="CZ684" i="1"/>
  <c r="O684" i="1"/>
  <c r="BP684" i="1"/>
  <c r="BO684" i="1"/>
  <c r="DO720" i="1"/>
  <c r="R720" i="1"/>
  <c r="Q720" i="1"/>
  <c r="DA720" i="1"/>
  <c r="W720" i="1"/>
  <c r="CZ720" i="1"/>
  <c r="O720" i="1"/>
  <c r="BP720" i="1"/>
  <c r="BO720" i="1"/>
  <c r="DO683" i="1"/>
  <c r="R683" i="1"/>
  <c r="Q683" i="1"/>
  <c r="DA683" i="1"/>
  <c r="W683" i="1"/>
  <c r="CZ683" i="1"/>
  <c r="O683" i="1"/>
  <c r="BP683" i="1"/>
  <c r="BO683" i="1"/>
  <c r="DO719" i="1"/>
  <c r="R719" i="1"/>
  <c r="Q719" i="1"/>
  <c r="DA719" i="1"/>
  <c r="W719" i="1"/>
  <c r="CZ719" i="1"/>
  <c r="O719" i="1"/>
  <c r="BP719" i="1"/>
  <c r="BO719" i="1"/>
  <c r="DO682" i="1"/>
  <c r="R682" i="1"/>
  <c r="Q682" i="1"/>
  <c r="DA682" i="1"/>
  <c r="W682" i="1"/>
  <c r="CZ682" i="1"/>
  <c r="O682" i="1"/>
  <c r="BP682" i="1"/>
  <c r="BO682" i="1"/>
  <c r="DO718" i="1"/>
  <c r="R718" i="1"/>
  <c r="Q718" i="1"/>
  <c r="DA718" i="1"/>
  <c r="W718" i="1"/>
  <c r="CZ718" i="1"/>
  <c r="O718" i="1"/>
  <c r="BP718" i="1"/>
  <c r="BO718" i="1"/>
  <c r="DO681" i="1"/>
  <c r="R681" i="1"/>
  <c r="Q681" i="1"/>
  <c r="DA681" i="1"/>
  <c r="W681" i="1"/>
  <c r="CZ681" i="1"/>
  <c r="O681" i="1"/>
  <c r="BP681" i="1"/>
  <c r="BO681" i="1"/>
  <c r="DO680" i="1"/>
  <c r="R680" i="1"/>
  <c r="Q680" i="1"/>
  <c r="DA680" i="1"/>
  <c r="W680" i="1"/>
  <c r="CZ680" i="1"/>
  <c r="O680" i="1"/>
  <c r="BP680" i="1"/>
  <c r="BO680" i="1"/>
  <c r="DO717" i="1"/>
  <c r="R717" i="1"/>
  <c r="Q717" i="1"/>
  <c r="DA717" i="1"/>
  <c r="W717" i="1"/>
  <c r="CZ717" i="1"/>
  <c r="O717" i="1"/>
  <c r="BP717" i="1"/>
  <c r="BO717" i="1"/>
  <c r="DO674" i="1"/>
  <c r="R674" i="1"/>
  <c r="Q674" i="1"/>
  <c r="DA674" i="1"/>
  <c r="W674" i="1"/>
  <c r="CZ674" i="1"/>
  <c r="O674" i="1"/>
  <c r="BP674" i="1"/>
  <c r="BO674" i="1"/>
  <c r="DO673" i="1"/>
  <c r="R673" i="1"/>
  <c r="Q673" i="1"/>
  <c r="DA673" i="1"/>
  <c r="W673" i="1"/>
  <c r="CZ673" i="1"/>
  <c r="O673" i="1"/>
  <c r="BP673" i="1"/>
  <c r="BO673" i="1"/>
  <c r="DO672" i="1"/>
  <c r="R672" i="1"/>
  <c r="Q672" i="1"/>
  <c r="DA672" i="1"/>
  <c r="W672" i="1"/>
  <c r="CZ672" i="1"/>
  <c r="O672" i="1"/>
  <c r="BP672" i="1"/>
  <c r="BO672" i="1"/>
  <c r="DO716" i="1"/>
  <c r="R716" i="1"/>
  <c r="Q716" i="1"/>
  <c r="DA716" i="1"/>
  <c r="W716" i="1"/>
  <c r="CZ716" i="1"/>
  <c r="O716" i="1"/>
  <c r="BP716" i="1"/>
  <c r="BO716" i="1"/>
  <c r="DO715" i="1"/>
  <c r="R715" i="1"/>
  <c r="Q715" i="1"/>
  <c r="DA715" i="1"/>
  <c r="W715" i="1"/>
  <c r="CZ715" i="1"/>
  <c r="O715" i="1"/>
  <c r="BP715" i="1"/>
  <c r="BO715" i="1"/>
  <c r="DO714" i="1"/>
  <c r="R714" i="1"/>
  <c r="Q714" i="1"/>
  <c r="DA714" i="1"/>
  <c r="W714" i="1"/>
  <c r="CZ714" i="1"/>
  <c r="O714" i="1"/>
  <c r="BP714" i="1"/>
  <c r="BO714" i="1"/>
  <c r="DO713" i="1"/>
  <c r="R713" i="1"/>
  <c r="Q713" i="1"/>
  <c r="DA713" i="1"/>
  <c r="W713" i="1"/>
  <c r="CZ713" i="1"/>
  <c r="O713" i="1"/>
  <c r="BP713" i="1"/>
  <c r="BO713" i="1"/>
  <c r="DO712" i="1"/>
  <c r="R712" i="1"/>
  <c r="Q712" i="1"/>
  <c r="DA712" i="1"/>
  <c r="W712" i="1"/>
  <c r="CZ712" i="1"/>
  <c r="O712" i="1"/>
  <c r="BP712" i="1"/>
  <c r="BO712" i="1"/>
  <c r="DO711" i="1"/>
  <c r="R711" i="1"/>
  <c r="Q711" i="1"/>
  <c r="DA711" i="1"/>
  <c r="W711" i="1"/>
  <c r="CZ711" i="1"/>
  <c r="O711" i="1"/>
  <c r="BP711" i="1"/>
  <c r="BO711" i="1"/>
  <c r="DO710" i="1"/>
  <c r="R710" i="1"/>
  <c r="Q710" i="1"/>
  <c r="DA710" i="1"/>
  <c r="W710" i="1"/>
  <c r="CZ710" i="1"/>
  <c r="O710" i="1"/>
  <c r="BP710" i="1"/>
  <c r="BO710" i="1"/>
  <c r="DO671" i="1"/>
  <c r="R671" i="1"/>
  <c r="Q671" i="1"/>
  <c r="DA671" i="1"/>
  <c r="W671" i="1"/>
  <c r="CZ671" i="1"/>
  <c r="O671" i="1"/>
  <c r="BP671" i="1"/>
  <c r="BO671" i="1"/>
  <c r="DO709" i="1"/>
  <c r="R709" i="1"/>
  <c r="Q709" i="1"/>
  <c r="DA709" i="1"/>
  <c r="W709" i="1"/>
  <c r="CZ709" i="1"/>
  <c r="O709" i="1"/>
  <c r="BP709" i="1"/>
  <c r="BO709" i="1"/>
  <c r="DO708" i="1"/>
  <c r="R708" i="1"/>
  <c r="Q708" i="1"/>
  <c r="DA708" i="1"/>
  <c r="W708" i="1"/>
  <c r="CZ708" i="1"/>
  <c r="O708" i="1"/>
  <c r="BP708" i="1"/>
  <c r="BO708" i="1"/>
  <c r="DO704" i="1"/>
  <c r="R704" i="1"/>
  <c r="Q704" i="1"/>
  <c r="DA704" i="1"/>
  <c r="W704" i="1"/>
  <c r="CZ704" i="1"/>
  <c r="O704" i="1"/>
  <c r="BP704" i="1"/>
  <c r="BO704" i="1"/>
  <c r="DO703" i="1"/>
  <c r="R703" i="1"/>
  <c r="Q703" i="1"/>
  <c r="DA703" i="1"/>
  <c r="W703" i="1"/>
  <c r="CZ703" i="1"/>
  <c r="O703" i="1"/>
  <c r="BP703" i="1"/>
  <c r="BO703" i="1"/>
  <c r="DO702" i="1"/>
  <c r="R702" i="1"/>
  <c r="Q702" i="1"/>
  <c r="DA702" i="1"/>
  <c r="W702" i="1"/>
  <c r="CZ702" i="1"/>
  <c r="O702" i="1"/>
  <c r="BP702" i="1"/>
  <c r="BO702" i="1"/>
  <c r="DO701" i="1"/>
  <c r="R701" i="1"/>
  <c r="Q701" i="1"/>
  <c r="DA701" i="1"/>
  <c r="W701" i="1"/>
  <c r="CZ701" i="1"/>
  <c r="O701" i="1"/>
  <c r="BP701" i="1"/>
  <c r="BO701" i="1"/>
  <c r="DO700" i="1"/>
  <c r="R700" i="1"/>
  <c r="Q700" i="1"/>
  <c r="DA700" i="1"/>
  <c r="W700" i="1"/>
  <c r="CZ700" i="1"/>
  <c r="O700" i="1"/>
  <c r="BP700" i="1"/>
  <c r="BO700" i="1"/>
  <c r="DO699" i="1"/>
  <c r="R699" i="1"/>
  <c r="Q699" i="1"/>
  <c r="DA699" i="1"/>
  <c r="W699" i="1"/>
  <c r="CZ699" i="1"/>
  <c r="O699" i="1"/>
  <c r="BP699" i="1"/>
  <c r="BO699" i="1"/>
  <c r="DO698" i="1"/>
  <c r="R698" i="1"/>
  <c r="Q698" i="1"/>
  <c r="DA698" i="1"/>
  <c r="W698" i="1"/>
  <c r="CZ698" i="1"/>
  <c r="O698" i="1"/>
  <c r="BP698" i="1"/>
  <c r="BO698" i="1"/>
  <c r="DO670" i="1"/>
  <c r="R670" i="1"/>
  <c r="Q670" i="1"/>
  <c r="DA670" i="1"/>
  <c r="W670" i="1"/>
  <c r="CZ670" i="1"/>
  <c r="O670" i="1"/>
  <c r="BP670" i="1"/>
  <c r="BO670" i="1"/>
  <c r="DO669" i="1"/>
  <c r="R669" i="1"/>
  <c r="Q669" i="1"/>
  <c r="DA669" i="1"/>
  <c r="W669" i="1"/>
  <c r="CZ669" i="1"/>
  <c r="O669" i="1"/>
  <c r="BP669" i="1"/>
  <c r="BO669" i="1"/>
  <c r="DO668" i="1"/>
  <c r="R668" i="1"/>
  <c r="Q668" i="1"/>
  <c r="DA668" i="1"/>
  <c r="W668" i="1"/>
  <c r="CZ668" i="1"/>
  <c r="O668" i="1"/>
  <c r="BP668" i="1"/>
  <c r="BO668" i="1"/>
  <c r="DO667" i="1"/>
  <c r="R667" i="1"/>
  <c r="Q667" i="1"/>
  <c r="DA667" i="1"/>
  <c r="W667" i="1"/>
  <c r="CZ667" i="1"/>
  <c r="O667" i="1"/>
  <c r="BP667" i="1"/>
  <c r="BO667" i="1"/>
  <c r="DO666" i="1"/>
  <c r="R666" i="1"/>
  <c r="Q666" i="1"/>
  <c r="DA666" i="1"/>
  <c r="W666" i="1"/>
  <c r="CZ666" i="1"/>
  <c r="O666" i="1"/>
  <c r="BP666" i="1"/>
  <c r="BO666" i="1"/>
  <c r="DO665" i="1"/>
  <c r="R665" i="1"/>
  <c r="Q665" i="1"/>
  <c r="DA665" i="1"/>
  <c r="W665" i="1"/>
  <c r="CZ665" i="1"/>
  <c r="O665" i="1"/>
  <c r="BP665" i="1"/>
  <c r="BO665" i="1"/>
  <c r="DO664" i="1"/>
  <c r="R664" i="1"/>
  <c r="Q664" i="1"/>
  <c r="DA664" i="1"/>
  <c r="W664" i="1"/>
  <c r="CZ664" i="1"/>
  <c r="O664" i="1"/>
  <c r="BP664" i="1"/>
  <c r="BO664" i="1"/>
  <c r="DO663" i="1"/>
  <c r="R663" i="1"/>
  <c r="Q663" i="1"/>
  <c r="DA663" i="1"/>
  <c r="W663" i="1"/>
  <c r="CZ663" i="1"/>
  <c r="O663" i="1"/>
  <c r="BP663" i="1"/>
  <c r="BO663" i="1"/>
  <c r="DO622" i="1"/>
  <c r="R622" i="1"/>
  <c r="Q622" i="1"/>
  <c r="DA622" i="1"/>
  <c r="W622" i="1"/>
  <c r="CZ622" i="1"/>
  <c r="O622" i="1"/>
  <c r="BP622" i="1"/>
  <c r="BO622" i="1"/>
  <c r="DO621" i="1"/>
  <c r="R621" i="1"/>
  <c r="Q621" i="1"/>
  <c r="DA621" i="1"/>
  <c r="W621" i="1"/>
  <c r="CZ621" i="1"/>
  <c r="O621" i="1"/>
  <c r="BP621" i="1"/>
  <c r="BO621" i="1"/>
  <c r="DO697" i="1"/>
  <c r="R697" i="1"/>
  <c r="Q697" i="1"/>
  <c r="DA697" i="1"/>
  <c r="W697" i="1"/>
  <c r="CZ697" i="1"/>
  <c r="O697" i="1"/>
  <c r="BP697" i="1"/>
  <c r="BO697" i="1"/>
  <c r="DO696" i="1"/>
  <c r="R696" i="1"/>
  <c r="Q696" i="1"/>
  <c r="DA696" i="1"/>
  <c r="W696" i="1"/>
  <c r="CZ696" i="1"/>
  <c r="O696" i="1"/>
  <c r="BP696" i="1"/>
  <c r="BO696" i="1"/>
  <c r="DO695" i="1"/>
  <c r="R695" i="1"/>
  <c r="Q695" i="1"/>
  <c r="DA695" i="1"/>
  <c r="W695" i="1"/>
  <c r="CZ695" i="1"/>
  <c r="O695" i="1"/>
  <c r="BP695" i="1"/>
  <c r="BO695" i="1"/>
  <c r="DO694" i="1"/>
  <c r="R694" i="1"/>
  <c r="Q694" i="1"/>
  <c r="DA694" i="1"/>
  <c r="W694" i="1"/>
  <c r="CZ694" i="1"/>
  <c r="O694" i="1"/>
  <c r="BP694" i="1"/>
  <c r="BO694" i="1"/>
  <c r="DO693" i="1"/>
  <c r="R693" i="1"/>
  <c r="Q693" i="1"/>
  <c r="DA693" i="1"/>
  <c r="W693" i="1"/>
  <c r="CZ693" i="1"/>
  <c r="O693" i="1"/>
  <c r="BP693" i="1"/>
  <c r="BO693" i="1"/>
  <c r="DO692" i="1"/>
  <c r="R692" i="1"/>
  <c r="Q692" i="1"/>
  <c r="DA692" i="1"/>
  <c r="W692" i="1"/>
  <c r="CZ692" i="1"/>
  <c r="O692" i="1"/>
  <c r="BP692" i="1"/>
  <c r="BO692" i="1"/>
  <c r="DO662" i="1"/>
  <c r="R662" i="1"/>
  <c r="Q662" i="1"/>
  <c r="DA662" i="1"/>
  <c r="W662" i="1"/>
  <c r="CZ662" i="1"/>
  <c r="O662" i="1"/>
  <c r="BP662" i="1"/>
  <c r="BO662" i="1"/>
  <c r="DO661" i="1"/>
  <c r="R661" i="1"/>
  <c r="Q661" i="1"/>
  <c r="DA661" i="1"/>
  <c r="W661" i="1"/>
  <c r="CZ661" i="1"/>
  <c r="O661" i="1"/>
  <c r="BP661" i="1"/>
  <c r="BO661" i="1"/>
  <c r="DO660" i="1"/>
  <c r="R660" i="1"/>
  <c r="Q660" i="1"/>
  <c r="DA660" i="1"/>
  <c r="W660" i="1"/>
  <c r="CZ660" i="1"/>
  <c r="O660" i="1"/>
  <c r="BP660" i="1"/>
  <c r="BO660" i="1"/>
  <c r="DO654" i="1"/>
  <c r="R654" i="1"/>
  <c r="Q654" i="1"/>
  <c r="DA654" i="1"/>
  <c r="W654" i="1"/>
  <c r="CZ654" i="1"/>
  <c r="O654" i="1"/>
  <c r="BP654" i="1"/>
  <c r="BO654" i="1"/>
  <c r="DO653" i="1"/>
  <c r="R653" i="1"/>
  <c r="Q653" i="1"/>
  <c r="DA653" i="1"/>
  <c r="W653" i="1"/>
  <c r="CZ653" i="1"/>
  <c r="O653" i="1"/>
  <c r="BP653" i="1"/>
  <c r="BO653" i="1"/>
  <c r="DO652" i="1"/>
  <c r="R652" i="1"/>
  <c r="Q652" i="1"/>
  <c r="DA652" i="1"/>
  <c r="W652" i="1"/>
  <c r="CZ652" i="1"/>
  <c r="O652" i="1"/>
  <c r="BP652" i="1"/>
  <c r="BO652" i="1"/>
  <c r="DO651" i="1"/>
  <c r="R651" i="1"/>
  <c r="Q651" i="1"/>
  <c r="DA651" i="1"/>
  <c r="W651" i="1"/>
  <c r="CZ651" i="1"/>
  <c r="O651" i="1"/>
  <c r="BP651" i="1"/>
  <c r="BO651" i="1"/>
  <c r="DO650" i="1"/>
  <c r="R650" i="1"/>
  <c r="Q650" i="1"/>
  <c r="DA650" i="1"/>
  <c r="W650" i="1"/>
  <c r="CZ650" i="1"/>
  <c r="O650" i="1"/>
  <c r="BP650" i="1"/>
  <c r="BO650" i="1"/>
  <c r="DO649" i="1"/>
  <c r="R649" i="1"/>
  <c r="Q649" i="1"/>
  <c r="DA649" i="1"/>
  <c r="W649" i="1"/>
  <c r="CZ649" i="1"/>
  <c r="O649" i="1"/>
  <c r="BP649" i="1"/>
  <c r="BO649" i="1"/>
  <c r="DO648" i="1"/>
  <c r="R648" i="1"/>
  <c r="Q648" i="1"/>
  <c r="DA648" i="1"/>
  <c r="W648" i="1"/>
  <c r="CZ648" i="1"/>
  <c r="O648" i="1"/>
  <c r="BP648" i="1"/>
  <c r="BO648" i="1"/>
  <c r="DO647" i="1"/>
  <c r="R647" i="1"/>
  <c r="Q647" i="1"/>
  <c r="DA647" i="1"/>
  <c r="W647" i="1"/>
  <c r="CZ647" i="1"/>
  <c r="O647" i="1"/>
  <c r="BP647" i="1"/>
  <c r="BO647" i="1"/>
  <c r="DO646" i="1"/>
  <c r="R646" i="1"/>
  <c r="Q646" i="1"/>
  <c r="DA646" i="1"/>
  <c r="W646" i="1"/>
  <c r="CZ646" i="1"/>
  <c r="O646" i="1"/>
  <c r="BP646" i="1"/>
  <c r="BO646" i="1"/>
  <c r="DO645" i="1"/>
  <c r="R645" i="1"/>
  <c r="Q645" i="1"/>
  <c r="DA645" i="1"/>
  <c r="W645" i="1"/>
  <c r="CZ645" i="1"/>
  <c r="O645" i="1"/>
  <c r="BP645" i="1"/>
  <c r="BO645" i="1"/>
  <c r="DO644" i="1"/>
  <c r="R644" i="1"/>
  <c r="Q644" i="1"/>
  <c r="DA644" i="1"/>
  <c r="W644" i="1"/>
  <c r="CZ644" i="1"/>
  <c r="O644" i="1"/>
  <c r="BP644" i="1"/>
  <c r="BO644" i="1"/>
  <c r="DO643" i="1"/>
  <c r="R643" i="1"/>
  <c r="Q643" i="1"/>
  <c r="DA643" i="1"/>
  <c r="W643" i="1"/>
  <c r="CZ643" i="1"/>
  <c r="O643" i="1"/>
  <c r="BP643" i="1"/>
  <c r="BO643" i="1"/>
  <c r="DO639" i="1"/>
  <c r="R639" i="1"/>
  <c r="Q639" i="1"/>
  <c r="DA639" i="1"/>
  <c r="W639" i="1"/>
  <c r="CZ639" i="1"/>
  <c r="O639" i="1"/>
  <c r="BP639" i="1"/>
  <c r="BO639" i="1"/>
  <c r="DO638" i="1"/>
  <c r="R638" i="1"/>
  <c r="Q638" i="1"/>
  <c r="DA638" i="1"/>
  <c r="W638" i="1"/>
  <c r="CZ638" i="1"/>
  <c r="O638" i="1"/>
  <c r="BP638" i="1"/>
  <c r="BO638" i="1"/>
  <c r="DO635" i="1"/>
  <c r="R635" i="1"/>
  <c r="Q635" i="1"/>
  <c r="DA635" i="1"/>
  <c r="W635" i="1"/>
  <c r="CZ635" i="1"/>
  <c r="O635" i="1"/>
  <c r="BP635" i="1"/>
  <c r="BO635" i="1"/>
  <c r="DO620" i="1"/>
  <c r="R620" i="1"/>
  <c r="Q620" i="1"/>
  <c r="DA620" i="1"/>
  <c r="W620" i="1"/>
  <c r="CZ620" i="1"/>
  <c r="O620" i="1"/>
  <c r="BP620" i="1"/>
  <c r="BO620" i="1"/>
  <c r="DO619" i="1"/>
  <c r="R619" i="1"/>
  <c r="Q619" i="1"/>
  <c r="DA619" i="1"/>
  <c r="W619" i="1"/>
  <c r="CZ619" i="1"/>
  <c r="O619" i="1"/>
  <c r="BP619" i="1"/>
  <c r="BO619" i="1"/>
  <c r="DO618" i="1"/>
  <c r="R618" i="1"/>
  <c r="Q618" i="1"/>
  <c r="DA618" i="1"/>
  <c r="W618" i="1"/>
  <c r="CZ618" i="1"/>
  <c r="O618" i="1"/>
  <c r="BP618" i="1"/>
  <c r="BO618" i="1"/>
  <c r="DO617" i="1"/>
  <c r="R617" i="1"/>
  <c r="Q617" i="1"/>
  <c r="DA617" i="1"/>
  <c r="W617" i="1"/>
  <c r="CZ617" i="1"/>
  <c r="O617" i="1"/>
  <c r="BP617" i="1"/>
  <c r="BO617" i="1"/>
  <c r="DO732" i="1"/>
  <c r="R732" i="1"/>
  <c r="Q732" i="1"/>
  <c r="DA732" i="1"/>
  <c r="W732" i="1"/>
  <c r="CZ732" i="1"/>
  <c r="O732" i="1"/>
  <c r="BP732" i="1"/>
  <c r="BO732" i="1"/>
  <c r="DO733" i="1"/>
  <c r="R733" i="1"/>
  <c r="Q733" i="1"/>
  <c r="DA733" i="1"/>
  <c r="W733" i="1"/>
  <c r="CZ733" i="1"/>
  <c r="O733" i="1"/>
  <c r="BP733" i="1"/>
  <c r="BO733" i="1"/>
  <c r="DO734" i="1"/>
  <c r="R734" i="1"/>
  <c r="Q734" i="1"/>
  <c r="DA734" i="1"/>
  <c r="W734" i="1"/>
  <c r="CZ734" i="1"/>
  <c r="O734" i="1"/>
  <c r="BP734" i="1"/>
  <c r="BO734" i="1"/>
  <c r="DO616" i="1"/>
  <c r="R616" i="1"/>
  <c r="Q616" i="1"/>
  <c r="DA616" i="1"/>
  <c r="W616" i="1"/>
  <c r="CZ616" i="1"/>
  <c r="O616" i="1"/>
  <c r="BP616" i="1"/>
  <c r="BO616" i="1"/>
  <c r="DO735" i="1"/>
  <c r="R735" i="1"/>
  <c r="Q735" i="1"/>
  <c r="DA735" i="1"/>
  <c r="W735" i="1"/>
  <c r="CZ735" i="1"/>
  <c r="O735" i="1"/>
  <c r="BP735" i="1"/>
  <c r="BO735" i="1"/>
  <c r="DO728" i="1"/>
  <c r="R728" i="1"/>
  <c r="Q728" i="1"/>
  <c r="DA728" i="1"/>
  <c r="W728" i="1"/>
  <c r="CZ728" i="1"/>
  <c r="O728" i="1"/>
  <c r="BP728" i="1"/>
  <c r="BO728" i="1"/>
  <c r="DO801" i="1"/>
  <c r="R801" i="1"/>
  <c r="Q801" i="1"/>
  <c r="DA801" i="1"/>
  <c r="W801" i="1"/>
  <c r="CZ801" i="1"/>
  <c r="O801" i="1"/>
  <c r="BP801" i="1"/>
  <c r="BO801" i="1"/>
  <c r="DO848" i="1"/>
  <c r="R848" i="1"/>
  <c r="Q848" i="1"/>
  <c r="DA848" i="1"/>
  <c r="W848" i="1"/>
  <c r="CZ848" i="1"/>
  <c r="O848" i="1"/>
  <c r="BP848" i="1"/>
  <c r="BO848" i="1"/>
  <c r="DO691" i="1"/>
  <c r="R691" i="1"/>
  <c r="Q691" i="1"/>
  <c r="DA691" i="1"/>
  <c r="W691" i="1"/>
  <c r="CZ691" i="1"/>
  <c r="O691" i="1"/>
  <c r="BP691" i="1"/>
  <c r="BO691" i="1"/>
  <c r="DO690" i="1"/>
  <c r="R690" i="1"/>
  <c r="Q690" i="1"/>
  <c r="DA690" i="1"/>
  <c r="W690" i="1"/>
  <c r="CZ690" i="1"/>
  <c r="O690" i="1"/>
  <c r="BP690" i="1"/>
  <c r="BO690" i="1"/>
  <c r="DO679" i="1"/>
  <c r="R679" i="1"/>
  <c r="Q679" i="1"/>
  <c r="DA679" i="1"/>
  <c r="W679" i="1"/>
  <c r="CZ679" i="1"/>
  <c r="O679" i="1"/>
  <c r="BP679" i="1"/>
  <c r="BO679" i="1"/>
  <c r="DO1113" i="1"/>
  <c r="R1113" i="1"/>
  <c r="Q1113" i="1"/>
  <c r="DA1113" i="1"/>
  <c r="W1113" i="1"/>
  <c r="CZ1113" i="1"/>
  <c r="O1113" i="1"/>
  <c r="BP1113" i="1"/>
  <c r="BO1113" i="1"/>
  <c r="DO678" i="1"/>
  <c r="R678" i="1"/>
  <c r="Q678" i="1"/>
  <c r="DA678" i="1"/>
  <c r="W678" i="1"/>
  <c r="CZ678" i="1"/>
  <c r="O678" i="1"/>
  <c r="BP678" i="1"/>
  <c r="BO678" i="1"/>
  <c r="DO677" i="1"/>
  <c r="R677" i="1"/>
  <c r="Q677" i="1"/>
  <c r="DA677" i="1"/>
  <c r="W677" i="1"/>
  <c r="CZ677" i="1"/>
  <c r="O677" i="1"/>
  <c r="BP677" i="1"/>
  <c r="BO677" i="1"/>
  <c r="DO676" i="1"/>
  <c r="R676" i="1"/>
  <c r="Q676" i="1"/>
  <c r="DA676" i="1"/>
  <c r="W676" i="1"/>
  <c r="CZ676" i="1"/>
  <c r="O676" i="1"/>
  <c r="BP676" i="1"/>
  <c r="BO676" i="1"/>
  <c r="DO623" i="1"/>
  <c r="R623" i="1"/>
  <c r="Q623" i="1"/>
  <c r="DA623" i="1"/>
  <c r="W623" i="1"/>
  <c r="CZ623" i="1"/>
  <c r="O623" i="1"/>
  <c r="BP623" i="1"/>
  <c r="BO623" i="1"/>
  <c r="DO675" i="1"/>
  <c r="R675" i="1"/>
  <c r="Q675" i="1"/>
  <c r="DA675" i="1"/>
  <c r="W675" i="1"/>
  <c r="CZ675" i="1"/>
  <c r="O675" i="1"/>
  <c r="BP675" i="1"/>
  <c r="BO675" i="1"/>
  <c r="DO659" i="1"/>
  <c r="R659" i="1"/>
  <c r="Q659" i="1"/>
  <c r="DA659" i="1"/>
  <c r="W659" i="1"/>
  <c r="CZ659" i="1"/>
  <c r="O659" i="1"/>
  <c r="BP659" i="1"/>
  <c r="BO659" i="1"/>
  <c r="DO658" i="1"/>
  <c r="R658" i="1"/>
  <c r="Q658" i="1"/>
  <c r="DA658" i="1"/>
  <c r="W658" i="1"/>
  <c r="CZ658" i="1"/>
  <c r="O658" i="1"/>
  <c r="BP658" i="1"/>
  <c r="BO658" i="1"/>
  <c r="DO657" i="1"/>
  <c r="R657" i="1"/>
  <c r="Q657" i="1"/>
  <c r="DA657" i="1"/>
  <c r="W657" i="1"/>
  <c r="CZ657" i="1"/>
  <c r="O657" i="1"/>
  <c r="BP657" i="1"/>
  <c r="BO657" i="1"/>
  <c r="DO656" i="1"/>
  <c r="R656" i="1"/>
  <c r="Q656" i="1"/>
  <c r="DA656" i="1"/>
  <c r="W656" i="1"/>
  <c r="CZ656" i="1"/>
  <c r="O656" i="1"/>
  <c r="BP656" i="1"/>
  <c r="BO656" i="1"/>
  <c r="DO655" i="1"/>
  <c r="R655" i="1"/>
  <c r="Q655" i="1"/>
  <c r="DA655" i="1"/>
  <c r="W655" i="1"/>
  <c r="CZ655" i="1"/>
  <c r="O655" i="1"/>
  <c r="BP655" i="1"/>
  <c r="BO655" i="1"/>
  <c r="DO637" i="1"/>
  <c r="R637" i="1"/>
  <c r="Q637" i="1"/>
  <c r="DA637" i="1"/>
  <c r="W637" i="1"/>
  <c r="CZ637" i="1"/>
  <c r="O637" i="1"/>
  <c r="BP637" i="1"/>
  <c r="BO637" i="1"/>
  <c r="DO636" i="1"/>
  <c r="R636" i="1"/>
  <c r="Q636" i="1"/>
  <c r="DA636" i="1"/>
  <c r="W636" i="1"/>
  <c r="CZ636" i="1"/>
  <c r="O636" i="1"/>
  <c r="BP636" i="1"/>
  <c r="BO636" i="1"/>
  <c r="DO634" i="1"/>
  <c r="R634" i="1"/>
  <c r="Q634" i="1"/>
  <c r="DA634" i="1"/>
  <c r="W634" i="1"/>
  <c r="CZ634" i="1"/>
  <c r="O634" i="1"/>
  <c r="BP634" i="1"/>
  <c r="BO634" i="1"/>
  <c r="DO633" i="1"/>
  <c r="R633" i="1"/>
  <c r="Q633" i="1"/>
  <c r="DA633" i="1"/>
  <c r="W633" i="1"/>
  <c r="CZ633" i="1"/>
  <c r="O633" i="1"/>
  <c r="BP633" i="1"/>
  <c r="BO633" i="1"/>
  <c r="DO632" i="1"/>
  <c r="R632" i="1"/>
  <c r="Q632" i="1"/>
  <c r="DA632" i="1"/>
  <c r="W632" i="1"/>
  <c r="CZ632" i="1"/>
  <c r="O632" i="1"/>
  <c r="BP632" i="1"/>
  <c r="BO632" i="1"/>
  <c r="DO631" i="1"/>
  <c r="R631" i="1"/>
  <c r="Q631" i="1"/>
  <c r="DA631" i="1"/>
  <c r="W631" i="1"/>
  <c r="CZ631" i="1"/>
  <c r="O631" i="1"/>
  <c r="BP631" i="1"/>
  <c r="BO631" i="1"/>
  <c r="DO630" i="1"/>
  <c r="R630" i="1"/>
  <c r="Q630" i="1"/>
  <c r="DA630" i="1"/>
  <c r="W630" i="1"/>
  <c r="CZ630" i="1"/>
  <c r="O630" i="1"/>
  <c r="BP630" i="1"/>
  <c r="BO630" i="1"/>
  <c r="DO629" i="1"/>
  <c r="R629" i="1"/>
  <c r="Q629" i="1"/>
  <c r="DA629" i="1"/>
  <c r="W629" i="1"/>
  <c r="CZ629" i="1"/>
  <c r="O629" i="1"/>
  <c r="BP629" i="1"/>
  <c r="BO629" i="1"/>
  <c r="DO628" i="1"/>
  <c r="R628" i="1"/>
  <c r="Q628" i="1"/>
  <c r="DA628" i="1"/>
  <c r="W628" i="1"/>
  <c r="CZ628" i="1"/>
  <c r="O628" i="1"/>
  <c r="BP628" i="1"/>
  <c r="BO628" i="1"/>
  <c r="DO627" i="1"/>
  <c r="R627" i="1"/>
  <c r="Q627" i="1"/>
  <c r="DA627" i="1"/>
  <c r="W627" i="1"/>
  <c r="CZ627" i="1"/>
  <c r="O627" i="1"/>
  <c r="BP627" i="1"/>
  <c r="BO627" i="1"/>
  <c r="DO626" i="1"/>
  <c r="R626" i="1"/>
  <c r="Q626" i="1"/>
  <c r="DA626" i="1"/>
  <c r="W626" i="1"/>
  <c r="CZ626" i="1"/>
  <c r="O626" i="1"/>
  <c r="BP626" i="1"/>
  <c r="BO626" i="1"/>
  <c r="DO625" i="1"/>
  <c r="R625" i="1"/>
  <c r="Q625" i="1"/>
  <c r="DA625" i="1"/>
  <c r="W625" i="1"/>
  <c r="CZ625" i="1"/>
  <c r="O625" i="1"/>
  <c r="BP625" i="1"/>
  <c r="BO625" i="1"/>
  <c r="DO624" i="1"/>
  <c r="R624" i="1"/>
  <c r="Q624" i="1"/>
  <c r="DA624" i="1"/>
  <c r="W624" i="1"/>
  <c r="CZ624" i="1"/>
  <c r="O624" i="1"/>
  <c r="BP624" i="1"/>
  <c r="BO624" i="1"/>
  <c r="DO603" i="1"/>
  <c r="R603" i="1"/>
  <c r="Q603" i="1"/>
  <c r="DA603" i="1"/>
  <c r="W603" i="1"/>
  <c r="CZ603" i="1"/>
  <c r="O603" i="1"/>
  <c r="BP603" i="1"/>
  <c r="BO603" i="1"/>
  <c r="DO602" i="1"/>
  <c r="R602" i="1"/>
  <c r="Q602" i="1"/>
  <c r="DA602" i="1"/>
  <c r="W602" i="1"/>
  <c r="CZ602" i="1"/>
  <c r="O602" i="1"/>
  <c r="BP602" i="1"/>
  <c r="BO602" i="1"/>
  <c r="DO601" i="1"/>
  <c r="R601" i="1"/>
  <c r="Q601" i="1"/>
  <c r="DA601" i="1"/>
  <c r="W601" i="1"/>
  <c r="CZ601" i="1"/>
  <c r="O601" i="1"/>
  <c r="BP601" i="1"/>
  <c r="BO601" i="1"/>
  <c r="DO615" i="1"/>
  <c r="R615" i="1"/>
  <c r="Q615" i="1"/>
  <c r="DA615" i="1"/>
  <c r="W615" i="1"/>
  <c r="CZ615" i="1"/>
  <c r="O615" i="1"/>
  <c r="BP615" i="1"/>
  <c r="BO615" i="1"/>
  <c r="DO614" i="1"/>
  <c r="R614" i="1"/>
  <c r="Q614" i="1"/>
  <c r="DA614" i="1"/>
  <c r="W614" i="1"/>
  <c r="CZ614" i="1"/>
  <c r="O614" i="1"/>
  <c r="BP614" i="1"/>
  <c r="BO614" i="1"/>
  <c r="DO761" i="1"/>
  <c r="R761" i="1"/>
  <c r="Q761" i="1"/>
  <c r="DA761" i="1"/>
  <c r="W761" i="1"/>
  <c r="CZ761" i="1"/>
  <c r="O761" i="1"/>
  <c r="BP761" i="1"/>
  <c r="BO761" i="1"/>
  <c r="DO705" i="1"/>
  <c r="R705" i="1"/>
  <c r="Q705" i="1"/>
  <c r="DA705" i="1"/>
  <c r="W705" i="1"/>
  <c r="CZ705" i="1"/>
  <c r="O705" i="1"/>
  <c r="BP705" i="1"/>
  <c r="BO705" i="1"/>
  <c r="DO1425" i="1"/>
  <c r="R1425" i="1"/>
  <c r="Q1425" i="1"/>
  <c r="DA1425" i="1"/>
  <c r="W1425" i="1"/>
  <c r="CZ1425" i="1"/>
  <c r="O1425" i="1"/>
  <c r="BP1425" i="1"/>
  <c r="BO1425" i="1"/>
  <c r="DO1408" i="1"/>
  <c r="R1408" i="1"/>
  <c r="Q1408" i="1"/>
  <c r="DA1408" i="1"/>
  <c r="W1408" i="1"/>
  <c r="CZ1408" i="1"/>
  <c r="O1408" i="1"/>
  <c r="BP1408" i="1"/>
  <c r="BO1408" i="1"/>
  <c r="DO706" i="1"/>
  <c r="R706" i="1"/>
  <c r="Q706" i="1"/>
  <c r="DA706" i="1"/>
  <c r="W706" i="1"/>
  <c r="CZ706" i="1"/>
  <c r="O706" i="1"/>
  <c r="BP706" i="1"/>
  <c r="BO706" i="1"/>
  <c r="DO707" i="1"/>
  <c r="R707" i="1"/>
  <c r="Q707" i="1"/>
  <c r="DA707" i="1"/>
  <c r="W707" i="1"/>
  <c r="CZ707" i="1"/>
  <c r="O707" i="1"/>
  <c r="BP707" i="1"/>
  <c r="BO707" i="1"/>
  <c r="DO731" i="1"/>
  <c r="R731" i="1"/>
  <c r="Q731" i="1"/>
  <c r="DA731" i="1"/>
  <c r="W731" i="1"/>
  <c r="CZ731" i="1"/>
  <c r="O731" i="1"/>
  <c r="BP731" i="1"/>
  <c r="BO731" i="1"/>
  <c r="DO738" i="1"/>
  <c r="R738" i="1"/>
  <c r="Q738" i="1"/>
  <c r="DA738" i="1"/>
  <c r="W738" i="1"/>
  <c r="CZ738" i="1"/>
  <c r="O738" i="1"/>
  <c r="BP738" i="1"/>
  <c r="BO738" i="1"/>
  <c r="DO897" i="1"/>
  <c r="R897" i="1"/>
  <c r="Q897" i="1"/>
  <c r="DA897" i="1"/>
  <c r="W897" i="1"/>
  <c r="CZ897" i="1"/>
  <c r="O897" i="1"/>
  <c r="BP897" i="1"/>
  <c r="BO897" i="1"/>
  <c r="DO896" i="1"/>
  <c r="R896" i="1"/>
  <c r="Q896" i="1"/>
  <c r="DA896" i="1"/>
  <c r="W896" i="1"/>
  <c r="CZ896" i="1"/>
  <c r="O896" i="1"/>
  <c r="BP896" i="1"/>
  <c r="BO896" i="1"/>
  <c r="DO895" i="1"/>
  <c r="R895" i="1"/>
  <c r="Q895" i="1"/>
  <c r="DA895" i="1"/>
  <c r="W895" i="1"/>
  <c r="CZ895" i="1"/>
  <c r="O895" i="1"/>
  <c r="BP895" i="1"/>
  <c r="BO895" i="1"/>
  <c r="DO739" i="1"/>
  <c r="R739" i="1"/>
  <c r="Q739" i="1"/>
  <c r="DA739" i="1"/>
  <c r="W739" i="1"/>
  <c r="CZ739" i="1"/>
  <c r="O739" i="1"/>
  <c r="BP739" i="1"/>
  <c r="BO739" i="1"/>
  <c r="DO887" i="1"/>
  <c r="R887" i="1"/>
  <c r="Q887" i="1"/>
  <c r="DA887" i="1"/>
  <c r="W887" i="1"/>
  <c r="CZ887" i="1"/>
  <c r="O887" i="1"/>
  <c r="BP887" i="1"/>
  <c r="BO887" i="1"/>
  <c r="DO886" i="1"/>
  <c r="R886" i="1"/>
  <c r="Q886" i="1"/>
  <c r="DA886" i="1"/>
  <c r="W886" i="1"/>
  <c r="CZ886" i="1"/>
  <c r="O886" i="1"/>
  <c r="BP886" i="1"/>
  <c r="BO886" i="1"/>
  <c r="DO885" i="1"/>
  <c r="R885" i="1"/>
  <c r="Q885" i="1"/>
  <c r="DA885" i="1"/>
  <c r="W885" i="1"/>
  <c r="CZ885" i="1"/>
  <c r="O885" i="1"/>
  <c r="BP885" i="1"/>
  <c r="BO885" i="1"/>
  <c r="DO882" i="1"/>
  <c r="R882" i="1"/>
  <c r="Q882" i="1"/>
  <c r="DA882" i="1"/>
  <c r="W882" i="1"/>
  <c r="CZ882" i="1"/>
  <c r="O882" i="1"/>
  <c r="BP882" i="1"/>
  <c r="BO882" i="1"/>
  <c r="DO881" i="1"/>
  <c r="R881" i="1"/>
  <c r="Q881" i="1"/>
  <c r="DA881" i="1"/>
  <c r="W881" i="1"/>
  <c r="CZ881" i="1"/>
  <c r="O881" i="1"/>
  <c r="BP881" i="1"/>
  <c r="BO881" i="1"/>
  <c r="DO880" i="1"/>
  <c r="R880" i="1"/>
  <c r="Q880" i="1"/>
  <c r="DA880" i="1"/>
  <c r="W880" i="1"/>
  <c r="CZ880" i="1"/>
  <c r="O880" i="1"/>
  <c r="BP880" i="1"/>
  <c r="BO880" i="1"/>
  <c r="DO741" i="1"/>
  <c r="R741" i="1"/>
  <c r="Q741" i="1"/>
  <c r="DA741" i="1"/>
  <c r="W741" i="1"/>
  <c r="CZ741" i="1"/>
  <c r="O741" i="1"/>
  <c r="BP741" i="1"/>
  <c r="BO741" i="1"/>
  <c r="DO1316" i="1"/>
  <c r="R1316" i="1"/>
  <c r="Q1316" i="1"/>
  <c r="DA1316" i="1"/>
  <c r="W1316" i="1"/>
  <c r="CZ1316" i="1"/>
  <c r="O1316" i="1"/>
  <c r="BP1316" i="1"/>
  <c r="BO1316" i="1"/>
  <c r="DO1323" i="1"/>
  <c r="DG1323" i="1"/>
  <c r="R1323" i="1"/>
  <c r="Q1323" i="1"/>
  <c r="DA1323" i="1"/>
  <c r="V1323" i="1"/>
  <c r="W1323" i="1"/>
  <c r="CZ1323" i="1"/>
  <c r="O1323" i="1"/>
  <c r="CY1323" i="1"/>
  <c r="BP1323" i="1"/>
  <c r="BO1323" i="1"/>
  <c r="DO1321" i="1"/>
  <c r="R1321" i="1"/>
  <c r="Q1321" i="1"/>
  <c r="DA1321" i="1"/>
  <c r="W1321" i="1"/>
  <c r="CZ1321" i="1"/>
  <c r="O1321" i="1"/>
  <c r="BP1321" i="1"/>
  <c r="BO1321" i="1"/>
  <c r="DO1320" i="1"/>
  <c r="DG1320" i="1"/>
  <c r="R1320" i="1"/>
  <c r="Q1320" i="1"/>
  <c r="DA1320" i="1"/>
  <c r="V1320" i="1"/>
  <c r="W1320" i="1"/>
  <c r="CZ1320" i="1"/>
  <c r="O1320" i="1"/>
  <c r="CY1320" i="1"/>
  <c r="BP1320" i="1"/>
  <c r="BO1320" i="1"/>
  <c r="DO1319" i="1"/>
  <c r="DG1319" i="1"/>
  <c r="R1319" i="1"/>
  <c r="Q1319" i="1"/>
  <c r="DA1319" i="1"/>
  <c r="V1319" i="1"/>
  <c r="W1319" i="1"/>
  <c r="CZ1319" i="1"/>
  <c r="O1319" i="1"/>
  <c r="CY1319" i="1"/>
  <c r="BP1319" i="1"/>
  <c r="BO1319" i="1"/>
  <c r="DO1318" i="1"/>
  <c r="DG1318" i="1"/>
  <c r="R1318" i="1"/>
  <c r="Q1318" i="1"/>
  <c r="DA1318" i="1"/>
  <c r="V1318" i="1"/>
  <c r="W1318" i="1"/>
  <c r="CZ1318" i="1"/>
  <c r="O1318" i="1"/>
  <c r="CY1318" i="1"/>
  <c r="BP1318" i="1"/>
  <c r="BO1318" i="1"/>
  <c r="DO1317" i="1"/>
  <c r="DG1317" i="1"/>
  <c r="R1317" i="1"/>
  <c r="Q1317" i="1"/>
  <c r="DA1317" i="1"/>
  <c r="V1317" i="1"/>
  <c r="W1317" i="1"/>
  <c r="CZ1317" i="1"/>
  <c r="O1317" i="1"/>
  <c r="CY1317" i="1"/>
  <c r="BP1317" i="1"/>
  <c r="BO1317" i="1"/>
  <c r="DO1314" i="1"/>
  <c r="R1314" i="1"/>
  <c r="Q1314" i="1"/>
  <c r="DA1314" i="1"/>
  <c r="W1314" i="1"/>
  <c r="CZ1314" i="1"/>
  <c r="O1314" i="1"/>
  <c r="BP1314" i="1"/>
  <c r="BO1314" i="1"/>
  <c r="DO1305" i="1"/>
  <c r="DG1305" i="1"/>
  <c r="R1305" i="1"/>
  <c r="Q1305" i="1"/>
  <c r="DA1305" i="1"/>
  <c r="V1305" i="1"/>
  <c r="W1305" i="1"/>
  <c r="CZ1305" i="1"/>
  <c r="O1305" i="1"/>
  <c r="CY1305" i="1"/>
  <c r="BP1305" i="1"/>
  <c r="BO1305" i="1"/>
  <c r="DO1448" i="1"/>
  <c r="R1448" i="1"/>
  <c r="Q1448" i="1"/>
  <c r="DA1448" i="1"/>
  <c r="W1448" i="1"/>
  <c r="CZ1448" i="1"/>
  <c r="O1448" i="1"/>
  <c r="BP1448" i="1"/>
  <c r="BO1448" i="1"/>
  <c r="DO352" i="1"/>
  <c r="DG352" i="1"/>
  <c r="R352" i="1"/>
  <c r="Q352" i="1"/>
  <c r="DA352" i="1"/>
  <c r="V352" i="1"/>
  <c r="W352" i="1"/>
  <c r="CZ352" i="1"/>
  <c r="O352" i="1"/>
  <c r="CY352" i="1"/>
  <c r="BP352" i="1"/>
  <c r="BO352" i="1"/>
  <c r="DO496" i="1"/>
  <c r="R496" i="1"/>
  <c r="Q496" i="1"/>
  <c r="DA496" i="1"/>
  <c r="W496" i="1"/>
  <c r="CZ496" i="1"/>
  <c r="O496" i="1"/>
  <c r="BP496" i="1"/>
  <c r="BO496" i="1"/>
  <c r="DO1424" i="1"/>
  <c r="R1424" i="1"/>
  <c r="Q1424" i="1"/>
  <c r="DA1424" i="1"/>
  <c r="W1424" i="1"/>
  <c r="CZ1424" i="1"/>
  <c r="O1424" i="1"/>
  <c r="BP1424" i="1"/>
  <c r="BO1424" i="1"/>
  <c r="DO1306" i="1"/>
  <c r="DG1306" i="1"/>
  <c r="R1306" i="1"/>
  <c r="Q1306" i="1"/>
  <c r="DA1306" i="1"/>
  <c r="V1306" i="1"/>
  <c r="W1306" i="1"/>
  <c r="CZ1306" i="1"/>
  <c r="O1306" i="1"/>
  <c r="CY1306" i="1"/>
  <c r="BP1306" i="1"/>
  <c r="BO1306" i="1"/>
  <c r="DO376" i="1"/>
  <c r="R376" i="1"/>
  <c r="Q376" i="1"/>
  <c r="DA376" i="1"/>
  <c r="W376" i="1"/>
  <c r="CZ376" i="1"/>
  <c r="O376" i="1"/>
  <c r="BP376" i="1"/>
  <c r="BO376" i="1"/>
  <c r="DO1307" i="1"/>
  <c r="DG1307" i="1"/>
  <c r="R1307" i="1"/>
  <c r="Q1307" i="1"/>
  <c r="DA1307" i="1"/>
  <c r="V1307" i="1"/>
  <c r="W1307" i="1"/>
  <c r="CZ1307" i="1"/>
  <c r="O1307" i="1"/>
  <c r="CY1307" i="1"/>
  <c r="BP1307" i="1"/>
  <c r="BO1307" i="1"/>
  <c r="DO1215" i="1"/>
  <c r="DG1215" i="1"/>
  <c r="R1215" i="1"/>
  <c r="Q1215" i="1"/>
  <c r="DA1215" i="1"/>
  <c r="V1215" i="1"/>
  <c r="W1215" i="1"/>
  <c r="CZ1215" i="1"/>
  <c r="O1215" i="1"/>
  <c r="CY1215" i="1"/>
  <c r="BP1215" i="1"/>
  <c r="BO1215" i="1"/>
  <c r="DO1312" i="1"/>
  <c r="R1312" i="1"/>
  <c r="Q1312" i="1"/>
  <c r="DA1312" i="1"/>
  <c r="W1312" i="1"/>
  <c r="CZ1312" i="1"/>
  <c r="O1312" i="1"/>
  <c r="BP1312" i="1"/>
  <c r="BO1312" i="1"/>
  <c r="DO1364" i="1"/>
  <c r="R1364" i="1"/>
  <c r="Q1364" i="1"/>
  <c r="DA1364" i="1"/>
  <c r="W1364" i="1"/>
  <c r="CZ1364" i="1"/>
  <c r="O1364" i="1"/>
  <c r="BP1364" i="1"/>
  <c r="BO1364" i="1"/>
  <c r="DO1308" i="1"/>
  <c r="DG1308" i="1"/>
  <c r="R1308" i="1"/>
  <c r="Q1308" i="1"/>
  <c r="DA1308" i="1"/>
  <c r="V1308" i="1"/>
  <c r="W1308" i="1"/>
  <c r="CZ1308" i="1"/>
  <c r="O1308" i="1"/>
  <c r="CY1308" i="1"/>
  <c r="BP1308" i="1"/>
  <c r="BO1308" i="1"/>
  <c r="DO1309" i="1"/>
  <c r="DG1309" i="1"/>
  <c r="R1309" i="1"/>
  <c r="Q1309" i="1"/>
  <c r="DA1309" i="1"/>
  <c r="V1309" i="1"/>
  <c r="W1309" i="1"/>
  <c r="CZ1309" i="1"/>
  <c r="O1309" i="1"/>
  <c r="CY1309" i="1"/>
  <c r="BP1309" i="1"/>
  <c r="BO1309" i="1"/>
  <c r="DO1315" i="1"/>
  <c r="R1315" i="1"/>
  <c r="Q1315" i="1"/>
  <c r="DA1315" i="1"/>
  <c r="W1315" i="1"/>
  <c r="CZ1315" i="1"/>
  <c r="O1315" i="1"/>
  <c r="BP1315" i="1"/>
  <c r="BO1315" i="1"/>
  <c r="DO1310" i="1"/>
  <c r="DG1310" i="1"/>
  <c r="R1310" i="1"/>
  <c r="Q1310" i="1"/>
  <c r="DA1310" i="1"/>
  <c r="V1310" i="1"/>
  <c r="W1310" i="1"/>
  <c r="CZ1310" i="1"/>
  <c r="O1310" i="1"/>
  <c r="CY1310" i="1"/>
  <c r="BP1310" i="1"/>
  <c r="BO1310" i="1"/>
  <c r="DO289" i="1"/>
  <c r="DG289" i="1"/>
  <c r="R289" i="1"/>
  <c r="Q289" i="1"/>
  <c r="DA289" i="1"/>
  <c r="V289" i="1"/>
  <c r="W289" i="1"/>
  <c r="CZ289" i="1"/>
  <c r="O289" i="1"/>
  <c r="CY289" i="1"/>
  <c r="BP289" i="1"/>
  <c r="BO289" i="1"/>
  <c r="DO1311" i="1"/>
  <c r="DG1311" i="1"/>
  <c r="R1311" i="1"/>
  <c r="Q1311" i="1"/>
  <c r="DA1311" i="1"/>
  <c r="V1311" i="1"/>
  <c r="W1311" i="1"/>
  <c r="CZ1311" i="1"/>
  <c r="O1311" i="1"/>
  <c r="CY1311" i="1"/>
  <c r="BP1311" i="1"/>
  <c r="BO1311" i="1"/>
  <c r="DO908" i="1"/>
  <c r="R908" i="1"/>
  <c r="Q908" i="1"/>
  <c r="DA908" i="1"/>
  <c r="W908" i="1"/>
  <c r="CZ908" i="1"/>
  <c r="O908" i="1"/>
  <c r="BP908" i="1"/>
  <c r="BO908" i="1"/>
  <c r="DO1322" i="1"/>
  <c r="R1322" i="1"/>
  <c r="Q1322" i="1"/>
  <c r="DA1322" i="1"/>
  <c r="W1322" i="1"/>
  <c r="CZ1322" i="1"/>
  <c r="O1322" i="1"/>
  <c r="BP1322" i="1"/>
  <c r="BO1322" i="1"/>
  <c r="DO367" i="1"/>
  <c r="R367" i="1"/>
  <c r="Q367" i="1"/>
  <c r="DA367" i="1"/>
  <c r="W367" i="1"/>
  <c r="CZ367" i="1"/>
  <c r="O367" i="1"/>
  <c r="BP367" i="1"/>
  <c r="BO367" i="1"/>
  <c r="DO916" i="1"/>
  <c r="R916" i="1"/>
  <c r="Q916" i="1"/>
  <c r="DA916" i="1"/>
  <c r="W916" i="1"/>
  <c r="CZ916" i="1"/>
  <c r="O916" i="1"/>
  <c r="BP916" i="1"/>
  <c r="BO916" i="1"/>
  <c r="DO924" i="1"/>
  <c r="DG924" i="1"/>
  <c r="R924" i="1"/>
  <c r="Q924" i="1"/>
  <c r="DA924" i="1"/>
  <c r="V924" i="1"/>
  <c r="W924" i="1"/>
  <c r="CZ924" i="1"/>
  <c r="O924" i="1"/>
  <c r="CY924" i="1"/>
  <c r="BP924" i="1"/>
  <c r="BO924" i="1"/>
  <c r="DO1313" i="1"/>
  <c r="DG1313" i="1"/>
  <c r="R1313" i="1"/>
  <c r="Q1313" i="1"/>
  <c r="DA1313" i="1"/>
  <c r="V1313" i="1"/>
  <c r="W1313" i="1"/>
  <c r="CZ1313" i="1"/>
  <c r="O1313" i="1"/>
  <c r="CY1313" i="1"/>
  <c r="BP1313" i="1"/>
  <c r="BO1313" i="1"/>
  <c r="DO1324" i="1"/>
  <c r="DG1324" i="1"/>
  <c r="R1324" i="1"/>
  <c r="Q1324" i="1"/>
  <c r="DA1324" i="1"/>
  <c r="V1324" i="1"/>
  <c r="W1324" i="1"/>
  <c r="CZ1324" i="1"/>
  <c r="O1324" i="1"/>
  <c r="CY1324" i="1"/>
  <c r="BP1324" i="1"/>
  <c r="BO1324" i="1"/>
  <c r="DO1496" i="1"/>
  <c r="DG1496" i="1"/>
  <c r="R1496" i="1"/>
  <c r="Q1496" i="1"/>
  <c r="DA1496" i="1"/>
  <c r="V1496" i="1"/>
  <c r="W1496" i="1"/>
  <c r="CZ1496" i="1"/>
  <c r="O1496" i="1"/>
  <c r="CY1496" i="1"/>
  <c r="BP1496" i="1"/>
  <c r="BO1496" i="1"/>
  <c r="DO1271" i="1"/>
  <c r="R1271" i="1"/>
  <c r="Q1271" i="1"/>
  <c r="DA1271" i="1"/>
  <c r="W1271" i="1"/>
  <c r="CZ1271" i="1"/>
  <c r="O1271" i="1"/>
  <c r="BP1271" i="1"/>
  <c r="BO1271" i="1"/>
  <c r="DO1499" i="1"/>
  <c r="DG1499" i="1"/>
  <c r="R1499" i="1"/>
  <c r="Q1499" i="1"/>
  <c r="DA1499" i="1"/>
  <c r="V1499" i="1"/>
  <c r="W1499" i="1"/>
  <c r="CZ1499" i="1"/>
  <c r="O1499" i="1"/>
  <c r="CY1499" i="1"/>
  <c r="BP1499" i="1"/>
  <c r="BO1499" i="1"/>
  <c r="DO1336" i="1"/>
  <c r="R1336" i="1"/>
  <c r="Q1336" i="1"/>
  <c r="DA1336" i="1"/>
  <c r="W1336" i="1"/>
  <c r="CZ1336" i="1"/>
  <c r="O1336" i="1"/>
  <c r="BP1336" i="1"/>
  <c r="BO1336" i="1"/>
  <c r="DO1352" i="1"/>
  <c r="R1352" i="1"/>
  <c r="Q1352" i="1"/>
  <c r="DA1352" i="1"/>
  <c r="W1352" i="1"/>
  <c r="CZ1352" i="1"/>
  <c r="O1352" i="1"/>
  <c r="BP1352" i="1"/>
  <c r="BO1352" i="1"/>
  <c r="DO1230" i="1"/>
  <c r="R1230" i="1"/>
  <c r="Q1230" i="1"/>
  <c r="DA1230" i="1"/>
  <c r="W1230" i="1"/>
  <c r="CZ1230" i="1"/>
  <c r="O1230" i="1"/>
  <c r="BP1230" i="1"/>
  <c r="BO1230" i="1"/>
  <c r="DO1239" i="1"/>
  <c r="R1239" i="1"/>
  <c r="Q1239" i="1"/>
  <c r="DA1239" i="1"/>
  <c r="W1239" i="1"/>
  <c r="CZ1239" i="1"/>
  <c r="O1239" i="1"/>
  <c r="BP1239" i="1"/>
  <c r="BO1239" i="1"/>
  <c r="DO1339" i="1"/>
  <c r="R1339" i="1"/>
  <c r="Q1339" i="1"/>
  <c r="DA1339" i="1"/>
  <c r="W1339" i="1"/>
  <c r="CZ1339" i="1"/>
  <c r="O1339" i="1"/>
  <c r="BP1339" i="1"/>
  <c r="BO1339" i="1"/>
  <c r="DO240" i="1"/>
  <c r="DG240" i="1"/>
  <c r="R240" i="1"/>
  <c r="Q240" i="1"/>
  <c r="DA240" i="1"/>
  <c r="V240" i="1"/>
  <c r="W240" i="1"/>
  <c r="CZ240" i="1"/>
  <c r="O240" i="1"/>
  <c r="CY240" i="1"/>
  <c r="BP240" i="1"/>
  <c r="BO240" i="1"/>
  <c r="DO1241" i="1"/>
  <c r="R1241" i="1"/>
  <c r="Q1241" i="1"/>
  <c r="DA1241" i="1"/>
  <c r="W1241" i="1"/>
  <c r="CZ1241" i="1"/>
  <c r="O1241" i="1"/>
  <c r="BP1241" i="1"/>
  <c r="BO1241" i="1"/>
  <c r="DO238" i="1"/>
  <c r="DG238" i="1"/>
  <c r="R238" i="1"/>
  <c r="Q238" i="1"/>
  <c r="DA238" i="1"/>
  <c r="V238" i="1"/>
  <c r="W238" i="1"/>
  <c r="CZ238" i="1"/>
  <c r="O238" i="1"/>
  <c r="CY238" i="1"/>
  <c r="BP238" i="1"/>
  <c r="BO238" i="1"/>
  <c r="DO1265" i="1"/>
  <c r="DG1265" i="1"/>
  <c r="R1265" i="1"/>
  <c r="Q1265" i="1"/>
  <c r="DA1265" i="1"/>
  <c r="V1265" i="1"/>
  <c r="W1265" i="1"/>
  <c r="CZ1265" i="1"/>
  <c r="O1265" i="1"/>
  <c r="CY1265" i="1"/>
  <c r="BP1265" i="1"/>
  <c r="BO1265" i="1"/>
  <c r="DO1246" i="1"/>
  <c r="DG1246" i="1"/>
  <c r="R1246" i="1"/>
  <c r="Q1246" i="1"/>
  <c r="DA1246" i="1"/>
  <c r="V1246" i="1"/>
  <c r="W1246" i="1"/>
  <c r="CZ1246" i="1"/>
  <c r="O1246" i="1"/>
  <c r="CY1246" i="1"/>
  <c r="BP1246" i="1"/>
  <c r="BO1246" i="1"/>
  <c r="DO1244" i="1"/>
  <c r="DG1244" i="1"/>
  <c r="R1244" i="1"/>
  <c r="Q1244" i="1"/>
  <c r="DA1244" i="1"/>
  <c r="V1244" i="1"/>
  <c r="W1244" i="1"/>
  <c r="CZ1244" i="1"/>
  <c r="O1244" i="1"/>
  <c r="CY1244" i="1"/>
  <c r="BP1244" i="1"/>
  <c r="BO1244" i="1"/>
  <c r="DO1243" i="1"/>
  <c r="DG1243" i="1"/>
  <c r="R1243" i="1"/>
  <c r="Q1243" i="1"/>
  <c r="DA1243" i="1"/>
  <c r="V1243" i="1"/>
  <c r="W1243" i="1"/>
  <c r="CZ1243" i="1"/>
  <c r="O1243" i="1"/>
  <c r="CY1243" i="1"/>
  <c r="BP1243" i="1"/>
  <c r="BO1243" i="1"/>
  <c r="DO1240" i="1"/>
  <c r="DG1240" i="1"/>
  <c r="R1240" i="1"/>
  <c r="Q1240" i="1"/>
  <c r="DA1240" i="1"/>
  <c r="V1240" i="1"/>
  <c r="W1240" i="1"/>
  <c r="CZ1240" i="1"/>
  <c r="O1240" i="1"/>
  <c r="CY1240" i="1"/>
  <c r="BP1240" i="1"/>
  <c r="BO1240" i="1"/>
  <c r="DO1237" i="1"/>
  <c r="DG1237" i="1"/>
  <c r="R1237" i="1"/>
  <c r="Q1237" i="1"/>
  <c r="DA1237" i="1"/>
  <c r="V1237" i="1"/>
  <c r="W1237" i="1"/>
  <c r="CZ1237" i="1"/>
  <c r="O1237" i="1"/>
  <c r="CY1237" i="1"/>
  <c r="BP1237" i="1"/>
  <c r="BO1237" i="1"/>
  <c r="DO1235" i="1"/>
  <c r="DG1235" i="1"/>
  <c r="R1235" i="1"/>
  <c r="Q1235" i="1"/>
  <c r="DA1235" i="1"/>
  <c r="V1235" i="1"/>
  <c r="W1235" i="1"/>
  <c r="CZ1235" i="1"/>
  <c r="O1235" i="1"/>
  <c r="CY1235" i="1"/>
  <c r="BP1235" i="1"/>
  <c r="BO1235" i="1"/>
  <c r="DO1231" i="1"/>
  <c r="DG1231" i="1"/>
  <c r="R1231" i="1"/>
  <c r="Q1231" i="1"/>
  <c r="DA1231" i="1"/>
  <c r="V1231" i="1"/>
  <c r="W1231" i="1"/>
  <c r="CZ1231" i="1"/>
  <c r="O1231" i="1"/>
  <c r="CY1231" i="1"/>
  <c r="BP1231" i="1"/>
  <c r="BO1231" i="1"/>
  <c r="DO1238" i="1"/>
  <c r="R1238" i="1"/>
  <c r="Q1238" i="1"/>
  <c r="DA1238" i="1"/>
  <c r="W1238" i="1"/>
  <c r="CZ1238" i="1"/>
  <c r="O1238" i="1"/>
  <c r="BP1238" i="1"/>
  <c r="BO1238" i="1"/>
  <c r="DO1338" i="1"/>
  <c r="R1338" i="1"/>
  <c r="Q1338" i="1"/>
  <c r="DA1338" i="1"/>
  <c r="W1338" i="1"/>
  <c r="CZ1338" i="1"/>
  <c r="O1338" i="1"/>
  <c r="BP1338" i="1"/>
  <c r="BO1338" i="1"/>
  <c r="DO1337" i="1"/>
  <c r="R1337" i="1"/>
  <c r="Q1337" i="1"/>
  <c r="DA1337" i="1"/>
  <c r="W1337" i="1"/>
  <c r="CZ1337" i="1"/>
  <c r="O1337" i="1"/>
  <c r="BP1337" i="1"/>
  <c r="BO1337" i="1"/>
  <c r="DO1259" i="1"/>
  <c r="R1259" i="1"/>
  <c r="Q1259" i="1"/>
  <c r="DA1259" i="1"/>
  <c r="W1259" i="1"/>
  <c r="CZ1259" i="1"/>
  <c r="O1259" i="1"/>
  <c r="BP1259" i="1"/>
  <c r="BO1259" i="1"/>
  <c r="DO245" i="1"/>
  <c r="DG245" i="1"/>
  <c r="R245" i="1"/>
  <c r="Q245" i="1"/>
  <c r="DA245" i="1"/>
  <c r="V245" i="1"/>
  <c r="W245" i="1"/>
  <c r="CZ245" i="1"/>
  <c r="O245" i="1"/>
  <c r="CY245" i="1"/>
  <c r="BP245" i="1"/>
  <c r="BO245" i="1"/>
  <c r="DO1497" i="1"/>
  <c r="DG1497" i="1"/>
  <c r="R1497" i="1"/>
  <c r="Q1497" i="1"/>
  <c r="DA1497" i="1"/>
  <c r="V1497" i="1"/>
  <c r="W1497" i="1"/>
  <c r="CZ1497" i="1"/>
  <c r="O1497" i="1"/>
  <c r="CY1497" i="1"/>
  <c r="BP1497" i="1"/>
  <c r="BO1497" i="1"/>
  <c r="DO246" i="1"/>
  <c r="DG246" i="1"/>
  <c r="R246" i="1"/>
  <c r="Q246" i="1"/>
  <c r="DA246" i="1"/>
  <c r="V246" i="1"/>
  <c r="W246" i="1"/>
  <c r="CZ246" i="1"/>
  <c r="O246" i="1"/>
  <c r="CY246" i="1"/>
  <c r="BP246" i="1"/>
  <c r="BO246" i="1"/>
  <c r="DO242" i="1"/>
  <c r="DG242" i="1"/>
  <c r="R242" i="1"/>
  <c r="Q242" i="1"/>
  <c r="DA242" i="1"/>
  <c r="V242" i="1"/>
  <c r="W242" i="1"/>
  <c r="CZ242" i="1"/>
  <c r="O242" i="1"/>
  <c r="CY242" i="1"/>
  <c r="BP242" i="1"/>
  <c r="BO242" i="1"/>
  <c r="DO241" i="1"/>
  <c r="DG241" i="1"/>
  <c r="R241" i="1"/>
  <c r="Q241" i="1"/>
  <c r="DA241" i="1"/>
  <c r="V241" i="1"/>
  <c r="W241" i="1"/>
  <c r="CZ241" i="1"/>
  <c r="O241" i="1"/>
  <c r="CY241" i="1"/>
  <c r="BP241" i="1"/>
  <c r="BO241" i="1"/>
  <c r="DO243" i="1"/>
  <c r="DG243" i="1"/>
  <c r="R243" i="1"/>
  <c r="Q243" i="1"/>
  <c r="DA243" i="1"/>
  <c r="V243" i="1"/>
  <c r="W243" i="1"/>
  <c r="CZ243" i="1"/>
  <c r="O243" i="1"/>
  <c r="CY243" i="1"/>
  <c r="BP243" i="1"/>
  <c r="BO243" i="1"/>
  <c r="DO1210" i="1"/>
  <c r="DG1210" i="1"/>
  <c r="R1210" i="1"/>
  <c r="Q1210" i="1"/>
  <c r="DA1210" i="1"/>
  <c r="V1210" i="1"/>
  <c r="W1210" i="1"/>
  <c r="CZ1210" i="1"/>
  <c r="O1210" i="1"/>
  <c r="CY1210" i="1"/>
  <c r="BP1210" i="1"/>
  <c r="BO1210" i="1"/>
  <c r="DO448" i="1"/>
  <c r="R448" i="1"/>
  <c r="Q448" i="1"/>
  <c r="DA448" i="1"/>
  <c r="W448" i="1"/>
  <c r="CZ448" i="1"/>
  <c r="O448" i="1"/>
  <c r="BP448" i="1"/>
  <c r="BO448" i="1"/>
  <c r="DO1249" i="1"/>
  <c r="DG1249" i="1"/>
  <c r="R1249" i="1"/>
  <c r="Q1249" i="1"/>
  <c r="DA1249" i="1"/>
  <c r="V1249" i="1"/>
  <c r="W1249" i="1"/>
  <c r="CZ1249" i="1"/>
  <c r="O1249" i="1"/>
  <c r="CY1249" i="1"/>
  <c r="BP1249" i="1"/>
  <c r="BO1249" i="1"/>
  <c r="DO1227" i="1"/>
  <c r="R1227" i="1"/>
  <c r="Q1227" i="1"/>
  <c r="DA1227" i="1"/>
  <c r="W1227" i="1"/>
  <c r="CZ1227" i="1"/>
  <c r="O1227" i="1"/>
  <c r="BP1227" i="1"/>
  <c r="BO1227" i="1"/>
  <c r="DO1169" i="1"/>
  <c r="R1169" i="1"/>
  <c r="Q1169" i="1"/>
  <c r="DA1169" i="1"/>
  <c r="W1169" i="1"/>
  <c r="CZ1169" i="1"/>
  <c r="O1169" i="1"/>
  <c r="BP1169" i="1"/>
  <c r="BO1169" i="1"/>
  <c r="DO1226" i="1"/>
  <c r="R1226" i="1"/>
  <c r="Q1226" i="1"/>
  <c r="DA1226" i="1"/>
  <c r="W1226" i="1"/>
  <c r="CZ1226" i="1"/>
  <c r="O1226" i="1"/>
  <c r="BP1226" i="1"/>
  <c r="BO1226" i="1"/>
  <c r="DO1299" i="1"/>
  <c r="R1299" i="1"/>
  <c r="Q1299" i="1"/>
  <c r="DA1299" i="1"/>
  <c r="W1299" i="1"/>
  <c r="CZ1299" i="1"/>
  <c r="O1299" i="1"/>
  <c r="BP1299" i="1"/>
  <c r="BO1299" i="1"/>
  <c r="DO1298" i="1"/>
  <c r="R1298" i="1"/>
  <c r="Q1298" i="1"/>
  <c r="DA1298" i="1"/>
  <c r="W1298" i="1"/>
  <c r="CZ1298" i="1"/>
  <c r="O1298" i="1"/>
  <c r="BP1298" i="1"/>
  <c r="BO1298" i="1"/>
  <c r="DO1189" i="1"/>
  <c r="DG1189" i="1"/>
  <c r="R1189" i="1"/>
  <c r="Q1189" i="1"/>
  <c r="DA1189" i="1"/>
  <c r="V1189" i="1"/>
  <c r="W1189" i="1"/>
  <c r="CZ1189" i="1"/>
  <c r="O1189" i="1"/>
  <c r="CY1189" i="1"/>
  <c r="BP1189" i="1"/>
  <c r="BO1189" i="1"/>
  <c r="DO1383" i="1"/>
  <c r="R1383" i="1"/>
  <c r="Q1383" i="1"/>
  <c r="DA1383" i="1"/>
  <c r="W1383" i="1"/>
  <c r="CZ1383" i="1"/>
  <c r="O1383" i="1"/>
  <c r="BP1383" i="1"/>
  <c r="BO1383" i="1"/>
  <c r="DO1225" i="1"/>
  <c r="R1225" i="1"/>
  <c r="Q1225" i="1"/>
  <c r="DA1225" i="1"/>
  <c r="W1225" i="1"/>
  <c r="CZ1225" i="1"/>
  <c r="O1225" i="1"/>
  <c r="BP1225" i="1"/>
  <c r="BO1225" i="1"/>
  <c r="DO1469" i="1"/>
  <c r="R1469" i="1"/>
  <c r="Q1469" i="1"/>
  <c r="DA1469" i="1"/>
  <c r="W1469" i="1"/>
  <c r="CZ1469" i="1"/>
  <c r="O1469" i="1"/>
  <c r="BP1469" i="1"/>
  <c r="BO1469" i="1"/>
  <c r="DO1041" i="1"/>
  <c r="R1041" i="1"/>
  <c r="Q1041" i="1"/>
  <c r="DA1041" i="1"/>
  <c r="W1041" i="1"/>
  <c r="CZ1041" i="1"/>
  <c r="O1041" i="1"/>
  <c r="BP1041" i="1"/>
  <c r="BO1041" i="1"/>
  <c r="DO1302" i="1"/>
  <c r="R1302" i="1"/>
  <c r="Q1302" i="1"/>
  <c r="DA1302" i="1"/>
  <c r="W1302" i="1"/>
  <c r="CZ1302" i="1"/>
  <c r="O1302" i="1"/>
  <c r="BP1302" i="1"/>
  <c r="BO1302" i="1"/>
  <c r="DO1351" i="1"/>
  <c r="R1351" i="1"/>
  <c r="Q1351" i="1"/>
  <c r="DA1351" i="1"/>
  <c r="W1351" i="1"/>
  <c r="CZ1351" i="1"/>
  <c r="O1351" i="1"/>
  <c r="BP1351" i="1"/>
  <c r="BO1351" i="1"/>
  <c r="DO1266" i="1"/>
  <c r="R1266" i="1"/>
  <c r="Q1266" i="1"/>
  <c r="DA1266" i="1"/>
  <c r="W1266" i="1"/>
  <c r="CZ1266" i="1"/>
  <c r="O1266" i="1"/>
  <c r="BP1266" i="1"/>
  <c r="BO1266" i="1"/>
  <c r="DO1190" i="1"/>
  <c r="DG1190" i="1"/>
  <c r="R1190" i="1"/>
  <c r="Q1190" i="1"/>
  <c r="DA1190" i="1"/>
  <c r="V1190" i="1"/>
  <c r="W1190" i="1"/>
  <c r="CZ1190" i="1"/>
  <c r="O1190" i="1"/>
  <c r="CY1190" i="1"/>
  <c r="BP1190" i="1"/>
  <c r="BO1190" i="1"/>
  <c r="DO1031" i="1"/>
  <c r="R1031" i="1"/>
  <c r="Q1031" i="1"/>
  <c r="DA1031" i="1"/>
  <c r="W1031" i="1"/>
  <c r="CZ1031" i="1"/>
  <c r="O1031" i="1"/>
  <c r="BP1031" i="1"/>
  <c r="BO1031" i="1"/>
  <c r="DO1274" i="1"/>
  <c r="DG1274" i="1"/>
  <c r="R1274" i="1"/>
  <c r="Q1274" i="1"/>
  <c r="DA1274" i="1"/>
  <c r="V1274" i="1"/>
  <c r="W1274" i="1"/>
  <c r="CZ1274" i="1"/>
  <c r="O1274" i="1"/>
  <c r="CY1274" i="1"/>
  <c r="BP1274" i="1"/>
  <c r="BO1274" i="1"/>
  <c r="DO1223" i="1"/>
  <c r="R1223" i="1"/>
  <c r="Q1223" i="1"/>
  <c r="DA1223" i="1"/>
  <c r="W1223" i="1"/>
  <c r="CZ1223" i="1"/>
  <c r="O1223" i="1"/>
  <c r="BP1223" i="1"/>
  <c r="BO1223" i="1"/>
  <c r="DO1297" i="1"/>
  <c r="R1297" i="1"/>
  <c r="Q1297" i="1"/>
  <c r="DA1297" i="1"/>
  <c r="W1297" i="1"/>
  <c r="CZ1297" i="1"/>
  <c r="O1297" i="1"/>
  <c r="BP1297" i="1"/>
  <c r="BO1297" i="1"/>
  <c r="DG1005" i="1"/>
  <c r="R1005" i="1"/>
  <c r="Q1005" i="1"/>
  <c r="DA1005" i="1"/>
  <c r="V1005" i="1"/>
  <c r="W1005" i="1"/>
  <c r="CZ1005" i="1"/>
  <c r="O1005" i="1"/>
  <c r="CY1005" i="1"/>
  <c r="BP1005" i="1"/>
  <c r="DO1282" i="1"/>
  <c r="R1282" i="1"/>
  <c r="Q1282" i="1"/>
  <c r="DA1282" i="1"/>
  <c r="W1282" i="1"/>
  <c r="CZ1282" i="1"/>
  <c r="O1282" i="1"/>
  <c r="BP1282" i="1"/>
  <c r="BO1282" i="1"/>
  <c r="DO1098" i="1"/>
  <c r="R1098" i="1"/>
  <c r="Q1098" i="1"/>
  <c r="DA1098" i="1"/>
  <c r="W1098" i="1"/>
  <c r="CZ1098" i="1"/>
  <c r="O1098" i="1"/>
  <c r="BP1098" i="1"/>
  <c r="BO1098" i="1"/>
  <c r="DG1052" i="1"/>
  <c r="R1052" i="1"/>
  <c r="Q1052" i="1"/>
  <c r="DA1052" i="1"/>
  <c r="V1052" i="1"/>
  <c r="W1052" i="1"/>
  <c r="CZ1052" i="1"/>
  <c r="O1052" i="1"/>
  <c r="CY1052" i="1"/>
  <c r="BP1052" i="1"/>
  <c r="DG1055" i="1"/>
  <c r="R1055" i="1"/>
  <c r="Q1055" i="1"/>
  <c r="DA1055" i="1"/>
  <c r="V1055" i="1"/>
  <c r="W1055" i="1"/>
  <c r="CZ1055" i="1"/>
  <c r="O1055" i="1"/>
  <c r="CY1055" i="1"/>
  <c r="BP1055" i="1"/>
  <c r="DO1058" i="1"/>
  <c r="DG1058" i="1"/>
  <c r="R1058" i="1"/>
  <c r="Q1058" i="1"/>
  <c r="DA1058" i="1"/>
  <c r="V1058" i="1"/>
  <c r="W1058" i="1"/>
  <c r="CZ1058" i="1"/>
  <c r="O1058" i="1"/>
  <c r="CY1058" i="1"/>
  <c r="BP1058" i="1"/>
  <c r="BO1058" i="1"/>
  <c r="DO475" i="1"/>
  <c r="R475" i="1"/>
  <c r="Q475" i="1"/>
  <c r="DA475" i="1"/>
  <c r="W475" i="1"/>
  <c r="CZ475" i="1"/>
  <c r="O475" i="1"/>
  <c r="BP475" i="1"/>
  <c r="BO475" i="1"/>
  <c r="DO1069" i="1"/>
  <c r="DG1069" i="1"/>
  <c r="R1069" i="1"/>
  <c r="Q1069" i="1"/>
  <c r="DA1069" i="1"/>
  <c r="V1069" i="1"/>
  <c r="W1069" i="1"/>
  <c r="CZ1069" i="1"/>
  <c r="O1069" i="1"/>
  <c r="CY1069" i="1"/>
  <c r="BP1069" i="1"/>
  <c r="BO1069" i="1"/>
  <c r="DO368" i="1"/>
  <c r="R368" i="1"/>
  <c r="Q368" i="1"/>
  <c r="DA368" i="1"/>
  <c r="W368" i="1"/>
  <c r="CZ368" i="1"/>
  <c r="O368" i="1"/>
  <c r="BP368" i="1"/>
  <c r="BO368" i="1"/>
  <c r="DO1372" i="1"/>
  <c r="R1372" i="1"/>
  <c r="Q1372" i="1"/>
  <c r="DA1372" i="1"/>
  <c r="W1372" i="1"/>
  <c r="CZ1372" i="1"/>
  <c r="O1372" i="1"/>
  <c r="BP1372" i="1"/>
  <c r="BO1372" i="1"/>
  <c r="DO1150" i="1"/>
  <c r="R1150" i="1"/>
  <c r="Q1150" i="1"/>
  <c r="DA1150" i="1"/>
  <c r="W1150" i="1"/>
  <c r="CZ1150" i="1"/>
  <c r="O1150" i="1"/>
  <c r="BP1150" i="1"/>
  <c r="BO1150" i="1"/>
  <c r="DO1156" i="1"/>
  <c r="R1156" i="1"/>
  <c r="Q1156" i="1"/>
  <c r="DA1156" i="1"/>
  <c r="W1156" i="1"/>
  <c r="CZ1156" i="1"/>
  <c r="O1156" i="1"/>
  <c r="BP1156" i="1"/>
  <c r="BO1156" i="1"/>
  <c r="DO1166" i="1"/>
  <c r="R1166" i="1"/>
  <c r="Q1166" i="1"/>
  <c r="DA1166" i="1"/>
  <c r="W1166" i="1"/>
  <c r="CZ1166" i="1"/>
  <c r="O1166" i="1"/>
  <c r="BP1166" i="1"/>
  <c r="BO1166" i="1"/>
  <c r="DO1102" i="1"/>
  <c r="DG1102" i="1"/>
  <c r="R1102" i="1"/>
  <c r="Q1102" i="1"/>
  <c r="DA1102" i="1"/>
  <c r="V1102" i="1"/>
  <c r="W1102" i="1"/>
  <c r="CZ1102" i="1"/>
  <c r="O1102" i="1"/>
  <c r="CY1102" i="1"/>
  <c r="BP1102" i="1"/>
  <c r="BO1102" i="1"/>
  <c r="DO1192" i="1"/>
  <c r="R1192" i="1"/>
  <c r="Q1192" i="1"/>
  <c r="DA1192" i="1"/>
  <c r="W1192" i="1"/>
  <c r="CZ1192" i="1"/>
  <c r="O1192" i="1"/>
  <c r="BP1192" i="1"/>
  <c r="BO1192" i="1"/>
  <c r="DO1384" i="1"/>
  <c r="R1384" i="1"/>
  <c r="Q1384" i="1"/>
  <c r="DA1384" i="1"/>
  <c r="W1384" i="1"/>
  <c r="CZ1384" i="1"/>
  <c r="O1384" i="1"/>
  <c r="BP1384" i="1"/>
  <c r="BO1384" i="1"/>
  <c r="DO1378" i="1"/>
  <c r="R1378" i="1"/>
  <c r="Q1378" i="1"/>
  <c r="DA1378" i="1"/>
  <c r="W1378" i="1"/>
  <c r="CZ1378" i="1"/>
  <c r="O1378" i="1"/>
  <c r="BP1378" i="1"/>
  <c r="BO1378" i="1"/>
  <c r="DO1278" i="1"/>
  <c r="R1278" i="1"/>
  <c r="Q1278" i="1"/>
  <c r="DA1278" i="1"/>
  <c r="W1278" i="1"/>
  <c r="CZ1278" i="1"/>
  <c r="O1278" i="1"/>
  <c r="BP1278" i="1"/>
  <c r="BO1278" i="1"/>
  <c r="DO1108" i="1"/>
  <c r="R1108" i="1"/>
  <c r="Q1108" i="1"/>
  <c r="DA1108" i="1"/>
  <c r="W1108" i="1"/>
  <c r="CZ1108" i="1"/>
  <c r="O1108" i="1"/>
  <c r="BP1108" i="1"/>
  <c r="BO1108" i="1"/>
  <c r="DO1275" i="1"/>
  <c r="R1275" i="1"/>
  <c r="Q1275" i="1"/>
  <c r="DA1275" i="1"/>
  <c r="W1275" i="1"/>
  <c r="CZ1275" i="1"/>
  <c r="O1275" i="1"/>
  <c r="BP1275" i="1"/>
  <c r="BO1275" i="1"/>
  <c r="DO1277" i="1"/>
  <c r="R1277" i="1"/>
  <c r="Q1277" i="1"/>
  <c r="DA1277" i="1"/>
  <c r="W1277" i="1"/>
  <c r="CZ1277" i="1"/>
  <c r="O1277" i="1"/>
  <c r="BP1277" i="1"/>
  <c r="BO1277" i="1"/>
  <c r="DG1151" i="1"/>
  <c r="R1151" i="1"/>
  <c r="Q1151" i="1"/>
  <c r="DA1151" i="1"/>
  <c r="V1151" i="1"/>
  <c r="W1151" i="1"/>
  <c r="CZ1151" i="1"/>
  <c r="O1151" i="1"/>
  <c r="CY1151" i="1"/>
  <c r="BP1151" i="1"/>
  <c r="DO1369" i="1"/>
  <c r="R1369" i="1"/>
  <c r="Q1369" i="1"/>
  <c r="DA1369" i="1"/>
  <c r="W1369" i="1"/>
  <c r="CZ1369" i="1"/>
  <c r="O1369" i="1"/>
  <c r="BP1369" i="1"/>
  <c r="BO1369" i="1"/>
  <c r="DO1153" i="1"/>
  <c r="DG1153" i="1"/>
  <c r="R1153" i="1"/>
  <c r="Q1153" i="1"/>
  <c r="DA1153" i="1"/>
  <c r="V1153" i="1"/>
  <c r="W1153" i="1"/>
  <c r="CZ1153" i="1"/>
  <c r="O1153" i="1"/>
  <c r="CY1153" i="1"/>
  <c r="BP1153" i="1"/>
  <c r="BO1153" i="1"/>
  <c r="DO1170" i="1"/>
  <c r="DG1170" i="1"/>
  <c r="R1170" i="1"/>
  <c r="Q1170" i="1"/>
  <c r="DA1170" i="1"/>
  <c r="V1170" i="1"/>
  <c r="W1170" i="1"/>
  <c r="CZ1170" i="1"/>
  <c r="O1170" i="1"/>
  <c r="CY1170" i="1"/>
  <c r="BP1170" i="1"/>
  <c r="BO1170" i="1"/>
  <c r="DO1171" i="1"/>
  <c r="DG1171" i="1"/>
  <c r="R1171" i="1"/>
  <c r="Q1171" i="1"/>
  <c r="DA1171" i="1"/>
  <c r="V1171" i="1"/>
  <c r="W1171" i="1"/>
  <c r="CZ1171" i="1"/>
  <c r="O1171" i="1"/>
  <c r="CY1171" i="1"/>
  <c r="BP1171" i="1"/>
  <c r="BO1171" i="1"/>
  <c r="DO1172" i="1"/>
  <c r="DG1172" i="1"/>
  <c r="R1172" i="1"/>
  <c r="Q1172" i="1"/>
  <c r="DA1172" i="1"/>
  <c r="V1172" i="1"/>
  <c r="W1172" i="1"/>
  <c r="CZ1172" i="1"/>
  <c r="O1172" i="1"/>
  <c r="CY1172" i="1"/>
  <c r="BP1172" i="1"/>
  <c r="BO1172" i="1"/>
  <c r="DO1173" i="1"/>
  <c r="DG1173" i="1"/>
  <c r="R1173" i="1"/>
  <c r="Q1173" i="1"/>
  <c r="DA1173" i="1"/>
  <c r="V1173" i="1"/>
  <c r="W1173" i="1"/>
  <c r="CZ1173" i="1"/>
  <c r="O1173" i="1"/>
  <c r="CY1173" i="1"/>
  <c r="BP1173" i="1"/>
  <c r="BO1173" i="1"/>
  <c r="DO379" i="1"/>
  <c r="R379" i="1"/>
  <c r="Q379" i="1"/>
  <c r="DA379" i="1"/>
  <c r="W379" i="1"/>
  <c r="CZ379" i="1"/>
  <c r="O379" i="1"/>
  <c r="BP379" i="1"/>
  <c r="BO379" i="1"/>
  <c r="DO538" i="1"/>
  <c r="R538" i="1"/>
  <c r="Q538" i="1"/>
  <c r="DA538" i="1"/>
  <c r="W538" i="1"/>
  <c r="CZ538" i="1"/>
  <c r="O538" i="1"/>
  <c r="BP538" i="1"/>
  <c r="BO538" i="1"/>
  <c r="DO1345" i="1"/>
  <c r="R1345" i="1"/>
  <c r="Q1345" i="1"/>
  <c r="DA1345" i="1"/>
  <c r="W1345" i="1"/>
  <c r="CZ1345" i="1"/>
  <c r="O1345" i="1"/>
  <c r="BP1345" i="1"/>
  <c r="BO1345" i="1"/>
  <c r="DO1450" i="1"/>
  <c r="R1450" i="1"/>
  <c r="Q1450" i="1"/>
  <c r="DA1450" i="1"/>
  <c r="W1450" i="1"/>
  <c r="CZ1450" i="1"/>
  <c r="O1450" i="1"/>
  <c r="BP1450" i="1"/>
  <c r="BO1450" i="1"/>
  <c r="DO1348" i="1"/>
  <c r="R1348" i="1"/>
  <c r="Q1348" i="1"/>
  <c r="DA1348" i="1"/>
  <c r="W1348" i="1"/>
  <c r="CZ1348" i="1"/>
  <c r="O1348" i="1"/>
  <c r="BP1348" i="1"/>
  <c r="BO1348" i="1"/>
  <c r="DO1356" i="1"/>
  <c r="R1356" i="1"/>
  <c r="Q1356" i="1"/>
  <c r="DA1356" i="1"/>
  <c r="W1356" i="1"/>
  <c r="CZ1356" i="1"/>
  <c r="O1356" i="1"/>
  <c r="BP1356" i="1"/>
  <c r="BO1356" i="1"/>
  <c r="DO1358" i="1"/>
  <c r="R1358" i="1"/>
  <c r="Q1358" i="1"/>
  <c r="DA1358" i="1"/>
  <c r="W1358" i="1"/>
  <c r="CZ1358" i="1"/>
  <c r="O1358" i="1"/>
  <c r="BP1358" i="1"/>
  <c r="BO1358" i="1"/>
  <c r="DO1362" i="1"/>
  <c r="R1362" i="1"/>
  <c r="Q1362" i="1"/>
  <c r="DA1362" i="1"/>
  <c r="W1362" i="1"/>
  <c r="CZ1362" i="1"/>
  <c r="O1362" i="1"/>
  <c r="BP1362" i="1"/>
  <c r="BO1362" i="1"/>
  <c r="DO393" i="1"/>
  <c r="R393" i="1"/>
  <c r="Q393" i="1"/>
  <c r="DA393" i="1"/>
  <c r="W393" i="1"/>
  <c r="CZ393" i="1"/>
  <c r="O393" i="1"/>
  <c r="BP393" i="1"/>
  <c r="BO393" i="1"/>
  <c r="DO1363" i="1"/>
  <c r="R1363" i="1"/>
  <c r="Q1363" i="1"/>
  <c r="DA1363" i="1"/>
  <c r="W1363" i="1"/>
  <c r="CZ1363" i="1"/>
  <c r="O1363" i="1"/>
  <c r="BP1363" i="1"/>
  <c r="BO1363" i="1"/>
  <c r="DO1211" i="1"/>
  <c r="DG1211" i="1"/>
  <c r="R1211" i="1"/>
  <c r="Q1211" i="1"/>
  <c r="DA1211" i="1"/>
  <c r="V1211" i="1"/>
  <c r="W1211" i="1"/>
  <c r="CZ1211" i="1"/>
  <c r="O1211" i="1"/>
  <c r="CY1211" i="1"/>
  <c r="BP1211" i="1"/>
  <c r="BO1211" i="1"/>
  <c r="DO1441" i="1"/>
  <c r="R1441" i="1"/>
  <c r="Q1441" i="1"/>
  <c r="DA1441" i="1"/>
  <c r="W1441" i="1"/>
  <c r="CZ1441" i="1"/>
  <c r="O1441" i="1"/>
  <c r="BP1441" i="1"/>
  <c r="BO1441" i="1"/>
  <c r="DO23" i="1"/>
  <c r="DG23" i="1"/>
  <c r="R23" i="1"/>
  <c r="Q23" i="1"/>
  <c r="DA23" i="1"/>
  <c r="V23" i="1"/>
  <c r="W23" i="1"/>
  <c r="CZ23" i="1"/>
  <c r="O23" i="1"/>
  <c r="CY23" i="1"/>
  <c r="BP23" i="1"/>
  <c r="BO23" i="1"/>
  <c r="DO406" i="1"/>
  <c r="R406" i="1"/>
  <c r="Q406" i="1"/>
  <c r="DA406" i="1"/>
  <c r="W406" i="1"/>
  <c r="CZ406" i="1"/>
  <c r="O406" i="1"/>
  <c r="BP406" i="1"/>
  <c r="BO406" i="1"/>
  <c r="DG1381" i="1"/>
  <c r="R1381" i="1"/>
  <c r="Q1381" i="1"/>
  <c r="DA1381" i="1"/>
  <c r="V1381" i="1"/>
  <c r="W1381" i="1"/>
  <c r="CZ1381" i="1"/>
  <c r="O1381" i="1"/>
  <c r="CY1381" i="1"/>
  <c r="BP1381" i="1"/>
  <c r="DO1361" i="1"/>
  <c r="DG1361" i="1"/>
  <c r="R1361" i="1"/>
  <c r="Q1361" i="1"/>
  <c r="DA1361" i="1"/>
  <c r="V1361" i="1"/>
  <c r="W1361" i="1"/>
  <c r="CZ1361" i="1"/>
  <c r="O1361" i="1"/>
  <c r="CY1361" i="1"/>
  <c r="BP1361" i="1"/>
  <c r="BO1361" i="1"/>
  <c r="DO433" i="1"/>
  <c r="R433" i="1"/>
  <c r="Q433" i="1"/>
  <c r="DA433" i="1"/>
  <c r="W433" i="1"/>
  <c r="CZ433" i="1"/>
  <c r="O433" i="1"/>
  <c r="BP433" i="1"/>
  <c r="BO433" i="1"/>
  <c r="DO1473" i="1"/>
  <c r="R1473" i="1"/>
  <c r="Q1473" i="1"/>
  <c r="DA1473" i="1"/>
  <c r="W1473" i="1"/>
  <c r="CZ1473" i="1"/>
  <c r="O1473" i="1"/>
  <c r="BP1473" i="1"/>
  <c r="BO1473" i="1"/>
  <c r="DO569" i="1"/>
  <c r="R569" i="1"/>
  <c r="Q569" i="1"/>
  <c r="DA569" i="1"/>
  <c r="W569" i="1"/>
  <c r="CZ569" i="1"/>
  <c r="O569" i="1"/>
  <c r="BP569" i="1"/>
  <c r="BO569" i="1"/>
  <c r="DO484" i="1"/>
  <c r="DG484" i="1"/>
  <c r="R484" i="1"/>
  <c r="Q484" i="1"/>
  <c r="DA484" i="1"/>
  <c r="V484" i="1"/>
  <c r="W484" i="1"/>
  <c r="CZ484" i="1"/>
  <c r="O484" i="1"/>
  <c r="CY484" i="1"/>
  <c r="BP484" i="1"/>
  <c r="BO484" i="1"/>
  <c r="DO526" i="1"/>
  <c r="R526" i="1"/>
  <c r="Q526" i="1"/>
  <c r="DA526" i="1"/>
  <c r="W526" i="1"/>
  <c r="CZ526" i="1"/>
  <c r="O526" i="1"/>
  <c r="BP526" i="1"/>
  <c r="BO526" i="1"/>
  <c r="DO512" i="1"/>
  <c r="R512" i="1"/>
  <c r="Q512" i="1"/>
  <c r="DA512" i="1"/>
  <c r="W512" i="1"/>
  <c r="CZ512" i="1"/>
  <c r="O512" i="1"/>
  <c r="BP512" i="1"/>
  <c r="BO512" i="1"/>
  <c r="DO1158" i="1"/>
  <c r="R1158" i="1"/>
  <c r="Q1158" i="1"/>
  <c r="DA1158" i="1"/>
  <c r="W1158" i="1"/>
  <c r="CZ1158" i="1"/>
  <c r="O1158" i="1"/>
  <c r="BP1158" i="1"/>
  <c r="BO1158" i="1"/>
  <c r="DO1025" i="1"/>
  <c r="DG1025" i="1"/>
  <c r="R1025" i="1"/>
  <c r="Q1025" i="1"/>
  <c r="DA1025" i="1"/>
  <c r="V1025" i="1"/>
  <c r="W1025" i="1"/>
  <c r="CZ1025" i="1"/>
  <c r="O1025" i="1"/>
  <c r="CY1025" i="1"/>
  <c r="BP1025" i="1"/>
  <c r="BO1025" i="1"/>
  <c r="DO1096" i="1"/>
  <c r="R1096" i="1"/>
  <c r="Q1096" i="1"/>
  <c r="DA1096" i="1"/>
  <c r="W1096" i="1"/>
  <c r="CZ1096" i="1"/>
  <c r="O1096" i="1"/>
  <c r="BP1096" i="1"/>
  <c r="BO1096" i="1"/>
  <c r="DO247" i="1"/>
  <c r="DG247" i="1"/>
  <c r="R247" i="1"/>
  <c r="Q247" i="1"/>
  <c r="DA247" i="1"/>
  <c r="V247" i="1"/>
  <c r="W247" i="1"/>
  <c r="CZ247" i="1"/>
  <c r="O247" i="1"/>
  <c r="CY247" i="1"/>
  <c r="BP247" i="1"/>
  <c r="BO247" i="1"/>
  <c r="DO466" i="1"/>
  <c r="R466" i="1"/>
  <c r="Q466" i="1"/>
  <c r="DA466" i="1"/>
  <c r="W466" i="1"/>
  <c r="CZ466" i="1"/>
  <c r="O466" i="1"/>
  <c r="BP466" i="1"/>
  <c r="BO466" i="1"/>
  <c r="DO1431" i="1"/>
  <c r="DG1431" i="1"/>
  <c r="R1431" i="1"/>
  <c r="Q1431" i="1"/>
  <c r="DA1431" i="1"/>
  <c r="V1431" i="1"/>
  <c r="W1431" i="1"/>
  <c r="CZ1431" i="1"/>
  <c r="O1431" i="1"/>
  <c r="CY1431" i="1"/>
  <c r="BP1431" i="1"/>
  <c r="BO1431" i="1"/>
  <c r="DO1290" i="1"/>
  <c r="DG1290" i="1"/>
  <c r="R1290" i="1"/>
  <c r="Q1290" i="1"/>
  <c r="DA1290" i="1"/>
  <c r="V1290" i="1"/>
  <c r="W1290" i="1"/>
  <c r="CZ1290" i="1"/>
  <c r="O1290" i="1"/>
  <c r="CY1290" i="1"/>
  <c r="BP1290" i="1"/>
  <c r="BO1290" i="1"/>
  <c r="DO305" i="1"/>
  <c r="DG305" i="1"/>
  <c r="R305" i="1"/>
  <c r="Q305" i="1"/>
  <c r="DA305" i="1"/>
  <c r="V305" i="1"/>
  <c r="W305" i="1"/>
  <c r="CZ305" i="1"/>
  <c r="O305" i="1"/>
  <c r="CY305" i="1"/>
  <c r="BP305" i="1"/>
  <c r="BO305" i="1"/>
  <c r="DO320" i="1"/>
  <c r="DG320" i="1"/>
  <c r="R320" i="1"/>
  <c r="Q320" i="1"/>
  <c r="DA320" i="1"/>
  <c r="V320" i="1"/>
  <c r="W320" i="1"/>
  <c r="CZ320" i="1"/>
  <c r="O320" i="1"/>
  <c r="CY320" i="1"/>
  <c r="BP320" i="1"/>
  <c r="BO320" i="1"/>
  <c r="DO1045" i="1"/>
  <c r="DG1045" i="1"/>
  <c r="R1045" i="1"/>
  <c r="Q1045" i="1"/>
  <c r="DA1045" i="1"/>
  <c r="V1045" i="1"/>
  <c r="W1045" i="1"/>
  <c r="CZ1045" i="1"/>
  <c r="O1045" i="1"/>
  <c r="CY1045" i="1"/>
  <c r="BP1045" i="1"/>
  <c r="BO1045" i="1"/>
  <c r="DO1051" i="1"/>
  <c r="R1051" i="1"/>
  <c r="Q1051" i="1"/>
  <c r="DA1051" i="1"/>
  <c r="W1051" i="1"/>
  <c r="CZ1051" i="1"/>
  <c r="O1051" i="1"/>
  <c r="BP1051" i="1"/>
  <c r="BO1051" i="1"/>
  <c r="DO1460" i="1"/>
  <c r="DG1460" i="1"/>
  <c r="R1460" i="1"/>
  <c r="Q1460" i="1"/>
  <c r="DA1460" i="1"/>
  <c r="V1460" i="1"/>
  <c r="W1460" i="1"/>
  <c r="CZ1460" i="1"/>
  <c r="O1460" i="1"/>
  <c r="CY1460" i="1"/>
  <c r="BP1460" i="1"/>
  <c r="BO1460" i="1"/>
  <c r="DO1490" i="1"/>
  <c r="DG1490" i="1"/>
  <c r="R1490" i="1"/>
  <c r="Q1490" i="1"/>
  <c r="DA1490" i="1"/>
  <c r="V1490" i="1"/>
  <c r="W1490" i="1"/>
  <c r="CZ1490" i="1"/>
  <c r="O1490" i="1"/>
  <c r="CY1490" i="1"/>
  <c r="BP1490" i="1"/>
  <c r="BO1490" i="1"/>
  <c r="DO1463" i="1"/>
  <c r="R1463" i="1"/>
  <c r="Q1463" i="1"/>
  <c r="DA1463" i="1"/>
  <c r="W1463" i="1"/>
  <c r="CZ1463" i="1"/>
  <c r="O1463" i="1"/>
  <c r="BP1463" i="1"/>
  <c r="BO1463" i="1"/>
  <c r="DO1391" i="1"/>
  <c r="DG1391" i="1"/>
  <c r="R1391" i="1"/>
  <c r="Q1391" i="1"/>
  <c r="DA1391" i="1"/>
  <c r="V1391" i="1"/>
  <c r="W1391" i="1"/>
  <c r="CZ1391" i="1"/>
  <c r="O1391" i="1"/>
  <c r="CY1391" i="1"/>
  <c r="BP1391" i="1"/>
  <c r="BO1391" i="1"/>
  <c r="DO1054" i="1"/>
  <c r="R1054" i="1"/>
  <c r="Q1054" i="1"/>
  <c r="DA1054" i="1"/>
  <c r="W1054" i="1"/>
  <c r="CZ1054" i="1"/>
  <c r="O1054" i="1"/>
  <c r="BP1054" i="1"/>
  <c r="BO1054" i="1"/>
  <c r="DO1011" i="1"/>
  <c r="DG1011" i="1"/>
  <c r="R1011" i="1"/>
  <c r="Q1011" i="1"/>
  <c r="DA1011" i="1"/>
  <c r="V1011" i="1"/>
  <c r="W1011" i="1"/>
  <c r="CZ1011" i="1"/>
  <c r="O1011" i="1"/>
  <c r="CY1011" i="1"/>
  <c r="BP1011" i="1"/>
  <c r="BO1011" i="1"/>
  <c r="DO1047" i="1"/>
  <c r="DG1047" i="1"/>
  <c r="R1047" i="1"/>
  <c r="Q1047" i="1"/>
  <c r="DA1047" i="1"/>
  <c r="V1047" i="1"/>
  <c r="W1047" i="1"/>
  <c r="CZ1047" i="1"/>
  <c r="O1047" i="1"/>
  <c r="CY1047" i="1"/>
  <c r="BP1047" i="1"/>
  <c r="BO1047" i="1"/>
  <c r="DO1021" i="1"/>
  <c r="DG1021" i="1"/>
  <c r="R1021" i="1"/>
  <c r="Q1021" i="1"/>
  <c r="DA1021" i="1"/>
  <c r="V1021" i="1"/>
  <c r="W1021" i="1"/>
  <c r="CZ1021" i="1"/>
  <c r="O1021" i="1"/>
  <c r="CY1021" i="1"/>
  <c r="BP1021" i="1"/>
  <c r="BO1021" i="1"/>
  <c r="DO308" i="1"/>
  <c r="R308" i="1"/>
  <c r="Q308" i="1"/>
  <c r="DA308" i="1"/>
  <c r="W308" i="1"/>
  <c r="CZ308" i="1"/>
  <c r="O308" i="1"/>
  <c r="BP308" i="1"/>
  <c r="BO308" i="1"/>
  <c r="DO1023" i="1"/>
  <c r="R1023" i="1"/>
  <c r="Q1023" i="1"/>
  <c r="DA1023" i="1"/>
  <c r="W1023" i="1"/>
  <c r="CZ1023" i="1"/>
  <c r="O1023" i="1"/>
  <c r="BP1023" i="1"/>
  <c r="BO1023" i="1"/>
  <c r="DO1012" i="1"/>
  <c r="DG1012" i="1"/>
  <c r="R1012" i="1"/>
  <c r="Q1012" i="1"/>
  <c r="DA1012" i="1"/>
  <c r="V1012" i="1"/>
  <c r="W1012" i="1"/>
  <c r="CZ1012" i="1"/>
  <c r="O1012" i="1"/>
  <c r="CY1012" i="1"/>
  <c r="BP1012" i="1"/>
  <c r="BO1012" i="1"/>
  <c r="DO1048" i="1"/>
  <c r="DG1048" i="1"/>
  <c r="R1048" i="1"/>
  <c r="Q1048" i="1"/>
  <c r="DA1048" i="1"/>
  <c r="V1048" i="1"/>
  <c r="W1048" i="1"/>
  <c r="CZ1048" i="1"/>
  <c r="O1048" i="1"/>
  <c r="CY1048" i="1"/>
  <c r="BP1048" i="1"/>
  <c r="BO1048" i="1"/>
  <c r="DG1019" i="1"/>
  <c r="R1019" i="1"/>
  <c r="Q1019" i="1"/>
  <c r="DA1019" i="1"/>
  <c r="V1019" i="1"/>
  <c r="W1019" i="1"/>
  <c r="CZ1019" i="1"/>
  <c r="O1019" i="1"/>
  <c r="CY1019" i="1"/>
  <c r="BP1019" i="1"/>
  <c r="DO1053" i="1"/>
  <c r="DG1053" i="1"/>
  <c r="R1053" i="1"/>
  <c r="Q1053" i="1"/>
  <c r="DA1053" i="1"/>
  <c r="V1053" i="1"/>
  <c r="W1053" i="1"/>
  <c r="CZ1053" i="1"/>
  <c r="O1053" i="1"/>
  <c r="CY1053" i="1"/>
  <c r="BP1053" i="1"/>
  <c r="BO1053" i="1"/>
  <c r="DG1014" i="1"/>
  <c r="R1014" i="1"/>
  <c r="Q1014" i="1"/>
  <c r="DA1014" i="1"/>
  <c r="V1014" i="1"/>
  <c r="W1014" i="1"/>
  <c r="CZ1014" i="1"/>
  <c r="O1014" i="1"/>
  <c r="CY1014" i="1"/>
  <c r="BP1014" i="1"/>
  <c r="DG1015" i="1"/>
  <c r="R1015" i="1"/>
  <c r="Q1015" i="1"/>
  <c r="DA1015" i="1"/>
  <c r="V1015" i="1"/>
  <c r="W1015" i="1"/>
  <c r="CZ1015" i="1"/>
  <c r="O1015" i="1"/>
  <c r="CY1015" i="1"/>
  <c r="BP1015" i="1"/>
  <c r="DO1020" i="1"/>
  <c r="R1020" i="1"/>
  <c r="Q1020" i="1"/>
  <c r="DA1020" i="1"/>
  <c r="W1020" i="1"/>
  <c r="CZ1020" i="1"/>
  <c r="O1020" i="1"/>
  <c r="BP1020" i="1"/>
  <c r="BO1020" i="1"/>
  <c r="DO1443" i="1"/>
  <c r="R1443" i="1"/>
  <c r="Q1443" i="1"/>
  <c r="DA1443" i="1"/>
  <c r="W1443" i="1"/>
  <c r="CZ1443" i="1"/>
  <c r="O1443" i="1"/>
  <c r="BP1443" i="1"/>
  <c r="BO1443" i="1"/>
  <c r="DO1182" i="1"/>
  <c r="DG1182" i="1"/>
  <c r="R1182" i="1"/>
  <c r="Q1182" i="1"/>
  <c r="DA1182" i="1"/>
  <c r="V1182" i="1"/>
  <c r="W1182" i="1"/>
  <c r="CZ1182" i="1"/>
  <c r="O1182" i="1"/>
  <c r="CY1182" i="1"/>
  <c r="BP1182" i="1"/>
  <c r="BO1182" i="1"/>
  <c r="DO1183" i="1"/>
  <c r="DG1183" i="1"/>
  <c r="R1183" i="1"/>
  <c r="Q1183" i="1"/>
  <c r="DA1183" i="1"/>
  <c r="V1183" i="1"/>
  <c r="W1183" i="1"/>
  <c r="CZ1183" i="1"/>
  <c r="O1183" i="1"/>
  <c r="CY1183" i="1"/>
  <c r="BP1183" i="1"/>
  <c r="BO1183" i="1"/>
  <c r="DO1184" i="1"/>
  <c r="DG1184" i="1"/>
  <c r="R1184" i="1"/>
  <c r="Q1184" i="1"/>
  <c r="DA1184" i="1"/>
  <c r="V1184" i="1"/>
  <c r="W1184" i="1"/>
  <c r="CZ1184" i="1"/>
  <c r="O1184" i="1"/>
  <c r="CY1184" i="1"/>
  <c r="BP1184" i="1"/>
  <c r="BO1184" i="1"/>
  <c r="DO1185" i="1"/>
  <c r="DG1185" i="1"/>
  <c r="R1185" i="1"/>
  <c r="Q1185" i="1"/>
  <c r="DA1185" i="1"/>
  <c r="V1185" i="1"/>
  <c r="W1185" i="1"/>
  <c r="CZ1185" i="1"/>
  <c r="O1185" i="1"/>
  <c r="CY1185" i="1"/>
  <c r="BP1185" i="1"/>
  <c r="BO1185" i="1"/>
  <c r="DO1186" i="1"/>
  <c r="DG1186" i="1"/>
  <c r="R1186" i="1"/>
  <c r="Q1186" i="1"/>
  <c r="DA1186" i="1"/>
  <c r="V1186" i="1"/>
  <c r="W1186" i="1"/>
  <c r="CZ1186" i="1"/>
  <c r="O1186" i="1"/>
  <c r="CY1186" i="1"/>
  <c r="BP1186" i="1"/>
  <c r="BO1186" i="1"/>
  <c r="DO1188" i="1"/>
  <c r="DG1188" i="1"/>
  <c r="R1188" i="1"/>
  <c r="Q1188" i="1"/>
  <c r="DA1188" i="1"/>
  <c r="V1188" i="1"/>
  <c r="W1188" i="1"/>
  <c r="CZ1188" i="1"/>
  <c r="O1188" i="1"/>
  <c r="CY1188" i="1"/>
  <c r="BP1188" i="1"/>
  <c r="BO1188" i="1"/>
  <c r="DO1402" i="1"/>
  <c r="R1402" i="1"/>
  <c r="Q1402" i="1"/>
  <c r="DA1402" i="1"/>
  <c r="W1402" i="1"/>
  <c r="CZ1402" i="1"/>
  <c r="O1402" i="1"/>
  <c r="BP1402" i="1"/>
  <c r="BO1402" i="1"/>
  <c r="DO1406" i="1"/>
  <c r="DG1406" i="1"/>
  <c r="R1406" i="1"/>
  <c r="Q1406" i="1"/>
  <c r="DA1406" i="1"/>
  <c r="V1406" i="1"/>
  <c r="W1406" i="1"/>
  <c r="CZ1406" i="1"/>
  <c r="O1406" i="1"/>
  <c r="CY1406" i="1"/>
  <c r="BP1406" i="1"/>
  <c r="BO1406" i="1"/>
  <c r="DO1421" i="1"/>
  <c r="R1421" i="1"/>
  <c r="Q1421" i="1"/>
  <c r="DA1421" i="1"/>
  <c r="W1421" i="1"/>
  <c r="CZ1421" i="1"/>
  <c r="O1421" i="1"/>
  <c r="BP1421" i="1"/>
  <c r="BO1421" i="1"/>
  <c r="DO1180" i="1"/>
  <c r="DG1180" i="1"/>
  <c r="R1180" i="1"/>
  <c r="Q1180" i="1"/>
  <c r="DA1180" i="1"/>
  <c r="V1180" i="1"/>
  <c r="W1180" i="1"/>
  <c r="CZ1180" i="1"/>
  <c r="O1180" i="1"/>
  <c r="CY1180" i="1"/>
  <c r="BP1180" i="1"/>
  <c r="BO1180" i="1"/>
  <c r="DO1064" i="1"/>
  <c r="DG1064" i="1"/>
  <c r="R1064" i="1"/>
  <c r="Q1064" i="1"/>
  <c r="DA1064" i="1"/>
  <c r="V1064" i="1"/>
  <c r="W1064" i="1"/>
  <c r="CZ1064" i="1"/>
  <c r="O1064" i="1"/>
  <c r="CY1064" i="1"/>
  <c r="BP1064" i="1"/>
  <c r="BO1064" i="1"/>
  <c r="DO1084" i="1"/>
  <c r="DG1084" i="1"/>
  <c r="R1084" i="1"/>
  <c r="Q1084" i="1"/>
  <c r="DA1084" i="1"/>
  <c r="V1084" i="1"/>
  <c r="W1084" i="1"/>
  <c r="CZ1084" i="1"/>
  <c r="O1084" i="1"/>
  <c r="CY1084" i="1"/>
  <c r="BP1084" i="1"/>
  <c r="BO1084" i="1"/>
  <c r="DO1090" i="1"/>
  <c r="DG1090" i="1"/>
  <c r="R1090" i="1"/>
  <c r="Q1090" i="1"/>
  <c r="DA1090" i="1"/>
  <c r="V1090" i="1"/>
  <c r="W1090" i="1"/>
  <c r="CZ1090" i="1"/>
  <c r="O1090" i="1"/>
  <c r="CY1090" i="1"/>
  <c r="BP1090" i="1"/>
  <c r="BO1090" i="1"/>
  <c r="DO1410" i="1"/>
  <c r="R1410" i="1"/>
  <c r="Q1410" i="1"/>
  <c r="DA1410" i="1"/>
  <c r="W1410" i="1"/>
  <c r="CZ1410" i="1"/>
  <c r="O1410" i="1"/>
  <c r="BP1410" i="1"/>
  <c r="BO1410" i="1"/>
  <c r="DO1067" i="1"/>
  <c r="DG1067" i="1"/>
  <c r="R1067" i="1"/>
  <c r="Q1067" i="1"/>
  <c r="DA1067" i="1"/>
  <c r="V1067" i="1"/>
  <c r="W1067" i="1"/>
  <c r="CZ1067" i="1"/>
  <c r="O1067" i="1"/>
  <c r="CY1067" i="1"/>
  <c r="BP1067" i="1"/>
  <c r="BO1067" i="1"/>
  <c r="DO1072" i="1"/>
  <c r="DG1072" i="1"/>
  <c r="R1072" i="1"/>
  <c r="Q1072" i="1"/>
  <c r="DA1072" i="1"/>
  <c r="V1072" i="1"/>
  <c r="W1072" i="1"/>
  <c r="CZ1072" i="1"/>
  <c r="O1072" i="1"/>
  <c r="CY1072" i="1"/>
  <c r="BP1072" i="1"/>
  <c r="BO1072" i="1"/>
  <c r="DO1074" i="1"/>
  <c r="DG1074" i="1"/>
  <c r="R1074" i="1"/>
  <c r="Q1074" i="1"/>
  <c r="DA1074" i="1"/>
  <c r="V1074" i="1"/>
  <c r="W1074" i="1"/>
  <c r="CZ1074" i="1"/>
  <c r="O1074" i="1"/>
  <c r="CY1074" i="1"/>
  <c r="BP1074" i="1"/>
  <c r="BO1074" i="1"/>
  <c r="DO1082" i="1"/>
  <c r="DG1082" i="1"/>
  <c r="R1082" i="1"/>
  <c r="Q1082" i="1"/>
  <c r="DA1082" i="1"/>
  <c r="V1082" i="1"/>
  <c r="W1082" i="1"/>
  <c r="CZ1082" i="1"/>
  <c r="O1082" i="1"/>
  <c r="CY1082" i="1"/>
  <c r="BP1082" i="1"/>
  <c r="BO1082" i="1"/>
  <c r="DO1068" i="1"/>
  <c r="DG1068" i="1"/>
  <c r="R1068" i="1"/>
  <c r="Q1068" i="1"/>
  <c r="DA1068" i="1"/>
  <c r="V1068" i="1"/>
  <c r="W1068" i="1"/>
  <c r="CZ1068" i="1"/>
  <c r="O1068" i="1"/>
  <c r="CY1068" i="1"/>
  <c r="BP1068" i="1"/>
  <c r="BO1068" i="1"/>
  <c r="DO1080" i="1"/>
  <c r="DG1080" i="1"/>
  <c r="R1080" i="1"/>
  <c r="Q1080" i="1"/>
  <c r="DA1080" i="1"/>
  <c r="V1080" i="1"/>
  <c r="W1080" i="1"/>
  <c r="CZ1080" i="1"/>
  <c r="O1080" i="1"/>
  <c r="CY1080" i="1"/>
  <c r="BP1080" i="1"/>
  <c r="BO1080" i="1"/>
  <c r="DO1076" i="1"/>
  <c r="DG1076" i="1"/>
  <c r="R1076" i="1"/>
  <c r="Q1076" i="1"/>
  <c r="DA1076" i="1"/>
  <c r="V1076" i="1"/>
  <c r="W1076" i="1"/>
  <c r="CZ1076" i="1"/>
  <c r="O1076" i="1"/>
  <c r="CY1076" i="1"/>
  <c r="BP1076" i="1"/>
  <c r="BO1076" i="1"/>
  <c r="DO1091" i="1"/>
  <c r="DG1091" i="1"/>
  <c r="R1091" i="1"/>
  <c r="Q1091" i="1"/>
  <c r="DA1091" i="1"/>
  <c r="V1091" i="1"/>
  <c r="W1091" i="1"/>
  <c r="CZ1091" i="1"/>
  <c r="O1091" i="1"/>
  <c r="CY1091" i="1"/>
  <c r="BP1091" i="1"/>
  <c r="BO1091" i="1"/>
  <c r="DO1088" i="1"/>
  <c r="R1088" i="1"/>
  <c r="Q1088" i="1"/>
  <c r="DA1088" i="1"/>
  <c r="W1088" i="1"/>
  <c r="CZ1088" i="1"/>
  <c r="O1088" i="1"/>
  <c r="BP1088" i="1"/>
  <c r="BO1088" i="1"/>
  <c r="DO1087" i="1"/>
  <c r="DG1087" i="1"/>
  <c r="R1087" i="1"/>
  <c r="Q1087" i="1"/>
  <c r="DA1087" i="1"/>
  <c r="V1087" i="1"/>
  <c r="W1087" i="1"/>
  <c r="CZ1087" i="1"/>
  <c r="O1087" i="1"/>
  <c r="CY1087" i="1"/>
  <c r="BP1087" i="1"/>
  <c r="BO1087" i="1"/>
  <c r="DO1062" i="1"/>
  <c r="DG1062" i="1"/>
  <c r="R1062" i="1"/>
  <c r="Q1062" i="1"/>
  <c r="DA1062" i="1"/>
  <c r="V1062" i="1"/>
  <c r="W1062" i="1"/>
  <c r="CZ1062" i="1"/>
  <c r="O1062" i="1"/>
  <c r="CY1062" i="1"/>
  <c r="BP1062" i="1"/>
  <c r="BO1062" i="1"/>
  <c r="DO1061" i="1"/>
  <c r="DG1061" i="1"/>
  <c r="R1061" i="1"/>
  <c r="Q1061" i="1"/>
  <c r="DA1061" i="1"/>
  <c r="V1061" i="1"/>
  <c r="W1061" i="1"/>
  <c r="CZ1061" i="1"/>
  <c r="O1061" i="1"/>
  <c r="CY1061" i="1"/>
  <c r="BP1061" i="1"/>
  <c r="BO1061" i="1"/>
  <c r="DO1059" i="1"/>
  <c r="DG1059" i="1"/>
  <c r="R1059" i="1"/>
  <c r="Q1059" i="1"/>
  <c r="DA1059" i="1"/>
  <c r="V1059" i="1"/>
  <c r="W1059" i="1"/>
  <c r="CZ1059" i="1"/>
  <c r="O1059" i="1"/>
  <c r="CY1059" i="1"/>
  <c r="BP1059" i="1"/>
  <c r="BO1059" i="1"/>
  <c r="DO28" i="1"/>
  <c r="DG28" i="1"/>
  <c r="R28" i="1"/>
  <c r="Q28" i="1"/>
  <c r="DA28" i="1"/>
  <c r="V28" i="1"/>
  <c r="W28" i="1"/>
  <c r="CZ28" i="1"/>
  <c r="O28" i="1"/>
  <c r="CY28" i="1"/>
  <c r="BP28" i="1"/>
  <c r="BO28" i="1"/>
  <c r="DO1430" i="1"/>
  <c r="R1430" i="1"/>
  <c r="Q1430" i="1"/>
  <c r="DA1430" i="1"/>
  <c r="W1430" i="1"/>
  <c r="CZ1430" i="1"/>
  <c r="O1430" i="1"/>
  <c r="BP1430" i="1"/>
  <c r="BO1430" i="1"/>
  <c r="DO1044" i="1"/>
  <c r="DG1044" i="1"/>
  <c r="R1044" i="1"/>
  <c r="Q1044" i="1"/>
  <c r="DA1044" i="1"/>
  <c r="V1044" i="1"/>
  <c r="W1044" i="1"/>
  <c r="CZ1044" i="1"/>
  <c r="O1044" i="1"/>
  <c r="CY1044" i="1"/>
  <c r="BP1044" i="1"/>
  <c r="BO1044" i="1"/>
  <c r="DO30" i="1"/>
  <c r="DG30" i="1"/>
  <c r="R30" i="1"/>
  <c r="Q30" i="1"/>
  <c r="DA30" i="1"/>
  <c r="V30" i="1"/>
  <c r="W30" i="1"/>
  <c r="CZ30" i="1"/>
  <c r="O30" i="1"/>
  <c r="CY30" i="1"/>
  <c r="BP30" i="1"/>
  <c r="BO30" i="1"/>
  <c r="DO1222" i="1"/>
  <c r="DG1222" i="1"/>
  <c r="R1222" i="1"/>
  <c r="Q1222" i="1"/>
  <c r="DA1222" i="1"/>
  <c r="V1222" i="1"/>
  <c r="W1222" i="1"/>
  <c r="CZ1222" i="1"/>
  <c r="O1222" i="1"/>
  <c r="CY1222" i="1"/>
  <c r="BP1222" i="1"/>
  <c r="BO1222" i="1"/>
  <c r="DO1040" i="1"/>
  <c r="DG1040" i="1"/>
  <c r="R1040" i="1"/>
  <c r="Q1040" i="1"/>
  <c r="DA1040" i="1"/>
  <c r="V1040" i="1"/>
  <c r="W1040" i="1"/>
  <c r="CZ1040" i="1"/>
  <c r="O1040" i="1"/>
  <c r="CY1040" i="1"/>
  <c r="BP1040" i="1"/>
  <c r="BO1040" i="1"/>
  <c r="DO1033" i="1"/>
  <c r="DG1033" i="1"/>
  <c r="R1033" i="1"/>
  <c r="Q1033" i="1"/>
  <c r="DA1033" i="1"/>
  <c r="V1033" i="1"/>
  <c r="W1033" i="1"/>
  <c r="CZ1033" i="1"/>
  <c r="O1033" i="1"/>
  <c r="CY1033" i="1"/>
  <c r="BP1033" i="1"/>
  <c r="BO1033" i="1"/>
  <c r="DO1228" i="1"/>
  <c r="DG1228" i="1"/>
  <c r="R1228" i="1"/>
  <c r="Q1228" i="1"/>
  <c r="DA1228" i="1"/>
  <c r="V1228" i="1"/>
  <c r="W1228" i="1"/>
  <c r="CZ1228" i="1"/>
  <c r="O1228" i="1"/>
  <c r="CY1228" i="1"/>
  <c r="BP1228" i="1"/>
  <c r="BO1228" i="1"/>
  <c r="DO1428" i="1"/>
  <c r="DG1428" i="1"/>
  <c r="R1428" i="1"/>
  <c r="Q1428" i="1"/>
  <c r="DA1428" i="1"/>
  <c r="V1428" i="1"/>
  <c r="W1428" i="1"/>
  <c r="CZ1428" i="1"/>
  <c r="O1428" i="1"/>
  <c r="CY1428" i="1"/>
  <c r="BP1428" i="1"/>
  <c r="BO1428" i="1"/>
  <c r="DO1427" i="1"/>
  <c r="DG1427" i="1"/>
  <c r="R1427" i="1"/>
  <c r="Q1427" i="1"/>
  <c r="DA1427" i="1"/>
  <c r="V1427" i="1"/>
  <c r="W1427" i="1"/>
  <c r="CZ1427" i="1"/>
  <c r="O1427" i="1"/>
  <c r="CY1427" i="1"/>
  <c r="BP1427" i="1"/>
  <c r="BO1427" i="1"/>
  <c r="DO1423" i="1"/>
  <c r="DG1423" i="1"/>
  <c r="R1423" i="1"/>
  <c r="Q1423" i="1"/>
  <c r="DA1423" i="1"/>
  <c r="V1423" i="1"/>
  <c r="W1423" i="1"/>
  <c r="CZ1423" i="1"/>
  <c r="O1423" i="1"/>
  <c r="CY1423" i="1"/>
  <c r="BP1423" i="1"/>
  <c r="BO1423" i="1"/>
  <c r="DO1325" i="1"/>
  <c r="DG1325" i="1"/>
  <c r="R1325" i="1"/>
  <c r="Q1325" i="1"/>
  <c r="DA1325" i="1"/>
  <c r="V1325" i="1"/>
  <c r="W1325" i="1"/>
  <c r="CZ1325" i="1"/>
  <c r="O1325" i="1"/>
  <c r="CY1325" i="1"/>
  <c r="BP1325" i="1"/>
  <c r="BO1325" i="1"/>
  <c r="DO1191" i="1"/>
  <c r="R1191" i="1"/>
  <c r="Q1191" i="1"/>
  <c r="DA1191" i="1"/>
  <c r="W1191" i="1"/>
  <c r="CZ1191" i="1"/>
  <c r="O1191" i="1"/>
  <c r="BP1191" i="1"/>
  <c r="BO1191" i="1"/>
  <c r="DO22" i="1"/>
  <c r="DG22" i="1"/>
  <c r="R22" i="1"/>
  <c r="Q22" i="1"/>
  <c r="DA22" i="1"/>
  <c r="V22" i="1"/>
  <c r="W22" i="1"/>
  <c r="CZ22" i="1"/>
  <c r="O22" i="1"/>
  <c r="CY22" i="1"/>
  <c r="BP22" i="1"/>
  <c r="BO22" i="1"/>
  <c r="DO1038" i="1"/>
  <c r="DG1038" i="1"/>
  <c r="R1038" i="1"/>
  <c r="Q1038" i="1"/>
  <c r="DA1038" i="1"/>
  <c r="V1038" i="1"/>
  <c r="W1038" i="1"/>
  <c r="CZ1038" i="1"/>
  <c r="O1038" i="1"/>
  <c r="CY1038" i="1"/>
  <c r="BP1038" i="1"/>
  <c r="BO1038" i="1"/>
  <c r="DO1403" i="1"/>
  <c r="DG1403" i="1"/>
  <c r="R1403" i="1"/>
  <c r="Q1403" i="1"/>
  <c r="DA1403" i="1"/>
  <c r="V1403" i="1"/>
  <c r="W1403" i="1"/>
  <c r="CZ1403" i="1"/>
  <c r="O1403" i="1"/>
  <c r="CY1403" i="1"/>
  <c r="BP1403" i="1"/>
  <c r="BO1403" i="1"/>
  <c r="DO1234" i="1"/>
  <c r="DG1234" i="1"/>
  <c r="R1234" i="1"/>
  <c r="Q1234" i="1"/>
  <c r="DA1234" i="1"/>
  <c r="V1234" i="1"/>
  <c r="W1234" i="1"/>
  <c r="CZ1234" i="1"/>
  <c r="O1234" i="1"/>
  <c r="CY1234" i="1"/>
  <c r="BP1234" i="1"/>
  <c r="BO1234" i="1"/>
  <c r="DO1397" i="1"/>
  <c r="DG1397" i="1"/>
  <c r="R1397" i="1"/>
  <c r="Q1397" i="1"/>
  <c r="DA1397" i="1"/>
  <c r="V1397" i="1"/>
  <c r="W1397" i="1"/>
  <c r="CZ1397" i="1"/>
  <c r="O1397" i="1"/>
  <c r="CY1397" i="1"/>
  <c r="BP1397" i="1"/>
  <c r="BO1397" i="1"/>
  <c r="DO1396" i="1"/>
  <c r="DG1396" i="1"/>
  <c r="R1396" i="1"/>
  <c r="Q1396" i="1"/>
  <c r="DA1396" i="1"/>
  <c r="V1396" i="1"/>
  <c r="W1396" i="1"/>
  <c r="CZ1396" i="1"/>
  <c r="O1396" i="1"/>
  <c r="CY1396" i="1"/>
  <c r="BP1396" i="1"/>
  <c r="BO1396" i="1"/>
  <c r="DO1037" i="1"/>
  <c r="DG1037" i="1"/>
  <c r="R1037" i="1"/>
  <c r="Q1037" i="1"/>
  <c r="DA1037" i="1"/>
  <c r="V1037" i="1"/>
  <c r="W1037" i="1"/>
  <c r="CZ1037" i="1"/>
  <c r="O1037" i="1"/>
  <c r="CY1037" i="1"/>
  <c r="BP1037" i="1"/>
  <c r="BO1037" i="1"/>
  <c r="DO1395" i="1"/>
  <c r="DG1395" i="1"/>
  <c r="R1395" i="1"/>
  <c r="Q1395" i="1"/>
  <c r="DA1395" i="1"/>
  <c r="V1395" i="1"/>
  <c r="W1395" i="1"/>
  <c r="CZ1395" i="1"/>
  <c r="O1395" i="1"/>
  <c r="CY1395" i="1"/>
  <c r="BP1395" i="1"/>
  <c r="BO1395" i="1"/>
  <c r="DO1301" i="1"/>
  <c r="R1301" i="1"/>
  <c r="Q1301" i="1"/>
  <c r="DA1301" i="1"/>
  <c r="W1301" i="1"/>
  <c r="CZ1301" i="1"/>
  <c r="O1301" i="1"/>
  <c r="BP1301" i="1"/>
  <c r="BO1301" i="1"/>
  <c r="DO24" i="1"/>
  <c r="DG24" i="1"/>
  <c r="R24" i="1"/>
  <c r="Q24" i="1"/>
  <c r="DA24" i="1"/>
  <c r="V24" i="1"/>
  <c r="W24" i="1"/>
  <c r="CZ24" i="1"/>
  <c r="O24" i="1"/>
  <c r="CY24" i="1"/>
  <c r="BP24" i="1"/>
  <c r="BO24" i="1"/>
  <c r="DO1242" i="1"/>
  <c r="DG1242" i="1"/>
  <c r="R1242" i="1"/>
  <c r="Q1242" i="1"/>
  <c r="DA1242" i="1"/>
  <c r="V1242" i="1"/>
  <c r="W1242" i="1"/>
  <c r="CZ1242" i="1"/>
  <c r="O1242" i="1"/>
  <c r="CY1242" i="1"/>
  <c r="BP1242" i="1"/>
  <c r="BO1242" i="1"/>
  <c r="DO1304" i="1"/>
  <c r="DG1304" i="1"/>
  <c r="R1304" i="1"/>
  <c r="Q1304" i="1"/>
  <c r="DA1304" i="1"/>
  <c r="V1304" i="1"/>
  <c r="W1304" i="1"/>
  <c r="CZ1304" i="1"/>
  <c r="O1304" i="1"/>
  <c r="CY1304" i="1"/>
  <c r="BP1304" i="1"/>
  <c r="BO1304" i="1"/>
  <c r="DO33" i="1"/>
  <c r="DG33" i="1"/>
  <c r="R33" i="1"/>
  <c r="Q33" i="1"/>
  <c r="DA33" i="1"/>
  <c r="V33" i="1"/>
  <c r="W33" i="1"/>
  <c r="CZ33" i="1"/>
  <c r="O33" i="1"/>
  <c r="CY33" i="1"/>
  <c r="BP33" i="1"/>
  <c r="BO33" i="1"/>
  <c r="DO1035" i="1"/>
  <c r="DG1035" i="1"/>
  <c r="R1035" i="1"/>
  <c r="Q1035" i="1"/>
  <c r="DA1035" i="1"/>
  <c r="V1035" i="1"/>
  <c r="W1035" i="1"/>
  <c r="CZ1035" i="1"/>
  <c r="O1035" i="1"/>
  <c r="CY1035" i="1"/>
  <c r="BP1035" i="1"/>
  <c r="BO1035" i="1"/>
  <c r="DO32" i="1"/>
  <c r="DG32" i="1"/>
  <c r="R32" i="1"/>
  <c r="Q32" i="1"/>
  <c r="DA32" i="1"/>
  <c r="V32" i="1"/>
  <c r="W32" i="1"/>
  <c r="CZ32" i="1"/>
  <c r="O32" i="1"/>
  <c r="CY32" i="1"/>
  <c r="BP32" i="1"/>
  <c r="BO32" i="1"/>
  <c r="DO1034" i="1"/>
  <c r="DG1034" i="1"/>
  <c r="R1034" i="1"/>
  <c r="Q1034" i="1"/>
  <c r="DA1034" i="1"/>
  <c r="V1034" i="1"/>
  <c r="W1034" i="1"/>
  <c r="CZ1034" i="1"/>
  <c r="O1034" i="1"/>
  <c r="CY1034" i="1"/>
  <c r="BP1034" i="1"/>
  <c r="BO1034" i="1"/>
  <c r="DO1331" i="1"/>
  <c r="DG1331" i="1"/>
  <c r="R1331" i="1"/>
  <c r="Q1331" i="1"/>
  <c r="DA1331" i="1"/>
  <c r="V1331" i="1"/>
  <c r="W1331" i="1"/>
  <c r="CZ1331" i="1"/>
  <c r="O1331" i="1"/>
  <c r="CY1331" i="1"/>
  <c r="BP1331" i="1"/>
  <c r="BO1331" i="1"/>
  <c r="DO34" i="1"/>
  <c r="DG34" i="1"/>
  <c r="R34" i="1"/>
  <c r="Q34" i="1"/>
  <c r="DA34" i="1"/>
  <c r="V34" i="1"/>
  <c r="W34" i="1"/>
  <c r="CZ34" i="1"/>
  <c r="O34" i="1"/>
  <c r="CY34" i="1"/>
  <c r="BP34" i="1"/>
  <c r="BO34" i="1"/>
  <c r="DO1247" i="1"/>
  <c r="DG1247" i="1"/>
  <c r="R1247" i="1"/>
  <c r="Q1247" i="1"/>
  <c r="DA1247" i="1"/>
  <c r="V1247" i="1"/>
  <c r="W1247" i="1"/>
  <c r="CZ1247" i="1"/>
  <c r="O1247" i="1"/>
  <c r="CY1247" i="1"/>
  <c r="BP1247" i="1"/>
  <c r="BO1247" i="1"/>
  <c r="DO1028" i="1"/>
  <c r="DG1028" i="1"/>
  <c r="R1028" i="1"/>
  <c r="Q1028" i="1"/>
  <c r="DA1028" i="1"/>
  <c r="V1028" i="1"/>
  <c r="W1028" i="1"/>
  <c r="CZ1028" i="1"/>
  <c r="O1028" i="1"/>
  <c r="CY1028" i="1"/>
  <c r="BP1028" i="1"/>
  <c r="BO1028" i="1"/>
  <c r="DO1030" i="1"/>
  <c r="DG1030" i="1"/>
  <c r="R1030" i="1"/>
  <c r="Q1030" i="1"/>
  <c r="DA1030" i="1"/>
  <c r="V1030" i="1"/>
  <c r="W1030" i="1"/>
  <c r="CZ1030" i="1"/>
  <c r="O1030" i="1"/>
  <c r="CY1030" i="1"/>
  <c r="BP1030" i="1"/>
  <c r="BO1030" i="1"/>
  <c r="DO1181" i="1"/>
  <c r="DG1181" i="1"/>
  <c r="R1181" i="1"/>
  <c r="Q1181" i="1"/>
  <c r="DA1181" i="1"/>
  <c r="V1181" i="1"/>
  <c r="W1181" i="1"/>
  <c r="CZ1181" i="1"/>
  <c r="O1181" i="1"/>
  <c r="CY1181" i="1"/>
  <c r="BP1181" i="1"/>
  <c r="BO1181" i="1"/>
  <c r="DO1167" i="1"/>
  <c r="DG1167" i="1"/>
  <c r="R1167" i="1"/>
  <c r="Q1167" i="1"/>
  <c r="DA1167" i="1"/>
  <c r="V1167" i="1"/>
  <c r="W1167" i="1"/>
  <c r="CZ1167" i="1"/>
  <c r="O1167" i="1"/>
  <c r="CY1167" i="1"/>
  <c r="BP1167" i="1"/>
  <c r="BO1167" i="1"/>
  <c r="DO31" i="1"/>
  <c r="DG31" i="1"/>
  <c r="R31" i="1"/>
  <c r="Q31" i="1"/>
  <c r="DA31" i="1"/>
  <c r="V31" i="1"/>
  <c r="W31" i="1"/>
  <c r="CZ31" i="1"/>
  <c r="O31" i="1"/>
  <c r="CY31" i="1"/>
  <c r="BP31" i="1"/>
  <c r="BO31" i="1"/>
  <c r="DO1163" i="1"/>
  <c r="DG1163" i="1"/>
  <c r="R1163" i="1"/>
  <c r="Q1163" i="1"/>
  <c r="DA1163" i="1"/>
  <c r="V1163" i="1"/>
  <c r="W1163" i="1"/>
  <c r="CZ1163" i="1"/>
  <c r="O1163" i="1"/>
  <c r="CY1163" i="1"/>
  <c r="BP1163" i="1"/>
  <c r="BO1163" i="1"/>
  <c r="DO1203" i="1"/>
  <c r="DG1203" i="1"/>
  <c r="R1203" i="1"/>
  <c r="Q1203" i="1"/>
  <c r="DA1203" i="1"/>
  <c r="V1203" i="1"/>
  <c r="W1203" i="1"/>
  <c r="CZ1203" i="1"/>
  <c r="O1203" i="1"/>
  <c r="CY1203" i="1"/>
  <c r="BP1203" i="1"/>
  <c r="BO1203" i="1"/>
  <c r="DO1422" i="1"/>
  <c r="R1422" i="1"/>
  <c r="Q1422" i="1"/>
  <c r="DA1422" i="1"/>
  <c r="W1422" i="1"/>
  <c r="CZ1422" i="1"/>
  <c r="O1422" i="1"/>
  <c r="BP1422" i="1"/>
  <c r="BO1422" i="1"/>
  <c r="DO1400" i="1"/>
  <c r="R1400" i="1"/>
  <c r="Q1400" i="1"/>
  <c r="DA1400" i="1"/>
  <c r="W1400" i="1"/>
  <c r="CZ1400" i="1"/>
  <c r="O1400" i="1"/>
  <c r="BP1400" i="1"/>
  <c r="BO1400" i="1"/>
  <c r="DO1159" i="1"/>
  <c r="DG1159" i="1"/>
  <c r="R1159" i="1"/>
  <c r="Q1159" i="1"/>
  <c r="DA1159" i="1"/>
  <c r="V1159" i="1"/>
  <c r="W1159" i="1"/>
  <c r="CZ1159" i="1"/>
  <c r="O1159" i="1"/>
  <c r="CY1159" i="1"/>
  <c r="BP1159" i="1"/>
  <c r="BO1159" i="1"/>
  <c r="DO1149" i="1"/>
  <c r="DG1149" i="1"/>
  <c r="R1149" i="1"/>
  <c r="Q1149" i="1"/>
  <c r="DA1149" i="1"/>
  <c r="V1149" i="1"/>
  <c r="W1149" i="1"/>
  <c r="CZ1149" i="1"/>
  <c r="O1149" i="1"/>
  <c r="CY1149" i="1"/>
  <c r="BP1149" i="1"/>
  <c r="BO1149" i="1"/>
  <c r="DO1139" i="1"/>
  <c r="DG1139" i="1"/>
  <c r="R1139" i="1"/>
  <c r="Q1139" i="1"/>
  <c r="DA1139" i="1"/>
  <c r="V1139" i="1"/>
  <c r="W1139" i="1"/>
  <c r="CZ1139" i="1"/>
  <c r="O1139" i="1"/>
  <c r="CY1139" i="1"/>
  <c r="BP1139" i="1"/>
  <c r="BO1139" i="1"/>
  <c r="DO1137" i="1"/>
  <c r="DG1137" i="1"/>
  <c r="R1137" i="1"/>
  <c r="Q1137" i="1"/>
  <c r="DA1137" i="1"/>
  <c r="V1137" i="1"/>
  <c r="W1137" i="1"/>
  <c r="CZ1137" i="1"/>
  <c r="O1137" i="1"/>
  <c r="CY1137" i="1"/>
  <c r="BP1137" i="1"/>
  <c r="BO1137" i="1"/>
  <c r="DO1136" i="1"/>
  <c r="DG1136" i="1"/>
  <c r="R1136" i="1"/>
  <c r="Q1136" i="1"/>
  <c r="DA1136" i="1"/>
  <c r="V1136" i="1"/>
  <c r="W1136" i="1"/>
  <c r="CZ1136" i="1"/>
  <c r="O1136" i="1"/>
  <c r="CY1136" i="1"/>
  <c r="BP1136" i="1"/>
  <c r="BO1136" i="1"/>
  <c r="DO1135" i="1"/>
  <c r="DG1135" i="1"/>
  <c r="R1135" i="1"/>
  <c r="Q1135" i="1"/>
  <c r="DA1135" i="1"/>
  <c r="V1135" i="1"/>
  <c r="W1135" i="1"/>
  <c r="CZ1135" i="1"/>
  <c r="O1135" i="1"/>
  <c r="CY1135" i="1"/>
  <c r="BP1135" i="1"/>
  <c r="BO1135" i="1"/>
  <c r="DO1495" i="1"/>
  <c r="DG1495" i="1"/>
  <c r="R1495" i="1"/>
  <c r="Q1495" i="1"/>
  <c r="DA1495" i="1"/>
  <c r="V1495" i="1"/>
  <c r="W1495" i="1"/>
  <c r="CZ1495" i="1"/>
  <c r="O1495" i="1"/>
  <c r="CY1495" i="1"/>
  <c r="BP1495" i="1"/>
  <c r="BO1495" i="1"/>
  <c r="DO1042" i="1"/>
  <c r="R1042" i="1"/>
  <c r="Q1042" i="1"/>
  <c r="DA1042" i="1"/>
  <c r="W1042" i="1"/>
  <c r="CZ1042" i="1"/>
  <c r="O1042" i="1"/>
  <c r="BP1042" i="1"/>
  <c r="BO1042" i="1"/>
  <c r="DO1426" i="1"/>
  <c r="R1426" i="1"/>
  <c r="Q1426" i="1"/>
  <c r="DA1426" i="1"/>
  <c r="W1426" i="1"/>
  <c r="CZ1426" i="1"/>
  <c r="O1426" i="1"/>
  <c r="BP1426" i="1"/>
  <c r="BO1426" i="1"/>
  <c r="DO1399" i="1"/>
  <c r="R1399" i="1"/>
  <c r="Q1399" i="1"/>
  <c r="DA1399" i="1"/>
  <c r="W1399" i="1"/>
  <c r="CZ1399" i="1"/>
  <c r="O1399" i="1"/>
  <c r="BP1399" i="1"/>
  <c r="BO1399" i="1"/>
  <c r="DO1193" i="1"/>
  <c r="DG1193" i="1"/>
  <c r="R1193" i="1"/>
  <c r="Q1193" i="1"/>
  <c r="DA1193" i="1"/>
  <c r="V1193" i="1"/>
  <c r="W1193" i="1"/>
  <c r="CZ1193" i="1"/>
  <c r="O1193" i="1"/>
  <c r="CY1193" i="1"/>
  <c r="BP1193" i="1"/>
  <c r="BO1193" i="1"/>
  <c r="DO1197" i="1"/>
  <c r="DG1197" i="1"/>
  <c r="R1197" i="1"/>
  <c r="Q1197" i="1"/>
  <c r="DA1197" i="1"/>
  <c r="V1197" i="1"/>
  <c r="W1197" i="1"/>
  <c r="CZ1197" i="1"/>
  <c r="O1197" i="1"/>
  <c r="CY1197" i="1"/>
  <c r="BP1197" i="1"/>
  <c r="BO1197" i="1"/>
  <c r="DG1198" i="1"/>
  <c r="R1198" i="1"/>
  <c r="Q1198" i="1"/>
  <c r="DA1198" i="1"/>
  <c r="V1198" i="1"/>
  <c r="W1198" i="1"/>
  <c r="CZ1198" i="1"/>
  <c r="O1198" i="1"/>
  <c r="CY1198" i="1"/>
  <c r="BP1198" i="1"/>
  <c r="DO1199" i="1"/>
  <c r="DG1199" i="1"/>
  <c r="R1199" i="1"/>
  <c r="Q1199" i="1"/>
  <c r="DA1199" i="1"/>
  <c r="V1199" i="1"/>
  <c r="W1199" i="1"/>
  <c r="CZ1199" i="1"/>
  <c r="O1199" i="1"/>
  <c r="CY1199" i="1"/>
  <c r="BP1199" i="1"/>
  <c r="BO1199" i="1"/>
  <c r="DO1201" i="1"/>
  <c r="DG1201" i="1"/>
  <c r="R1201" i="1"/>
  <c r="Q1201" i="1"/>
  <c r="DA1201" i="1"/>
  <c r="V1201" i="1"/>
  <c r="W1201" i="1"/>
  <c r="CZ1201" i="1"/>
  <c r="O1201" i="1"/>
  <c r="CY1201" i="1"/>
  <c r="BP1201" i="1"/>
  <c r="BO1201" i="1"/>
  <c r="DO1206" i="1"/>
  <c r="DG1206" i="1"/>
  <c r="R1206" i="1"/>
  <c r="Q1206" i="1"/>
  <c r="DA1206" i="1"/>
  <c r="V1206" i="1"/>
  <c r="W1206" i="1"/>
  <c r="CZ1206" i="1"/>
  <c r="O1206" i="1"/>
  <c r="CY1206" i="1"/>
  <c r="BP1206" i="1"/>
  <c r="BO1206" i="1"/>
  <c r="DO1213" i="1"/>
  <c r="DG1213" i="1"/>
  <c r="R1213" i="1"/>
  <c r="Q1213" i="1"/>
  <c r="DA1213" i="1"/>
  <c r="V1213" i="1"/>
  <c r="W1213" i="1"/>
  <c r="CZ1213" i="1"/>
  <c r="O1213" i="1"/>
  <c r="CY1213" i="1"/>
  <c r="BP1213" i="1"/>
  <c r="BO1213" i="1"/>
  <c r="DG1218" i="1"/>
  <c r="R1218" i="1"/>
  <c r="Q1218" i="1"/>
  <c r="DA1218" i="1"/>
  <c r="V1218" i="1"/>
  <c r="W1218" i="1"/>
  <c r="CZ1218" i="1"/>
  <c r="O1218" i="1"/>
  <c r="CY1218" i="1"/>
  <c r="BP1218" i="1"/>
  <c r="DO1502" i="1"/>
  <c r="R1502" i="1"/>
  <c r="Q1502" i="1"/>
  <c r="DA1502" i="1"/>
  <c r="W1502" i="1"/>
  <c r="CZ1502" i="1"/>
  <c r="O1502" i="1"/>
  <c r="BP1502" i="1"/>
  <c r="BO1502" i="1"/>
  <c r="DO1255" i="1"/>
  <c r="DG1255" i="1"/>
  <c r="R1255" i="1"/>
  <c r="Q1255" i="1"/>
  <c r="DA1255" i="1"/>
  <c r="V1255" i="1"/>
  <c r="W1255" i="1"/>
  <c r="CZ1255" i="1"/>
  <c r="O1255" i="1"/>
  <c r="CY1255" i="1"/>
  <c r="BP1255" i="1"/>
  <c r="BO1255" i="1"/>
  <c r="DO1263" i="1"/>
  <c r="DG1263" i="1"/>
  <c r="R1263" i="1"/>
  <c r="Q1263" i="1"/>
  <c r="DA1263" i="1"/>
  <c r="V1263" i="1"/>
  <c r="W1263" i="1"/>
  <c r="CZ1263" i="1"/>
  <c r="O1263" i="1"/>
  <c r="CY1263" i="1"/>
  <c r="BP1263" i="1"/>
  <c r="BO1263" i="1"/>
  <c r="DO1267" i="1"/>
  <c r="DG1267" i="1"/>
  <c r="R1267" i="1"/>
  <c r="Q1267" i="1"/>
  <c r="DA1267" i="1"/>
  <c r="V1267" i="1"/>
  <c r="W1267" i="1"/>
  <c r="CZ1267" i="1"/>
  <c r="O1267" i="1"/>
  <c r="CY1267" i="1"/>
  <c r="BP1267" i="1"/>
  <c r="BO1267" i="1"/>
  <c r="DO1268" i="1"/>
  <c r="DG1268" i="1"/>
  <c r="R1268" i="1"/>
  <c r="Q1268" i="1"/>
  <c r="DA1268" i="1"/>
  <c r="V1268" i="1"/>
  <c r="W1268" i="1"/>
  <c r="CZ1268" i="1"/>
  <c r="O1268" i="1"/>
  <c r="CY1268" i="1"/>
  <c r="BP1268" i="1"/>
  <c r="BO1268" i="1"/>
  <c r="DO1202" i="1"/>
  <c r="R1202" i="1"/>
  <c r="Q1202" i="1"/>
  <c r="DA1202" i="1"/>
  <c r="W1202" i="1"/>
  <c r="CZ1202" i="1"/>
  <c r="O1202" i="1"/>
  <c r="BP1202" i="1"/>
  <c r="BO1202" i="1"/>
  <c r="DO1209" i="1"/>
  <c r="R1209" i="1"/>
  <c r="Q1209" i="1"/>
  <c r="DA1209" i="1"/>
  <c r="W1209" i="1"/>
  <c r="CZ1209" i="1"/>
  <c r="O1209" i="1"/>
  <c r="BP1209" i="1"/>
  <c r="BO1209" i="1"/>
  <c r="DO1269" i="1"/>
  <c r="DG1269" i="1"/>
  <c r="R1269" i="1"/>
  <c r="Q1269" i="1"/>
  <c r="DA1269" i="1"/>
  <c r="V1269" i="1"/>
  <c r="W1269" i="1"/>
  <c r="CZ1269" i="1"/>
  <c r="O1269" i="1"/>
  <c r="CY1269" i="1"/>
  <c r="BP1269" i="1"/>
  <c r="BO1269" i="1"/>
  <c r="DO1326" i="1"/>
  <c r="DG1326" i="1"/>
  <c r="R1326" i="1"/>
  <c r="Q1326" i="1"/>
  <c r="DA1326" i="1"/>
  <c r="V1326" i="1"/>
  <c r="W1326" i="1"/>
  <c r="CZ1326" i="1"/>
  <c r="O1326" i="1"/>
  <c r="CY1326" i="1"/>
  <c r="BP1326" i="1"/>
  <c r="BO1326" i="1"/>
  <c r="DO1332" i="1"/>
  <c r="DG1332" i="1"/>
  <c r="R1332" i="1"/>
  <c r="Q1332" i="1"/>
  <c r="DA1332" i="1"/>
  <c r="V1332" i="1"/>
  <c r="W1332" i="1"/>
  <c r="CZ1332" i="1"/>
  <c r="O1332" i="1"/>
  <c r="CY1332" i="1"/>
  <c r="BP1332" i="1"/>
  <c r="BO1332" i="1"/>
  <c r="DO1334" i="1"/>
  <c r="DG1334" i="1"/>
  <c r="R1334" i="1"/>
  <c r="Q1334" i="1"/>
  <c r="DA1334" i="1"/>
  <c r="V1334" i="1"/>
  <c r="W1334" i="1"/>
  <c r="CZ1334" i="1"/>
  <c r="O1334" i="1"/>
  <c r="CY1334" i="1"/>
  <c r="BP1334" i="1"/>
  <c r="BO1334" i="1"/>
  <c r="DO1341" i="1"/>
  <c r="DG1341" i="1"/>
  <c r="R1341" i="1"/>
  <c r="Q1341" i="1"/>
  <c r="DA1341" i="1"/>
  <c r="V1341" i="1"/>
  <c r="W1341" i="1"/>
  <c r="CZ1341" i="1"/>
  <c r="O1341" i="1"/>
  <c r="CY1341" i="1"/>
  <c r="BP1341" i="1"/>
  <c r="BO1341" i="1"/>
  <c r="DO1357" i="1"/>
  <c r="DG1357" i="1"/>
  <c r="R1357" i="1"/>
  <c r="Q1357" i="1"/>
  <c r="DA1357" i="1"/>
  <c r="V1357" i="1"/>
  <c r="W1357" i="1"/>
  <c r="CZ1357" i="1"/>
  <c r="O1357" i="1"/>
  <c r="CY1357" i="1"/>
  <c r="BP1357" i="1"/>
  <c r="BO1357" i="1"/>
  <c r="DO1360" i="1"/>
  <c r="DG1360" i="1"/>
  <c r="R1360" i="1"/>
  <c r="Q1360" i="1"/>
  <c r="DA1360" i="1"/>
  <c r="V1360" i="1"/>
  <c r="W1360" i="1"/>
  <c r="CZ1360" i="1"/>
  <c r="O1360" i="1"/>
  <c r="CY1360" i="1"/>
  <c r="BP1360" i="1"/>
  <c r="BO1360" i="1"/>
  <c r="DG1370" i="1"/>
  <c r="R1370" i="1"/>
  <c r="Q1370" i="1"/>
  <c r="DA1370" i="1"/>
  <c r="V1370" i="1"/>
  <c r="W1370" i="1"/>
  <c r="CZ1370" i="1"/>
  <c r="O1370" i="1"/>
  <c r="CY1370" i="1"/>
  <c r="BP1370" i="1"/>
  <c r="DO1390" i="1"/>
  <c r="DG1390" i="1"/>
  <c r="R1390" i="1"/>
  <c r="Q1390" i="1"/>
  <c r="DA1390" i="1"/>
  <c r="V1390" i="1"/>
  <c r="W1390" i="1"/>
  <c r="CZ1390" i="1"/>
  <c r="O1390" i="1"/>
  <c r="CY1390" i="1"/>
  <c r="BP1390" i="1"/>
  <c r="BO1390" i="1"/>
  <c r="DO926" i="1"/>
  <c r="DG926" i="1"/>
  <c r="R926" i="1"/>
  <c r="Q926" i="1"/>
  <c r="DA926" i="1"/>
  <c r="V926" i="1"/>
  <c r="W926" i="1"/>
  <c r="CZ926" i="1"/>
  <c r="O926" i="1"/>
  <c r="CY926" i="1"/>
  <c r="BP926" i="1"/>
  <c r="BO926" i="1"/>
  <c r="DO930" i="1"/>
  <c r="DG930" i="1"/>
  <c r="R930" i="1"/>
  <c r="Q930" i="1"/>
  <c r="DA930" i="1"/>
  <c r="V930" i="1"/>
  <c r="W930" i="1"/>
  <c r="CZ930" i="1"/>
  <c r="O930" i="1"/>
  <c r="CY930" i="1"/>
  <c r="BP930" i="1"/>
  <c r="BO930" i="1"/>
  <c r="DO938" i="1"/>
  <c r="DG938" i="1"/>
  <c r="R938" i="1"/>
  <c r="Q938" i="1"/>
  <c r="DA938" i="1"/>
  <c r="V938" i="1"/>
  <c r="W938" i="1"/>
  <c r="CZ938" i="1"/>
  <c r="O938" i="1"/>
  <c r="CY938" i="1"/>
  <c r="BP938" i="1"/>
  <c r="BO938" i="1"/>
  <c r="DO1404" i="1"/>
  <c r="R1404" i="1"/>
  <c r="Q1404" i="1"/>
  <c r="DA1404" i="1"/>
  <c r="W1404" i="1"/>
  <c r="CZ1404" i="1"/>
  <c r="O1404" i="1"/>
  <c r="BP1404" i="1"/>
  <c r="BO1404" i="1"/>
  <c r="DO1398" i="1"/>
  <c r="R1398" i="1"/>
  <c r="Q1398" i="1"/>
  <c r="DA1398" i="1"/>
  <c r="W1398" i="1"/>
  <c r="CZ1398" i="1"/>
  <c r="O1398" i="1"/>
  <c r="BP1398" i="1"/>
  <c r="BO1398" i="1"/>
  <c r="DO1367" i="1"/>
  <c r="R1367" i="1"/>
  <c r="Q1367" i="1"/>
  <c r="DA1367" i="1"/>
  <c r="W1367" i="1"/>
  <c r="CZ1367" i="1"/>
  <c r="O1367" i="1"/>
  <c r="BP1367" i="1"/>
  <c r="BO1367" i="1"/>
  <c r="DO1501" i="1"/>
  <c r="R1501" i="1"/>
  <c r="Q1501" i="1"/>
  <c r="DA1501" i="1"/>
  <c r="W1501" i="1"/>
  <c r="CZ1501" i="1"/>
  <c r="O1501" i="1"/>
  <c r="BP1501" i="1"/>
  <c r="BO1501" i="1"/>
  <c r="DO1254" i="1"/>
  <c r="R1254" i="1"/>
  <c r="Q1254" i="1"/>
  <c r="DA1254" i="1"/>
  <c r="W1254" i="1"/>
  <c r="CZ1254" i="1"/>
  <c r="O1254" i="1"/>
  <c r="BP1254" i="1"/>
  <c r="BO1254" i="1"/>
  <c r="DO1196" i="1"/>
  <c r="R1196" i="1"/>
  <c r="Q1196" i="1"/>
  <c r="DA1196" i="1"/>
  <c r="W1196" i="1"/>
  <c r="CZ1196" i="1"/>
  <c r="O1196" i="1"/>
  <c r="BP1196" i="1"/>
  <c r="BO1196" i="1"/>
  <c r="DO1429" i="1"/>
  <c r="DG1429" i="1"/>
  <c r="R1429" i="1"/>
  <c r="Q1429" i="1"/>
  <c r="DA1429" i="1"/>
  <c r="V1429" i="1"/>
  <c r="W1429" i="1"/>
  <c r="CZ1429" i="1"/>
  <c r="O1429" i="1"/>
  <c r="CY1429" i="1"/>
  <c r="BP1429" i="1"/>
  <c r="BO1429" i="1"/>
  <c r="DO1162" i="1"/>
  <c r="DG1162" i="1"/>
  <c r="R1162" i="1"/>
  <c r="Q1162" i="1"/>
  <c r="DA1162" i="1"/>
  <c r="V1162" i="1"/>
  <c r="W1162" i="1"/>
  <c r="CZ1162" i="1"/>
  <c r="O1162" i="1"/>
  <c r="CY1162" i="1"/>
  <c r="BP1162" i="1"/>
  <c r="BO1162" i="1"/>
  <c r="DO588" i="1"/>
  <c r="R588" i="1"/>
  <c r="Q588" i="1"/>
  <c r="DA588" i="1"/>
  <c r="W588" i="1"/>
  <c r="CZ588" i="1"/>
  <c r="O588" i="1"/>
  <c r="BP588" i="1"/>
  <c r="BO588" i="1"/>
  <c r="DO1132" i="1"/>
  <c r="R1132" i="1"/>
  <c r="Q1132" i="1"/>
  <c r="DA1132" i="1"/>
  <c r="W1132" i="1"/>
  <c r="CZ1132" i="1"/>
  <c r="O1132" i="1"/>
  <c r="BP1132" i="1"/>
  <c r="BO1132" i="1"/>
  <c r="DO533" i="1"/>
  <c r="DG533" i="1"/>
  <c r="R533" i="1"/>
  <c r="Q533" i="1"/>
  <c r="DA533" i="1"/>
  <c r="V533" i="1"/>
  <c r="W533" i="1"/>
  <c r="CZ533" i="1"/>
  <c r="O533" i="1"/>
  <c r="CY533" i="1"/>
  <c r="BP533" i="1"/>
  <c r="BO533" i="1"/>
  <c r="DO1116" i="1"/>
  <c r="DG1116" i="1"/>
  <c r="R1116" i="1"/>
  <c r="Q1116" i="1"/>
  <c r="DA1116" i="1"/>
  <c r="V1116" i="1"/>
  <c r="W1116" i="1"/>
  <c r="CZ1116" i="1"/>
  <c r="O1116" i="1"/>
  <c r="CY1116" i="1"/>
  <c r="BP1116" i="1"/>
  <c r="BO1116" i="1"/>
  <c r="DO534" i="1"/>
  <c r="DG534" i="1"/>
  <c r="R534" i="1"/>
  <c r="Q534" i="1"/>
  <c r="DA534" i="1"/>
  <c r="V534" i="1"/>
  <c r="W534" i="1"/>
  <c r="CZ534" i="1"/>
  <c r="O534" i="1"/>
  <c r="CY534" i="1"/>
  <c r="BP534" i="1"/>
  <c r="BO534" i="1"/>
  <c r="DO380" i="1"/>
  <c r="DG380" i="1"/>
  <c r="R380" i="1"/>
  <c r="Q380" i="1"/>
  <c r="DA380" i="1"/>
  <c r="V380" i="1"/>
  <c r="W380" i="1"/>
  <c r="CZ380" i="1"/>
  <c r="O380" i="1"/>
  <c r="CY380" i="1"/>
  <c r="BP380" i="1"/>
  <c r="BO380" i="1"/>
  <c r="DO584" i="1"/>
  <c r="DG584" i="1"/>
  <c r="R584" i="1"/>
  <c r="Q584" i="1"/>
  <c r="DA584" i="1"/>
  <c r="V584" i="1"/>
  <c r="W584" i="1"/>
  <c r="CZ584" i="1"/>
  <c r="O584" i="1"/>
  <c r="CY584" i="1"/>
  <c r="BP584" i="1"/>
  <c r="BO584" i="1"/>
  <c r="DO519" i="1"/>
  <c r="DG519" i="1"/>
  <c r="R519" i="1"/>
  <c r="Q519" i="1"/>
  <c r="DA519" i="1"/>
  <c r="V519" i="1"/>
  <c r="W519" i="1"/>
  <c r="CZ519" i="1"/>
  <c r="O519" i="1"/>
  <c r="CY519" i="1"/>
  <c r="BP519" i="1"/>
  <c r="BO519" i="1"/>
  <c r="DO427" i="1"/>
  <c r="DG427" i="1"/>
  <c r="R427" i="1"/>
  <c r="Q427" i="1"/>
  <c r="DA427" i="1"/>
  <c r="V427" i="1"/>
  <c r="W427" i="1"/>
  <c r="CZ427" i="1"/>
  <c r="O427" i="1"/>
  <c r="CY427" i="1"/>
  <c r="BP427" i="1"/>
  <c r="BO427" i="1"/>
  <c r="DO574" i="1"/>
  <c r="DG574" i="1"/>
  <c r="R574" i="1"/>
  <c r="Q574" i="1"/>
  <c r="DA574" i="1"/>
  <c r="V574" i="1"/>
  <c r="W574" i="1"/>
  <c r="CZ574" i="1"/>
  <c r="O574" i="1"/>
  <c r="CY574" i="1"/>
  <c r="BP574" i="1"/>
  <c r="BO574" i="1"/>
  <c r="DO493" i="1"/>
  <c r="R493" i="1"/>
  <c r="Q493" i="1"/>
  <c r="DA493" i="1"/>
  <c r="W493" i="1"/>
  <c r="CZ493" i="1"/>
  <c r="O493" i="1"/>
  <c r="BP493" i="1"/>
  <c r="BO493" i="1"/>
  <c r="DO365" i="1"/>
  <c r="DG365" i="1"/>
  <c r="R365" i="1"/>
  <c r="Q365" i="1"/>
  <c r="DA365" i="1"/>
  <c r="V365" i="1"/>
  <c r="W365" i="1"/>
  <c r="CZ365" i="1"/>
  <c r="O365" i="1"/>
  <c r="CY365" i="1"/>
  <c r="BP365" i="1"/>
  <c r="BO365" i="1"/>
  <c r="DG363" i="1"/>
  <c r="R363" i="1"/>
  <c r="Q363" i="1"/>
  <c r="DA363" i="1"/>
  <c r="V363" i="1"/>
  <c r="W363" i="1"/>
  <c r="CZ363" i="1"/>
  <c r="O363" i="1"/>
  <c r="CY363" i="1"/>
  <c r="BP363" i="1"/>
  <c r="DO353" i="1"/>
  <c r="R353" i="1"/>
  <c r="Q353" i="1"/>
  <c r="DA353" i="1"/>
  <c r="W353" i="1"/>
  <c r="CZ353" i="1"/>
  <c r="O353" i="1"/>
  <c r="BP353" i="1"/>
  <c r="BO353" i="1"/>
  <c r="DO1340" i="1"/>
  <c r="DG1340" i="1"/>
  <c r="R1340" i="1"/>
  <c r="Q1340" i="1"/>
  <c r="DA1340" i="1"/>
  <c r="V1340" i="1"/>
  <c r="W1340" i="1"/>
  <c r="CZ1340" i="1"/>
  <c r="O1340" i="1"/>
  <c r="CY1340" i="1"/>
  <c r="BP1340" i="1"/>
  <c r="BO1340" i="1"/>
  <c r="DO1439" i="1"/>
  <c r="DG1439" i="1"/>
  <c r="R1439" i="1"/>
  <c r="Q1439" i="1"/>
  <c r="DA1439" i="1"/>
  <c r="V1439" i="1"/>
  <c r="W1439" i="1"/>
  <c r="CZ1439" i="1"/>
  <c r="O1439" i="1"/>
  <c r="CY1439" i="1"/>
  <c r="BP1439" i="1"/>
  <c r="BO1439" i="1"/>
  <c r="DO501" i="1"/>
  <c r="DG501" i="1"/>
  <c r="R501" i="1"/>
  <c r="Q501" i="1"/>
  <c r="DA501" i="1"/>
  <c r="V501" i="1"/>
  <c r="W501" i="1"/>
  <c r="CZ501" i="1"/>
  <c r="O501" i="1"/>
  <c r="CY501" i="1"/>
  <c r="BP501" i="1"/>
  <c r="BO501" i="1"/>
  <c r="DO1446" i="1"/>
  <c r="DG1446" i="1"/>
  <c r="R1446" i="1"/>
  <c r="Q1446" i="1"/>
  <c r="DA1446" i="1"/>
  <c r="V1446" i="1"/>
  <c r="W1446" i="1"/>
  <c r="CZ1446" i="1"/>
  <c r="O1446" i="1"/>
  <c r="CY1446" i="1"/>
  <c r="BP1446" i="1"/>
  <c r="BO1446" i="1"/>
  <c r="DO562" i="1"/>
  <c r="DG562" i="1"/>
  <c r="R562" i="1"/>
  <c r="Q562" i="1"/>
  <c r="DA562" i="1"/>
  <c r="V562" i="1"/>
  <c r="W562" i="1"/>
  <c r="CZ562" i="1"/>
  <c r="O562" i="1"/>
  <c r="CY562" i="1"/>
  <c r="BP562" i="1"/>
  <c r="BO562" i="1"/>
  <c r="DO1453" i="1"/>
  <c r="DG1453" i="1"/>
  <c r="R1453" i="1"/>
  <c r="Q1453" i="1"/>
  <c r="DA1453" i="1"/>
  <c r="V1453" i="1"/>
  <c r="W1453" i="1"/>
  <c r="CZ1453" i="1"/>
  <c r="O1453" i="1"/>
  <c r="CY1453" i="1"/>
  <c r="BP1453" i="1"/>
  <c r="BO1453" i="1"/>
  <c r="DO1456" i="1"/>
  <c r="DG1456" i="1"/>
  <c r="R1456" i="1"/>
  <c r="Q1456" i="1"/>
  <c r="DA1456" i="1"/>
  <c r="V1456" i="1"/>
  <c r="W1456" i="1"/>
  <c r="CZ1456" i="1"/>
  <c r="O1456" i="1"/>
  <c r="CY1456" i="1"/>
  <c r="BP1456" i="1"/>
  <c r="BO1456" i="1"/>
  <c r="DO360" i="1"/>
  <c r="DG360" i="1"/>
  <c r="R360" i="1"/>
  <c r="Q360" i="1"/>
  <c r="DA360" i="1"/>
  <c r="V360" i="1"/>
  <c r="W360" i="1"/>
  <c r="CZ360" i="1"/>
  <c r="O360" i="1"/>
  <c r="CY360" i="1"/>
  <c r="BP360" i="1"/>
  <c r="BO360" i="1"/>
  <c r="DO460" i="1"/>
  <c r="R460" i="1"/>
  <c r="Q460" i="1"/>
  <c r="DA460" i="1"/>
  <c r="W460" i="1"/>
  <c r="CZ460" i="1"/>
  <c r="O460" i="1"/>
  <c r="BP460" i="1"/>
  <c r="BO460" i="1"/>
  <c r="DG1144" i="1"/>
  <c r="R1144" i="1"/>
  <c r="Q1144" i="1"/>
  <c r="DA1144" i="1"/>
  <c r="V1144" i="1"/>
  <c r="W1144" i="1"/>
  <c r="CZ1144" i="1"/>
  <c r="O1144" i="1"/>
  <c r="CY1144" i="1"/>
  <c r="BP1144" i="1"/>
  <c r="DO1121" i="1"/>
  <c r="DG1121" i="1"/>
  <c r="R1121" i="1"/>
  <c r="Q1121" i="1"/>
  <c r="DA1121" i="1"/>
  <c r="V1121" i="1"/>
  <c r="W1121" i="1"/>
  <c r="CZ1121" i="1"/>
  <c r="O1121" i="1"/>
  <c r="CY1121" i="1"/>
  <c r="BP1121" i="1"/>
  <c r="BO1121" i="1"/>
  <c r="DO349" i="1"/>
  <c r="DG349" i="1"/>
  <c r="R349" i="1"/>
  <c r="Q349" i="1"/>
  <c r="DA349" i="1"/>
  <c r="V349" i="1"/>
  <c r="W349" i="1"/>
  <c r="CZ349" i="1"/>
  <c r="O349" i="1"/>
  <c r="CY349" i="1"/>
  <c r="BP349" i="1"/>
  <c r="BO349" i="1"/>
  <c r="DO595" i="1"/>
  <c r="R595" i="1"/>
  <c r="Q595" i="1"/>
  <c r="DA595" i="1"/>
  <c r="W595" i="1"/>
  <c r="CZ595" i="1"/>
  <c r="O595" i="1"/>
  <c r="BP595" i="1"/>
  <c r="BO595" i="1"/>
  <c r="DO509" i="1"/>
  <c r="R509" i="1"/>
  <c r="Q509" i="1"/>
  <c r="DA509" i="1"/>
  <c r="W509" i="1"/>
  <c r="CZ509" i="1"/>
  <c r="O509" i="1"/>
  <c r="BP509" i="1"/>
  <c r="BO509" i="1"/>
  <c r="DO1127" i="1"/>
  <c r="DG1127" i="1"/>
  <c r="R1127" i="1"/>
  <c r="Q1127" i="1"/>
  <c r="DA1127" i="1"/>
  <c r="V1127" i="1"/>
  <c r="W1127" i="1"/>
  <c r="CZ1127" i="1"/>
  <c r="O1127" i="1"/>
  <c r="CY1127" i="1"/>
  <c r="BP1127" i="1"/>
  <c r="BO1127" i="1"/>
  <c r="DO343" i="1"/>
  <c r="DG343" i="1"/>
  <c r="R343" i="1"/>
  <c r="Q343" i="1"/>
  <c r="DA343" i="1"/>
  <c r="V343" i="1"/>
  <c r="W343" i="1"/>
  <c r="CZ343" i="1"/>
  <c r="O343" i="1"/>
  <c r="CY343" i="1"/>
  <c r="BP343" i="1"/>
  <c r="BO343" i="1"/>
  <c r="DG1143" i="1"/>
  <c r="R1143" i="1"/>
  <c r="Q1143" i="1"/>
  <c r="DA1143" i="1"/>
  <c r="V1143" i="1"/>
  <c r="W1143" i="1"/>
  <c r="CZ1143" i="1"/>
  <c r="O1143" i="1"/>
  <c r="CY1143" i="1"/>
  <c r="BP1143" i="1"/>
  <c r="DO422" i="1"/>
  <c r="DG422" i="1"/>
  <c r="R422" i="1"/>
  <c r="Q422" i="1"/>
  <c r="DA422" i="1"/>
  <c r="V422" i="1"/>
  <c r="W422" i="1"/>
  <c r="CZ422" i="1"/>
  <c r="O422" i="1"/>
  <c r="CY422" i="1"/>
  <c r="BP422" i="1"/>
  <c r="BO422" i="1"/>
  <c r="DO1146" i="1"/>
  <c r="R1146" i="1"/>
  <c r="Q1146" i="1"/>
  <c r="DA1146" i="1"/>
  <c r="W1146" i="1"/>
  <c r="CZ1146" i="1"/>
  <c r="O1146" i="1"/>
  <c r="BP1146" i="1"/>
  <c r="BO1146" i="1"/>
  <c r="DO573" i="1"/>
  <c r="R573" i="1"/>
  <c r="Q573" i="1"/>
  <c r="DA573" i="1"/>
  <c r="W573" i="1"/>
  <c r="CZ573" i="1"/>
  <c r="O573" i="1"/>
  <c r="BP573" i="1"/>
  <c r="BO573" i="1"/>
  <c r="DO446" i="1"/>
  <c r="R446" i="1"/>
  <c r="Q446" i="1"/>
  <c r="DA446" i="1"/>
  <c r="W446" i="1"/>
  <c r="CZ446" i="1"/>
  <c r="O446" i="1"/>
  <c r="BP446" i="1"/>
  <c r="BO446" i="1"/>
  <c r="DO1380" i="1"/>
  <c r="DG1380" i="1"/>
  <c r="R1380" i="1"/>
  <c r="Q1380" i="1"/>
  <c r="DA1380" i="1"/>
  <c r="V1380" i="1"/>
  <c r="W1380" i="1"/>
  <c r="CZ1380" i="1"/>
  <c r="O1380" i="1"/>
  <c r="CY1380" i="1"/>
  <c r="BP1380" i="1"/>
  <c r="BO1380" i="1"/>
  <c r="DO1145" i="1"/>
  <c r="R1145" i="1"/>
  <c r="Q1145" i="1"/>
  <c r="DA1145" i="1"/>
  <c r="W1145" i="1"/>
  <c r="CZ1145" i="1"/>
  <c r="O1145" i="1"/>
  <c r="BP1145" i="1"/>
  <c r="BO1145" i="1"/>
  <c r="DG1115" i="1"/>
  <c r="R1115" i="1"/>
  <c r="Q1115" i="1"/>
  <c r="DA1115" i="1"/>
  <c r="V1115" i="1"/>
  <c r="W1115" i="1"/>
  <c r="CZ1115" i="1"/>
  <c r="O1115" i="1"/>
  <c r="CY1115" i="1"/>
  <c r="BP1115" i="1"/>
  <c r="DO1126" i="1"/>
  <c r="R1126" i="1"/>
  <c r="Q1126" i="1"/>
  <c r="DA1126" i="1"/>
  <c r="W1126" i="1"/>
  <c r="CZ1126" i="1"/>
  <c r="O1126" i="1"/>
  <c r="BP1126" i="1"/>
  <c r="BO1126" i="1"/>
  <c r="DO542" i="1"/>
  <c r="R542" i="1"/>
  <c r="Q542" i="1"/>
  <c r="DA542" i="1"/>
  <c r="W542" i="1"/>
  <c r="CZ542" i="1"/>
  <c r="O542" i="1"/>
  <c r="BP542" i="1"/>
  <c r="BO542" i="1"/>
  <c r="DO544" i="1"/>
  <c r="R544" i="1"/>
  <c r="Q544" i="1"/>
  <c r="DA544" i="1"/>
  <c r="W544" i="1"/>
  <c r="CZ544" i="1"/>
  <c r="O544" i="1"/>
  <c r="BP544" i="1"/>
  <c r="BO544" i="1"/>
  <c r="DO575" i="1"/>
  <c r="R575" i="1"/>
  <c r="Q575" i="1"/>
  <c r="DA575" i="1"/>
  <c r="W575" i="1"/>
  <c r="CZ575" i="1"/>
  <c r="O575" i="1"/>
  <c r="BP575" i="1"/>
  <c r="BO575" i="1"/>
  <c r="DO432" i="1"/>
  <c r="R432" i="1"/>
  <c r="Q432" i="1"/>
  <c r="DA432" i="1"/>
  <c r="W432" i="1"/>
  <c r="CZ432" i="1"/>
  <c r="O432" i="1"/>
  <c r="BP432" i="1"/>
  <c r="BO432" i="1"/>
  <c r="DG1128" i="1"/>
  <c r="R1128" i="1"/>
  <c r="Q1128" i="1"/>
  <c r="DA1128" i="1"/>
  <c r="V1128" i="1"/>
  <c r="W1128" i="1"/>
  <c r="CZ1128" i="1"/>
  <c r="O1128" i="1"/>
  <c r="CY1128" i="1"/>
  <c r="BP1128" i="1"/>
  <c r="DO414" i="1"/>
  <c r="DG414" i="1"/>
  <c r="R414" i="1"/>
  <c r="Q414" i="1"/>
  <c r="DA414" i="1"/>
  <c r="V414" i="1"/>
  <c r="W414" i="1"/>
  <c r="CZ414" i="1"/>
  <c r="O414" i="1"/>
  <c r="CY414" i="1"/>
  <c r="BP414" i="1"/>
  <c r="BO414" i="1"/>
  <c r="DO1129" i="1"/>
  <c r="DG1129" i="1"/>
  <c r="R1129" i="1"/>
  <c r="Q1129" i="1"/>
  <c r="DA1129" i="1"/>
  <c r="V1129" i="1"/>
  <c r="W1129" i="1"/>
  <c r="CZ1129" i="1"/>
  <c r="O1129" i="1"/>
  <c r="CY1129" i="1"/>
  <c r="BP1129" i="1"/>
  <c r="BO1129" i="1"/>
  <c r="DO1125" i="1"/>
  <c r="R1125" i="1"/>
  <c r="Q1125" i="1"/>
  <c r="DA1125" i="1"/>
  <c r="W1125" i="1"/>
  <c r="CZ1125" i="1"/>
  <c r="O1125" i="1"/>
  <c r="BP1125" i="1"/>
  <c r="BO1125" i="1"/>
  <c r="DO554" i="1"/>
  <c r="R554" i="1"/>
  <c r="Q554" i="1"/>
  <c r="DA554" i="1"/>
  <c r="W554" i="1"/>
  <c r="CZ554" i="1"/>
  <c r="O554" i="1"/>
  <c r="BP554" i="1"/>
  <c r="BO554" i="1"/>
  <c r="DO1207" i="1"/>
  <c r="DG1207" i="1"/>
  <c r="R1207" i="1"/>
  <c r="Q1207" i="1"/>
  <c r="DA1207" i="1"/>
  <c r="V1207" i="1"/>
  <c r="W1207" i="1"/>
  <c r="CZ1207" i="1"/>
  <c r="O1207" i="1"/>
  <c r="CY1207" i="1"/>
  <c r="BP1207" i="1"/>
  <c r="BO1207" i="1"/>
  <c r="DO440" i="1"/>
  <c r="R440" i="1"/>
  <c r="Q440" i="1"/>
  <c r="DA440" i="1"/>
  <c r="W440" i="1"/>
  <c r="CZ440" i="1"/>
  <c r="O440" i="1"/>
  <c r="BP440" i="1"/>
  <c r="BO440" i="1"/>
  <c r="DO581" i="1"/>
  <c r="R581" i="1"/>
  <c r="Q581" i="1"/>
  <c r="DA581" i="1"/>
  <c r="W581" i="1"/>
  <c r="CZ581" i="1"/>
  <c r="O581" i="1"/>
  <c r="BP581" i="1"/>
  <c r="BO581" i="1"/>
  <c r="DO1472" i="1"/>
  <c r="R1472" i="1"/>
  <c r="Q1472" i="1"/>
  <c r="DA1472" i="1"/>
  <c r="W1472" i="1"/>
  <c r="CZ1472" i="1"/>
  <c r="O1472" i="1"/>
  <c r="BP1472" i="1"/>
  <c r="BO1472" i="1"/>
  <c r="DO1130" i="1"/>
  <c r="DG1130" i="1"/>
  <c r="R1130" i="1"/>
  <c r="Q1130" i="1"/>
  <c r="DA1130" i="1"/>
  <c r="V1130" i="1"/>
  <c r="W1130" i="1"/>
  <c r="CZ1130" i="1"/>
  <c r="O1130" i="1"/>
  <c r="CY1130" i="1"/>
  <c r="BP1130" i="1"/>
  <c r="BO1130" i="1"/>
  <c r="DO398" i="1"/>
  <c r="DG398" i="1"/>
  <c r="R398" i="1"/>
  <c r="Q398" i="1"/>
  <c r="DA398" i="1"/>
  <c r="V398" i="1"/>
  <c r="W398" i="1"/>
  <c r="CZ398" i="1"/>
  <c r="O398" i="1"/>
  <c r="CY398" i="1"/>
  <c r="BP398" i="1"/>
  <c r="BO398" i="1"/>
  <c r="DO1131" i="1"/>
  <c r="DG1131" i="1"/>
  <c r="R1131" i="1"/>
  <c r="Q1131" i="1"/>
  <c r="DA1131" i="1"/>
  <c r="V1131" i="1"/>
  <c r="W1131" i="1"/>
  <c r="CZ1131" i="1"/>
  <c r="O1131" i="1"/>
  <c r="CY1131" i="1"/>
  <c r="BP1131" i="1"/>
  <c r="BO1131" i="1"/>
  <c r="DO1133" i="1"/>
  <c r="DG1133" i="1"/>
  <c r="R1133" i="1"/>
  <c r="Q1133" i="1"/>
  <c r="DA1133" i="1"/>
  <c r="V1133" i="1"/>
  <c r="W1133" i="1"/>
  <c r="CZ1133" i="1"/>
  <c r="O1133" i="1"/>
  <c r="CY1133" i="1"/>
  <c r="BP1133" i="1"/>
  <c r="BO1133" i="1"/>
  <c r="DO1194" i="1"/>
  <c r="DG1194" i="1"/>
  <c r="R1194" i="1"/>
  <c r="Q1194" i="1"/>
  <c r="DA1194" i="1"/>
  <c r="V1194" i="1"/>
  <c r="W1194" i="1"/>
  <c r="CZ1194" i="1"/>
  <c r="O1194" i="1"/>
  <c r="CY1194" i="1"/>
  <c r="BP1194" i="1"/>
  <c r="BO1194" i="1"/>
  <c r="DG1134" i="1"/>
  <c r="R1134" i="1"/>
  <c r="Q1134" i="1"/>
  <c r="DA1134" i="1"/>
  <c r="V1134" i="1"/>
  <c r="W1134" i="1"/>
  <c r="CZ1134" i="1"/>
  <c r="O1134" i="1"/>
  <c r="CY1134" i="1"/>
  <c r="BP1134" i="1"/>
  <c r="DO454" i="1"/>
  <c r="DG454" i="1"/>
  <c r="R454" i="1"/>
  <c r="Q454" i="1"/>
  <c r="DA454" i="1"/>
  <c r="V454" i="1"/>
  <c r="W454" i="1"/>
  <c r="CZ454" i="1"/>
  <c r="O454" i="1"/>
  <c r="CY454" i="1"/>
  <c r="BP454" i="1"/>
  <c r="BO454" i="1"/>
  <c r="DO1141" i="1"/>
  <c r="DG1141" i="1"/>
  <c r="R1141" i="1"/>
  <c r="Q1141" i="1"/>
  <c r="DA1141" i="1"/>
  <c r="V1141" i="1"/>
  <c r="W1141" i="1"/>
  <c r="CZ1141" i="1"/>
  <c r="O1141" i="1"/>
  <c r="CY1141" i="1"/>
  <c r="BP1141" i="1"/>
  <c r="BO1141" i="1"/>
  <c r="DO590" i="1"/>
  <c r="R590" i="1"/>
  <c r="Q590" i="1"/>
  <c r="DA590" i="1"/>
  <c r="W590" i="1"/>
  <c r="CZ590" i="1"/>
  <c r="O590" i="1"/>
  <c r="BP590" i="1"/>
  <c r="BO590" i="1"/>
  <c r="DO480" i="1"/>
  <c r="R480" i="1"/>
  <c r="Q480" i="1"/>
  <c r="DA480" i="1"/>
  <c r="W480" i="1"/>
  <c r="CZ480" i="1"/>
  <c r="O480" i="1"/>
  <c r="BP480" i="1"/>
  <c r="BO480" i="1"/>
  <c r="DO391" i="1"/>
  <c r="DG391" i="1"/>
  <c r="R391" i="1"/>
  <c r="Q391" i="1"/>
  <c r="DA391" i="1"/>
  <c r="V391" i="1"/>
  <c r="W391" i="1"/>
  <c r="CZ391" i="1"/>
  <c r="O391" i="1"/>
  <c r="CY391" i="1"/>
  <c r="BP391" i="1"/>
  <c r="BO391" i="1"/>
  <c r="DO471" i="1"/>
  <c r="R471" i="1"/>
  <c r="Q471" i="1"/>
  <c r="DA471" i="1"/>
  <c r="W471" i="1"/>
  <c r="CZ471" i="1"/>
  <c r="O471" i="1"/>
  <c r="BP471" i="1"/>
  <c r="BO471" i="1"/>
  <c r="DO1147" i="1"/>
  <c r="DG1147" i="1"/>
  <c r="R1147" i="1"/>
  <c r="Q1147" i="1"/>
  <c r="DA1147" i="1"/>
  <c r="V1147" i="1"/>
  <c r="W1147" i="1"/>
  <c r="CZ1147" i="1"/>
  <c r="O1147" i="1"/>
  <c r="CY1147" i="1"/>
  <c r="BP1147" i="1"/>
  <c r="BO1147" i="1"/>
  <c r="DO385" i="1"/>
  <c r="DG385" i="1"/>
  <c r="R385" i="1"/>
  <c r="Q385" i="1"/>
  <c r="DA385" i="1"/>
  <c r="V385" i="1"/>
  <c r="W385" i="1"/>
  <c r="CZ385" i="1"/>
  <c r="O385" i="1"/>
  <c r="CY385" i="1"/>
  <c r="BP385" i="1"/>
  <c r="BO385" i="1"/>
  <c r="DO405" i="1"/>
  <c r="R405" i="1"/>
  <c r="Q405" i="1"/>
  <c r="DA405" i="1"/>
  <c r="W405" i="1"/>
  <c r="CZ405" i="1"/>
  <c r="O405" i="1"/>
  <c r="BP405" i="1"/>
  <c r="BO405" i="1"/>
  <c r="DO1164" i="1"/>
  <c r="DG1164" i="1"/>
  <c r="R1164" i="1"/>
  <c r="Q1164" i="1"/>
  <c r="DA1164" i="1"/>
  <c r="V1164" i="1"/>
  <c r="W1164" i="1"/>
  <c r="CZ1164" i="1"/>
  <c r="O1164" i="1"/>
  <c r="CY1164" i="1"/>
  <c r="BP1164" i="1"/>
  <c r="BO1164" i="1"/>
  <c r="DO326" i="1"/>
  <c r="DG326" i="1"/>
  <c r="R326" i="1"/>
  <c r="Q326" i="1"/>
  <c r="DA326" i="1"/>
  <c r="V326" i="1"/>
  <c r="W326" i="1"/>
  <c r="CZ326" i="1"/>
  <c r="O326" i="1"/>
  <c r="CY326" i="1"/>
  <c r="BP326" i="1"/>
  <c r="BO326" i="1"/>
  <c r="DO449" i="1"/>
  <c r="DG449" i="1"/>
  <c r="R449" i="1"/>
  <c r="Q449" i="1"/>
  <c r="DA449" i="1"/>
  <c r="V449" i="1"/>
  <c r="W449" i="1"/>
  <c r="CZ449" i="1"/>
  <c r="O449" i="1"/>
  <c r="CY449" i="1"/>
  <c r="BP449" i="1"/>
  <c r="BO449" i="1"/>
  <c r="DO516" i="1"/>
  <c r="DG516" i="1"/>
  <c r="R516" i="1"/>
  <c r="Q516" i="1"/>
  <c r="DA516" i="1"/>
  <c r="V516" i="1"/>
  <c r="W516" i="1"/>
  <c r="CZ516" i="1"/>
  <c r="O516" i="1"/>
  <c r="CY516" i="1"/>
  <c r="BP516" i="1"/>
  <c r="BO516" i="1"/>
  <c r="DO508" i="1"/>
  <c r="DG508" i="1"/>
  <c r="R508" i="1"/>
  <c r="Q508" i="1"/>
  <c r="DA508" i="1"/>
  <c r="V508" i="1"/>
  <c r="W508" i="1"/>
  <c r="CZ508" i="1"/>
  <c r="O508" i="1"/>
  <c r="CY508" i="1"/>
  <c r="BP508" i="1"/>
  <c r="BO508" i="1"/>
  <c r="DO507" i="1"/>
  <c r="DG507" i="1"/>
  <c r="R507" i="1"/>
  <c r="Q507" i="1"/>
  <c r="DA507" i="1"/>
  <c r="V507" i="1"/>
  <c r="W507" i="1"/>
  <c r="CZ507" i="1"/>
  <c r="O507" i="1"/>
  <c r="CY507" i="1"/>
  <c r="BP507" i="1"/>
  <c r="BO507" i="1"/>
  <c r="DO500" i="1"/>
  <c r="DG500" i="1"/>
  <c r="R500" i="1"/>
  <c r="Q500" i="1"/>
  <c r="DA500" i="1"/>
  <c r="V500" i="1"/>
  <c r="W500" i="1"/>
  <c r="CZ500" i="1"/>
  <c r="O500" i="1"/>
  <c r="CY500" i="1"/>
  <c r="BP500" i="1"/>
  <c r="BO500" i="1"/>
  <c r="DG488" i="1"/>
  <c r="R488" i="1"/>
  <c r="Q488" i="1"/>
  <c r="DA488" i="1"/>
  <c r="V488" i="1"/>
  <c r="W488" i="1"/>
  <c r="CZ488" i="1"/>
  <c r="O488" i="1"/>
  <c r="CY488" i="1"/>
  <c r="BP488" i="1"/>
  <c r="DO517" i="1"/>
  <c r="R517" i="1"/>
  <c r="Q517" i="1"/>
  <c r="DA517" i="1"/>
  <c r="W517" i="1"/>
  <c r="CZ517" i="1"/>
  <c r="O517" i="1"/>
  <c r="BP517" i="1"/>
  <c r="BO517" i="1"/>
  <c r="DG485" i="1"/>
  <c r="R485" i="1"/>
  <c r="Q485" i="1"/>
  <c r="DA485" i="1"/>
  <c r="V485" i="1"/>
  <c r="W485" i="1"/>
  <c r="CZ485" i="1"/>
  <c r="O485" i="1"/>
  <c r="CY485" i="1"/>
  <c r="BP485" i="1"/>
  <c r="DG467" i="1"/>
  <c r="R467" i="1"/>
  <c r="Q467" i="1"/>
  <c r="DA467" i="1"/>
  <c r="V467" i="1"/>
  <c r="W467" i="1"/>
  <c r="CZ467" i="1"/>
  <c r="O467" i="1"/>
  <c r="CY467" i="1"/>
  <c r="BP467" i="1"/>
  <c r="DO453" i="1"/>
  <c r="DG453" i="1"/>
  <c r="R453" i="1"/>
  <c r="Q453" i="1"/>
  <c r="DA453" i="1"/>
  <c r="V453" i="1"/>
  <c r="W453" i="1"/>
  <c r="CZ453" i="1"/>
  <c r="O453" i="1"/>
  <c r="CY453" i="1"/>
  <c r="BP453" i="1"/>
  <c r="BO453" i="1"/>
  <c r="DO324" i="1"/>
  <c r="R324" i="1"/>
  <c r="Q324" i="1"/>
  <c r="DA324" i="1"/>
  <c r="W324" i="1"/>
  <c r="CZ324" i="1"/>
  <c r="O324" i="1"/>
  <c r="BP324" i="1"/>
  <c r="BO324" i="1"/>
  <c r="DO439" i="1"/>
  <c r="DG439" i="1"/>
  <c r="R439" i="1"/>
  <c r="Q439" i="1"/>
  <c r="DA439" i="1"/>
  <c r="V439" i="1"/>
  <c r="W439" i="1"/>
  <c r="CZ439" i="1"/>
  <c r="O439" i="1"/>
  <c r="CY439" i="1"/>
  <c r="BP439" i="1"/>
  <c r="BO439" i="1"/>
  <c r="DO431" i="1"/>
  <c r="DG431" i="1"/>
  <c r="R431" i="1"/>
  <c r="Q431" i="1"/>
  <c r="DA431" i="1"/>
  <c r="V431" i="1"/>
  <c r="W431" i="1"/>
  <c r="CZ431" i="1"/>
  <c r="O431" i="1"/>
  <c r="CY431" i="1"/>
  <c r="BP431" i="1"/>
  <c r="BO431" i="1"/>
  <c r="DO426" i="1"/>
  <c r="DG426" i="1"/>
  <c r="R426" i="1"/>
  <c r="Q426" i="1"/>
  <c r="DA426" i="1"/>
  <c r="V426" i="1"/>
  <c r="W426" i="1"/>
  <c r="CZ426" i="1"/>
  <c r="O426" i="1"/>
  <c r="CY426" i="1"/>
  <c r="BP426" i="1"/>
  <c r="BO426" i="1"/>
  <c r="DO331" i="1"/>
  <c r="R331" i="1"/>
  <c r="Q331" i="1"/>
  <c r="DA331" i="1"/>
  <c r="W331" i="1"/>
  <c r="CZ331" i="1"/>
  <c r="O331" i="1"/>
  <c r="BP331" i="1"/>
  <c r="BO331" i="1"/>
  <c r="DO1049" i="1"/>
  <c r="DG1049" i="1"/>
  <c r="R1049" i="1"/>
  <c r="Q1049" i="1"/>
  <c r="DA1049" i="1"/>
  <c r="V1049" i="1"/>
  <c r="W1049" i="1"/>
  <c r="CZ1049" i="1"/>
  <c r="O1049" i="1"/>
  <c r="CY1049" i="1"/>
  <c r="BP1049" i="1"/>
  <c r="BO1049" i="1"/>
  <c r="DO425" i="1"/>
  <c r="DG425" i="1"/>
  <c r="R425" i="1"/>
  <c r="Q425" i="1"/>
  <c r="DA425" i="1"/>
  <c r="V425" i="1"/>
  <c r="W425" i="1"/>
  <c r="CZ425" i="1"/>
  <c r="O425" i="1"/>
  <c r="CY425" i="1"/>
  <c r="BP425" i="1"/>
  <c r="BO425" i="1"/>
  <c r="DO373" i="1"/>
  <c r="R373" i="1"/>
  <c r="Q373" i="1"/>
  <c r="DA373" i="1"/>
  <c r="W373" i="1"/>
  <c r="CZ373" i="1"/>
  <c r="O373" i="1"/>
  <c r="BP373" i="1"/>
  <c r="BO373" i="1"/>
  <c r="DO489" i="1"/>
  <c r="R489" i="1"/>
  <c r="Q489" i="1"/>
  <c r="DA489" i="1"/>
  <c r="W489" i="1"/>
  <c r="CZ489" i="1"/>
  <c r="O489" i="1"/>
  <c r="BP489" i="1"/>
  <c r="BO489" i="1"/>
  <c r="DO421" i="1"/>
  <c r="DG421" i="1"/>
  <c r="R421" i="1"/>
  <c r="Q421" i="1"/>
  <c r="DA421" i="1"/>
  <c r="V421" i="1"/>
  <c r="W421" i="1"/>
  <c r="CZ421" i="1"/>
  <c r="O421" i="1"/>
  <c r="CY421" i="1"/>
  <c r="BP421" i="1"/>
  <c r="BO421" i="1"/>
  <c r="DO418" i="1"/>
  <c r="DG418" i="1"/>
  <c r="R418" i="1"/>
  <c r="Q418" i="1"/>
  <c r="DA418" i="1"/>
  <c r="V418" i="1"/>
  <c r="W418" i="1"/>
  <c r="CZ418" i="1"/>
  <c r="O418" i="1"/>
  <c r="CY418" i="1"/>
  <c r="BP418" i="1"/>
  <c r="BO418" i="1"/>
  <c r="DG417" i="1"/>
  <c r="R417" i="1"/>
  <c r="Q417" i="1"/>
  <c r="DA417" i="1"/>
  <c r="V417" i="1"/>
  <c r="W417" i="1"/>
  <c r="CZ417" i="1"/>
  <c r="O417" i="1"/>
  <c r="CY417" i="1"/>
  <c r="BP417" i="1"/>
  <c r="DO490" i="1"/>
  <c r="R490" i="1"/>
  <c r="Q490" i="1"/>
  <c r="DA490" i="1"/>
  <c r="W490" i="1"/>
  <c r="CZ490" i="1"/>
  <c r="O490" i="1"/>
  <c r="BP490" i="1"/>
  <c r="BO490" i="1"/>
  <c r="DO415" i="1"/>
  <c r="DG415" i="1"/>
  <c r="R415" i="1"/>
  <c r="Q415" i="1"/>
  <c r="DA415" i="1"/>
  <c r="V415" i="1"/>
  <c r="W415" i="1"/>
  <c r="CZ415" i="1"/>
  <c r="O415" i="1"/>
  <c r="CY415" i="1"/>
  <c r="BP415" i="1"/>
  <c r="BO415" i="1"/>
  <c r="DO412" i="1"/>
  <c r="DG412" i="1"/>
  <c r="R412" i="1"/>
  <c r="Q412" i="1"/>
  <c r="DA412" i="1"/>
  <c r="V412" i="1"/>
  <c r="W412" i="1"/>
  <c r="CZ412" i="1"/>
  <c r="O412" i="1"/>
  <c r="CY412" i="1"/>
  <c r="BP412" i="1"/>
  <c r="BO412" i="1"/>
  <c r="DO403" i="1"/>
  <c r="DG403" i="1"/>
  <c r="R403" i="1"/>
  <c r="Q403" i="1"/>
  <c r="DA403" i="1"/>
  <c r="V403" i="1"/>
  <c r="W403" i="1"/>
  <c r="CZ403" i="1"/>
  <c r="O403" i="1"/>
  <c r="CY403" i="1"/>
  <c r="BP403" i="1"/>
  <c r="BO403" i="1"/>
  <c r="DO401" i="1"/>
  <c r="DG401" i="1"/>
  <c r="R401" i="1"/>
  <c r="Q401" i="1"/>
  <c r="DA401" i="1"/>
  <c r="V401" i="1"/>
  <c r="W401" i="1"/>
  <c r="CZ401" i="1"/>
  <c r="O401" i="1"/>
  <c r="CY401" i="1"/>
  <c r="BP401" i="1"/>
  <c r="BO401" i="1"/>
  <c r="DO397" i="1"/>
  <c r="DG397" i="1"/>
  <c r="R397" i="1"/>
  <c r="Q397" i="1"/>
  <c r="DA397" i="1"/>
  <c r="V397" i="1"/>
  <c r="W397" i="1"/>
  <c r="CZ397" i="1"/>
  <c r="O397" i="1"/>
  <c r="CY397" i="1"/>
  <c r="BP397" i="1"/>
  <c r="BO397" i="1"/>
  <c r="DO396" i="1"/>
  <c r="DG396" i="1"/>
  <c r="R396" i="1"/>
  <c r="Q396" i="1"/>
  <c r="DA396" i="1"/>
  <c r="V396" i="1"/>
  <c r="W396" i="1"/>
  <c r="CZ396" i="1"/>
  <c r="O396" i="1"/>
  <c r="CY396" i="1"/>
  <c r="BP396" i="1"/>
  <c r="BO396" i="1"/>
  <c r="DO390" i="1"/>
  <c r="DG390" i="1"/>
  <c r="R390" i="1"/>
  <c r="Q390" i="1"/>
  <c r="DA390" i="1"/>
  <c r="V390" i="1"/>
  <c r="W390" i="1"/>
  <c r="CZ390" i="1"/>
  <c r="O390" i="1"/>
  <c r="CY390" i="1"/>
  <c r="BP390" i="1"/>
  <c r="BO390" i="1"/>
  <c r="DG1027" i="1"/>
  <c r="R1027" i="1"/>
  <c r="Q1027" i="1"/>
  <c r="DA1027" i="1"/>
  <c r="V1027" i="1"/>
  <c r="W1027" i="1"/>
  <c r="CZ1027" i="1"/>
  <c r="O1027" i="1"/>
  <c r="CY1027" i="1"/>
  <c r="BP1027" i="1"/>
  <c r="BO1027" i="1"/>
  <c r="DO1465" i="1"/>
  <c r="R1465" i="1"/>
  <c r="Q1465" i="1"/>
  <c r="DA1465" i="1"/>
  <c r="W1465" i="1"/>
  <c r="CZ1465" i="1"/>
  <c r="O1465" i="1"/>
  <c r="BP1465" i="1"/>
  <c r="BO1465" i="1"/>
  <c r="DG382" i="1"/>
  <c r="R382" i="1"/>
  <c r="Q382" i="1"/>
  <c r="DA382" i="1"/>
  <c r="V382" i="1"/>
  <c r="W382" i="1"/>
  <c r="CZ382" i="1"/>
  <c r="O382" i="1"/>
  <c r="CY382" i="1"/>
  <c r="BP382" i="1"/>
  <c r="DO381" i="1"/>
  <c r="DG381" i="1"/>
  <c r="R381" i="1"/>
  <c r="Q381" i="1"/>
  <c r="DA381" i="1"/>
  <c r="V381" i="1"/>
  <c r="W381" i="1"/>
  <c r="CZ381" i="1"/>
  <c r="O381" i="1"/>
  <c r="CY381" i="1"/>
  <c r="BP381" i="1"/>
  <c r="BO381" i="1"/>
  <c r="DO572" i="1"/>
  <c r="R572" i="1"/>
  <c r="Q572" i="1"/>
  <c r="DA572" i="1"/>
  <c r="W572" i="1"/>
  <c r="CZ572" i="1"/>
  <c r="O572" i="1"/>
  <c r="BP572" i="1"/>
  <c r="BO572" i="1"/>
  <c r="DG1026" i="1"/>
  <c r="R1026" i="1"/>
  <c r="Q1026" i="1"/>
  <c r="DA1026" i="1"/>
  <c r="V1026" i="1"/>
  <c r="W1026" i="1"/>
  <c r="CZ1026" i="1"/>
  <c r="O1026" i="1"/>
  <c r="CY1026" i="1"/>
  <c r="BP1026" i="1"/>
  <c r="BO1026" i="1"/>
  <c r="DO374" i="1"/>
  <c r="DG374" i="1"/>
  <c r="R374" i="1"/>
  <c r="Q374" i="1"/>
  <c r="DA374" i="1"/>
  <c r="V374" i="1"/>
  <c r="W374" i="1"/>
  <c r="CZ374" i="1"/>
  <c r="O374" i="1"/>
  <c r="CY374" i="1"/>
  <c r="BP374" i="1"/>
  <c r="BO374" i="1"/>
  <c r="DO1432" i="1"/>
  <c r="DG1432" i="1"/>
  <c r="R1432" i="1"/>
  <c r="Q1432" i="1"/>
  <c r="DA1432" i="1"/>
  <c r="V1432" i="1"/>
  <c r="W1432" i="1"/>
  <c r="CZ1432" i="1"/>
  <c r="O1432" i="1"/>
  <c r="CY1432" i="1"/>
  <c r="BP1432" i="1"/>
  <c r="BO1432" i="1"/>
  <c r="DO1433" i="1"/>
  <c r="DG1433" i="1"/>
  <c r="R1433" i="1"/>
  <c r="Q1433" i="1"/>
  <c r="DA1433" i="1"/>
  <c r="V1433" i="1"/>
  <c r="W1433" i="1"/>
  <c r="CZ1433" i="1"/>
  <c r="O1433" i="1"/>
  <c r="CY1433" i="1"/>
  <c r="BP1433" i="1"/>
  <c r="BO1433" i="1"/>
  <c r="DO1436" i="1"/>
  <c r="DG1436" i="1"/>
  <c r="R1436" i="1"/>
  <c r="Q1436" i="1"/>
  <c r="DA1436" i="1"/>
  <c r="V1436" i="1"/>
  <c r="W1436" i="1"/>
  <c r="CZ1436" i="1"/>
  <c r="O1436" i="1"/>
  <c r="CY1436" i="1"/>
  <c r="BP1436" i="1"/>
  <c r="BO1436" i="1"/>
  <c r="DO1438" i="1"/>
  <c r="DG1438" i="1"/>
  <c r="R1438" i="1"/>
  <c r="Q1438" i="1"/>
  <c r="DA1438" i="1"/>
  <c r="V1438" i="1"/>
  <c r="W1438" i="1"/>
  <c r="CZ1438" i="1"/>
  <c r="O1438" i="1"/>
  <c r="CY1438" i="1"/>
  <c r="BP1438" i="1"/>
  <c r="BO1438" i="1"/>
  <c r="DO1445" i="1"/>
  <c r="DG1445" i="1"/>
  <c r="R1445" i="1"/>
  <c r="Q1445" i="1"/>
  <c r="DA1445" i="1"/>
  <c r="V1445" i="1"/>
  <c r="W1445" i="1"/>
  <c r="CZ1445" i="1"/>
  <c r="O1445" i="1"/>
  <c r="CY1445" i="1"/>
  <c r="BP1445" i="1"/>
  <c r="BO1445" i="1"/>
  <c r="DO1451" i="1"/>
  <c r="DG1451" i="1"/>
  <c r="R1451" i="1"/>
  <c r="Q1451" i="1"/>
  <c r="DA1451" i="1"/>
  <c r="V1451" i="1"/>
  <c r="W1451" i="1"/>
  <c r="CZ1451" i="1"/>
  <c r="O1451" i="1"/>
  <c r="CY1451" i="1"/>
  <c r="BP1451" i="1"/>
  <c r="BO1451" i="1"/>
  <c r="DO1471" i="1"/>
  <c r="DG1471" i="1"/>
  <c r="R1471" i="1"/>
  <c r="Q1471" i="1"/>
  <c r="DA1471" i="1"/>
  <c r="V1471" i="1"/>
  <c r="W1471" i="1"/>
  <c r="CZ1471" i="1"/>
  <c r="O1471" i="1"/>
  <c r="CY1471" i="1"/>
  <c r="BP1471" i="1"/>
  <c r="BO1471" i="1"/>
  <c r="DO359" i="1"/>
  <c r="DG359" i="1"/>
  <c r="R359" i="1"/>
  <c r="Q359" i="1"/>
  <c r="DA359" i="1"/>
  <c r="V359" i="1"/>
  <c r="W359" i="1"/>
  <c r="CZ359" i="1"/>
  <c r="O359" i="1"/>
  <c r="CY359" i="1"/>
  <c r="BP359" i="1"/>
  <c r="BO359" i="1"/>
  <c r="DO348" i="1"/>
  <c r="DG348" i="1"/>
  <c r="R348" i="1"/>
  <c r="Q348" i="1"/>
  <c r="DA348" i="1"/>
  <c r="V348" i="1"/>
  <c r="W348" i="1"/>
  <c r="CZ348" i="1"/>
  <c r="O348" i="1"/>
  <c r="CY348" i="1"/>
  <c r="BP348" i="1"/>
  <c r="BO348" i="1"/>
  <c r="DO347" i="1"/>
  <c r="DG347" i="1"/>
  <c r="R347" i="1"/>
  <c r="Q347" i="1"/>
  <c r="DA347" i="1"/>
  <c r="V347" i="1"/>
  <c r="W347" i="1"/>
  <c r="CZ347" i="1"/>
  <c r="O347" i="1"/>
  <c r="CY347" i="1"/>
  <c r="BP347" i="1"/>
  <c r="BO347" i="1"/>
  <c r="DO342" i="1"/>
  <c r="DG342" i="1"/>
  <c r="R342" i="1"/>
  <c r="Q342" i="1"/>
  <c r="DA342" i="1"/>
  <c r="V342" i="1"/>
  <c r="W342" i="1"/>
  <c r="CZ342" i="1"/>
  <c r="O342" i="1"/>
  <c r="CY342" i="1"/>
  <c r="BP342" i="1"/>
  <c r="BO342" i="1"/>
  <c r="DO1492" i="1"/>
  <c r="DG1492" i="1"/>
  <c r="R1492" i="1"/>
  <c r="Q1492" i="1"/>
  <c r="DA1492" i="1"/>
  <c r="V1492" i="1"/>
  <c r="W1492" i="1"/>
  <c r="CZ1492" i="1"/>
  <c r="O1492" i="1"/>
  <c r="CY1492" i="1"/>
  <c r="BP1492" i="1"/>
  <c r="BO1492" i="1"/>
  <c r="DO1493" i="1"/>
  <c r="DG1493" i="1"/>
  <c r="R1493" i="1"/>
  <c r="Q1493" i="1"/>
  <c r="DA1493" i="1"/>
  <c r="V1493" i="1"/>
  <c r="W1493" i="1"/>
  <c r="CZ1493" i="1"/>
  <c r="O1493" i="1"/>
  <c r="CY1493" i="1"/>
  <c r="BP1493" i="1"/>
  <c r="BO1493" i="1"/>
  <c r="DO339" i="1"/>
  <c r="DG339" i="1"/>
  <c r="R339" i="1"/>
  <c r="Q339" i="1"/>
  <c r="DA339" i="1"/>
  <c r="V339" i="1"/>
  <c r="W339" i="1"/>
  <c r="CZ339" i="1"/>
  <c r="O339" i="1"/>
  <c r="CY339" i="1"/>
  <c r="BP339" i="1"/>
  <c r="BO339" i="1"/>
  <c r="DO338" i="1"/>
  <c r="DG338" i="1"/>
  <c r="R338" i="1"/>
  <c r="Q338" i="1"/>
  <c r="DA338" i="1"/>
  <c r="V338" i="1"/>
  <c r="W338" i="1"/>
  <c r="CZ338" i="1"/>
  <c r="O338" i="1"/>
  <c r="CY338" i="1"/>
  <c r="BP338" i="1"/>
  <c r="BO338" i="1"/>
  <c r="DO335" i="1"/>
  <c r="DG335" i="1"/>
  <c r="R335" i="1"/>
  <c r="Q335" i="1"/>
  <c r="DA335" i="1"/>
  <c r="V335" i="1"/>
  <c r="W335" i="1"/>
  <c r="CZ335" i="1"/>
  <c r="O335" i="1"/>
  <c r="CY335" i="1"/>
  <c r="BP335" i="1"/>
  <c r="BO335" i="1"/>
  <c r="DO334" i="1"/>
  <c r="DG334" i="1"/>
  <c r="R334" i="1"/>
  <c r="Q334" i="1"/>
  <c r="DA334" i="1"/>
  <c r="V334" i="1"/>
  <c r="W334" i="1"/>
  <c r="CZ334" i="1"/>
  <c r="O334" i="1"/>
  <c r="CY334" i="1"/>
  <c r="BP334" i="1"/>
  <c r="BO334" i="1"/>
  <c r="DO333" i="1"/>
  <c r="DG333" i="1"/>
  <c r="R333" i="1"/>
  <c r="Q333" i="1"/>
  <c r="DA333" i="1"/>
  <c r="V333" i="1"/>
  <c r="W333" i="1"/>
  <c r="CZ333" i="1"/>
  <c r="O333" i="1"/>
  <c r="CY333" i="1"/>
  <c r="BP333" i="1"/>
  <c r="BO333" i="1"/>
  <c r="DO332" i="1"/>
  <c r="DG332" i="1"/>
  <c r="R332" i="1"/>
  <c r="Q332" i="1"/>
  <c r="DA332" i="1"/>
  <c r="V332" i="1"/>
  <c r="W332" i="1"/>
  <c r="CZ332" i="1"/>
  <c r="O332" i="1"/>
  <c r="CY332" i="1"/>
  <c r="BP332" i="1"/>
  <c r="BO332" i="1"/>
  <c r="DO1420" i="1"/>
  <c r="R1420" i="1"/>
  <c r="Q1420" i="1"/>
  <c r="DA1420" i="1"/>
  <c r="W1420" i="1"/>
  <c r="CZ1420" i="1"/>
  <c r="O1420" i="1"/>
  <c r="BP1420" i="1"/>
  <c r="BO1420" i="1"/>
  <c r="DO1417" i="1"/>
  <c r="R1417" i="1"/>
  <c r="Q1417" i="1"/>
  <c r="DA1417" i="1"/>
  <c r="W1417" i="1"/>
  <c r="CZ1417" i="1"/>
  <c r="O1417" i="1"/>
  <c r="BP1417" i="1"/>
  <c r="BO1417" i="1"/>
  <c r="DO1416" i="1"/>
  <c r="R1416" i="1"/>
  <c r="Q1416" i="1"/>
  <c r="DA1416" i="1"/>
  <c r="W1416" i="1"/>
  <c r="CZ1416" i="1"/>
  <c r="O1416" i="1"/>
  <c r="BP1416" i="1"/>
  <c r="BO1416" i="1"/>
  <c r="DO594" i="1"/>
  <c r="R594" i="1"/>
  <c r="Q594" i="1"/>
  <c r="DA594" i="1"/>
  <c r="W594" i="1"/>
  <c r="CZ594" i="1"/>
  <c r="O594" i="1"/>
  <c r="BP594" i="1"/>
  <c r="BO594" i="1"/>
  <c r="DO319" i="1"/>
  <c r="DG319" i="1"/>
  <c r="R319" i="1"/>
  <c r="Q319" i="1"/>
  <c r="DA319" i="1"/>
  <c r="V319" i="1"/>
  <c r="W319" i="1"/>
  <c r="CZ319" i="1"/>
  <c r="O319" i="1"/>
  <c r="CY319" i="1"/>
  <c r="BP319" i="1"/>
  <c r="BO319" i="1"/>
  <c r="DO316" i="1"/>
  <c r="DG316" i="1"/>
  <c r="R316" i="1"/>
  <c r="Q316" i="1"/>
  <c r="DA316" i="1"/>
  <c r="V316" i="1"/>
  <c r="W316" i="1"/>
  <c r="CZ316" i="1"/>
  <c r="O316" i="1"/>
  <c r="CY316" i="1"/>
  <c r="BP316" i="1"/>
  <c r="BO316" i="1"/>
  <c r="DO313" i="1"/>
  <c r="DG313" i="1"/>
  <c r="R313" i="1"/>
  <c r="Q313" i="1"/>
  <c r="DA313" i="1"/>
  <c r="V313" i="1"/>
  <c r="W313" i="1"/>
  <c r="CZ313" i="1"/>
  <c r="O313" i="1"/>
  <c r="CY313" i="1"/>
  <c r="BP313" i="1"/>
  <c r="BO313" i="1"/>
  <c r="DO312" i="1"/>
  <c r="DG312" i="1"/>
  <c r="R312" i="1"/>
  <c r="Q312" i="1"/>
  <c r="DA312" i="1"/>
  <c r="V312" i="1"/>
  <c r="W312" i="1"/>
  <c r="CZ312" i="1"/>
  <c r="O312" i="1"/>
  <c r="CY312" i="1"/>
  <c r="BP312" i="1"/>
  <c r="BO312" i="1"/>
  <c r="DO304" i="1"/>
  <c r="DG304" i="1"/>
  <c r="R304" i="1"/>
  <c r="Q304" i="1"/>
  <c r="DA304" i="1"/>
  <c r="V304" i="1"/>
  <c r="W304" i="1"/>
  <c r="CZ304" i="1"/>
  <c r="O304" i="1"/>
  <c r="CY304" i="1"/>
  <c r="BP304" i="1"/>
  <c r="BO304" i="1"/>
  <c r="DO551" i="1"/>
  <c r="R551" i="1"/>
  <c r="Q551" i="1"/>
  <c r="DA551" i="1"/>
  <c r="W551" i="1"/>
  <c r="CZ551" i="1"/>
  <c r="O551" i="1"/>
  <c r="BP551" i="1"/>
  <c r="BO551" i="1"/>
  <c r="DO309" i="1"/>
  <c r="R309" i="1"/>
  <c r="Q309" i="1"/>
  <c r="DA309" i="1"/>
  <c r="W309" i="1"/>
  <c r="CZ309" i="1"/>
  <c r="O309" i="1"/>
  <c r="BP309" i="1"/>
  <c r="BO309" i="1"/>
  <c r="DO351" i="1"/>
  <c r="R351" i="1"/>
  <c r="Q351" i="1"/>
  <c r="DA351" i="1"/>
  <c r="W351" i="1"/>
  <c r="CZ351" i="1"/>
  <c r="O351" i="1"/>
  <c r="BP351" i="1"/>
  <c r="BO351" i="1"/>
  <c r="DO364" i="1"/>
  <c r="R364" i="1"/>
  <c r="Q364" i="1"/>
  <c r="DA364" i="1"/>
  <c r="W364" i="1"/>
  <c r="CZ364" i="1"/>
  <c r="O364" i="1"/>
  <c r="BP364" i="1"/>
  <c r="BO364" i="1"/>
  <c r="DO384" i="1"/>
  <c r="R384" i="1"/>
  <c r="Q384" i="1"/>
  <c r="DA384" i="1"/>
  <c r="W384" i="1"/>
  <c r="CZ384" i="1"/>
  <c r="O384" i="1"/>
  <c r="BP384" i="1"/>
  <c r="BO384" i="1"/>
  <c r="DO459" i="1"/>
  <c r="R459" i="1"/>
  <c r="Q459" i="1"/>
  <c r="DA459" i="1"/>
  <c r="W459" i="1"/>
  <c r="CZ459" i="1"/>
  <c r="O459" i="1"/>
  <c r="BP459" i="1"/>
  <c r="BO459" i="1"/>
  <c r="DO462" i="1"/>
  <c r="R462" i="1"/>
  <c r="Q462" i="1"/>
  <c r="DA462" i="1"/>
  <c r="W462" i="1"/>
  <c r="CZ462" i="1"/>
  <c r="O462" i="1"/>
  <c r="BP462" i="1"/>
  <c r="BO462" i="1"/>
  <c r="DO1503" i="1"/>
  <c r="R1503" i="1"/>
  <c r="Q1503" i="1"/>
  <c r="DA1503" i="1"/>
  <c r="W1503" i="1"/>
  <c r="CZ1503" i="1"/>
  <c r="O1503" i="1"/>
  <c r="BP1503" i="1"/>
  <c r="BO1503" i="1"/>
  <c r="DO328" i="1"/>
  <c r="R328" i="1"/>
  <c r="Q328" i="1"/>
  <c r="DA328" i="1"/>
  <c r="W328" i="1"/>
  <c r="CZ328" i="1"/>
  <c r="O328" i="1"/>
  <c r="BP328" i="1"/>
  <c r="BO328" i="1"/>
  <c r="DO476" i="1"/>
  <c r="R476" i="1"/>
  <c r="Q476" i="1"/>
  <c r="DA476" i="1"/>
  <c r="W476" i="1"/>
  <c r="CZ476" i="1"/>
  <c r="O476" i="1"/>
  <c r="BP476" i="1"/>
  <c r="BO476" i="1"/>
  <c r="DO479" i="1"/>
  <c r="R479" i="1"/>
  <c r="Q479" i="1"/>
  <c r="DA479" i="1"/>
  <c r="W479" i="1"/>
  <c r="CZ479" i="1"/>
  <c r="O479" i="1"/>
  <c r="BP479" i="1"/>
  <c r="BO479" i="1"/>
  <c r="DO470" i="1"/>
  <c r="R470" i="1"/>
  <c r="Q470" i="1"/>
  <c r="DA470" i="1"/>
  <c r="W470" i="1"/>
  <c r="CZ470" i="1"/>
  <c r="O470" i="1"/>
  <c r="BP470" i="1"/>
  <c r="BO470" i="1"/>
  <c r="DO561" i="1"/>
  <c r="DG561" i="1"/>
  <c r="R561" i="1"/>
  <c r="Q561" i="1"/>
  <c r="DA561" i="1"/>
  <c r="V561" i="1"/>
  <c r="W561" i="1"/>
  <c r="CZ561" i="1"/>
  <c r="O561" i="1"/>
  <c r="CY561" i="1"/>
  <c r="BP561" i="1"/>
  <c r="BO561" i="1"/>
  <c r="DG579" i="1"/>
  <c r="R579" i="1"/>
  <c r="Q579" i="1"/>
  <c r="DA579" i="1"/>
  <c r="V579" i="1"/>
  <c r="W579" i="1"/>
  <c r="CZ579" i="1"/>
  <c r="O579" i="1"/>
  <c r="CY579" i="1"/>
  <c r="BP579" i="1"/>
  <c r="DO552" i="1"/>
  <c r="DG552" i="1"/>
  <c r="R552" i="1"/>
  <c r="Q552" i="1"/>
  <c r="DA552" i="1"/>
  <c r="V552" i="1"/>
  <c r="W552" i="1"/>
  <c r="CZ552" i="1"/>
  <c r="O552" i="1"/>
  <c r="CY552" i="1"/>
  <c r="BP552" i="1"/>
  <c r="BO552" i="1"/>
  <c r="DO583" i="1"/>
  <c r="DG583" i="1"/>
  <c r="R583" i="1"/>
  <c r="Q583" i="1"/>
  <c r="DA583" i="1"/>
  <c r="V583" i="1"/>
  <c r="W583" i="1"/>
  <c r="CZ583" i="1"/>
  <c r="O583" i="1"/>
  <c r="CY583" i="1"/>
  <c r="BP583" i="1"/>
  <c r="BO583" i="1"/>
  <c r="DO541" i="1"/>
  <c r="DG541" i="1"/>
  <c r="R541" i="1"/>
  <c r="Q541" i="1"/>
  <c r="DA541" i="1"/>
  <c r="V541" i="1"/>
  <c r="W541" i="1"/>
  <c r="CZ541" i="1"/>
  <c r="O541" i="1"/>
  <c r="CY541" i="1"/>
  <c r="BP541" i="1"/>
  <c r="BO541" i="1"/>
  <c r="DO586" i="1"/>
  <c r="DG586" i="1"/>
  <c r="R586" i="1"/>
  <c r="Q586" i="1"/>
  <c r="DA586" i="1"/>
  <c r="V586" i="1"/>
  <c r="W586" i="1"/>
  <c r="CZ586" i="1"/>
  <c r="O586" i="1"/>
  <c r="CY586" i="1"/>
  <c r="BP586" i="1"/>
  <c r="BO586" i="1"/>
  <c r="DO587" i="1"/>
  <c r="DG587" i="1"/>
  <c r="R587" i="1"/>
  <c r="Q587" i="1"/>
  <c r="DA587" i="1"/>
  <c r="V587" i="1"/>
  <c r="W587" i="1"/>
  <c r="CZ587" i="1"/>
  <c r="O587" i="1"/>
  <c r="CY587" i="1"/>
  <c r="BP587" i="1"/>
  <c r="BO587" i="1"/>
  <c r="DO1444" i="1"/>
  <c r="R1444" i="1"/>
  <c r="Q1444" i="1"/>
  <c r="DA1444" i="1"/>
  <c r="W1444" i="1"/>
  <c r="CZ1444" i="1"/>
  <c r="O1444" i="1"/>
  <c r="BP1444" i="1"/>
  <c r="BO1444" i="1"/>
  <c r="DO531" i="1"/>
  <c r="DG531" i="1"/>
  <c r="R531" i="1"/>
  <c r="Q531" i="1"/>
  <c r="DA531" i="1"/>
  <c r="V531" i="1"/>
  <c r="W531" i="1"/>
  <c r="CZ531" i="1"/>
  <c r="O531" i="1"/>
  <c r="CY531" i="1"/>
  <c r="BP531" i="1"/>
  <c r="BO531" i="1"/>
  <c r="DO1459" i="1"/>
  <c r="R1459" i="1"/>
  <c r="Q1459" i="1"/>
  <c r="DA1459" i="1"/>
  <c r="W1459" i="1"/>
  <c r="CZ1459" i="1"/>
  <c r="O1459" i="1"/>
  <c r="BP1459" i="1"/>
  <c r="BO1459" i="1"/>
  <c r="DO520" i="1"/>
  <c r="DG520" i="1"/>
  <c r="R520" i="1"/>
  <c r="Q520" i="1"/>
  <c r="DA520" i="1"/>
  <c r="V520" i="1"/>
  <c r="W520" i="1"/>
  <c r="CZ520" i="1"/>
  <c r="O520" i="1"/>
  <c r="CY520" i="1"/>
  <c r="BP520" i="1"/>
  <c r="BO520" i="1"/>
  <c r="DO1252" i="1"/>
  <c r="DG1252" i="1"/>
  <c r="R1252" i="1"/>
  <c r="Q1252" i="1"/>
  <c r="DA1252" i="1"/>
  <c r="V1252" i="1"/>
  <c r="W1252" i="1"/>
  <c r="CZ1252" i="1"/>
  <c r="O1252" i="1"/>
  <c r="CY1252" i="1"/>
  <c r="BP1252" i="1"/>
  <c r="BO1252" i="1"/>
  <c r="DO1295" i="1"/>
  <c r="DG1295" i="1"/>
  <c r="R1295" i="1"/>
  <c r="Q1295" i="1"/>
  <c r="DA1295" i="1"/>
  <c r="V1295" i="1"/>
  <c r="W1295" i="1"/>
  <c r="CZ1295" i="1"/>
  <c r="O1295" i="1"/>
  <c r="CY1295" i="1"/>
  <c r="BP1295" i="1"/>
  <c r="BO1295" i="1"/>
  <c r="DO1176" i="1"/>
  <c r="DG1176" i="1"/>
  <c r="R1176" i="1"/>
  <c r="Q1176" i="1"/>
  <c r="DA1176" i="1"/>
  <c r="V1176" i="1"/>
  <c r="W1176" i="1"/>
  <c r="CZ1176" i="1"/>
  <c r="O1176" i="1"/>
  <c r="CY1176" i="1"/>
  <c r="BP1176" i="1"/>
  <c r="BO1176" i="1"/>
  <c r="DO1344" i="1"/>
  <c r="R1344" i="1"/>
  <c r="Q1344" i="1"/>
  <c r="DA1344" i="1"/>
  <c r="W1344" i="1"/>
  <c r="CZ1344" i="1"/>
  <c r="O1344" i="1"/>
  <c r="BP1344" i="1"/>
  <c r="BO1344" i="1"/>
  <c r="DO1349" i="1"/>
  <c r="R1349" i="1"/>
  <c r="Q1349" i="1"/>
  <c r="DA1349" i="1"/>
  <c r="W1349" i="1"/>
  <c r="CZ1349" i="1"/>
  <c r="O1349" i="1"/>
  <c r="BP1349" i="1"/>
  <c r="BO1349" i="1"/>
  <c r="DO1353" i="1"/>
  <c r="R1353" i="1"/>
  <c r="Q1353" i="1"/>
  <c r="DA1353" i="1"/>
  <c r="W1353" i="1"/>
  <c r="CZ1353" i="1"/>
  <c r="O1353" i="1"/>
  <c r="BP1353" i="1"/>
  <c r="BO1353" i="1"/>
  <c r="DO1373" i="1"/>
  <c r="R1373" i="1"/>
  <c r="Q1373" i="1"/>
  <c r="DA1373" i="1"/>
  <c r="W1373" i="1"/>
  <c r="CZ1373" i="1"/>
  <c r="O1373" i="1"/>
  <c r="BP1373" i="1"/>
  <c r="BO1373" i="1"/>
  <c r="DO1095" i="1"/>
  <c r="R1095" i="1"/>
  <c r="Q1095" i="1"/>
  <c r="DA1095" i="1"/>
  <c r="W1095" i="1"/>
  <c r="CZ1095" i="1"/>
  <c r="O1095" i="1"/>
  <c r="BP1095" i="1"/>
  <c r="BO1095" i="1"/>
  <c r="DO1296" i="1"/>
  <c r="R1296" i="1"/>
  <c r="Q1296" i="1"/>
  <c r="DA1296" i="1"/>
  <c r="W1296" i="1"/>
  <c r="CZ1296" i="1"/>
  <c r="O1296" i="1"/>
  <c r="BP1296" i="1"/>
  <c r="BO1296" i="1"/>
  <c r="DO1293" i="1"/>
  <c r="R1293" i="1"/>
  <c r="Q1293" i="1"/>
  <c r="DA1293" i="1"/>
  <c r="W1293" i="1"/>
  <c r="CZ1293" i="1"/>
  <c r="O1293" i="1"/>
  <c r="BP1293" i="1"/>
  <c r="BO1293" i="1"/>
  <c r="DO1106" i="1"/>
  <c r="R1106" i="1"/>
  <c r="Q1106" i="1"/>
  <c r="DA1106" i="1"/>
  <c r="W1106" i="1"/>
  <c r="CZ1106" i="1"/>
  <c r="O1106" i="1"/>
  <c r="BP1106" i="1"/>
  <c r="BO1106" i="1"/>
  <c r="DO1379" i="1"/>
  <c r="R1379" i="1"/>
  <c r="Q1379" i="1"/>
  <c r="DA1379" i="1"/>
  <c r="W1379" i="1"/>
  <c r="CZ1379" i="1"/>
  <c r="O1379" i="1"/>
  <c r="BP1379" i="1"/>
  <c r="BO1379" i="1"/>
  <c r="DO1291" i="1"/>
  <c r="DG1291" i="1"/>
  <c r="R1291" i="1"/>
  <c r="Q1291" i="1"/>
  <c r="DA1291" i="1"/>
  <c r="V1291" i="1"/>
  <c r="W1291" i="1"/>
  <c r="CZ1291" i="1"/>
  <c r="O1291" i="1"/>
  <c r="CY1291" i="1"/>
  <c r="BP1291" i="1"/>
  <c r="BO1291" i="1"/>
  <c r="DO1289" i="1"/>
  <c r="DG1289" i="1"/>
  <c r="R1289" i="1"/>
  <c r="Q1289" i="1"/>
  <c r="DA1289" i="1"/>
  <c r="V1289" i="1"/>
  <c r="W1289" i="1"/>
  <c r="CZ1289" i="1"/>
  <c r="O1289" i="1"/>
  <c r="CY1289" i="1"/>
  <c r="BP1289" i="1"/>
  <c r="BO1289" i="1"/>
  <c r="DO1288" i="1"/>
  <c r="DG1288" i="1"/>
  <c r="R1288" i="1"/>
  <c r="Q1288" i="1"/>
  <c r="DA1288" i="1"/>
  <c r="V1288" i="1"/>
  <c r="W1288" i="1"/>
  <c r="CZ1288" i="1"/>
  <c r="O1288" i="1"/>
  <c r="CY1288" i="1"/>
  <c r="BP1288" i="1"/>
  <c r="BO1288" i="1"/>
  <c r="DO1097" i="1"/>
  <c r="R1097" i="1"/>
  <c r="Q1097" i="1"/>
  <c r="DA1097" i="1"/>
  <c r="W1097" i="1"/>
  <c r="CZ1097" i="1"/>
  <c r="O1097" i="1"/>
  <c r="BP1097" i="1"/>
  <c r="BO1097" i="1"/>
  <c r="DO1281" i="1"/>
  <c r="DG1281" i="1"/>
  <c r="R1281" i="1"/>
  <c r="Q1281" i="1"/>
  <c r="DA1281" i="1"/>
  <c r="V1281" i="1"/>
  <c r="W1281" i="1"/>
  <c r="CZ1281" i="1"/>
  <c r="O1281" i="1"/>
  <c r="CY1281" i="1"/>
  <c r="BP1281" i="1"/>
  <c r="BO1281" i="1"/>
  <c r="DO1476" i="1"/>
  <c r="R1476" i="1"/>
  <c r="Q1476" i="1"/>
  <c r="DA1476" i="1"/>
  <c r="W1476" i="1"/>
  <c r="CZ1476" i="1"/>
  <c r="O1476" i="1"/>
  <c r="BP1476" i="1"/>
  <c r="BO1476" i="1"/>
  <c r="DO1377" i="1"/>
  <c r="DG1377" i="1"/>
  <c r="R1377" i="1"/>
  <c r="Q1377" i="1"/>
  <c r="DA1377" i="1"/>
  <c r="V1377" i="1"/>
  <c r="W1377" i="1"/>
  <c r="CZ1377" i="1"/>
  <c r="O1377" i="1"/>
  <c r="CY1377" i="1"/>
  <c r="BP1377" i="1"/>
  <c r="BO1377" i="1"/>
  <c r="DO1376" i="1"/>
  <c r="R1376" i="1"/>
  <c r="Q1376" i="1"/>
  <c r="DA1376" i="1"/>
  <c r="W1376" i="1"/>
  <c r="CZ1376" i="1"/>
  <c r="O1376" i="1"/>
  <c r="BP1376" i="1"/>
  <c r="BO1376" i="1"/>
  <c r="DO1279" i="1"/>
  <c r="DG1279" i="1"/>
  <c r="R1279" i="1"/>
  <c r="Q1279" i="1"/>
  <c r="DA1279" i="1"/>
  <c r="V1279" i="1"/>
  <c r="W1279" i="1"/>
  <c r="CZ1279" i="1"/>
  <c r="O1279" i="1"/>
  <c r="CY1279" i="1"/>
  <c r="BP1279" i="1"/>
  <c r="BO1279" i="1"/>
  <c r="DO1110" i="1"/>
  <c r="DG1110" i="1"/>
  <c r="R1110" i="1"/>
  <c r="Q1110" i="1"/>
  <c r="DA1110" i="1"/>
  <c r="V1110" i="1"/>
  <c r="W1110" i="1"/>
  <c r="CZ1110" i="1"/>
  <c r="O1110" i="1"/>
  <c r="CY1110" i="1"/>
  <c r="BP1110" i="1"/>
  <c r="BO1110" i="1"/>
  <c r="DO1371" i="1"/>
  <c r="DG1371" i="1"/>
  <c r="R1371" i="1"/>
  <c r="Q1371" i="1"/>
  <c r="DA1371" i="1"/>
  <c r="V1371" i="1"/>
  <c r="W1371" i="1"/>
  <c r="CZ1371" i="1"/>
  <c r="O1371" i="1"/>
  <c r="CY1371" i="1"/>
  <c r="BP1371" i="1"/>
  <c r="BO1371" i="1"/>
  <c r="DO1105" i="1"/>
  <c r="DG1105" i="1"/>
  <c r="R1105" i="1"/>
  <c r="Q1105" i="1"/>
  <c r="DA1105" i="1"/>
  <c r="V1105" i="1"/>
  <c r="W1105" i="1"/>
  <c r="CZ1105" i="1"/>
  <c r="O1105" i="1"/>
  <c r="CY1105" i="1"/>
  <c r="BP1105" i="1"/>
  <c r="BO1105" i="1"/>
  <c r="DO1276" i="1"/>
  <c r="R1276" i="1"/>
  <c r="Q1276" i="1"/>
  <c r="DA1276" i="1"/>
  <c r="W1276" i="1"/>
  <c r="CZ1276" i="1"/>
  <c r="O1276" i="1"/>
  <c r="BP1276" i="1"/>
  <c r="BO1276" i="1"/>
  <c r="DO1104" i="1"/>
  <c r="DG1104" i="1"/>
  <c r="R1104" i="1"/>
  <c r="Q1104" i="1"/>
  <c r="DA1104" i="1"/>
  <c r="V1104" i="1"/>
  <c r="W1104" i="1"/>
  <c r="CZ1104" i="1"/>
  <c r="O1104" i="1"/>
  <c r="CY1104" i="1"/>
  <c r="BP1104" i="1"/>
  <c r="BO1104" i="1"/>
  <c r="DO1354" i="1"/>
  <c r="DG1354" i="1"/>
  <c r="R1354" i="1"/>
  <c r="Q1354" i="1"/>
  <c r="DA1354" i="1"/>
  <c r="V1354" i="1"/>
  <c r="W1354" i="1"/>
  <c r="CZ1354" i="1"/>
  <c r="O1354" i="1"/>
  <c r="CY1354" i="1"/>
  <c r="BP1354" i="1"/>
  <c r="BO1354" i="1"/>
  <c r="DO1101" i="1"/>
  <c r="DG1101" i="1"/>
  <c r="R1101" i="1"/>
  <c r="Q1101" i="1"/>
  <c r="DA1101" i="1"/>
  <c r="V1101" i="1"/>
  <c r="W1101" i="1"/>
  <c r="CZ1101" i="1"/>
  <c r="O1101" i="1"/>
  <c r="CY1101" i="1"/>
  <c r="BP1101" i="1"/>
  <c r="BO1101" i="1"/>
  <c r="DO1100" i="1"/>
  <c r="DG1100" i="1"/>
  <c r="R1100" i="1"/>
  <c r="Q1100" i="1"/>
  <c r="DA1100" i="1"/>
  <c r="V1100" i="1"/>
  <c r="W1100" i="1"/>
  <c r="CZ1100" i="1"/>
  <c r="O1100" i="1"/>
  <c r="CY1100" i="1"/>
  <c r="BP1100" i="1"/>
  <c r="BO1100" i="1"/>
  <c r="DO1094" i="1"/>
  <c r="DG1094" i="1"/>
  <c r="R1094" i="1"/>
  <c r="Q1094" i="1"/>
  <c r="DA1094" i="1"/>
  <c r="V1094" i="1"/>
  <c r="W1094" i="1"/>
  <c r="CZ1094" i="1"/>
  <c r="O1094" i="1"/>
  <c r="CY1094" i="1"/>
  <c r="BP1094" i="1"/>
  <c r="BO1094" i="1"/>
  <c r="DO1251" i="1"/>
  <c r="DG1251" i="1"/>
  <c r="R1251" i="1"/>
  <c r="Q1251" i="1"/>
  <c r="DA1251" i="1"/>
  <c r="V1251" i="1"/>
  <c r="W1251" i="1"/>
  <c r="CZ1251" i="1"/>
  <c r="O1251" i="1"/>
  <c r="CY1251" i="1"/>
  <c r="BP1251" i="1"/>
  <c r="BO1251" i="1"/>
  <c r="DO1109" i="1"/>
  <c r="R1109" i="1"/>
  <c r="Q1109" i="1"/>
  <c r="DA1109" i="1"/>
  <c r="W1109" i="1"/>
  <c r="CZ1109" i="1"/>
  <c r="O1109" i="1"/>
  <c r="BP1109" i="1"/>
  <c r="BO1109" i="1"/>
  <c r="DO1099" i="1"/>
  <c r="R1099" i="1"/>
  <c r="Q1099" i="1"/>
  <c r="DA1099" i="1"/>
  <c r="W1099" i="1"/>
  <c r="CZ1099" i="1"/>
  <c r="O1099" i="1"/>
  <c r="BP1099" i="1"/>
  <c r="BO1099" i="1"/>
  <c r="DO20" i="1"/>
  <c r="DG20" i="1"/>
  <c r="R20" i="1"/>
  <c r="Q20" i="1"/>
  <c r="DA20" i="1"/>
  <c r="V20" i="1"/>
  <c r="W20" i="1"/>
  <c r="CZ20" i="1"/>
  <c r="O20" i="1"/>
  <c r="CY20" i="1"/>
  <c r="BP20" i="1"/>
  <c r="BO20" i="1"/>
  <c r="DG7" i="1"/>
  <c r="R7" i="1"/>
  <c r="Q7" i="1"/>
  <c r="DA7" i="1"/>
  <c r="V7" i="1"/>
  <c r="W7" i="1"/>
  <c r="CZ7" i="1"/>
  <c r="O7" i="1"/>
  <c r="CY7" i="1"/>
  <c r="BP7" i="1"/>
  <c r="DO10" i="1"/>
  <c r="DG10" i="1"/>
  <c r="R10" i="1"/>
  <c r="Q10" i="1"/>
  <c r="DA10" i="1"/>
  <c r="V10" i="1"/>
  <c r="W10" i="1"/>
  <c r="CZ10" i="1"/>
  <c r="O10" i="1"/>
  <c r="CY10" i="1"/>
  <c r="BP10" i="1"/>
  <c r="BO10" i="1"/>
  <c r="DO1057" i="1"/>
  <c r="DG1057" i="1"/>
  <c r="R1057" i="1"/>
  <c r="Q1057" i="1"/>
  <c r="DA1057" i="1"/>
  <c r="V1057" i="1"/>
  <c r="W1057" i="1"/>
  <c r="CZ1057" i="1"/>
  <c r="O1057" i="1"/>
  <c r="CY1057" i="1"/>
  <c r="BP1057" i="1"/>
  <c r="BO1057" i="1"/>
  <c r="DO2" i="1"/>
  <c r="DG2" i="1"/>
  <c r="R2" i="1"/>
  <c r="Q2" i="1"/>
  <c r="DA2" i="1"/>
  <c r="W2" i="1"/>
  <c r="CZ2" i="1"/>
  <c r="O2" i="1"/>
  <c r="CY2" i="1"/>
  <c r="BP2" i="1"/>
  <c r="BO2" i="1"/>
  <c r="DO277" i="1"/>
  <c r="DG277" i="1"/>
  <c r="R277" i="1"/>
  <c r="Q277" i="1"/>
  <c r="DA277" i="1"/>
  <c r="V277" i="1"/>
  <c r="W277" i="1"/>
  <c r="CZ277" i="1"/>
  <c r="O277" i="1"/>
  <c r="CY277" i="1"/>
  <c r="BP277" i="1"/>
  <c r="BO277" i="1"/>
  <c r="DO273" i="1"/>
  <c r="DG273" i="1"/>
  <c r="R273" i="1"/>
  <c r="Q273" i="1"/>
  <c r="DA273" i="1"/>
  <c r="V273" i="1"/>
  <c r="W273" i="1"/>
  <c r="CZ273" i="1"/>
  <c r="O273" i="1"/>
  <c r="CY273" i="1"/>
  <c r="BP273" i="1"/>
  <c r="BO273" i="1"/>
  <c r="DO272" i="1"/>
  <c r="DG272" i="1"/>
  <c r="R272" i="1"/>
  <c r="Q272" i="1"/>
  <c r="DA272" i="1"/>
  <c r="V272" i="1"/>
  <c r="W272" i="1"/>
  <c r="CZ272" i="1"/>
  <c r="O272" i="1"/>
  <c r="CY272" i="1"/>
  <c r="BP272" i="1"/>
  <c r="BO272" i="1"/>
  <c r="DO262" i="1"/>
  <c r="DG262" i="1"/>
  <c r="R262" i="1"/>
  <c r="Q262" i="1"/>
  <c r="DA262" i="1"/>
  <c r="V262" i="1"/>
  <c r="W262" i="1"/>
  <c r="CZ262" i="1"/>
  <c r="O262" i="1"/>
  <c r="CY262" i="1"/>
  <c r="BP262" i="1"/>
  <c r="BO262" i="1"/>
  <c r="DO116" i="1"/>
  <c r="R116" i="1"/>
  <c r="Q116" i="1"/>
  <c r="DA116" i="1"/>
  <c r="W116" i="1"/>
  <c r="CZ116" i="1"/>
  <c r="O116" i="1"/>
  <c r="BP116" i="1"/>
  <c r="BO116" i="1"/>
</calcChain>
</file>

<file path=xl/sharedStrings.xml><?xml version="1.0" encoding="utf-8"?>
<sst xmlns="http://schemas.openxmlformats.org/spreadsheetml/2006/main" count="129516" uniqueCount="4134">
  <si>
    <t>資産ID</t>
  </si>
  <si>
    <t>資産名</t>
  </si>
  <si>
    <t>資産負債番号</t>
  </si>
  <si>
    <t>資産負債枝番</t>
  </si>
  <si>
    <t>資産負債履歴番号</t>
  </si>
  <si>
    <t>他台帳区分</t>
  </si>
  <si>
    <t>他台帳番号</t>
  </si>
  <si>
    <t>他台帳枝番</t>
  </si>
  <si>
    <t>資産名称</t>
  </si>
  <si>
    <t>資産負債区分</t>
  </si>
  <si>
    <t>資産負債内訳区分</t>
  </si>
  <si>
    <t>施設コード</t>
  </si>
  <si>
    <t>目的別資産区分</t>
  </si>
  <si>
    <t>勘定科目区分</t>
  </si>
  <si>
    <t>勘定科目連番</t>
  </si>
  <si>
    <t>勘定科目枝番</t>
  </si>
  <si>
    <t>所属コード</t>
  </si>
  <si>
    <t>執行課</t>
  </si>
  <si>
    <t>取得年月日</t>
  </si>
  <si>
    <t>完成日</t>
  </si>
  <si>
    <t>供用開始年月日</t>
  </si>
  <si>
    <t>供用開始回数</t>
  </si>
  <si>
    <t>売却予定日</t>
  </si>
  <si>
    <t>登録年月日</t>
  </si>
  <si>
    <t>用途</t>
  </si>
  <si>
    <t>廃止フラグ</t>
  </si>
  <si>
    <t>所有割合</t>
  </si>
  <si>
    <t>郵便番号</t>
  </si>
  <si>
    <t>都道府県コード</t>
  </si>
  <si>
    <t>自治体コード</t>
  </si>
  <si>
    <t>大字通称コード</t>
  </si>
  <si>
    <t>字丁目コード</t>
  </si>
  <si>
    <t>都道府県名称</t>
  </si>
  <si>
    <t>市区郡町村名称</t>
  </si>
  <si>
    <t>大字通称名称</t>
  </si>
  <si>
    <t>所在地</t>
  </si>
  <si>
    <t>番地</t>
  </si>
  <si>
    <t>方書</t>
  </si>
  <si>
    <t>設置場所</t>
  </si>
  <si>
    <t>設計書番号</t>
  </si>
  <si>
    <t>管理番号等</t>
  </si>
  <si>
    <t>緯度</t>
  </si>
  <si>
    <t>経度</t>
  </si>
  <si>
    <t>資産計上区分</t>
  </si>
  <si>
    <t>資産登録区分</t>
  </si>
  <si>
    <t>所有関係区分</t>
  </si>
  <si>
    <t>財産区分</t>
  </si>
  <si>
    <t>未利用財産</t>
  </si>
  <si>
    <t>売却可能区分</t>
  </si>
  <si>
    <t>売却可能ランク</t>
  </si>
  <si>
    <t>仕訳帳反映フラグ</t>
  </si>
  <si>
    <t>財産調書分類</t>
  </si>
  <si>
    <t>取込ファイル名</t>
  </si>
  <si>
    <t>異動年度</t>
  </si>
  <si>
    <t>異動年月日</t>
  </si>
  <si>
    <t>異動事由コード</t>
  </si>
  <si>
    <t>異動事由コード（変換元）</t>
  </si>
  <si>
    <t>異動内訳区分</t>
  </si>
  <si>
    <t>数量(異動数量)</t>
  </si>
  <si>
    <t>異動増減額</t>
  </si>
  <si>
    <t>団体コード</t>
  </si>
  <si>
    <t>会計</t>
  </si>
  <si>
    <t>予算科目（款）</t>
  </si>
  <si>
    <t>予算科目（項）</t>
  </si>
  <si>
    <t>予算科目（目）</t>
  </si>
  <si>
    <t>予算科目（事業１）</t>
  </si>
  <si>
    <t>予算科目（事業２）</t>
  </si>
  <si>
    <t>予算科目（事業３）</t>
  </si>
  <si>
    <t>予算科目（事業４）</t>
  </si>
  <si>
    <t>予算科目（事業５）</t>
  </si>
  <si>
    <t>伝票番号</t>
  </si>
  <si>
    <t>伝票枝番</t>
  </si>
  <si>
    <t>相手番号</t>
  </si>
  <si>
    <t>相手枝番</t>
  </si>
  <si>
    <t>相手コード</t>
  </si>
  <si>
    <t>事業分類</t>
  </si>
  <si>
    <t>取得財源内訳</t>
  </si>
  <si>
    <t>建設仮勘定番号</t>
  </si>
  <si>
    <t>建設仮勘定枝番</t>
  </si>
  <si>
    <t>建設仮勘定履歴番号</t>
  </si>
  <si>
    <t>資産評価区分</t>
  </si>
  <si>
    <t>資産評価方法</t>
  </si>
  <si>
    <t>単価ID</t>
  </si>
  <si>
    <t>資産評価概要</t>
  </si>
  <si>
    <t>償却開始年月日</t>
  </si>
  <si>
    <t>償却対象区分</t>
  </si>
  <si>
    <t>償却開始区分</t>
  </si>
  <si>
    <t>備忘価額区分</t>
  </si>
  <si>
    <t>中古区分</t>
  </si>
  <si>
    <t>減価償却計算</t>
  </si>
  <si>
    <t>減価償却率</t>
  </si>
  <si>
    <t>耐用年数大分類</t>
  </si>
  <si>
    <t>耐用年数中分類</t>
  </si>
  <si>
    <t>耐用年数小分類</t>
  </si>
  <si>
    <t>耐用年数</t>
  </si>
  <si>
    <t>稼働年数</t>
  </si>
  <si>
    <t>単価</t>
  </si>
  <si>
    <t>数量</t>
  </si>
  <si>
    <t>単位</t>
  </si>
  <si>
    <t>時価等</t>
  </si>
  <si>
    <t>減価償却累計額</t>
  </si>
  <si>
    <t>減価償却年額</t>
  </si>
  <si>
    <t>異動前簿価</t>
  </si>
  <si>
    <t>簿価</t>
  </si>
  <si>
    <t>開始取得価額等</t>
  </si>
  <si>
    <t>供用開始額</t>
  </si>
  <si>
    <t>現況地目</t>
  </si>
  <si>
    <t>地区</t>
  </si>
  <si>
    <t>路線番号</t>
  </si>
  <si>
    <t>登記地目</t>
  </si>
  <si>
    <t>登記面積</t>
  </si>
  <si>
    <t>登記日</t>
  </si>
  <si>
    <t>評価地目</t>
  </si>
  <si>
    <t>構造</t>
  </si>
  <si>
    <t>屋根</t>
  </si>
  <si>
    <t>地上階数</t>
  </si>
  <si>
    <t>地下階数</t>
  </si>
  <si>
    <t>建面積</t>
  </si>
  <si>
    <t>分類</t>
  </si>
  <si>
    <t>重要区分</t>
  </si>
  <si>
    <t>種目</t>
  </si>
  <si>
    <t>権利</t>
  </si>
  <si>
    <t>樹齢</t>
  </si>
  <si>
    <t>幅員</t>
  </si>
  <si>
    <t>財産番号（旧）</t>
  </si>
  <si>
    <t>明細番号（旧）</t>
  </si>
  <si>
    <t>自由入力３</t>
  </si>
  <si>
    <t>自由入力４</t>
  </si>
  <si>
    <t>自由入力５</t>
  </si>
  <si>
    <t>自由入力６</t>
  </si>
  <si>
    <t>自由入力７</t>
  </si>
  <si>
    <t>自由入力８</t>
  </si>
  <si>
    <t>自由入力９</t>
  </si>
  <si>
    <t>自由入力１０</t>
  </si>
  <si>
    <t>自由入力１１</t>
  </si>
  <si>
    <t>自由入力１２</t>
  </si>
  <si>
    <t>自由入力１３</t>
  </si>
  <si>
    <t>自由入力１４</t>
  </si>
  <si>
    <t>自由入力１５</t>
  </si>
  <si>
    <t>自由入力１６</t>
  </si>
  <si>
    <t>自由入力１７</t>
  </si>
  <si>
    <t>自由入力１８</t>
  </si>
  <si>
    <t>自由入力１９</t>
  </si>
  <si>
    <t>自由入力２０</t>
  </si>
  <si>
    <t>自由入力２１</t>
  </si>
  <si>
    <t>自由入力２２</t>
  </si>
  <si>
    <t>自由入力２３</t>
  </si>
  <si>
    <t>自由入力２４</t>
  </si>
  <si>
    <t>自由入力２５</t>
  </si>
  <si>
    <t>自由入力２６</t>
  </si>
  <si>
    <t>自由入力２７</t>
  </si>
  <si>
    <t>自由入力２８</t>
  </si>
  <si>
    <t>自由入力２９</t>
  </si>
  <si>
    <t>自由入力３０</t>
  </si>
  <si>
    <t>自由入力３１</t>
  </si>
  <si>
    <t>自由入力３２</t>
  </si>
  <si>
    <t>自由入力３３</t>
  </si>
  <si>
    <t>自由入力３４</t>
  </si>
  <si>
    <t>自由入力３５</t>
  </si>
  <si>
    <t>自由入力３６</t>
  </si>
  <si>
    <t>自由入力３７</t>
  </si>
  <si>
    <t>自由入力３８</t>
  </si>
  <si>
    <t>自由入力３９</t>
  </si>
  <si>
    <t>自由入力４０</t>
  </si>
  <si>
    <t>自由入力４１</t>
  </si>
  <si>
    <t>自由入力４２</t>
  </si>
  <si>
    <t>自由入力４３</t>
  </si>
  <si>
    <t>自由入力４４</t>
  </si>
  <si>
    <t>自由入力４５</t>
  </si>
  <si>
    <t>自由入力４６</t>
  </si>
  <si>
    <t>自由入力４７</t>
  </si>
  <si>
    <t>自由入力４８</t>
  </si>
  <si>
    <t>自由入力４９</t>
  </si>
  <si>
    <t>自由入力５０</t>
  </si>
  <si>
    <t>自由入力５１</t>
  </si>
  <si>
    <t>自由入力５２</t>
  </si>
  <si>
    <t>自由入力５３</t>
  </si>
  <si>
    <t>自由入力５４</t>
  </si>
  <si>
    <t>自由入力５５</t>
  </si>
  <si>
    <t>自由入力５６</t>
  </si>
  <si>
    <t>自由入力５７</t>
  </si>
  <si>
    <t>自由入力５８</t>
  </si>
  <si>
    <t>自由入力５９</t>
  </si>
  <si>
    <t>自由入力６０</t>
  </si>
  <si>
    <t>自由入力６１</t>
  </si>
  <si>
    <t>自由入力６２</t>
  </si>
  <si>
    <t>自由入力６３</t>
  </si>
  <si>
    <t>自由入力６４</t>
  </si>
  <si>
    <t>自由入力６５</t>
  </si>
  <si>
    <t>自由入力６６</t>
  </si>
  <si>
    <t>自由入力６７</t>
  </si>
  <si>
    <t>自由入力６８</t>
  </si>
  <si>
    <t>自由入力６９</t>
  </si>
  <si>
    <t>自由入力７０</t>
  </si>
  <si>
    <t>追加項目１</t>
  </si>
  <si>
    <t>追加項目２</t>
  </si>
  <si>
    <t>追加項目３</t>
  </si>
  <si>
    <t>追加項目４</t>
  </si>
  <si>
    <t>追加項目５</t>
  </si>
  <si>
    <t>追加項目６</t>
  </si>
  <si>
    <t>追加項目７</t>
  </si>
  <si>
    <t>追加項目８</t>
  </si>
  <si>
    <t>追加項目９</t>
  </si>
  <si>
    <t>追加項目１０</t>
  </si>
  <si>
    <t>追加項目１１</t>
  </si>
  <si>
    <t>追加項目１２</t>
  </si>
  <si>
    <t>追加項目１３</t>
  </si>
  <si>
    <t>追加項目１４</t>
  </si>
  <si>
    <t>追加項目１５</t>
  </si>
  <si>
    <t>追加項目１６</t>
  </si>
  <si>
    <t>追加項目１７</t>
  </si>
  <si>
    <t>追加項目１８</t>
  </si>
  <si>
    <t>追加項目１９</t>
  </si>
  <si>
    <t>追加項目２０</t>
  </si>
  <si>
    <t>追加項目２１</t>
  </si>
  <si>
    <t>追加項目２２</t>
  </si>
  <si>
    <t>追加項目２３</t>
  </si>
  <si>
    <t>追加項目２４</t>
  </si>
  <si>
    <t>追加項目２５</t>
  </si>
  <si>
    <t>追加項目２６</t>
  </si>
  <si>
    <t>追加項目２７</t>
  </si>
  <si>
    <t>追加項目２８</t>
  </si>
  <si>
    <t>追加項目２９</t>
  </si>
  <si>
    <t>追加項目３０</t>
  </si>
  <si>
    <t>耐震診断状況(建物)</t>
  </si>
  <si>
    <t>耐震化状況(建物)</t>
  </si>
  <si>
    <t>長寿命化履歴</t>
  </si>
  <si>
    <t>複合化状況</t>
  </si>
  <si>
    <t>利用者数(件数)</t>
  </si>
  <si>
    <t>稼働率</t>
  </si>
  <si>
    <t>運営方式</t>
  </si>
  <si>
    <t>運営時間</t>
  </si>
  <si>
    <t>職員人数</t>
  </si>
  <si>
    <t>ランニングコスト</t>
  </si>
  <si>
    <t>第１資産負債属性情報</t>
  </si>
  <si>
    <t>第２資産負債属性情報</t>
  </si>
  <si>
    <t>第３資産負債属性情報</t>
  </si>
  <si>
    <t>第４資産負債属性情報</t>
  </si>
  <si>
    <t>第５資産負債属性情報</t>
  </si>
  <si>
    <t>建物明細一覧</t>
  </si>
  <si>
    <t>02:公有財産建物台帳</t>
  </si>
  <si>
    <t/>
  </si>
  <si>
    <t>ポンプ置場</t>
  </si>
  <si>
    <t>13:事業用資産／建物</t>
  </si>
  <si>
    <t>0:その他</t>
  </si>
  <si>
    <t>001122:石越支団第4分団第3班ポンプ置場（第9区）</t>
  </si>
  <si>
    <t>6:消防（消防）</t>
  </si>
  <si>
    <t>7010300000:消防本部警防課</t>
  </si>
  <si>
    <t>1900/01/01</t>
  </si>
  <si>
    <t>2016/03/31</t>
  </si>
  <si>
    <t>消防ポンプ格納施設</t>
  </si>
  <si>
    <t>0:通常</t>
  </si>
  <si>
    <t>100</t>
  </si>
  <si>
    <t>石越町北郷字長下田139-1</t>
  </si>
  <si>
    <t>0:計上対象</t>
  </si>
  <si>
    <t>0:自己資産</t>
  </si>
  <si>
    <t>1:行政財産</t>
  </si>
  <si>
    <t>0:売却不可資産</t>
  </si>
  <si>
    <t>01_01_02</t>
  </si>
  <si>
    <t>2018</t>
  </si>
  <si>
    <t>2019/03/31</t>
  </si>
  <si>
    <t>25:訂正</t>
  </si>
  <si>
    <t>3103:運用開始時</t>
  </si>
  <si>
    <t>001</t>
  </si>
  <si>
    <t>01</t>
  </si>
  <si>
    <t>2:再調達原価</t>
  </si>
  <si>
    <t>0:個別評価</t>
  </si>
  <si>
    <t>1900/04/01</t>
  </si>
  <si>
    <t>0:償却対象</t>
  </si>
  <si>
    <t>0:翌年度から開始</t>
  </si>
  <si>
    <t>1:一円残しする</t>
  </si>
  <si>
    <t>1070000:事業用／建物</t>
  </si>
  <si>
    <t>5:倉庫・物置</t>
  </si>
  <si>
    <t>11:軽量鉄骨造</t>
  </si>
  <si>
    <t>24</t>
  </si>
  <si>
    <t>116</t>
  </si>
  <si>
    <t>01:平方メートル</t>
  </si>
  <si>
    <t>1</t>
  </si>
  <si>
    <t>0</t>
  </si>
  <si>
    <t>0030111</t>
  </si>
  <si>
    <t>本庁舎</t>
  </si>
  <si>
    <t>001309:登米市東和総合支所</t>
  </si>
  <si>
    <t>7:総務（総務）</t>
  </si>
  <si>
    <t>1055100000:東和総合支所市民課</t>
  </si>
  <si>
    <t>1997/01/23</t>
  </si>
  <si>
    <t>東和町米川字六反55-1</t>
  </si>
  <si>
    <t>0.0000000000</t>
  </si>
  <si>
    <t>1:開始資産</t>
  </si>
  <si>
    <t>2021</t>
  </si>
  <si>
    <t>2022/03/31</t>
  </si>
  <si>
    <t>11:減価償却</t>
  </si>
  <si>
    <t>1:取得価額等</t>
  </si>
  <si>
    <t>1997/04/01</t>
  </si>
  <si>
    <t>0:新規資産</t>
  </si>
  <si>
    <t>1:庁舎</t>
  </si>
  <si>
    <t>2:鉄筋コンクリート</t>
  </si>
  <si>
    <t>50</t>
  </si>
  <si>
    <t>3</t>
  </si>
  <si>
    <t>0100002</t>
  </si>
  <si>
    <t>AsyzAP本庁舎 PPP元キー:00000002-0000000281-1</t>
  </si>
  <si>
    <t>6</t>
  </si>
  <si>
    <t>001311:登米市米山総合支所</t>
  </si>
  <si>
    <t>1070100000:米山総合支所市民課</t>
  </si>
  <si>
    <t>1974/11/20</t>
  </si>
  <si>
    <t>米山町西野字的場181</t>
  </si>
  <si>
    <t>1975/04/01</t>
  </si>
  <si>
    <t>46</t>
  </si>
  <si>
    <t>0100004</t>
  </si>
  <si>
    <t>AsyzAP本庁舎 PPP元キー:00000002-0000000291-1</t>
  </si>
  <si>
    <t>001312:登米市石越総合支所・防災センター</t>
  </si>
  <si>
    <t>1075100000:石越総合支所市民課</t>
  </si>
  <si>
    <t>1998/10/31</t>
  </si>
  <si>
    <t>石越町南郷字愛宕81</t>
  </si>
  <si>
    <t>1999/04/01</t>
  </si>
  <si>
    <t>22</t>
  </si>
  <si>
    <t>0100005</t>
  </si>
  <si>
    <t>AsyzAP本庁舎 PPP元キー:00000002-0000000292-1</t>
  </si>
  <si>
    <t>001314:登米市津山総合支所</t>
  </si>
  <si>
    <t>1085100000:津山総合支所市民課</t>
  </si>
  <si>
    <t>2008/03/31</t>
  </si>
  <si>
    <t>津山町柳津字本町218</t>
  </si>
  <si>
    <t>2008/04/01</t>
  </si>
  <si>
    <t>13</t>
  </si>
  <si>
    <t>2</t>
  </si>
  <si>
    <t>0100007</t>
  </si>
  <si>
    <t>AsyzAP本庁舎 PPP元キー:00000002-0000000296-1</t>
  </si>
  <si>
    <t>99:その他</t>
  </si>
  <si>
    <t>001552:長沼フートピア公園</t>
  </si>
  <si>
    <t>1015150000:観光シティプロモーション課</t>
  </si>
  <si>
    <t>2020/03/27</t>
  </si>
  <si>
    <t>迫町北方字天形161-84</t>
  </si>
  <si>
    <t>2020/04/01</t>
  </si>
  <si>
    <t>28:便所</t>
  </si>
  <si>
    <t>38</t>
  </si>
  <si>
    <t>0210001</t>
  </si>
  <si>
    <t>20</t>
  </si>
  <si>
    <t>4</t>
  </si>
  <si>
    <t>トイレ</t>
  </si>
  <si>
    <t>1:生活インフラ・国土保全（生活インフラ・国土保全）</t>
  </si>
  <si>
    <t>1997/03/31</t>
  </si>
  <si>
    <t>便所</t>
  </si>
  <si>
    <t>7</t>
  </si>
  <si>
    <t>駐車場トイレ</t>
  </si>
  <si>
    <t>8</t>
  </si>
  <si>
    <t>1040300000:住宅都市整備課</t>
  </si>
  <si>
    <t>2007/03/31</t>
  </si>
  <si>
    <t>2007/04/01</t>
  </si>
  <si>
    <t>12:木造</t>
  </si>
  <si>
    <t>15</t>
  </si>
  <si>
    <t>14</t>
  </si>
  <si>
    <t>2016/04/01</t>
  </si>
  <si>
    <t>5</t>
  </si>
  <si>
    <t>2010/04/01</t>
  </si>
  <si>
    <t>11</t>
  </si>
  <si>
    <t>1994/03/31</t>
  </si>
  <si>
    <t>1994/04/01</t>
  </si>
  <si>
    <t>5:コンクリートブロック</t>
  </si>
  <si>
    <t>34</t>
  </si>
  <si>
    <t>27</t>
  </si>
  <si>
    <t>2000/03/31</t>
  </si>
  <si>
    <t>2000/04/01</t>
  </si>
  <si>
    <t>21</t>
  </si>
  <si>
    <t>2010/03/15</t>
  </si>
  <si>
    <t>2003/03/31</t>
  </si>
  <si>
    <t>2003/04/01</t>
  </si>
  <si>
    <t>18</t>
  </si>
  <si>
    <t>1978/03/31</t>
  </si>
  <si>
    <t>2015</t>
  </si>
  <si>
    <t>1978/04/01</t>
  </si>
  <si>
    <t>2000/03/01</t>
  </si>
  <si>
    <t>2018/11/02</t>
  </si>
  <si>
    <t>16</t>
  </si>
  <si>
    <t>1975/03/31</t>
  </si>
  <si>
    <t>41</t>
  </si>
  <si>
    <t>2016</t>
  </si>
  <si>
    <t>2017/03/31</t>
  </si>
  <si>
    <t>1995/04/01</t>
  </si>
  <si>
    <t>2017</t>
  </si>
  <si>
    <t>2018/03/31</t>
  </si>
  <si>
    <t>19</t>
  </si>
  <si>
    <t>2017/12/27</t>
  </si>
  <si>
    <t>1982/03/31</t>
  </si>
  <si>
    <t>1982/04/01</t>
  </si>
  <si>
    <t>1990/04/01</t>
  </si>
  <si>
    <t>26</t>
  </si>
  <si>
    <t>1997/03/01</t>
  </si>
  <si>
    <t>1996/02/01</t>
  </si>
  <si>
    <t>1996/04/01</t>
  </si>
  <si>
    <t>2017/10/30</t>
  </si>
  <si>
    <t>2019/03/14</t>
  </si>
  <si>
    <t>1988/04/01</t>
  </si>
  <si>
    <t>28</t>
  </si>
  <si>
    <t>1977/04/01</t>
  </si>
  <si>
    <t>39</t>
  </si>
  <si>
    <t>南方町新大村前5</t>
  </si>
  <si>
    <t>南方町照井225-1</t>
  </si>
  <si>
    <t>1035400000:農林振興課</t>
  </si>
  <si>
    <t>1987/03/31</t>
  </si>
  <si>
    <t>1987/04/01</t>
  </si>
  <si>
    <t>29</t>
  </si>
  <si>
    <t>1999/03/31</t>
  </si>
  <si>
    <t>17</t>
  </si>
  <si>
    <t>石越町南郷字高森</t>
  </si>
  <si>
    <t>0301:所管換</t>
  </si>
  <si>
    <t>25</t>
  </si>
  <si>
    <t>2018/03/30</t>
  </si>
  <si>
    <t>1035500000:地域ビジネス支援課</t>
  </si>
  <si>
    <t>2005/04/01</t>
  </si>
  <si>
    <t>30</t>
  </si>
  <si>
    <t>12</t>
  </si>
  <si>
    <t>3102:調査判明（増）</t>
  </si>
  <si>
    <t>47:住宅</t>
  </si>
  <si>
    <t>40</t>
  </si>
  <si>
    <t>2018/04/01</t>
  </si>
  <si>
    <t>機械室</t>
  </si>
  <si>
    <t>49:建物付属設備</t>
  </si>
  <si>
    <t>3:給排水又は衛生設備及びガス設備</t>
  </si>
  <si>
    <t>9</t>
  </si>
  <si>
    <t>1060100000:中田総合支所市民課</t>
  </si>
  <si>
    <t>中田町上沼字西桜場18</t>
  </si>
  <si>
    <t>2016/07/31</t>
  </si>
  <si>
    <t>2019/04/01</t>
  </si>
  <si>
    <t>2:電気設備/その他のもの</t>
  </si>
  <si>
    <t>高圧受電設備改修</t>
  </si>
  <si>
    <t>3010150000:生涯学習課</t>
  </si>
  <si>
    <t>2017/09/07</t>
  </si>
  <si>
    <t>2021/04/01</t>
  </si>
  <si>
    <t>10</t>
  </si>
  <si>
    <t>4:冷房又は暖房設備/冷暖房設備</t>
  </si>
  <si>
    <t>倉庫</t>
  </si>
  <si>
    <t>物置</t>
  </si>
  <si>
    <t>001571:南方花菖蒲の郷公園</t>
  </si>
  <si>
    <t>南方町翌沢70</t>
  </si>
  <si>
    <t>0210020</t>
  </si>
  <si>
    <t>1974/03/31</t>
  </si>
  <si>
    <t>豊里町小口前80</t>
  </si>
  <si>
    <t>1974/04/01</t>
  </si>
  <si>
    <t>42</t>
  </si>
  <si>
    <t>1992/03/31</t>
  </si>
  <si>
    <t>1992/04/01</t>
  </si>
  <si>
    <t>その他の施設</t>
  </si>
  <si>
    <t>31</t>
  </si>
  <si>
    <t>2004/03/31</t>
  </si>
  <si>
    <t>2017/12/08</t>
  </si>
  <si>
    <t>その他体育施設</t>
  </si>
  <si>
    <t>東和町錦織字山居沢83-の内</t>
  </si>
  <si>
    <t>2004/04/01</t>
  </si>
  <si>
    <t>2001/03/31</t>
  </si>
  <si>
    <t>中田町宝江黒沼字浦38-3</t>
  </si>
  <si>
    <t>2001/04/01</t>
  </si>
  <si>
    <t>2018/12/12</t>
  </si>
  <si>
    <t>1993/03/31</t>
  </si>
  <si>
    <t>1993/04/01</t>
  </si>
  <si>
    <t>23</t>
  </si>
  <si>
    <t>車庫</t>
  </si>
  <si>
    <t>8:車庫</t>
  </si>
  <si>
    <t>9:食堂・調理室</t>
  </si>
  <si>
    <t>001001:登米市役所迫庁舎</t>
  </si>
  <si>
    <t>1045100000:迫総合支所市民課</t>
  </si>
  <si>
    <t>1975/01/23</t>
  </si>
  <si>
    <t>迫町佐沼字中江二丁目6-1</t>
  </si>
  <si>
    <t>0010001</t>
  </si>
  <si>
    <t>AsyzAP本庁舎 PPP元キー:00000002-0000000001-1</t>
  </si>
  <si>
    <t>図書館</t>
  </si>
  <si>
    <t>001727:迫図書館</t>
  </si>
  <si>
    <t>2:教育（教育）</t>
  </si>
  <si>
    <t>1990/11/30</t>
  </si>
  <si>
    <t>迫町佐沼字上舟丁20-1</t>
  </si>
  <si>
    <t>1991/04/01</t>
  </si>
  <si>
    <t>0360001</t>
  </si>
  <si>
    <t>AsyzAP図書館 PPP元キー:00000002-0000001354-1</t>
  </si>
  <si>
    <t>001003:登米市役所中田庁舎</t>
  </si>
  <si>
    <t>1987/09/01</t>
  </si>
  <si>
    <t>33</t>
  </si>
  <si>
    <t>0010003</t>
  </si>
  <si>
    <t>AsyzAP本庁舎 PPP元キー:00000002-0000000009-1</t>
  </si>
  <si>
    <t>電算室：屋根（改修）</t>
  </si>
  <si>
    <t>001002:登米市電算室</t>
  </si>
  <si>
    <t>1010700000:財政経営課</t>
  </si>
  <si>
    <t>2017/12/26</t>
  </si>
  <si>
    <t>0010002</t>
  </si>
  <si>
    <t>AsyzAP屋根 PPP元キー:00000002-0000000006-1</t>
  </si>
  <si>
    <t>001004:登米市役所南方庁舎</t>
  </si>
  <si>
    <t>1080100000:南方総合支所市民課</t>
  </si>
  <si>
    <t>2004/10/30</t>
  </si>
  <si>
    <t>2018/08/30</t>
  </si>
  <si>
    <t>南方町新高石浦130</t>
  </si>
  <si>
    <t>10:鉄骨造</t>
  </si>
  <si>
    <t>0010004</t>
  </si>
  <si>
    <t>AsyzAP本庁舎 PPP元キー:00000002-0000000019-1</t>
  </si>
  <si>
    <t>不老仙館</t>
  </si>
  <si>
    <t>001750:不老仙館</t>
  </si>
  <si>
    <t>その他の博物館</t>
  </si>
  <si>
    <t>東和町米谷字ぜん荷65</t>
  </si>
  <si>
    <t>2018/12/28</t>
  </si>
  <si>
    <t>10:陳列所・展示室</t>
  </si>
  <si>
    <t>0390004</t>
  </si>
  <si>
    <t>寿庵文庫</t>
  </si>
  <si>
    <t>001755:寿庵文庫</t>
  </si>
  <si>
    <t>東和町米川字東綱木32-1-地内</t>
  </si>
  <si>
    <t>01_01_09</t>
  </si>
  <si>
    <t>0390009</t>
  </si>
  <si>
    <t>物産館</t>
  </si>
  <si>
    <t>001840:豊里地域産物活用施設（がんばる館）</t>
  </si>
  <si>
    <t>5:産業振興（産業振興）</t>
  </si>
  <si>
    <t>農業関連施設</t>
  </si>
  <si>
    <t>豊里町上屋浦16</t>
  </si>
  <si>
    <t>0590001</t>
  </si>
  <si>
    <t>AsyzAP農業関連施設 PPP元キー:00000002-0000001559-1</t>
  </si>
  <si>
    <t>歴史博物館</t>
  </si>
  <si>
    <t>001746:南方歴史民俗資料館</t>
  </si>
  <si>
    <t>1972/04/01</t>
  </si>
  <si>
    <t>南方町八の森40-1</t>
  </si>
  <si>
    <t>1973/04/01</t>
  </si>
  <si>
    <t>48</t>
  </si>
  <si>
    <t>0380001</t>
  </si>
  <si>
    <t>AsyzAP歴史博物館 PPP元キー:00000002-0000001393-1</t>
  </si>
  <si>
    <t>美術館</t>
  </si>
  <si>
    <t>001751:登米市高倉勝子美術館</t>
  </si>
  <si>
    <t>2009/09/04</t>
  </si>
  <si>
    <t>登米町寺池桜小路88-1</t>
  </si>
  <si>
    <t>0390005</t>
  </si>
  <si>
    <t>AsyzAPその他の博物館 PPP元キー:00000002-0000001399-1</t>
  </si>
  <si>
    <t>記念館</t>
  </si>
  <si>
    <t>001752:石ノ森章太郎ふるさと記念館</t>
  </si>
  <si>
    <t>2000/07/11</t>
  </si>
  <si>
    <t>中田町石森字町132</t>
  </si>
  <si>
    <t>0390006</t>
  </si>
  <si>
    <t>AsyzAPその他の博物館 PPP元キー:00000002-0000001400-1</t>
  </si>
  <si>
    <t>直売施設</t>
  </si>
  <si>
    <t>001931:木工品販売施設（野菜販売施設・情報センター）</t>
  </si>
  <si>
    <t>2003/10/16</t>
  </si>
  <si>
    <t>観光物産施設</t>
  </si>
  <si>
    <t>津山町横山字細屋17-1-他1筆</t>
  </si>
  <si>
    <t>0710039</t>
  </si>
  <si>
    <t>AsyzAP観光物産施設 PPP元キー:00000002-0000001668-1</t>
  </si>
  <si>
    <t>石ノ森章太郎生家</t>
  </si>
  <si>
    <t>001753:石ノ森章太郎生家</t>
  </si>
  <si>
    <t>2001/03/15</t>
  </si>
  <si>
    <t>中田町石森字町119-1</t>
  </si>
  <si>
    <t>0390007</t>
  </si>
  <si>
    <t>AsyzAPその他の博物館 PPP元キー:00000002-0000001403-1</t>
  </si>
  <si>
    <t>産地形成促進施設</t>
  </si>
  <si>
    <t>001856:米山産地形成促進施設</t>
  </si>
  <si>
    <t>1997/03/25</t>
  </si>
  <si>
    <t>米山町西野字新遠田67</t>
  </si>
  <si>
    <t>0680001</t>
  </si>
  <si>
    <t>増築</t>
  </si>
  <si>
    <t>001754:登米懐古館</t>
  </si>
  <si>
    <t>1989/03/01</t>
  </si>
  <si>
    <t>登米町寺池桜小路103-9</t>
  </si>
  <si>
    <t>1989/04/01</t>
  </si>
  <si>
    <t>32</t>
  </si>
  <si>
    <t>0390008</t>
  </si>
  <si>
    <t>AsyzAPその他の博物館 PPP元キー:00000002-0000001404-1</t>
  </si>
  <si>
    <t>本館</t>
  </si>
  <si>
    <t>001949:平筒沼農村文化自然学習館</t>
  </si>
  <si>
    <t>2004/07/01</t>
  </si>
  <si>
    <t>豊里町久寿田64-2</t>
  </si>
  <si>
    <t>0710057</t>
  </si>
  <si>
    <t>AsyzAPその他の施設 PPP元キー:00000002-0000001686-1</t>
  </si>
  <si>
    <t>登米懐古館</t>
  </si>
  <si>
    <t>001756:新登米懐古館</t>
  </si>
  <si>
    <t>3010180000:文化財文化振興室</t>
  </si>
  <si>
    <t>2019/09/03</t>
  </si>
  <si>
    <t>0390010</t>
  </si>
  <si>
    <t>AsyzAP PPP元キー:00000002-0000001409-1</t>
  </si>
  <si>
    <t>2009/04/01</t>
  </si>
  <si>
    <t>AsyzAP産地形成促進施設 PPP元キー:00000002-0000001587-1</t>
  </si>
  <si>
    <t>伝統芸能伝承館</t>
  </si>
  <si>
    <t>001951:伝統芸能伝承館</t>
  </si>
  <si>
    <t>1995/10/19</t>
  </si>
  <si>
    <t>登米町寺池上町42</t>
  </si>
  <si>
    <t>0710059</t>
  </si>
  <si>
    <t>AsyzAPその他の施設 PPP元キー:00000002-0000001692-1</t>
  </si>
  <si>
    <t>資料館</t>
  </si>
  <si>
    <t>002454:旧石越民俗資料館</t>
  </si>
  <si>
    <t>石越町北郷字長根134</t>
  </si>
  <si>
    <t>0:普通財産</t>
  </si>
  <si>
    <t>01_02_04</t>
  </si>
  <si>
    <t>0790147</t>
  </si>
  <si>
    <t>001857:南方産地形成促進施設</t>
  </si>
  <si>
    <t>2005/02/18</t>
  </si>
  <si>
    <t>2018/03/13</t>
  </si>
  <si>
    <t>南方町新高石浦150-1</t>
  </si>
  <si>
    <t>0680002</t>
  </si>
  <si>
    <t>AsyzAP産地形成促進施設 PPP元キー:00000002-0000001589-1</t>
  </si>
  <si>
    <t>001749:教育資料館</t>
  </si>
  <si>
    <t>登米町寺池桜小路6</t>
  </si>
  <si>
    <t>0390003</t>
  </si>
  <si>
    <t>地域活性化施設</t>
  </si>
  <si>
    <t>001858:道の駅三滝堂産地形成促進施設</t>
  </si>
  <si>
    <t>東和町米谷字福平191-1</t>
  </si>
  <si>
    <t>2017/04/01</t>
  </si>
  <si>
    <t>0680003</t>
  </si>
  <si>
    <t>AsyzAP観光物産施設 PPP元キー:00000002-0000001596-1</t>
  </si>
  <si>
    <t>001859:登米物産館</t>
  </si>
  <si>
    <t>2009/01/30</t>
  </si>
  <si>
    <t>仙台市青葉区堤町一丁目5-26</t>
  </si>
  <si>
    <t>0690001</t>
  </si>
  <si>
    <t>AsyzAP観光物産施設 PPP元キー:00000002-0000001597-1</t>
  </si>
  <si>
    <t>001860:とよま観光物産センター</t>
  </si>
  <si>
    <t>1999/11/30</t>
  </si>
  <si>
    <t>登米町寺池桜小路2</t>
  </si>
  <si>
    <t>0690002</t>
  </si>
  <si>
    <t>AsyzAP観光物産施設 PPP元キー:00000002-0000001599-1</t>
  </si>
  <si>
    <t>霊屋</t>
  </si>
  <si>
    <t>001954:天山公廟（覚乗寺高台院霊屋）</t>
  </si>
  <si>
    <t>登米町寺池上町35-1</t>
  </si>
  <si>
    <t>0710062</t>
  </si>
  <si>
    <t>懐古館</t>
  </si>
  <si>
    <t>1961/10/01</t>
  </si>
  <si>
    <t>1962/04/01</t>
  </si>
  <si>
    <t>54</t>
  </si>
  <si>
    <t>林林館</t>
  </si>
  <si>
    <t>001861:東和物産館（林林館）</t>
  </si>
  <si>
    <t>東和町米川字六反55-1-の内</t>
  </si>
  <si>
    <t>0690003</t>
  </si>
  <si>
    <t>001863:津山観光物産センター</t>
  </si>
  <si>
    <t>津山町柳津字谷木211-2</t>
  </si>
  <si>
    <t>0690005</t>
  </si>
  <si>
    <t>001748:警察資料館</t>
  </si>
  <si>
    <t>登米町寺池中町3</t>
  </si>
  <si>
    <t>0390002</t>
  </si>
  <si>
    <t>水沢県庁記念館</t>
  </si>
  <si>
    <t>001950:水沢県庁記念館</t>
  </si>
  <si>
    <t>登米町寺池桜小路1-5</t>
  </si>
  <si>
    <t>0710058</t>
  </si>
  <si>
    <t>郷土文化保存伝習館</t>
  </si>
  <si>
    <t>001929:郷土文化保存伝習館</t>
  </si>
  <si>
    <t>津山町横山字細屋24</t>
  </si>
  <si>
    <t>0710037</t>
  </si>
  <si>
    <t>001925:とよま玄昌石の館</t>
  </si>
  <si>
    <t>登米町寺池中町1</t>
  </si>
  <si>
    <t>0710033</t>
  </si>
  <si>
    <t>001921:春蘭亭</t>
  </si>
  <si>
    <t>登米町寺池桜小路79</t>
  </si>
  <si>
    <t>0710029</t>
  </si>
  <si>
    <t>新ゲームハウス</t>
  </si>
  <si>
    <t>001792:パークゴルフ場整備用地</t>
  </si>
  <si>
    <t>2019/02/22</t>
  </si>
  <si>
    <t>0440022</t>
  </si>
  <si>
    <t>AsyzAP PPP元キー:00000002-0000001475-1</t>
  </si>
  <si>
    <t>活性化施設</t>
  </si>
  <si>
    <t>001862:東和活性化施設</t>
  </si>
  <si>
    <t>2003/03/14</t>
  </si>
  <si>
    <t>東和町米川字六反33-1</t>
  </si>
  <si>
    <t>0690004</t>
  </si>
  <si>
    <t>AsyzAP観光物産施設 PPP元キー:00000002-0000001603-1</t>
  </si>
  <si>
    <t>2015/06/22</t>
  </si>
  <si>
    <t>AsyzAP農業関連施設 PPP元キー:00000002-0000001560-1</t>
  </si>
  <si>
    <t>校舎</t>
  </si>
  <si>
    <t>001375:新田中学校</t>
  </si>
  <si>
    <t>3010090000:学校教育課</t>
  </si>
  <si>
    <t>迫町新田字山居37-1</t>
  </si>
  <si>
    <t>11:校舎・園舎</t>
  </si>
  <si>
    <t>0160002</t>
  </si>
  <si>
    <t>AsyzAP校舎 PPP元キー:00000002-0000000551-1</t>
  </si>
  <si>
    <t>園舎</t>
  </si>
  <si>
    <t>002358:旧新田第二幼稚園</t>
  </si>
  <si>
    <t>1984/02/20</t>
  </si>
  <si>
    <t>迫町新田字対馬51-47</t>
  </si>
  <si>
    <t>1984/04/01</t>
  </si>
  <si>
    <t>0790051</t>
  </si>
  <si>
    <t>001377:登米中学校</t>
  </si>
  <si>
    <t>1985/07/31</t>
  </si>
  <si>
    <t>登米町大字日根牛小川向8-4</t>
  </si>
  <si>
    <t>1986/04/01</t>
  </si>
  <si>
    <t>47</t>
  </si>
  <si>
    <t>35</t>
  </si>
  <si>
    <t>0160004</t>
  </si>
  <si>
    <t>AsyzAP校舎 PPP元キー:00000002-0000000562-1</t>
  </si>
  <si>
    <t>002324:旧鱒淵小学校</t>
  </si>
  <si>
    <t>1010300000:総務課</t>
  </si>
  <si>
    <t>1994/07/31</t>
  </si>
  <si>
    <t>東和町米川字寺内31-1</t>
  </si>
  <si>
    <t>0790017</t>
  </si>
  <si>
    <t>001383:南方中学校</t>
  </si>
  <si>
    <t>2018/02/08</t>
  </si>
  <si>
    <t>南方町西山成前21-1</t>
  </si>
  <si>
    <t>0160010</t>
  </si>
  <si>
    <t>AsyzAP校舎 PPP元キー:00000002-0000000618-1</t>
  </si>
  <si>
    <t>1976/12/20</t>
  </si>
  <si>
    <t>44</t>
  </si>
  <si>
    <t>AsyzAP校舎 PPP元キー:00000002-0000000617-1</t>
  </si>
  <si>
    <t>001378:東和中学校</t>
  </si>
  <si>
    <t>1976/04/30</t>
  </si>
  <si>
    <t>東和町米谷字細野35</t>
  </si>
  <si>
    <t>0160005</t>
  </si>
  <si>
    <t>AsyzAP校舎 PPP元キー:00000002-0000000572-1</t>
  </si>
  <si>
    <t>001382:石越中学校</t>
  </si>
  <si>
    <t>2014/03/20</t>
  </si>
  <si>
    <t>石越町南郷字矢作48</t>
  </si>
  <si>
    <t>2014/04/01</t>
  </si>
  <si>
    <t>0160009</t>
  </si>
  <si>
    <t>AsyzAP校舎 PPP元キー:00000002-0000000614-1</t>
  </si>
  <si>
    <t>001379:中田中学校</t>
  </si>
  <si>
    <t>2002/12/28</t>
  </si>
  <si>
    <t>中田町宝江黒沼字新西野70</t>
  </si>
  <si>
    <t>0160006</t>
  </si>
  <si>
    <t>AsyzAP校舎 PPP元キー:00000002-0000000583-1</t>
  </si>
  <si>
    <t>校舎：手摺</t>
  </si>
  <si>
    <t>001381:米山中学校</t>
  </si>
  <si>
    <t>2019/01/17</t>
  </si>
  <si>
    <t>米山町西野字西小路2</t>
  </si>
  <si>
    <t>0160008</t>
  </si>
  <si>
    <t>AsyzAP PPP元キー:00000002-0000000610-1</t>
  </si>
  <si>
    <t>001380:豊里中学校</t>
  </si>
  <si>
    <t>1982/06/30</t>
  </si>
  <si>
    <t>豊里町上町裏100</t>
  </si>
  <si>
    <t>1983/04/01</t>
  </si>
  <si>
    <t>0160007</t>
  </si>
  <si>
    <t>AsyzAP校舎 PPP元キー:00000002-0000000592-1</t>
  </si>
  <si>
    <t>001369:西郷小学校</t>
  </si>
  <si>
    <t>1974/03/20</t>
  </si>
  <si>
    <t>南方町尼池10-1</t>
  </si>
  <si>
    <t>0150019</t>
  </si>
  <si>
    <t>001370:東郷小学校</t>
  </si>
  <si>
    <t>1975/03/20</t>
  </si>
  <si>
    <t>2018/03/16</t>
  </si>
  <si>
    <t>南方町堂地193-2</t>
  </si>
  <si>
    <t>0150020</t>
  </si>
  <si>
    <t>1985/01/31</t>
  </si>
  <si>
    <t>2017/07/31</t>
  </si>
  <si>
    <t>1985/04/01</t>
  </si>
  <si>
    <t>001345:米山西幼稚園</t>
  </si>
  <si>
    <t>1977/12/20</t>
  </si>
  <si>
    <t>米山町中津山字清水24-1</t>
  </si>
  <si>
    <t>0140009</t>
  </si>
  <si>
    <t>分校校舎</t>
  </si>
  <si>
    <t>002530:旧南沢分校校舎</t>
  </si>
  <si>
    <t>1965/12/28</t>
  </si>
  <si>
    <t>津山町横山字寺倉14-2</t>
  </si>
  <si>
    <t>1966/04/01</t>
  </si>
  <si>
    <t>0800050</t>
  </si>
  <si>
    <t>図工室</t>
  </si>
  <si>
    <t>001368:南方小学校</t>
  </si>
  <si>
    <t>1997/03/20</t>
  </si>
  <si>
    <t>南方町山成95-6</t>
  </si>
  <si>
    <t>0150018</t>
  </si>
  <si>
    <t>1971/03/20</t>
  </si>
  <si>
    <t>1971/04/01</t>
  </si>
  <si>
    <t>小学校</t>
  </si>
  <si>
    <t>001357:米川小学校</t>
  </si>
  <si>
    <t>1971/08/31</t>
  </si>
  <si>
    <t>東和町米川字東綱木31-1</t>
  </si>
  <si>
    <t>0150007</t>
  </si>
  <si>
    <t>001355:米谷小学校</t>
  </si>
  <si>
    <t>1973/03/31</t>
  </si>
  <si>
    <t>東和町米谷字越路75</t>
  </si>
  <si>
    <t>01_01_05</t>
  </si>
  <si>
    <t>0150005</t>
  </si>
  <si>
    <t>001353:北方小学校</t>
  </si>
  <si>
    <t>1972/03/31</t>
  </si>
  <si>
    <t>迫町北方字富永110-5</t>
  </si>
  <si>
    <t>0150003</t>
  </si>
  <si>
    <t>001340:北方幼稚園</t>
  </si>
  <si>
    <t>2019/03/25</t>
  </si>
  <si>
    <t>迫町北方字富永109-2</t>
  </si>
  <si>
    <t>0140004</t>
  </si>
  <si>
    <t>001339:新田幼稚園</t>
  </si>
  <si>
    <t>1988/02/20</t>
  </si>
  <si>
    <t>迫町新田字山崎259-4</t>
  </si>
  <si>
    <t>01_01_04</t>
  </si>
  <si>
    <t>0140003</t>
  </si>
  <si>
    <t>AsyzAP園舎 PPP元キー:00000002-0000000329-1</t>
  </si>
  <si>
    <t>001342:中田幼稚園</t>
  </si>
  <si>
    <t>中田町宝江新井田字要害3-1</t>
  </si>
  <si>
    <t>0140006</t>
  </si>
  <si>
    <t>AsyzAP園舎 PPP元キー:00000002-0000000338-1</t>
  </si>
  <si>
    <t>AsyzAP園舎 PPP元キー:00000002-0000000339-1</t>
  </si>
  <si>
    <t>2005/03/31</t>
  </si>
  <si>
    <t>AsyzAP園舎 PPP元キー:00000002-0000000342-1</t>
  </si>
  <si>
    <t>001343:豊里幼稚園</t>
  </si>
  <si>
    <t>1984/03/31</t>
  </si>
  <si>
    <t>2017/11/08</t>
  </si>
  <si>
    <t>豊里町小口前41-1</t>
  </si>
  <si>
    <t>37</t>
  </si>
  <si>
    <t>0140007</t>
  </si>
  <si>
    <t>AsyzAP園舎 PPP元キー:00000002-0000000345-1</t>
  </si>
  <si>
    <t>001384:津山中学校</t>
  </si>
  <si>
    <t>1974/07/20</t>
  </si>
  <si>
    <t>津山町柳津字舘石6-1</t>
  </si>
  <si>
    <t>0160011</t>
  </si>
  <si>
    <t>普通財産（貸付建物）</t>
  </si>
  <si>
    <t>002131:旧桜台分校</t>
  </si>
  <si>
    <t>東和町米谷字恩田61</t>
  </si>
  <si>
    <t>01_02_01</t>
  </si>
  <si>
    <t>0760102</t>
  </si>
  <si>
    <t>1956/04/01</t>
  </si>
  <si>
    <t>1957/04/01</t>
  </si>
  <si>
    <t>59</t>
  </si>
  <si>
    <t>002134:旧浅部分校</t>
  </si>
  <si>
    <t>1953/04/01</t>
  </si>
  <si>
    <t>中田町浅水字窪田65</t>
  </si>
  <si>
    <t>1954/04/01</t>
  </si>
  <si>
    <t>62</t>
  </si>
  <si>
    <t>0760105</t>
  </si>
  <si>
    <t>001346:石越幼稚園</t>
  </si>
  <si>
    <t>1995/12/28</t>
  </si>
  <si>
    <t>0140010</t>
  </si>
  <si>
    <t>AsyzAP園舎 PPP元キー:00000002-0000000358-1</t>
  </si>
  <si>
    <t>AsyzAP園舎 PPP元キー:00000002-0000000359-1</t>
  </si>
  <si>
    <t>2005/02/28</t>
  </si>
  <si>
    <t>AsyzAP園舎 PPP元キー:00000002-0000000360-1</t>
  </si>
  <si>
    <t>001347:南方幼稚園</t>
  </si>
  <si>
    <t>1992/03/20</t>
  </si>
  <si>
    <t>0140011</t>
  </si>
  <si>
    <t>AsyzAP園舎 PPP元キー:00000002-0000000361-1</t>
  </si>
  <si>
    <t>001349:東郷幼稚園</t>
  </si>
  <si>
    <t>南方町堂地218-1</t>
  </si>
  <si>
    <t>0140013</t>
  </si>
  <si>
    <t>AsyzAP園舎 PPP元キー:00000002-0000000365-1</t>
  </si>
  <si>
    <t>AsyzAP園舎 PPP元キー:00000002-0000000366-1</t>
  </si>
  <si>
    <t>002471:旧米谷幼稚園</t>
  </si>
  <si>
    <t>2002/04/30</t>
  </si>
  <si>
    <t>東和町米谷字石橋26-1</t>
  </si>
  <si>
    <t>0790165</t>
  </si>
  <si>
    <t>AsyzAP園舎 PPP元キー:00000002-0000001831-1</t>
  </si>
  <si>
    <t>002265:旧西郷幼稚園</t>
  </si>
  <si>
    <t>南方町尼池</t>
  </si>
  <si>
    <t>0790164</t>
  </si>
  <si>
    <t>AsyzAP園舎 PPP元キー:00000002-0000001830-1</t>
  </si>
  <si>
    <t>001351:佐沼小学校</t>
  </si>
  <si>
    <t>2013/02/28</t>
  </si>
  <si>
    <t>迫町佐沼字錦108</t>
  </si>
  <si>
    <t>2013/04/01</t>
  </si>
  <si>
    <t>0150001</t>
  </si>
  <si>
    <t>AsyzAP校舎 PPP元キー:00000002-0000000373-1</t>
  </si>
  <si>
    <t>001352:新田小学校</t>
  </si>
  <si>
    <t>2019/01/31</t>
  </si>
  <si>
    <t>0150002</t>
  </si>
  <si>
    <t>AsyzAP校舎 PPP元キー:00000002-0000000378-1</t>
  </si>
  <si>
    <t>AsyzAP校舎 PPP元キー:00000002-0000000379-1</t>
  </si>
  <si>
    <t>001354:登米小学校</t>
  </si>
  <si>
    <t>43</t>
  </si>
  <si>
    <t>0150004</t>
  </si>
  <si>
    <t>AsyzAP校舎 PPP元キー:00000002-0000000390-1</t>
  </si>
  <si>
    <t>002453:旧善王寺小学校</t>
  </si>
  <si>
    <t>1981/03/31</t>
  </si>
  <si>
    <t>米山町字善王寺石神68</t>
  </si>
  <si>
    <t>1981/04/01</t>
  </si>
  <si>
    <t>0790146</t>
  </si>
  <si>
    <t>AsyzAP校舎 PPP元キー:00000002-0000001797-1</t>
  </si>
  <si>
    <t>002325:旧嵯峨立小学校</t>
  </si>
  <si>
    <t>1990/03/31</t>
  </si>
  <si>
    <t>東和町錦織字岩ノ沢150</t>
  </si>
  <si>
    <t>0790018</t>
  </si>
  <si>
    <t>AsyzAP校舎 PPP元キー:00000002-0000001777-1</t>
  </si>
  <si>
    <t>AsyzAP校舎 PPP元キー:00000002-0000001771-1</t>
  </si>
  <si>
    <t>002322:旧上沼小学校</t>
  </si>
  <si>
    <t>1990/04/20</t>
  </si>
  <si>
    <t>中田町上沼字八幡山78</t>
  </si>
  <si>
    <t>0790015</t>
  </si>
  <si>
    <t>AsyzAP校舎 PPP元キー:00000002-0000001763-1</t>
  </si>
  <si>
    <t>002321:旧森幼稚園</t>
  </si>
  <si>
    <t>迫町森字西表224-1-他1筆</t>
  </si>
  <si>
    <t>0790014</t>
  </si>
  <si>
    <t>AsyzAP園舎 PPP元キー:00000002-0000001761-1</t>
  </si>
  <si>
    <t>園舎（増築分）</t>
  </si>
  <si>
    <t>002275:旧つやま幼稚園</t>
  </si>
  <si>
    <t>2020/03/09</t>
  </si>
  <si>
    <t>津山町柳津字形沼9-2</t>
  </si>
  <si>
    <t>0760249</t>
  </si>
  <si>
    <t>AsyzAP PPP元キー:00000002-0000001758-1</t>
  </si>
  <si>
    <t>2005/01/31</t>
  </si>
  <si>
    <t>AsyzAP園舎 PPP元キー:00000002-0000001757-1</t>
  </si>
  <si>
    <t>001356:錦織小学校</t>
  </si>
  <si>
    <t>1991/03/31</t>
  </si>
  <si>
    <t>東和町錦織字山居沢15</t>
  </si>
  <si>
    <t>0150006</t>
  </si>
  <si>
    <t>AsyzAP校舎 PPP元キー:00000002-0000000405-1</t>
  </si>
  <si>
    <t>福祉センター：トイレ・ホール外壁等（建築改修）</t>
  </si>
  <si>
    <t>001706:登米市児童発達支援センターこじか園</t>
  </si>
  <si>
    <t>3:福祉（福祉）</t>
  </si>
  <si>
    <t>1030100000:生活福祉課</t>
  </si>
  <si>
    <t>2017/11/13</t>
  </si>
  <si>
    <t>トイレ・ホール外壁等</t>
  </si>
  <si>
    <t>中田町上沼字大柳117-2</t>
  </si>
  <si>
    <t>0290001</t>
  </si>
  <si>
    <t>AsyzAPトイレ・ホール外壁等 PPP元キー:00000002-0000001314-1</t>
  </si>
  <si>
    <t>1966/03/20</t>
  </si>
  <si>
    <t>2017/12/28</t>
  </si>
  <si>
    <t>簡易ハウス教室</t>
  </si>
  <si>
    <t>2019/03/19</t>
  </si>
  <si>
    <t>1:鉄骨鉄筋コンクリート</t>
  </si>
  <si>
    <t>AsyzAP PPP元キー:00000002-0000000412-1</t>
  </si>
  <si>
    <t>トップライト・屋根防水工事</t>
  </si>
  <si>
    <t>2019/12/16</t>
  </si>
  <si>
    <t>AsyzAP PPP元キー:00000002-0000000413-1</t>
  </si>
  <si>
    <t>旧幼稚園舎</t>
  </si>
  <si>
    <t>002395:旧善王寺幼稚園</t>
  </si>
  <si>
    <t>1977/03/20</t>
  </si>
  <si>
    <t>米山町字善王寺石神16-7</t>
  </si>
  <si>
    <t>0790088</t>
  </si>
  <si>
    <t>福祉センター（改修）</t>
  </si>
  <si>
    <t>2019/06/24</t>
  </si>
  <si>
    <t>障害児童福祉施設</t>
  </si>
  <si>
    <t>AsyzAP障害児童福祉施設 PPP元キー:00000002-0000001315-1</t>
  </si>
  <si>
    <t>001358:石森小学校</t>
  </si>
  <si>
    <t>1988/03/31</t>
  </si>
  <si>
    <t>中田町石森字前田29</t>
  </si>
  <si>
    <t>0150008</t>
  </si>
  <si>
    <t>AsyzAP校舎 PPP元キー:00000002-0000000421-1</t>
  </si>
  <si>
    <t>001359:加賀野小学校</t>
  </si>
  <si>
    <t>1983/03/31</t>
  </si>
  <si>
    <t>中田町石森字加賀野一丁目17-1</t>
  </si>
  <si>
    <t>0150009</t>
  </si>
  <si>
    <t>AsyzAP校舎 PPP元キー:00000002-0000000427-1</t>
  </si>
  <si>
    <t>AsyzAP校舎 PPP元キー:00000002-0000000428-1</t>
  </si>
  <si>
    <t>AsyzAP校舎 PPP元キー:00000002-0000000432-1</t>
  </si>
  <si>
    <t>001360:宝江小学校</t>
  </si>
  <si>
    <t>1979/11/30</t>
  </si>
  <si>
    <t>中田町宝江新井田字後田22</t>
  </si>
  <si>
    <t>1980/04/01</t>
  </si>
  <si>
    <t>0150010</t>
  </si>
  <si>
    <t>AsyzAP校舎 PPP元キー:00000002-0000000434-1</t>
  </si>
  <si>
    <t>001361:上沼小学校</t>
  </si>
  <si>
    <t>1989/02/28</t>
  </si>
  <si>
    <t>中田町上沼字弥勒寺大下91-2</t>
  </si>
  <si>
    <t>0150011</t>
  </si>
  <si>
    <t>AsyzAP校舎 PPP元キー:00000002-0000000443-1</t>
  </si>
  <si>
    <t>AsyzAP校舎 PPP元キー:00000002-0000000446-1</t>
  </si>
  <si>
    <t>001371:柳津小学校</t>
  </si>
  <si>
    <t>1963/03/31</t>
  </si>
  <si>
    <t>津山町柳津字本町57-1</t>
  </si>
  <si>
    <t>1963/04/01</t>
  </si>
  <si>
    <t>53</t>
  </si>
  <si>
    <t>0150021</t>
  </si>
  <si>
    <t>特別支援学級改装工事</t>
  </si>
  <si>
    <t>2020/06/24</t>
  </si>
  <si>
    <t>AsyzAP PPP元キー:00000002-0000000448-1</t>
  </si>
  <si>
    <t>001362:浅水小学校</t>
  </si>
  <si>
    <t>1979/12/28</t>
  </si>
  <si>
    <t>中田町浅水字下川面188-2</t>
  </si>
  <si>
    <t>0150012</t>
  </si>
  <si>
    <t>AsyzAP校舎 PPP元キー:00000002-0000000449-1</t>
  </si>
  <si>
    <t>1991/02/28</t>
  </si>
  <si>
    <t>AsyzAP校舎 PPP元キー:00000002-0000000452-1</t>
  </si>
  <si>
    <t>001363:豊里小学校</t>
  </si>
  <si>
    <t>0150013</t>
  </si>
  <si>
    <t>AsyzAP校舎 PPP元キー:00000002-0000000456-1</t>
  </si>
  <si>
    <t>児童館：渡り廊下（増築）</t>
  </si>
  <si>
    <t>001723:中田児童館</t>
  </si>
  <si>
    <t>1030300000:子育て支援課</t>
  </si>
  <si>
    <t>2018/03/26</t>
  </si>
  <si>
    <t>2018/07/06</t>
  </si>
  <si>
    <t>渡り廊下</t>
  </si>
  <si>
    <t>中田町石森字加賀野一丁目17-3</t>
  </si>
  <si>
    <t>0350003</t>
  </si>
  <si>
    <t>AsyzAP渡り廊下 PPP元キー:00000002-0000001346-1</t>
  </si>
  <si>
    <t>エレベーター</t>
  </si>
  <si>
    <t>AsyzAPエレベーター PPP元キー:00000002-0000000457-1</t>
  </si>
  <si>
    <t>001364:中津山小学校</t>
  </si>
  <si>
    <t>1979/03/31</t>
  </si>
  <si>
    <t>米山町中津山字城内前4</t>
  </si>
  <si>
    <t>1979/04/01</t>
  </si>
  <si>
    <t>0150014</t>
  </si>
  <si>
    <t>AsyzAP校舎 PPP元キー:00000002-0000000462-1</t>
  </si>
  <si>
    <t>001365:米岡小学校</t>
  </si>
  <si>
    <t>1979/01/20</t>
  </si>
  <si>
    <t>米山町西野字古舘廻27-2</t>
  </si>
  <si>
    <t>0150015</t>
  </si>
  <si>
    <t>AsyzAP校舎 PPP元キー:00000002-0000000470-1</t>
  </si>
  <si>
    <t>001344:米山東幼稚園</t>
  </si>
  <si>
    <t>1980/12/20</t>
  </si>
  <si>
    <t>米山町字桜岡鈴根11-1</t>
  </si>
  <si>
    <t>0140008</t>
  </si>
  <si>
    <t>001367:石越小学校</t>
  </si>
  <si>
    <t>1987/02/28</t>
  </si>
  <si>
    <t>0150017</t>
  </si>
  <si>
    <t>AsyzAP校舎 PPP元キー:00000002-0000000484-1</t>
  </si>
  <si>
    <t>校舎：庇（改修）</t>
  </si>
  <si>
    <t>2017/12/07</t>
  </si>
  <si>
    <t>庇</t>
  </si>
  <si>
    <t>AsyzAP庇 PPP元キー:00000002-0000000498-1</t>
  </si>
  <si>
    <t>東郷小学校：スロープ</t>
  </si>
  <si>
    <t>AsyzAP PPP元キー:00000002-0000000516-1</t>
  </si>
  <si>
    <t>図書室改装工事</t>
  </si>
  <si>
    <t>2020/06/25</t>
  </si>
  <si>
    <t>AsyzAP PPP元キー:00000002-0000000519-1</t>
  </si>
  <si>
    <t>001372:横山小学校</t>
  </si>
  <si>
    <t>津山町横山字本町91</t>
  </si>
  <si>
    <t>0150022</t>
  </si>
  <si>
    <t>AsyzAP校舎 PPP元キー:00000002-0000000531-1</t>
  </si>
  <si>
    <t>001374:佐沼中学校</t>
  </si>
  <si>
    <t>1994/12/20</t>
  </si>
  <si>
    <t>2017/11/10</t>
  </si>
  <si>
    <t>迫町佐沼字沼向4</t>
  </si>
  <si>
    <t>0160001</t>
  </si>
  <si>
    <t>AsyzAP校舎 PPP元キー:00000002-0000000538-1</t>
  </si>
  <si>
    <t>1995/09/30</t>
  </si>
  <si>
    <t>AsyzAP校舎 PPP元キー:00000002-0000000539-1</t>
  </si>
  <si>
    <t>01_01_06</t>
  </si>
  <si>
    <t>AsyzAP校舎 PPP元キー:00000002-0000000547-1</t>
  </si>
  <si>
    <t>給食センター</t>
  </si>
  <si>
    <t>001366:米山東小学校</t>
  </si>
  <si>
    <t>配膳室</t>
  </si>
  <si>
    <t>米山町字桜岡鈴根1</t>
  </si>
  <si>
    <t>13:給食室</t>
  </si>
  <si>
    <t>0150016</t>
  </si>
  <si>
    <t>AsyzAP配膳室 PPP元キー:00000002-0000000480-1</t>
  </si>
  <si>
    <t>AsyzAP配膳室 PPP元キー:00000002-0000000352-1</t>
  </si>
  <si>
    <t>体育館</t>
  </si>
  <si>
    <t>001788:登米市米山B＆G海洋センター</t>
  </si>
  <si>
    <t>米山町中津山字清水11-54</t>
  </si>
  <si>
    <t>16:体育館</t>
  </si>
  <si>
    <t>0440018</t>
  </si>
  <si>
    <t>AsyzAP体育館 PPP元キー:00000002-0000001463-1</t>
  </si>
  <si>
    <t>1984/12/28</t>
  </si>
  <si>
    <t>1983/02/28</t>
  </si>
  <si>
    <t>AsyzAP体育館 PPP元キー:00000002-0000000416-1</t>
  </si>
  <si>
    <t>武道館</t>
  </si>
  <si>
    <t>001777:登米市南方武道伝承館</t>
  </si>
  <si>
    <t>南方町西山成前16-1</t>
  </si>
  <si>
    <t>0440007</t>
  </si>
  <si>
    <t>AsyzAP武道館 PPP元キー:00000002-0000001446-1</t>
  </si>
  <si>
    <t>1968/01/20</t>
  </si>
  <si>
    <t>1968/04/01</t>
  </si>
  <si>
    <t>AsyzAP体育館 PPP元キー:00000002-0000000422-1</t>
  </si>
  <si>
    <t>1968/11/20</t>
  </si>
  <si>
    <t>1969/04/01</t>
  </si>
  <si>
    <t>1983/04/20</t>
  </si>
  <si>
    <t>プール</t>
  </si>
  <si>
    <t>001770:登米市民プール</t>
  </si>
  <si>
    <t>迫町佐沼字江合一丁目6-1</t>
  </si>
  <si>
    <t>0430001</t>
  </si>
  <si>
    <t>AsyzAPプール PPP元キー:00000002-0000001440-1</t>
  </si>
  <si>
    <t>2003/02/28</t>
  </si>
  <si>
    <t>AsyzAP体育館 PPP元キー:00000002-0000000485-1</t>
  </si>
  <si>
    <t>体育館（屋根）（改修）</t>
  </si>
  <si>
    <t>001766:登米市津山若者総合体育館</t>
  </si>
  <si>
    <t>2017/05/02</t>
  </si>
  <si>
    <t>津山町柳津字黄牛田高畑59</t>
  </si>
  <si>
    <t>0400009</t>
  </si>
  <si>
    <t>AsyzAP PPP元キー:00000002-0000001433-1</t>
  </si>
  <si>
    <t>001811:石森ふれあいセンター</t>
  </si>
  <si>
    <t>1994/03/10</t>
  </si>
  <si>
    <t>中田町石森字茶畑7</t>
  </si>
  <si>
    <t>0490011</t>
  </si>
  <si>
    <t>AsyzAP体育館 PPP元キー:00000002-0000001497-1</t>
  </si>
  <si>
    <t>1984/09/30</t>
  </si>
  <si>
    <t>36</t>
  </si>
  <si>
    <t>AsyzAP体育館 PPP元キー:00000002-0000001432-1</t>
  </si>
  <si>
    <t>001764:登米市石越体育センター</t>
  </si>
  <si>
    <t>1985/03/31</t>
  </si>
  <si>
    <t>石越町南郷字矢作122-1</t>
  </si>
  <si>
    <t>0400007</t>
  </si>
  <si>
    <t>AsyzAP体育館 PPP元キー:00000002-0000001430-1</t>
  </si>
  <si>
    <t>AsyzAP体育館 PPP元キー:00000002-0000000429-1</t>
  </si>
  <si>
    <t>AsyzAP体育館 PPP元キー:00000002-0000001429-1</t>
  </si>
  <si>
    <t>001816:中田生涯学習センター</t>
  </si>
  <si>
    <t>1984/02/05</t>
  </si>
  <si>
    <t>中田町上沼字舘43</t>
  </si>
  <si>
    <t>0490016</t>
  </si>
  <si>
    <t>AsyzAP体育館 PPP元キー:00000002-0000001510-1</t>
  </si>
  <si>
    <t>001761:登米市中田体育センター</t>
  </si>
  <si>
    <t>中田町宝江黒沼字新西野136-2</t>
  </si>
  <si>
    <t>0400004</t>
  </si>
  <si>
    <t>AsyzAP体育館 PPP元キー:00000002-0000001428-1</t>
  </si>
  <si>
    <t>1990/02/28</t>
  </si>
  <si>
    <t>AsyzAP体育館 PPP元キー:00000002-0000000445-1</t>
  </si>
  <si>
    <t>体育館：屋根・外壁（改修）</t>
  </si>
  <si>
    <t>001763:登米市米山体育館</t>
  </si>
  <si>
    <t>2017/10/06</t>
  </si>
  <si>
    <t>屋根・外壁</t>
  </si>
  <si>
    <t>0400006</t>
  </si>
  <si>
    <t>AsyzAP屋根・外壁 PPP元キー:00000002-0000001427-1</t>
  </si>
  <si>
    <t>1973/11/20</t>
  </si>
  <si>
    <t>卓球場</t>
  </si>
  <si>
    <t>1970/10/20</t>
  </si>
  <si>
    <t>45</t>
  </si>
  <si>
    <t>1980/11/30</t>
  </si>
  <si>
    <t>1976/12/28</t>
  </si>
  <si>
    <t>001762:登米市吉田体育館</t>
  </si>
  <si>
    <t>米山町字桜岡上待井276</t>
  </si>
  <si>
    <t>0400005</t>
  </si>
  <si>
    <t>体育館：屋根・手摺等（改修）</t>
  </si>
  <si>
    <t>001758:登米市迫体育館</t>
  </si>
  <si>
    <t>2017/11/29</t>
  </si>
  <si>
    <t>屋根・手摺等</t>
  </si>
  <si>
    <t>0400001</t>
  </si>
  <si>
    <t>AsyzAP屋根・手摺等 PPP元キー:00000002-0000001414-1</t>
  </si>
  <si>
    <t>001775:登米市迫武道館</t>
  </si>
  <si>
    <t>1986/03/31</t>
  </si>
  <si>
    <t>迫町佐沼字八幡一丁目3-2</t>
  </si>
  <si>
    <t>0440005</t>
  </si>
  <si>
    <t>001955:登米市南方総合運動場（体育館）</t>
  </si>
  <si>
    <t>1980/03/31</t>
  </si>
  <si>
    <t>南方町堤田38</t>
  </si>
  <si>
    <t>0710063</t>
  </si>
  <si>
    <t>AsyzAP体育館 PPP元キー:00000002-0000001695-1</t>
  </si>
  <si>
    <t>1978/01/20</t>
  </si>
  <si>
    <t>1967/01/20</t>
  </si>
  <si>
    <t>2018/11/12</t>
  </si>
  <si>
    <t>1967/04/01</t>
  </si>
  <si>
    <t>49</t>
  </si>
  <si>
    <t>001776:登米市登米武道館</t>
  </si>
  <si>
    <t>1996/03/25</t>
  </si>
  <si>
    <t>登米町寺池目子待井391</t>
  </si>
  <si>
    <t>0440006</t>
  </si>
  <si>
    <t>1995/02/28</t>
  </si>
  <si>
    <t>AsyzAP体育館 PPP元キー:00000002-0000000453-1</t>
  </si>
  <si>
    <t>天窓改修</t>
  </si>
  <si>
    <t>2020/03/26</t>
  </si>
  <si>
    <t>AsyzAP PPP元キー:00000002-0000001442-1</t>
  </si>
  <si>
    <t>AsyzAP体育館 PPP元キー:00000002-0000000374-1</t>
  </si>
  <si>
    <t>AsyzAP体育館 PPP元キー:00000002-0000001426-1</t>
  </si>
  <si>
    <t>1965/03/31</t>
  </si>
  <si>
    <t>1965/04/01</t>
  </si>
  <si>
    <t>51</t>
  </si>
  <si>
    <t>1974/10/31</t>
  </si>
  <si>
    <t>2009/03/30</t>
  </si>
  <si>
    <t>AsyzAP体育館 PPP元キー:00000002-0000000380-1</t>
  </si>
  <si>
    <t>001760:登米市中田総合体育館</t>
  </si>
  <si>
    <t>0400003</t>
  </si>
  <si>
    <t>AsyzAP体育館 PPP元キー:00000002-0000001420-1</t>
  </si>
  <si>
    <t>三方弁改修</t>
  </si>
  <si>
    <t>AsyzAP PPP元キー:00000002-0000001443-1</t>
  </si>
  <si>
    <t>1967/02/20</t>
  </si>
  <si>
    <t>AsyzAP体育館 PPP元キー:00000002-0000000391-1</t>
  </si>
  <si>
    <t>002357:旧新田第二小学校</t>
  </si>
  <si>
    <t>1993/04/20</t>
  </si>
  <si>
    <t>迫町新田字対馬51-7</t>
  </si>
  <si>
    <t>0790050</t>
  </si>
  <si>
    <t>AsyzAP体育館 PPP元キー:00000002-0000001782-1</t>
  </si>
  <si>
    <t>2001/11/30</t>
  </si>
  <si>
    <t>2002/04/01</t>
  </si>
  <si>
    <t>AsyzAP体育館 PPP元キー:00000002-0000001779-1</t>
  </si>
  <si>
    <t>1989/03/31</t>
  </si>
  <si>
    <t>AsyzAP体育館 PPP元キー:00000002-0000000593-1</t>
  </si>
  <si>
    <t>AsyzAP体育館 PPP元キー:00000002-0000001772-1</t>
  </si>
  <si>
    <t>1989/01/31</t>
  </si>
  <si>
    <t>AsyzAP体育館 PPP元キー:00000002-0000000532-1</t>
  </si>
  <si>
    <t>AsyzAP体育館 PPP元キー:00000002-0000001764-1</t>
  </si>
  <si>
    <t>ゲートボール場</t>
  </si>
  <si>
    <t>001917:室内ゲートボール場</t>
  </si>
  <si>
    <t>1035100000:産業総務課</t>
  </si>
  <si>
    <t>2005/01/28</t>
  </si>
  <si>
    <t>豊里町白鳥山72</t>
  </si>
  <si>
    <t>0710025</t>
  </si>
  <si>
    <t>AsyzAPその他体育施設 PPP元キー:00000002-0000001653-1</t>
  </si>
  <si>
    <t>1974/02/20</t>
  </si>
  <si>
    <t>登米小学校屋内運動場屋根改修工事</t>
  </si>
  <si>
    <t>2021/03/16</t>
  </si>
  <si>
    <t>AsyzAP PPP元キー:00000002-0000000394-1</t>
  </si>
  <si>
    <t>1992/11/30</t>
  </si>
  <si>
    <t>AsyzAP体育館 PPP元キー:00000002-0000000396-1</t>
  </si>
  <si>
    <t>1967/03/31</t>
  </si>
  <si>
    <t>1988/12/20</t>
  </si>
  <si>
    <t>AsyzAP武道館 PPP元キー:00000002-0000000605-1</t>
  </si>
  <si>
    <t>AsyzAP体育館 PPP元キー:00000002-0000000458-1</t>
  </si>
  <si>
    <t>1984/02/28</t>
  </si>
  <si>
    <t>AsyzAP体育館 PPP元キー:00000002-0000000550-1</t>
  </si>
  <si>
    <t>AsyzAP体育館 PPP元キー:00000002-0000000615-1</t>
  </si>
  <si>
    <t>2001/05/31</t>
  </si>
  <si>
    <t>AsyzAP体育館 PPP元キー:00000002-0000000411-1</t>
  </si>
  <si>
    <t>1988/09/30</t>
  </si>
  <si>
    <t>AsyzAP体育館 PPP元キー:00000002-0000000565-1</t>
  </si>
  <si>
    <t>001759:登米市登米総合体育館</t>
  </si>
  <si>
    <t>登米町寺池目子待井10</t>
  </si>
  <si>
    <t>0400002</t>
  </si>
  <si>
    <t>AsyzAP体育館 PPP元キー:00000002-0000001415-1</t>
  </si>
  <si>
    <t>AsyzAP体育館 PPP元キー:00000002-0000000564-1</t>
  </si>
  <si>
    <t>001765:登米市南方体育センター</t>
  </si>
  <si>
    <t>0400008</t>
  </si>
  <si>
    <t>1979/02/20</t>
  </si>
  <si>
    <t>001787:登米市中田B＆G海洋センター</t>
  </si>
  <si>
    <t>1978/11/01</t>
  </si>
  <si>
    <t>中田町宝江黒沼字浦38-5</t>
  </si>
  <si>
    <t>0440017</t>
  </si>
  <si>
    <t>AsyzAP体育館 PPP元キー:00000002-0000001461-1</t>
  </si>
  <si>
    <t>集会所</t>
  </si>
  <si>
    <t>002259:旧川端地区集会施設</t>
  </si>
  <si>
    <t>集会施設</t>
  </si>
  <si>
    <t>東和町錦織字新川端</t>
  </si>
  <si>
    <t>17:集会所・会議室</t>
  </si>
  <si>
    <t>0760232</t>
  </si>
  <si>
    <t>AsyzAP集会施設 PPP元キー:00000002-0000001751-1</t>
  </si>
  <si>
    <t>001812:宝江ふれあいセンター</t>
  </si>
  <si>
    <t>1988/11/30</t>
  </si>
  <si>
    <t>0490012</t>
  </si>
  <si>
    <t>コミュニティーセンター</t>
  </si>
  <si>
    <t>001842:登米高齢者コミュニティセンター</t>
  </si>
  <si>
    <t>1030200000:長寿介護課</t>
  </si>
  <si>
    <t>老人憩いの家</t>
  </si>
  <si>
    <t>登米町大字日根牛小池前68</t>
  </si>
  <si>
    <t>0600001</t>
  </si>
  <si>
    <t>002486:東和相川部落集会所</t>
  </si>
  <si>
    <t>1952/04/01</t>
  </si>
  <si>
    <t>東和町米谷字相川42-3</t>
  </si>
  <si>
    <t>63</t>
  </si>
  <si>
    <t>0800006</t>
  </si>
  <si>
    <t>001948:東和国際交流センター</t>
  </si>
  <si>
    <t>東和町米川字北上沢176-2</t>
  </si>
  <si>
    <t>0710056</t>
  </si>
  <si>
    <t>公民館</t>
  </si>
  <si>
    <t>002071:宅地（光ケ丘区民会館）</t>
  </si>
  <si>
    <t>1969/03/28</t>
  </si>
  <si>
    <t>迫町佐沼字光ケ丘4</t>
  </si>
  <si>
    <t>0760042</t>
  </si>
  <si>
    <t>旧壱番館</t>
  </si>
  <si>
    <t>002106:旧壱番館</t>
  </si>
  <si>
    <t>1050100000:登米総合支所市民課</t>
  </si>
  <si>
    <t>1987/09/30</t>
  </si>
  <si>
    <t>0760077</t>
  </si>
  <si>
    <t>集会場</t>
  </si>
  <si>
    <t>001454:登米市石越定住促進住宅</t>
  </si>
  <si>
    <t>1995/05/09</t>
  </si>
  <si>
    <t>2018/09/26</t>
  </si>
  <si>
    <t>石越町南郷字舘前176-1</t>
  </si>
  <si>
    <t>0170070</t>
  </si>
  <si>
    <t>AsyzAP集会施設 PPP元キー:00000002-0000001009-1</t>
  </si>
  <si>
    <t>001453:登米市東和定住促進住宅</t>
  </si>
  <si>
    <t>1993/04/27</t>
  </si>
  <si>
    <t>東和町米谷字越路94-1</t>
  </si>
  <si>
    <t>0170069</t>
  </si>
  <si>
    <t>AsyzAP集会施設 PPP元キー:00000002-0000001001-1</t>
  </si>
  <si>
    <t>001452:登米市豊里定住促進住宅</t>
  </si>
  <si>
    <t>1990/06/20</t>
  </si>
  <si>
    <t>豊里町小口前185-4</t>
  </si>
  <si>
    <t>0170068</t>
  </si>
  <si>
    <t>AsyzAP集会施設 PPP元キー:00000002-0000000997-1</t>
  </si>
  <si>
    <t>長沼ボート場クラブハウス</t>
  </si>
  <si>
    <t>001968:長沼ボート場クラブハウス建設用地</t>
  </si>
  <si>
    <t>2018/08/23</t>
  </si>
  <si>
    <t>迫町北方字天形</t>
  </si>
  <si>
    <t>0710077</t>
  </si>
  <si>
    <t>AsyzAP PPP元キー:00000002-0000001706-1</t>
  </si>
  <si>
    <t>集会施設：屋根（修繕）</t>
  </si>
  <si>
    <t>2018/02/01</t>
  </si>
  <si>
    <t>AsyzAP屋根 PPP元キー:00000002-0000001685-1</t>
  </si>
  <si>
    <t>建物/簡易宿所（改修）</t>
  </si>
  <si>
    <t>001933:及甚と源氏ボタル交流館</t>
  </si>
  <si>
    <t>東和町米川字軽米87-4-地内</t>
  </si>
  <si>
    <t>0710041</t>
  </si>
  <si>
    <t>AsyzAP PPP元キー:00000002-0000001674-1</t>
  </si>
  <si>
    <t>1998/10/20</t>
  </si>
  <si>
    <t>AsyzAP集会施設 PPP元キー:00000002-0000001671-1</t>
  </si>
  <si>
    <t>にぎわいセンター</t>
  </si>
  <si>
    <t>001919:迫にぎわいセンター</t>
  </si>
  <si>
    <t>2002/03/31</t>
  </si>
  <si>
    <t>迫町佐沼字西佐沼70</t>
  </si>
  <si>
    <t>0710027</t>
  </si>
  <si>
    <t>AsyzAPその他の施設 PPP元キー:00000002-0000001654-1</t>
  </si>
  <si>
    <t>つづら淵地区多目的センター</t>
  </si>
  <si>
    <t>001911:とよまつづら淵多目的センター</t>
  </si>
  <si>
    <t>登米町小島葛籠渕37</t>
  </si>
  <si>
    <t>0710019</t>
  </si>
  <si>
    <t>AsyzAP集会施設 PPP元キー:00000002-0000001645-1</t>
  </si>
  <si>
    <t>001906:豊里高齢者趣味の交流館</t>
  </si>
  <si>
    <t>1999/08/31</t>
  </si>
  <si>
    <t>豊里町新田町50-2</t>
  </si>
  <si>
    <t>0710014</t>
  </si>
  <si>
    <t>AsyzAP老人憩いの家 PPP元キー:00000002-0000001642-1</t>
  </si>
  <si>
    <t>コミュニティセンター</t>
  </si>
  <si>
    <t>001844:東和楼台コミュニティセンター</t>
  </si>
  <si>
    <t>東和町米谷字宮ノ前413</t>
  </si>
  <si>
    <t>0710003</t>
  </si>
  <si>
    <t>AsyzAPコミュニティセンター PPP元キー:00000002-0000001636-1</t>
  </si>
  <si>
    <t>農村環境改善センター</t>
  </si>
  <si>
    <t>001790:米山農村環境改善センター</t>
  </si>
  <si>
    <t>1978/03/30</t>
  </si>
  <si>
    <t>米山町西野字的場181-の内</t>
  </si>
  <si>
    <t>0660003</t>
  </si>
  <si>
    <t>AsyzAP農村環境改善センター PPP元キー:00000002-0000001577-1</t>
  </si>
  <si>
    <t>001817:吉田多目的集会施設</t>
  </si>
  <si>
    <t>1995/11/08</t>
  </si>
  <si>
    <t>米山町字桜岡今泉68</t>
  </si>
  <si>
    <t>0490017</t>
  </si>
  <si>
    <t>001815:登米市善王寺コミュニティセンター</t>
  </si>
  <si>
    <t>1995/08/31</t>
  </si>
  <si>
    <t>米山町字善王寺新沼田15</t>
  </si>
  <si>
    <t>0490015</t>
  </si>
  <si>
    <t>001853:南方農村環境改善センター</t>
  </si>
  <si>
    <t>0660002</t>
  </si>
  <si>
    <t>AsyzAP農村環境改善センター PPP元キー:00000002-0000001576-1</t>
  </si>
  <si>
    <t>001852:中田農村環境改善センター</t>
  </si>
  <si>
    <t>1985/06/30</t>
  </si>
  <si>
    <t>0660001</t>
  </si>
  <si>
    <t>AsyzAP農村環境改善センター PPP元キー:00000002-0000001575-1</t>
  </si>
  <si>
    <t>研修所</t>
  </si>
  <si>
    <t>001848:豊里多目的研修センター</t>
  </si>
  <si>
    <t>1985/12/25</t>
  </si>
  <si>
    <t>豊里町土手下141</t>
  </si>
  <si>
    <t>0630001</t>
  </si>
  <si>
    <t>AsyzAP集会施設 PPP元キー:00000002-0000001571-1</t>
  </si>
  <si>
    <t>001843:豊里鴇波コミュニティセンター</t>
  </si>
  <si>
    <t>1992/07/17</t>
  </si>
  <si>
    <t>0600002</t>
  </si>
  <si>
    <t>AsyzAP集会施設 PPP元キー:00000002-0000001563-1</t>
  </si>
  <si>
    <t>1930/04/01</t>
  </si>
  <si>
    <t>1931/04/01</t>
  </si>
  <si>
    <t>85</t>
  </si>
  <si>
    <t>舞台音響（改修）</t>
  </si>
  <si>
    <t>001820:祝祭劇場</t>
  </si>
  <si>
    <t>1015200000:市民協働課</t>
  </si>
  <si>
    <t>2019/03/28</t>
  </si>
  <si>
    <t>迫町佐沼字光ケ丘30</t>
  </si>
  <si>
    <t>0510001</t>
  </si>
  <si>
    <t>AsyzAP PPP元キー:00000002-0000001522-1</t>
  </si>
  <si>
    <t>ホール</t>
  </si>
  <si>
    <t>1994/05/08</t>
  </si>
  <si>
    <t>AsyzAP集会施設 PPP元キー:00000002-0000001517-1</t>
  </si>
  <si>
    <t>AsyzAP集会施設 PPP元キー:00000002-0000001509-1</t>
  </si>
  <si>
    <t>001814:浅水ふれあいセンター</t>
  </si>
  <si>
    <t>中田町浅水字荒神堂150</t>
  </si>
  <si>
    <t>0490014</t>
  </si>
  <si>
    <t>AsyzAP集会施設 PPP元キー:00000002-0000001504-1</t>
  </si>
  <si>
    <t>001813:上沼ふれあいセンター</t>
  </si>
  <si>
    <t>中田町上沼字弥勒寺大下90-1</t>
  </si>
  <si>
    <t>0490013</t>
  </si>
  <si>
    <t>AsyzAP集会施設 PPP元キー:00000002-0000001502-1</t>
  </si>
  <si>
    <t>事務室改修工事</t>
  </si>
  <si>
    <t>2020/03/25</t>
  </si>
  <si>
    <t>AsyzAP集会施設 PPP元キー:00000002-0000001501-1</t>
  </si>
  <si>
    <t>2004/12/28</t>
  </si>
  <si>
    <t>AsyzAP集会施設 PPP元キー:00000002-0000001500-1</t>
  </si>
  <si>
    <t>2004/10/28</t>
  </si>
  <si>
    <t>AsyzAP集会施設 PPP元キー:00000002-0000001496-1</t>
  </si>
  <si>
    <t>002073:宅地（上舟丁集会所）</t>
  </si>
  <si>
    <t>1953/05/30</t>
  </si>
  <si>
    <t>迫町佐沼字上舟丁33-2</t>
  </si>
  <si>
    <t>25:変更</t>
  </si>
  <si>
    <t>0760044</t>
  </si>
  <si>
    <t>事務所</t>
  </si>
  <si>
    <t>002241:事務所【佐々木鉄工所兼鉄工場】</t>
  </si>
  <si>
    <t>1973/09/27</t>
  </si>
  <si>
    <t>津山町柳津字小麻12-1</t>
  </si>
  <si>
    <t>2:事務所</t>
  </si>
  <si>
    <t>0760212</t>
  </si>
  <si>
    <t>老人福祉センター</t>
  </si>
  <si>
    <t>001713:南方老人福祉センター</t>
  </si>
  <si>
    <t>老人福祉センター　旧台帳番号：404-19-2　</t>
  </si>
  <si>
    <t>南方町本郷大嶽37</t>
  </si>
  <si>
    <t>0340011</t>
  </si>
  <si>
    <t>管理事務所</t>
  </si>
  <si>
    <t>002480:旧クリーンセンター</t>
  </si>
  <si>
    <t>4:砂防（環境衛生）</t>
  </si>
  <si>
    <t>1025100000:クリーンセンター</t>
  </si>
  <si>
    <t>豊里町平林111-7</t>
  </si>
  <si>
    <t>0790175</t>
  </si>
  <si>
    <t>AsyzAP管理事務所 PPP元キー:00000002-0000001834-1</t>
  </si>
  <si>
    <t>野球場</t>
  </si>
  <si>
    <t>001767:登米市中田球場</t>
  </si>
  <si>
    <t>中田町宝江黒沼字畑中138-13</t>
  </si>
  <si>
    <t>0420001</t>
  </si>
  <si>
    <t>AsyzAP野球場 PPP元キー:00000002-0000001434-1</t>
  </si>
  <si>
    <t>001768:登米市南方総合運動場（野球場メインスタンド）</t>
  </si>
  <si>
    <t>1996/03/31</t>
  </si>
  <si>
    <t>0420002</t>
  </si>
  <si>
    <t>AsyzAP野球場 PPP元キー:00000002-0000001435-1</t>
  </si>
  <si>
    <t>AsyzAP野球場 PPP元キー:00000002-0000001436-1</t>
  </si>
  <si>
    <t>001769:登米市吉田運動場</t>
  </si>
  <si>
    <t>0420003</t>
  </si>
  <si>
    <t>AsyzAP野球場 PPP元キー:00000002-0000001438-1</t>
  </si>
  <si>
    <t>001778:登米市新田総合運動場</t>
  </si>
  <si>
    <t>迫町新田字対馬54-1</t>
  </si>
  <si>
    <t>0440008</t>
  </si>
  <si>
    <t>AsyzAP管理事務所 PPP元キー:00000002-0000001448-1</t>
  </si>
  <si>
    <t>管理棟</t>
  </si>
  <si>
    <t>001784:登米市南方中央運動広場</t>
  </si>
  <si>
    <t>2006/12/20</t>
  </si>
  <si>
    <t>0440014</t>
  </si>
  <si>
    <t>AsyzAP管理事務所 PPP元キー:00000002-0000001458-1</t>
  </si>
  <si>
    <t>分遺所</t>
  </si>
  <si>
    <t>002091:建物（旧迫消防署新田分遺所）</t>
  </si>
  <si>
    <t>1974/12/01</t>
  </si>
  <si>
    <t>迫町新田字小友65-6-の内</t>
  </si>
  <si>
    <t>0760062</t>
  </si>
  <si>
    <t>002193:桜岡商工振興会事務所</t>
  </si>
  <si>
    <t>米山町字桜岡大又1-4-の内</t>
  </si>
  <si>
    <t>0760164</t>
  </si>
  <si>
    <t>AsyzAPコミュニティセンター PPP元キー:00000002-0000001506-1</t>
  </si>
  <si>
    <t>艇庫</t>
  </si>
  <si>
    <t>AsyzAPその他体育施設 PPP元キー:00000002-0000001462-1</t>
  </si>
  <si>
    <t>消防出張所庁舎</t>
  </si>
  <si>
    <t>001008:登米市消防署南出張所</t>
  </si>
  <si>
    <t>7010100000:消防本部消防総務課</t>
  </si>
  <si>
    <t>2014/03/31</t>
  </si>
  <si>
    <t>消防本部・署</t>
  </si>
  <si>
    <t>豊里町十丁田1-3</t>
  </si>
  <si>
    <t>0020004</t>
  </si>
  <si>
    <t>AsyzAP消防本部・署 PPP元キー:00000002-0000000030-1</t>
  </si>
  <si>
    <t>001789:南方定住促進センター</t>
  </si>
  <si>
    <t>0440019</t>
  </si>
  <si>
    <t>AsyzAP管理事務所 PPP元キー:00000002-0000001466-1</t>
  </si>
  <si>
    <t>保健センター</t>
  </si>
  <si>
    <t>001794:米山総合保健福祉センター</t>
  </si>
  <si>
    <t>1020400000:健康推進課</t>
  </si>
  <si>
    <t>1994/08/31</t>
  </si>
  <si>
    <t>米山町西野字古舘廻8</t>
  </si>
  <si>
    <t>0470002</t>
  </si>
  <si>
    <t>AsyzAP保健センター PPP元キー:00000002-0000001480-1</t>
  </si>
  <si>
    <t>ふれあいセンター</t>
  </si>
  <si>
    <t>001710:迫老人福祉センター</t>
  </si>
  <si>
    <t>2001/06/29</t>
  </si>
  <si>
    <t>迫町北方字大洞45-3</t>
  </si>
  <si>
    <t>0340001</t>
  </si>
  <si>
    <t>AsyzAPふれあいセンター PPP元キー:00000002-0000001322-1</t>
  </si>
  <si>
    <t>1991/03/20</t>
  </si>
  <si>
    <t>老人福祉センター　旧面積：1046.16　</t>
  </si>
  <si>
    <t>AsyzAP老人福祉センター　旧面積：1046.16 PPP元キー:00000002-0000001320-1</t>
  </si>
  <si>
    <t>001838:石越有機センター</t>
  </si>
  <si>
    <t>1035300000:農政課</t>
  </si>
  <si>
    <t>石越町南郷字新小高47-1</t>
  </si>
  <si>
    <t>0570007</t>
  </si>
  <si>
    <t>AsyzAP管理事務所 PPP元キー:00000002-0000001555-1</t>
  </si>
  <si>
    <t>001010:登米市消防署津山出張所</t>
  </si>
  <si>
    <t>2015/06/12</t>
  </si>
  <si>
    <t>2017/10/04</t>
  </si>
  <si>
    <t>津山町柳津字谷木195-1</t>
  </si>
  <si>
    <t>0020006</t>
  </si>
  <si>
    <t>AsyzAP消防本部・署 PPP元キー:00000002-0000000033-1</t>
  </si>
  <si>
    <t>野鳥観察館</t>
  </si>
  <si>
    <t>001904:野鳥観察館</t>
  </si>
  <si>
    <t>1020200000:環境課</t>
  </si>
  <si>
    <t>1984/02/10</t>
  </si>
  <si>
    <t>迫町新田字前沼149-35</t>
  </si>
  <si>
    <t>0710010</t>
  </si>
  <si>
    <t>AsyzAPその他の施設 PPP元キー:00000002-0000001641-1</t>
  </si>
  <si>
    <t>001711:登米老人福祉センター</t>
  </si>
  <si>
    <t>登米町寺池金谷12-1</t>
  </si>
  <si>
    <t>0340002</t>
  </si>
  <si>
    <t>AsyzAP老人福祉センター PPP元キー:00000002-0000001326-1</t>
  </si>
  <si>
    <t>001009:登米市消防署北出張所</t>
  </si>
  <si>
    <t>2006/10/23</t>
  </si>
  <si>
    <t>0020005</t>
  </si>
  <si>
    <t>AsyzAP消防本部・署 PPP元キー:00000002-0000000031-1</t>
  </si>
  <si>
    <t>001712:中田老人福祉センター</t>
  </si>
  <si>
    <t>1983/03/25</t>
  </si>
  <si>
    <t>0340003</t>
  </si>
  <si>
    <t>AsyzAP老人福祉センター PPP元キー:00000002-0000001327-1</t>
  </si>
  <si>
    <t>2010/03/25</t>
  </si>
  <si>
    <t>AsyzAP消防本部・署 PPP元キー:00000002-0000000032-1</t>
  </si>
  <si>
    <t>001868:愛菜館野菜集荷施設</t>
  </si>
  <si>
    <t>2010/09/03</t>
  </si>
  <si>
    <t>中田町石森字本町95-1</t>
  </si>
  <si>
    <t>2011/04/01</t>
  </si>
  <si>
    <t>0700005</t>
  </si>
  <si>
    <t>AsyzAP農業関連施設 PPP元キー:00000002-0000001612-1</t>
  </si>
  <si>
    <t>001837:とよま有機センター</t>
  </si>
  <si>
    <t>2006/03/31</t>
  </si>
  <si>
    <t>登米町小島新田待井下348</t>
  </si>
  <si>
    <t>2006/04/01</t>
  </si>
  <si>
    <t>0570006</t>
  </si>
  <si>
    <t>AsyzAP管理事務所 PPP元キー:00000002-0000001550-1</t>
  </si>
  <si>
    <t>一般事務所</t>
  </si>
  <si>
    <t>001005:登米市消防防災センター</t>
  </si>
  <si>
    <t>2007/12/28</t>
  </si>
  <si>
    <t>迫町森字平柳25</t>
  </si>
  <si>
    <t>0020001</t>
  </si>
  <si>
    <t>AsyzAP消防本部・署 PPP元キー:00000002-0000000023-1</t>
  </si>
  <si>
    <t>001866:米山農村総合管理施設</t>
  </si>
  <si>
    <t>1997/01/25</t>
  </si>
  <si>
    <t>米山町西野字新遠田74</t>
  </si>
  <si>
    <t>0700003</t>
  </si>
  <si>
    <t>老人デイサービスセンター</t>
  </si>
  <si>
    <t>001709:東和デイサービスセンター（米川）</t>
  </si>
  <si>
    <t>東和町米川字六反55-1-東和総合支所敷地</t>
  </si>
  <si>
    <t>0760011</t>
  </si>
  <si>
    <t>AsyzAP老人デイサービスセンター PPP元キー:00000002-0000001711-1</t>
  </si>
  <si>
    <t>001714:津山老人福祉センター</t>
  </si>
  <si>
    <t>1987/03/20</t>
  </si>
  <si>
    <t>津山町柳津字黄牛田高畑36-5</t>
  </si>
  <si>
    <t>0340005</t>
  </si>
  <si>
    <t>AsyzAP老人福祉センター PPP元キー:00000002-0000001331-1</t>
  </si>
  <si>
    <t>002042:石越デイサービスセンター・グループホームほほえみ</t>
  </si>
  <si>
    <t>その他（普通財産）</t>
  </si>
  <si>
    <t>石越町南郷字新石沢前47-3</t>
  </si>
  <si>
    <t>0760013</t>
  </si>
  <si>
    <t>AsyzAPその他（普通財産） PPP元キー:00000002-0000001713-1</t>
  </si>
  <si>
    <t>002059:宅地（シルバー人材センター）</t>
  </si>
  <si>
    <t>1990/02/23</t>
  </si>
  <si>
    <t>迫町北方字鼠田72-1</t>
  </si>
  <si>
    <t>0760030</t>
  </si>
  <si>
    <t>AsyzAP普通財産（貸付建物） PPP元キー:00000002-0000001714-1</t>
  </si>
  <si>
    <t>001834:豊里有機肥料センター</t>
  </si>
  <si>
    <t>豊里町三番江28</t>
  </si>
  <si>
    <t>0570003</t>
  </si>
  <si>
    <t>AsyzAP管理事務所 PPP元キー:00000002-0000001542-1</t>
  </si>
  <si>
    <t>002105:一部光風園、老人ホーム貸付地</t>
  </si>
  <si>
    <t>登米町寺池金沢山60-3</t>
  </si>
  <si>
    <t>0760076</t>
  </si>
  <si>
    <t>AsyzAP普通財産（貸付建物） PPP元キー:00000002-0000001720-1</t>
  </si>
  <si>
    <t>福祉センター</t>
  </si>
  <si>
    <t>001715:東和地域福祉センター</t>
  </si>
  <si>
    <t>0340006</t>
  </si>
  <si>
    <t>AsyzAP福祉センター PPP元キー:00000002-0000001332-1</t>
  </si>
  <si>
    <t>AsyzAP管理事務所 PPP元キー:00000002-0000000021-1</t>
  </si>
  <si>
    <t>001803:北上川親水公園管理棟</t>
  </si>
  <si>
    <t>東和町米谷字元町2-3-地内（占用許可）</t>
  </si>
  <si>
    <t>0490003</t>
  </si>
  <si>
    <t>001893:相川集落農園</t>
  </si>
  <si>
    <t>2011/08/26</t>
  </si>
  <si>
    <t>農業関連施設　旧台帳番号：605-54-1　</t>
  </si>
  <si>
    <t>東和町米谷字沢尻90</t>
  </si>
  <si>
    <t>2012/04/01</t>
  </si>
  <si>
    <t>0700033</t>
  </si>
  <si>
    <t>AsyzAP農業関連施設　旧台帳番号：605-54-1 PPP元キー:00000002-0000001635-1</t>
  </si>
  <si>
    <t>002194:はんとく苑知的障害者グループホーム</t>
  </si>
  <si>
    <t>1981/03/30</t>
  </si>
  <si>
    <t>0760165</t>
  </si>
  <si>
    <t>AsyzAP普通財産（貸付建物） PPP元キー:00000002-0000001740-1</t>
  </si>
  <si>
    <t>サイクルセンター</t>
  </si>
  <si>
    <t>002242:旧登米市サイクルセンター</t>
  </si>
  <si>
    <t>中田町浅水字荒神堂139-1</t>
  </si>
  <si>
    <t>0760213</t>
  </si>
  <si>
    <t>AsyzAPその他の施設 PPP元キー:00000002-0000001745-1</t>
  </si>
  <si>
    <t>001718:迫老人デイサービスセンター</t>
  </si>
  <si>
    <t>その他（普通財産）　旧台帳番号：404-23-2　旧面積：577.17</t>
  </si>
  <si>
    <t>迫町新田字小友65-6</t>
  </si>
  <si>
    <t>0760231</t>
  </si>
  <si>
    <t>AsyzAPその他（普通財産）　旧台帳番号：404-23-2　旧面積：577.17 PPP元キー:00000002-0000001750-1</t>
  </si>
  <si>
    <t>001832:迫有機センター</t>
  </si>
  <si>
    <t>迫町新田字井守沢153-1</t>
  </si>
  <si>
    <t>0570001</t>
  </si>
  <si>
    <t>AsyzAP管理事務所 PPP元キー:00000002-0000001536-1</t>
  </si>
  <si>
    <t>AsyzAP老人福祉センター PPP元キー:00000002-0000001325-1</t>
  </si>
  <si>
    <t>001716:石越福祉センター</t>
  </si>
  <si>
    <t>0340007</t>
  </si>
  <si>
    <t>AsyzAP福祉センター PPP元キー:00000002-0000001334-1</t>
  </si>
  <si>
    <t>視聴覚センター</t>
  </si>
  <si>
    <t>001821:視聴覚センター庁舎</t>
  </si>
  <si>
    <t>迫町佐沼字袋向150-1</t>
  </si>
  <si>
    <t>0510002</t>
  </si>
  <si>
    <t>AsyzAP視聴覚センター PPP元キー:00000002-0000001526-1</t>
  </si>
  <si>
    <t>001007:登米市消防署西出張所</t>
  </si>
  <si>
    <t>2012/03/13</t>
  </si>
  <si>
    <t>0020003</t>
  </si>
  <si>
    <t>AsyzAP消防本部・署 PPP元キー:00000002-0000000029-1</t>
  </si>
  <si>
    <t>迫児童館</t>
  </si>
  <si>
    <t>001721:迫児童館</t>
  </si>
  <si>
    <t>2019/03/18</t>
  </si>
  <si>
    <t>0350001</t>
  </si>
  <si>
    <t>AsyzAP PPP元キー:00000002-0000001341-1</t>
  </si>
  <si>
    <t>001708:米山デイサービスセンター</t>
  </si>
  <si>
    <t>117</t>
  </si>
  <si>
    <t>0760238</t>
  </si>
  <si>
    <t>001006:登米市消防署東出張所</t>
  </si>
  <si>
    <t>2015/03/26</t>
  </si>
  <si>
    <t>東和町錦織字小童子93-19</t>
  </si>
  <si>
    <t>2015/04/01</t>
  </si>
  <si>
    <t>0020002</t>
  </si>
  <si>
    <t>AsyzAP消防本部・署 PPP元キー:00000002-0000000027-1</t>
  </si>
  <si>
    <t>001728:登米市迫公民館</t>
  </si>
  <si>
    <t>20:公民館</t>
  </si>
  <si>
    <t>0370001</t>
  </si>
  <si>
    <t>AsyzAP公民館 PPP元キー:00000002-0000001356-1</t>
  </si>
  <si>
    <t>001729:登米市北方公民館</t>
  </si>
  <si>
    <t>1983/07/31</t>
  </si>
  <si>
    <t>0370002</t>
  </si>
  <si>
    <t>AsyzAP公民館 PPP元キー:00000002-0000001358-1</t>
  </si>
  <si>
    <t>001730:登米市新田公民館</t>
  </si>
  <si>
    <t>1976/08/24</t>
  </si>
  <si>
    <t>迫町新田字小友65</t>
  </si>
  <si>
    <t>0370003</t>
  </si>
  <si>
    <t>AsyzAP公民館 PPP元キー:00000002-0000001359-1</t>
  </si>
  <si>
    <t>001740:旧東和町中央公民館</t>
  </si>
  <si>
    <t>1978/02/22</t>
  </si>
  <si>
    <t>旧公民館</t>
  </si>
  <si>
    <t>東和町米川字飯土井20-1</t>
  </si>
  <si>
    <t>0370013</t>
  </si>
  <si>
    <t>AsyzAP旧公民館 PPP元キー:00000002-0000001385-1</t>
  </si>
  <si>
    <t>1965/08/01</t>
  </si>
  <si>
    <t>001742:森公民館</t>
  </si>
  <si>
    <t>1998/02/20</t>
  </si>
  <si>
    <t>迫町森字西表195</t>
  </si>
  <si>
    <t>1998/04/01</t>
  </si>
  <si>
    <t>0370015</t>
  </si>
  <si>
    <t>AsyzAP公民館 PPP元キー:00000002-0000001389-1</t>
  </si>
  <si>
    <t>001736:登米市中津山公民館</t>
  </si>
  <si>
    <t>1986/07/01</t>
  </si>
  <si>
    <t>0370009</t>
  </si>
  <si>
    <t>AsyzAP公民館 PPP元キー:00000002-0000001373-1</t>
  </si>
  <si>
    <t>001737:登米市石越公民館</t>
  </si>
  <si>
    <t>2004/07/30</t>
  </si>
  <si>
    <t>石越町南郷字矢作122-2</t>
  </si>
  <si>
    <t>0370010</t>
  </si>
  <si>
    <t>AsyzAP公民館 PPP元キー:00000002-0000001377-1</t>
  </si>
  <si>
    <t>001733:登米市米川公民館</t>
  </si>
  <si>
    <t>東和町米川字四十田25-1</t>
  </si>
  <si>
    <t>0370006</t>
  </si>
  <si>
    <t>AsyzAP公民館 PPP元キー:00000002-0000001365-1</t>
  </si>
  <si>
    <t>001738:登米市南方公民館</t>
  </si>
  <si>
    <t>1988/01/31</t>
  </si>
  <si>
    <t>0370011</t>
  </si>
  <si>
    <t>AsyzAP公民館 PPP元キー:00000002-0000001379-1</t>
  </si>
  <si>
    <t>001735:登米市吉田公民館</t>
  </si>
  <si>
    <t>米山町字桜岡江浪41</t>
  </si>
  <si>
    <t>0370008</t>
  </si>
  <si>
    <t>AsyzAP公民館 PPP元キー:00000002-0000001371-1</t>
  </si>
  <si>
    <t>001734:登米市豊里公民館</t>
  </si>
  <si>
    <t>2010/03/31</t>
  </si>
  <si>
    <t>0370007</t>
  </si>
  <si>
    <t>AsyzAP公民館 PPP元キー:00000002-0000001369-1</t>
  </si>
  <si>
    <t>001732:登米市米谷公民館</t>
  </si>
  <si>
    <t>東和町米谷字ぜん荷75</t>
  </si>
  <si>
    <t>0370005</t>
  </si>
  <si>
    <t>AsyzAP公民館 PPP元キー:00000002-0000001364-1</t>
  </si>
  <si>
    <t>002127:旧米川公民館</t>
  </si>
  <si>
    <t>1970/03/31</t>
  </si>
  <si>
    <t>東和町米川字町裏84</t>
  </si>
  <si>
    <t>1970/04/01</t>
  </si>
  <si>
    <t>0760098</t>
  </si>
  <si>
    <t>1977/08/20</t>
  </si>
  <si>
    <t>AsyzAP公民館 PPP元キー:00000002-0000001388-1</t>
  </si>
  <si>
    <t>001739:登米市津山公民館</t>
  </si>
  <si>
    <t>1976/08/20</t>
  </si>
  <si>
    <t>津山町横山字本町24</t>
  </si>
  <si>
    <t>0370012</t>
  </si>
  <si>
    <t>AsyzAP公民館 PPP元キー:00000002-0000001381-1</t>
  </si>
  <si>
    <t>001731:登米市登米公民館</t>
  </si>
  <si>
    <t>1972/12/25</t>
  </si>
  <si>
    <t>0370004</t>
  </si>
  <si>
    <t>AsyzAP公民館 PPP元キー:00000002-0000001361-1</t>
  </si>
  <si>
    <t>001793:中田保健福祉会館</t>
  </si>
  <si>
    <t>1999/03/01</t>
  </si>
  <si>
    <t>21:保健室・医務室・衛生室</t>
  </si>
  <si>
    <t>0470001</t>
  </si>
  <si>
    <t>AsyzAP保健センター PPP元キー:00000002-0000001479-1</t>
  </si>
  <si>
    <t>診療所薬局</t>
  </si>
  <si>
    <t>002135:上沼診療所薬局</t>
  </si>
  <si>
    <t>1974/02/01</t>
  </si>
  <si>
    <t>中田町上沼字弥勒寺中下22-2-の内</t>
  </si>
  <si>
    <t>0760106</t>
  </si>
  <si>
    <t>診療所</t>
  </si>
  <si>
    <t>002126:米川診療所</t>
  </si>
  <si>
    <t>東和町米川字町下59-1</t>
  </si>
  <si>
    <t>0760097</t>
  </si>
  <si>
    <t>AsyzAP診療所 PPP元キー:00000002-0000001723-1</t>
  </si>
  <si>
    <t>002093:新田診療所</t>
  </si>
  <si>
    <t>1984/04/29</t>
  </si>
  <si>
    <t>迫町新田字山田9-3</t>
  </si>
  <si>
    <t>0760064</t>
  </si>
  <si>
    <t>001799:南方保健センター</t>
  </si>
  <si>
    <t>1986/03/25</t>
  </si>
  <si>
    <t>0470007</t>
  </si>
  <si>
    <t>AsyzAP保健センター PPP元キー:00000002-0000001487-1</t>
  </si>
  <si>
    <t>001798:石越保健センター</t>
  </si>
  <si>
    <t>1984/03/06</t>
  </si>
  <si>
    <t>石越町南郷字矢作130-1</t>
  </si>
  <si>
    <t>0470006</t>
  </si>
  <si>
    <t>AsyzAP保健センター PPP元キー:00000002-0000001485-1</t>
  </si>
  <si>
    <t>001797:豊里健康管理センター</t>
  </si>
  <si>
    <t>1989/03/25</t>
  </si>
  <si>
    <t>豊里町土手下67</t>
  </si>
  <si>
    <t>0470005</t>
  </si>
  <si>
    <t>AsyzAP保健センター PPP元キー:00000002-0000001484-1</t>
  </si>
  <si>
    <t>001796:登米保健センター</t>
  </si>
  <si>
    <t>1979/03/20</t>
  </si>
  <si>
    <t>登米町寺池桜小路100</t>
  </si>
  <si>
    <t>0470004</t>
  </si>
  <si>
    <t>AsyzAP保健センター PPP元キー:00000002-0000001483-1</t>
  </si>
  <si>
    <t>001795:迫保健センター</t>
  </si>
  <si>
    <t>0470003</t>
  </si>
  <si>
    <t>AsyzAP保健センター PPP元キー:00000002-0000001482-1</t>
  </si>
  <si>
    <t>総合保健福祉センター弓道場</t>
  </si>
  <si>
    <t>1997/12/19</t>
  </si>
  <si>
    <t>AsyzAPその他の施設 PPP元キー:00000002-0000001481-1</t>
  </si>
  <si>
    <t>屋外トイレ及び更衣室</t>
  </si>
  <si>
    <t>002323:旧新田第一小学校</t>
  </si>
  <si>
    <t>1985/07/20</t>
  </si>
  <si>
    <t>迫町新田字狼ノ欠20-63</t>
  </si>
  <si>
    <t>22:脱衣室・更衣室</t>
  </si>
  <si>
    <t>0790016</t>
  </si>
  <si>
    <t>保育所</t>
  </si>
  <si>
    <t>001702:登米市豊里保育園</t>
  </si>
  <si>
    <t>1975/09/20</t>
  </si>
  <si>
    <t>豊里町小口前98</t>
  </si>
  <si>
    <t>1976/04/01</t>
  </si>
  <si>
    <t>23:保育室・育児室</t>
  </si>
  <si>
    <t>0280006</t>
  </si>
  <si>
    <t>保育所：スロープ（設置）</t>
  </si>
  <si>
    <t>001701:登米市中田保育所</t>
  </si>
  <si>
    <t>2017/09/01</t>
  </si>
  <si>
    <t>スロープ</t>
  </si>
  <si>
    <t>中田町上沼字大柳116</t>
  </si>
  <si>
    <t>0280005</t>
  </si>
  <si>
    <t>AsyzAPスロープ PPP元キー:00000002-0000001300-1</t>
  </si>
  <si>
    <t>保育所：外壁・屋根（建物修繕）</t>
  </si>
  <si>
    <t>外壁・屋根</t>
  </si>
  <si>
    <t>AsyzAP外壁・屋根 PPP元キー:00000002-0000001299-1</t>
  </si>
  <si>
    <t>児童館</t>
  </si>
  <si>
    <t>001725:上沼児童活動センター</t>
  </si>
  <si>
    <t>2008/03/04</t>
  </si>
  <si>
    <t>0350005</t>
  </si>
  <si>
    <t>AsyzAP児童館 PPP元キー:00000002-0000001350-1</t>
  </si>
  <si>
    <t>床等改修</t>
  </si>
  <si>
    <t>2021/02/22</t>
  </si>
  <si>
    <t>AsyzAP PPP元キー:00000002-0000001304-1</t>
  </si>
  <si>
    <t>2016/03/25</t>
  </si>
  <si>
    <t>AsyzAP児童館 PPP元キー:00000002-0000001345-1</t>
  </si>
  <si>
    <t>1982/03/01</t>
  </si>
  <si>
    <t>AsyzAP保育所 PPP元キー:00000002-0000001297-1</t>
  </si>
  <si>
    <t>001704:登米市石越保育所</t>
  </si>
  <si>
    <t>1980/10/07</t>
  </si>
  <si>
    <t>石越町南郷字高森275-4</t>
  </si>
  <si>
    <t>0280008</t>
  </si>
  <si>
    <t>預かり保育棟</t>
  </si>
  <si>
    <t>2018/10/31</t>
  </si>
  <si>
    <t>001703:登米市よねやま保育園</t>
  </si>
  <si>
    <t>2001/07/02</t>
  </si>
  <si>
    <t>米山町西野字古舘廻56-3</t>
  </si>
  <si>
    <t>0280007</t>
  </si>
  <si>
    <t>AsyzAP保育所 PPP元キー:00000002-0000001306-1</t>
  </si>
  <si>
    <t>AsyzAP児童館 PPP元キー:00000002-0000001344-1</t>
  </si>
  <si>
    <t>001698:登米市迫新田保育所</t>
  </si>
  <si>
    <t>1982/02/28</t>
  </si>
  <si>
    <t>迫町新田字狼ノ欠28-5</t>
  </si>
  <si>
    <t>0280002</t>
  </si>
  <si>
    <t>AsyzAP保育所 PPP元キー:00000002-0000001293-1</t>
  </si>
  <si>
    <t>001726:米谷児童活動センター</t>
  </si>
  <si>
    <t>1979/06/01</t>
  </si>
  <si>
    <t>0350006</t>
  </si>
  <si>
    <t>豊里こども園</t>
  </si>
  <si>
    <t>001970:豊里こども園</t>
  </si>
  <si>
    <t>2021/03/30</t>
  </si>
  <si>
    <t>豊里町小口前73-1</t>
  </si>
  <si>
    <t>0710079</t>
  </si>
  <si>
    <t>AsyzAP PPP元キー:00000002-0000001707-1</t>
  </si>
  <si>
    <t>002377:旧鱒渕保育所</t>
  </si>
  <si>
    <t>1969/01/07</t>
  </si>
  <si>
    <t>東和町米川字小山下10-3</t>
  </si>
  <si>
    <t>0790070</t>
  </si>
  <si>
    <t>002469:旧米谷保育所</t>
  </si>
  <si>
    <t>東和町米谷字石橋</t>
  </si>
  <si>
    <t>0790163</t>
  </si>
  <si>
    <t>AsyzAP保育所 PPP元キー:00000002-0000001828-1</t>
  </si>
  <si>
    <t>AsyzAP預かり保育棟 PPP元キー:00000002-0000001786-1</t>
  </si>
  <si>
    <t>001724:米山児童館</t>
  </si>
  <si>
    <t>米山町西野字西小路裏103</t>
  </si>
  <si>
    <t>0350004</t>
  </si>
  <si>
    <t>001722:登米児童館</t>
  </si>
  <si>
    <t>2009/02/18</t>
  </si>
  <si>
    <t>0350002</t>
  </si>
  <si>
    <t>AsyzAP児童館 PPP元キー:00000002-0000001342-1</t>
  </si>
  <si>
    <t>2003/05/31</t>
  </si>
  <si>
    <t>AsyzAP預かり保育棟 PPP元キー:00000002-0000000346-1</t>
  </si>
  <si>
    <t>AsyzAP預かり保育棟 PPP元キー:00000002-0000000330-1</t>
  </si>
  <si>
    <t>1981/07/31</t>
  </si>
  <si>
    <t>25:寮舎・宿舎</t>
  </si>
  <si>
    <t>AsyzAPその他の施設 PPP元キー:00000002-0000001598-1</t>
  </si>
  <si>
    <t>仙台学寮</t>
  </si>
  <si>
    <t>002269:旧仙台学寮</t>
  </si>
  <si>
    <t>0760243</t>
  </si>
  <si>
    <t>AsyzAPその他の施設 PPP元キー:00000002-0000001755-1</t>
  </si>
  <si>
    <t>1981/10/20</t>
  </si>
  <si>
    <t>001296:衛生センター</t>
  </si>
  <si>
    <t>1025200000:衛生センター</t>
  </si>
  <si>
    <t>2010/03/19</t>
  </si>
  <si>
    <t>南方町寺袋69</t>
  </si>
  <si>
    <t>0080001</t>
  </si>
  <si>
    <t>AsyzAP便所 PPP元キー:00000002-0000000266-1</t>
  </si>
  <si>
    <t>2011/03/10</t>
  </si>
  <si>
    <t>AsyzAP障害児童福祉施設 PPP元キー:00000002-0000001311-1</t>
  </si>
  <si>
    <t>001783:登米市南方東郷運動広場</t>
  </si>
  <si>
    <t>南方町本郷大嶽155</t>
  </si>
  <si>
    <t>0440013</t>
  </si>
  <si>
    <t>1972/07/20</t>
  </si>
  <si>
    <t>1998/03/31</t>
  </si>
  <si>
    <t>2015/02/12</t>
  </si>
  <si>
    <t>AsyzAP便所 PPP元キー:00000002-0000000515-1</t>
  </si>
  <si>
    <t>001936:下田中ポケットパーク機械室・便所</t>
  </si>
  <si>
    <t>迫町佐沼字下田中25-2</t>
  </si>
  <si>
    <t>0710044</t>
  </si>
  <si>
    <t>AsyzAP便所 PPP元キー:00000002-0000001675-1</t>
  </si>
  <si>
    <t>女子トイレ（便器洋式化）</t>
  </si>
  <si>
    <t>2019/03/29</t>
  </si>
  <si>
    <t>AsyzAP PPP元キー:00000002-0000001696-1</t>
  </si>
  <si>
    <t>1993/11/30</t>
  </si>
  <si>
    <t>2006/02/20</t>
  </si>
  <si>
    <t>AsyzAP便所 PPP元キー:00000002-0000000022-1</t>
  </si>
  <si>
    <t>2000/02/20</t>
  </si>
  <si>
    <t>屋外便所</t>
  </si>
  <si>
    <t>AsyzAP便所 PPP元キー:00000002-0000001515-1</t>
  </si>
  <si>
    <t>001938:新田駅前駐車場　新田駅トイレの一部</t>
  </si>
  <si>
    <t>迫町新田字前沼92-1-地先</t>
  </si>
  <si>
    <t>0710046</t>
  </si>
  <si>
    <t>001937:八日町公衆便所（津島神社）</t>
  </si>
  <si>
    <t>1973/03/26</t>
  </si>
  <si>
    <t>迫町佐沼字西佐沼140-1-地先</t>
  </si>
  <si>
    <t>0710045</t>
  </si>
  <si>
    <t>001932:横山不動尊トイレ</t>
  </si>
  <si>
    <t>津山町横山字本町18-13</t>
  </si>
  <si>
    <t>0710040</t>
  </si>
  <si>
    <t>001924:公衆便所（大嶽山山頂）</t>
  </si>
  <si>
    <t>南方町大嶽山35-1-借地</t>
  </si>
  <si>
    <t>0710032</t>
  </si>
  <si>
    <t>2002/06/30</t>
  </si>
  <si>
    <t>1992/06/30</t>
  </si>
  <si>
    <t>東山麓トイレ</t>
  </si>
  <si>
    <t>AsyzAP PPP元キー:00000002-0000001472-1</t>
  </si>
  <si>
    <t>AsyzAP PPP元キー:00000002-0000001471-1</t>
  </si>
  <si>
    <t>山麓トイレ</t>
  </si>
  <si>
    <t>AsyzAP PPP元キー:00000002-0000001470-1</t>
  </si>
  <si>
    <t>北山頂トイレ</t>
  </si>
  <si>
    <t>AsyzAP PPP元キー:00000002-0000001469-1</t>
  </si>
  <si>
    <t>001780:登米市中津山運動場</t>
  </si>
  <si>
    <t>米山町中津山字清水11</t>
  </si>
  <si>
    <t>0440010</t>
  </si>
  <si>
    <t>AsyzAP便所 PPP元キー:00000002-0000001452-1</t>
  </si>
  <si>
    <t>便所改修</t>
  </si>
  <si>
    <t>AsyzAP便所 PPP元キー:00000002-0000001450-1</t>
  </si>
  <si>
    <t>外トイレ</t>
  </si>
  <si>
    <t>001953:不老仙館前公衆便所</t>
  </si>
  <si>
    <t>東和町米谷字ぜん荷65-1</t>
  </si>
  <si>
    <t>0710061</t>
  </si>
  <si>
    <t>公衆トイレ</t>
  </si>
  <si>
    <t>001962:柳津駅前公衆トイレ</t>
  </si>
  <si>
    <t>津山町柳津字谷木221-2</t>
  </si>
  <si>
    <t>0710070</t>
  </si>
  <si>
    <t>001807:松坂集会所トイレ</t>
  </si>
  <si>
    <t>1998/03/20</t>
  </si>
  <si>
    <t>東和町米川字寺内55-1-ほか</t>
  </si>
  <si>
    <t>0490007</t>
  </si>
  <si>
    <t>AsyzAP便所 PPP元キー:00000002-0000001401-1</t>
  </si>
  <si>
    <t>001782:登米市南方総合運動場（陸上運動場倉庫）</t>
  </si>
  <si>
    <t>0440012</t>
  </si>
  <si>
    <t>1974/08/31</t>
  </si>
  <si>
    <t>AsyzAP便所 PPP元キー:00000002-0000001366-1</t>
  </si>
  <si>
    <t>1979/07/20</t>
  </si>
  <si>
    <t>AsyzAP便所 PPP元キー:00000002-0000001355-1</t>
  </si>
  <si>
    <t>2018/10/09</t>
  </si>
  <si>
    <t>AsyzAP PPP元キー:00000002-0000001352-1</t>
  </si>
  <si>
    <t>児童館：トイレ（改修）</t>
  </si>
  <si>
    <t>2017/10/26</t>
  </si>
  <si>
    <t>AsyzAPトイレ PPP元キー:00000002-0000001349-1</t>
  </si>
  <si>
    <t>博物館：屋根（修繕）</t>
  </si>
  <si>
    <t>2017/05/26</t>
  </si>
  <si>
    <t>29:教習所・養成所・研修所</t>
  </si>
  <si>
    <t>AsyzAP PPP元キー:00000002-0000001165-1</t>
  </si>
  <si>
    <t>研修生滞在施設A棟</t>
  </si>
  <si>
    <t>001864:農業研修生滞在施設</t>
  </si>
  <si>
    <t>1999/07/22</t>
  </si>
  <si>
    <t>米山町字桜岡大又15-4</t>
  </si>
  <si>
    <t>0700001</t>
  </si>
  <si>
    <t>けやき教室</t>
  </si>
  <si>
    <t>001824:けやき教室</t>
  </si>
  <si>
    <t>1987/02/14</t>
  </si>
  <si>
    <t>0540001</t>
  </si>
  <si>
    <t>就業改善センター</t>
  </si>
  <si>
    <t>001855:南方就業改善センター</t>
  </si>
  <si>
    <t>南方町堤田38-の内</t>
  </si>
  <si>
    <t>0670001</t>
  </si>
  <si>
    <t>AsyzAP就業改善センター PPP元キー:00000002-0000001582-1</t>
  </si>
  <si>
    <t>陶芸生産施設</t>
  </si>
  <si>
    <t>勤労青少年ホーム</t>
  </si>
  <si>
    <t>001800:東和勤労青少年ホーム</t>
  </si>
  <si>
    <t>2004/04/30</t>
  </si>
  <si>
    <t>東和町錦織字雷神山15-3</t>
  </si>
  <si>
    <t>0480001</t>
  </si>
  <si>
    <t>AsyzAP勤労青少年ホーム PPP元キー:00000002-0000001489-1</t>
  </si>
  <si>
    <t>001851:東和町陶芸場</t>
  </si>
  <si>
    <t>陶芸施設</t>
  </si>
  <si>
    <t>東和町米川字六反44-1-地内</t>
  </si>
  <si>
    <t>0650002</t>
  </si>
  <si>
    <t>研修室</t>
  </si>
  <si>
    <t>001927:研修室（2）</t>
  </si>
  <si>
    <t>0710035</t>
  </si>
  <si>
    <t>001867:中田農産物直売所</t>
  </si>
  <si>
    <t>2004/03/01</t>
  </si>
  <si>
    <t>0700004</t>
  </si>
  <si>
    <t>2003/01/31</t>
  </si>
  <si>
    <t>陶芸生産施設　旧台帳番号：404-19-1　</t>
  </si>
  <si>
    <t>001850:津山大萱沢陶芸生産施設</t>
  </si>
  <si>
    <t>1998/03/25</t>
  </si>
  <si>
    <t>津山町横山字大萱沢150-2</t>
  </si>
  <si>
    <t>0790145</t>
  </si>
  <si>
    <t>作業所</t>
  </si>
  <si>
    <t>001828:中田障害者地域活動支援センター（ばっけの家）</t>
  </si>
  <si>
    <t>1968/06/01</t>
  </si>
  <si>
    <t>小規模作業所施設</t>
  </si>
  <si>
    <t>中田町宝江黒沼字下道67-3</t>
  </si>
  <si>
    <t>0560003</t>
  </si>
  <si>
    <t>001956:津山陶芸館</t>
  </si>
  <si>
    <t>0710064</t>
  </si>
  <si>
    <t>1987/03/01</t>
  </si>
  <si>
    <t>AsyzAP勤労青少年ホーム PPP元キー:00000002-0000001488-1</t>
  </si>
  <si>
    <t>研修生滞在施設B棟</t>
  </si>
  <si>
    <t>研修生滞在施設C棟</t>
  </si>
  <si>
    <t>001829:南方障害者地域活動支援センター（つくし作業所）</t>
  </si>
  <si>
    <t>障害者地域活動支援センター</t>
  </si>
  <si>
    <t>南方町西山成前141</t>
  </si>
  <si>
    <t>0560004</t>
  </si>
  <si>
    <t>陶芸館</t>
  </si>
  <si>
    <t>0440020</t>
  </si>
  <si>
    <t>001830:米山障害者地域活動支援センター（ふれあいセンター）</t>
  </si>
  <si>
    <t>米山町西野字四軒見通68-1</t>
  </si>
  <si>
    <t>0560005</t>
  </si>
  <si>
    <t>花き園芸センター</t>
  </si>
  <si>
    <t>001839:花き園芸センター</t>
  </si>
  <si>
    <t>1996/03/04</t>
  </si>
  <si>
    <t>米山町西野字新遠田64-2</t>
  </si>
  <si>
    <t>30:温室</t>
  </si>
  <si>
    <t>0580001</t>
  </si>
  <si>
    <t>AsyzAP花き園芸センター PPP元キー:00000002-0000001557-1</t>
  </si>
  <si>
    <t>鶏小屋・用具入れ</t>
  </si>
  <si>
    <t>2000/10/20</t>
  </si>
  <si>
    <t>31:小屋・畜舎</t>
  </si>
  <si>
    <t>火葬場</t>
  </si>
  <si>
    <t>001819:登米市斎場</t>
  </si>
  <si>
    <t>2008/10/20</t>
  </si>
  <si>
    <t>迫町佐沼字沼向62</t>
  </si>
  <si>
    <t>32:火葬場</t>
  </si>
  <si>
    <t>0500001</t>
  </si>
  <si>
    <t>AsyzAP火葬場 PPP元キー:00000002-0000001514-1</t>
  </si>
  <si>
    <t>ストックヤード</t>
  </si>
  <si>
    <t>001295:新クリーンセンター</t>
  </si>
  <si>
    <t>2019/11/25</t>
  </si>
  <si>
    <t>豊里町笑沢153-22</t>
  </si>
  <si>
    <t>35:焼却場</t>
  </si>
  <si>
    <t>0070005</t>
  </si>
  <si>
    <t>AsyzAP PPP元キー:00000002-0000000262-1</t>
  </si>
  <si>
    <t>工場棟</t>
  </si>
  <si>
    <t>AsyzAP PPP元キー:00000002-0000000260-1</t>
  </si>
  <si>
    <t>AsyzAP PPP元キー:00000002-0000000261-1</t>
  </si>
  <si>
    <t>36:塵芥集積所</t>
  </si>
  <si>
    <t>AsyzAPストックヤード PPP元キー:00000002-0000000265-1</t>
  </si>
  <si>
    <t>粗大ごみ施設</t>
  </si>
  <si>
    <t>37:処理場・加工場</t>
  </si>
  <si>
    <t>AsyzAP粗大ごみ施設 PPP元キー:00000002-0000001836-1</t>
  </si>
  <si>
    <t>衛生センター</t>
  </si>
  <si>
    <t>01_01_03</t>
  </si>
  <si>
    <t>AsyzAP衛生センター PPP元キー:00000002-0000000264-1</t>
  </si>
  <si>
    <t>農産物加工所施設</t>
  </si>
  <si>
    <t>001846:地域特産利用加工施設</t>
  </si>
  <si>
    <t>2000/01/28</t>
  </si>
  <si>
    <t>東和町米川字西綱木145-3</t>
  </si>
  <si>
    <t>0620001</t>
  </si>
  <si>
    <t>木工加工所施設</t>
  </si>
  <si>
    <t>001912:津山木工加工研修施設</t>
  </si>
  <si>
    <t>津山町柳津字小麻65-1</t>
  </si>
  <si>
    <t>0710020</t>
  </si>
  <si>
    <t>微生物脱臭棟</t>
  </si>
  <si>
    <t>有機センター</t>
  </si>
  <si>
    <t>001833:中田有機センター</t>
  </si>
  <si>
    <t>2005/03/01</t>
  </si>
  <si>
    <t>中田町石森字中田西14</t>
  </si>
  <si>
    <t>0570002</t>
  </si>
  <si>
    <t>AsyzAP有機センター PPP元キー:00000002-0000001539-1</t>
  </si>
  <si>
    <t>発酵棟</t>
  </si>
  <si>
    <t>AsyzAP発酵棟 PPP元キー:00000002-0000001543-1</t>
  </si>
  <si>
    <t>AsyzAP有機センター PPP元キー:00000002-0000001545-1</t>
  </si>
  <si>
    <t>001835:南方有機センター（本センター）</t>
  </si>
  <si>
    <t>南方町新鳩峯1</t>
  </si>
  <si>
    <t>0570004</t>
  </si>
  <si>
    <t>AsyzAP有機センター PPP元キー:00000002-0000001548-1</t>
  </si>
  <si>
    <t>AsyzAP発酵棟 PPP元キー:00000002-0000001551-1</t>
  </si>
  <si>
    <t>AsyzAP発酵棟 PPP元キー:00000002-0000001552-1</t>
  </si>
  <si>
    <t>発酵処理施設</t>
  </si>
  <si>
    <t>AsyzAP有機センター PPP元キー:00000002-0000001554-1</t>
  </si>
  <si>
    <t>001849:中田農産物加工所</t>
  </si>
  <si>
    <t>農産物加工所施設　【主体構造】修正　</t>
  </si>
  <si>
    <t>中田町石森字本町95-1-の内</t>
  </si>
  <si>
    <t>0640001</t>
  </si>
  <si>
    <t>AsyzAP農産物加工所施設　【主体構造】修正 PPP元キー:00000002-0000001573-1</t>
  </si>
  <si>
    <t>浸出水処理施設</t>
  </si>
  <si>
    <t>001293:最終処分場浸出水処理施設</t>
  </si>
  <si>
    <t>第1浸出水処理施設</t>
  </si>
  <si>
    <t>豊里町笑沢153-23</t>
  </si>
  <si>
    <t>0070002</t>
  </si>
  <si>
    <t>AsyzAP第1浸出水処理施設 PPP元キー:00000002-0000000257-1</t>
  </si>
  <si>
    <t>001836:南方有機センター（サブセンター）</t>
  </si>
  <si>
    <t>1987/03/25</t>
  </si>
  <si>
    <t>南方町実沢175</t>
  </si>
  <si>
    <t>0570005</t>
  </si>
  <si>
    <t>001294:登米市一般廃棄物第2最終処分場浸出水処理施設</t>
  </si>
  <si>
    <t>2016/09/30</t>
  </si>
  <si>
    <t>豊里町笑沢153-3</t>
  </si>
  <si>
    <t>0070003</t>
  </si>
  <si>
    <t>AsyzAP浸出水処理施設 PPP元キー:00000002-0000000259-1</t>
  </si>
  <si>
    <t>001914:東和木工工芸研修センター</t>
  </si>
  <si>
    <t>1985/03/30</t>
  </si>
  <si>
    <t>東和町米川字六反44-1</t>
  </si>
  <si>
    <t>0710022</t>
  </si>
  <si>
    <t>堆肥棟</t>
  </si>
  <si>
    <t>001928:高齢者加工活動施設</t>
  </si>
  <si>
    <t>津山町横山字細屋26-1</t>
  </si>
  <si>
    <t>0710036</t>
  </si>
  <si>
    <t>AsyzAPストックヤード PPP元キー:00000002-0000001838-1</t>
  </si>
  <si>
    <t>可燃ごみ施設</t>
  </si>
  <si>
    <t>AsyzAP可燃ごみ施設 PPP元キー:00000002-0000001835-1</t>
  </si>
  <si>
    <t>001891:青木排水機場</t>
  </si>
  <si>
    <t>2009/12/14</t>
  </si>
  <si>
    <t>東和町米川字青木-地内（換地計画中）</t>
  </si>
  <si>
    <t>42:ポンプ室</t>
  </si>
  <si>
    <t>0700028</t>
  </si>
  <si>
    <t>AsyzAP農業関連施設 PPP元キー:00000002-0000001632-1</t>
  </si>
  <si>
    <t>001880:西田第2排水機場</t>
  </si>
  <si>
    <t>中田町石森字新川前198</t>
  </si>
  <si>
    <t>0700017</t>
  </si>
  <si>
    <t>AsyzAP農業関連施設 PPP元キー:00000002-0000001621-1</t>
  </si>
  <si>
    <t>受水槽ポンプ室</t>
  </si>
  <si>
    <t>AsyzAP機械室 PPP元キー:00000002-0000000995-1</t>
  </si>
  <si>
    <t>ポンプ室</t>
  </si>
  <si>
    <t>001451:登米市中田定住促進住宅</t>
  </si>
  <si>
    <t>1980/07/18</t>
  </si>
  <si>
    <t>中田町石森字前田88-1</t>
  </si>
  <si>
    <t>0170067</t>
  </si>
  <si>
    <t>プール機械室</t>
  </si>
  <si>
    <t>1988/07/31</t>
  </si>
  <si>
    <t>001889:渋江排水機場</t>
  </si>
  <si>
    <t>登米町寺池渋江33</t>
  </si>
  <si>
    <t>0700026</t>
  </si>
  <si>
    <t>001450:登米市迫定住促進住宅</t>
  </si>
  <si>
    <t>1980/05/22</t>
  </si>
  <si>
    <t>迫町佐沼字中江一丁目13-4</t>
  </si>
  <si>
    <t>0170066</t>
  </si>
  <si>
    <t>001878:曲袋揚水機場</t>
  </si>
  <si>
    <t>2005/04/06</t>
  </si>
  <si>
    <t>中田町浅水字曲袋南79</t>
  </si>
  <si>
    <t>0700015</t>
  </si>
  <si>
    <t>AsyzAP農業関連施設 PPP元キー:00000002-0000001619-1</t>
  </si>
  <si>
    <t>001323:登米市南部学校給食センター</t>
  </si>
  <si>
    <t>3010030000:教育総務課</t>
  </si>
  <si>
    <t>豊里町大椚65-1</t>
  </si>
  <si>
    <t>0120004</t>
  </si>
  <si>
    <t>AsyzAP機械室 PPP元キー:00000002-0000000309-1</t>
  </si>
  <si>
    <t>001877:山崎排水機場</t>
  </si>
  <si>
    <t>石越町北郷字押込368-2</t>
  </si>
  <si>
    <t>0700014</t>
  </si>
  <si>
    <t>AsyzAP農業関連施設 PPP元キー:00000002-0000001618-1</t>
  </si>
  <si>
    <t>001882:五ヶ村堀第2排水機場</t>
  </si>
  <si>
    <t>米山町字地蔵川75</t>
  </si>
  <si>
    <t>0700019</t>
  </si>
  <si>
    <t>排水機場</t>
  </si>
  <si>
    <t>001875:石越南部第2排水機場</t>
  </si>
  <si>
    <t>石越町南郷字土手前173-4</t>
  </si>
  <si>
    <t>0700012</t>
  </si>
  <si>
    <t>AsyzAP農業関連施設 PPP元キー:00000002-0000001617-1</t>
  </si>
  <si>
    <t>001873:桜岡排水機場</t>
  </si>
  <si>
    <t>米山町字桜岡新中埣54-2</t>
  </si>
  <si>
    <t>0700010</t>
  </si>
  <si>
    <t>AsyzAP農業関連施設 PPP元キー:00000002-0000001616-1</t>
  </si>
  <si>
    <t>浄化用ポンプ小屋</t>
  </si>
  <si>
    <t>001939:寺前沼浄化用ポンプ小屋</t>
  </si>
  <si>
    <t>2005/02/15</t>
  </si>
  <si>
    <t>東和町米川字町下55-1-地内</t>
  </si>
  <si>
    <t>0710047</t>
  </si>
  <si>
    <t>001879:二ツ橋揚水機場（敷地）</t>
  </si>
  <si>
    <t>中田町石森字新田1-2-借地</t>
  </si>
  <si>
    <t>0700016</t>
  </si>
  <si>
    <t>プロパン庫</t>
  </si>
  <si>
    <t>AsyzAP機械室 PPP元キー:00000002-0000001519-1</t>
  </si>
  <si>
    <t>001871:五畝排水機場</t>
  </si>
  <si>
    <t>1995/11/28</t>
  </si>
  <si>
    <t>東和町錦織字中大谷野404</t>
  </si>
  <si>
    <t>0700008</t>
  </si>
  <si>
    <t>AsyzAP農業関連施設 PPP元キー:00000002-0000001615-1</t>
  </si>
  <si>
    <t>1987/07/31</t>
  </si>
  <si>
    <t>001870:並柳排水機場</t>
  </si>
  <si>
    <t>登米町大字日根牛五郎峯前86</t>
  </si>
  <si>
    <t>0700007</t>
  </si>
  <si>
    <t>AsyzAP農業関連施設 PPP元キー:00000002-0000001614-1</t>
  </si>
  <si>
    <t>ポンプ置場、山車置き場倉庫</t>
  </si>
  <si>
    <t>002195:旧よねやま保育園</t>
  </si>
  <si>
    <t>米山町西野字新五反口155-の内</t>
  </si>
  <si>
    <t>0760166</t>
  </si>
  <si>
    <t>1966/03/31</t>
  </si>
  <si>
    <t>1991/10/20</t>
  </si>
  <si>
    <t>AsyzAPプール機械室 PPP元キー:00000002-0000000383-1</t>
  </si>
  <si>
    <t>1989/07/31</t>
  </si>
  <si>
    <t>001869:細谷排水機場</t>
  </si>
  <si>
    <t>1997/03/30</t>
  </si>
  <si>
    <t>迫町佐沼字菜園36-201</t>
  </si>
  <si>
    <t>0700006</t>
  </si>
  <si>
    <t>AsyzAP農業関連施設 PPP元キー:00000002-0000001613-1</t>
  </si>
  <si>
    <t>001881:糠塚第2排水機場</t>
  </si>
  <si>
    <t>中田町石森字新糠塚25-2</t>
  </si>
  <si>
    <t>0700018</t>
  </si>
  <si>
    <t>001884:仮屋排水機場</t>
  </si>
  <si>
    <t>迫町北方字三方島東6</t>
  </si>
  <si>
    <t>0700021</t>
  </si>
  <si>
    <t>AsyzAP農業関連施設 PPP元キー:00000002-0000001625-1</t>
  </si>
  <si>
    <t>001885:新森越戸排水機場</t>
  </si>
  <si>
    <t>迫町森字平柳-地内</t>
  </si>
  <si>
    <t>0700022</t>
  </si>
  <si>
    <t>AsyzAP農業関連施設 PPP元キー:00000002-0000001626-1</t>
  </si>
  <si>
    <t>001886:米谷排水機場</t>
  </si>
  <si>
    <t>2001/03/27</t>
  </si>
  <si>
    <t>東和町米谷字鳥海1-2</t>
  </si>
  <si>
    <t>0700023</t>
  </si>
  <si>
    <t>AsyzAP農業関連施設 PPP元キー:00000002-0000001627-1</t>
  </si>
  <si>
    <t>001887:番江排水機場</t>
  </si>
  <si>
    <t>豊里町外一番江105</t>
  </si>
  <si>
    <t>0700024</t>
  </si>
  <si>
    <t>AsyzAP農業関連施設 PPP元キー:00000002-0000001628-1</t>
  </si>
  <si>
    <t>001888:締切沼第2排水機場</t>
  </si>
  <si>
    <t>津山町柳津字幣崎329</t>
  </si>
  <si>
    <t>0700025</t>
  </si>
  <si>
    <t>001890:三沼低地用排水機場</t>
  </si>
  <si>
    <t>豊里町下沼田543</t>
  </si>
  <si>
    <t>0700027</t>
  </si>
  <si>
    <t>AsyzAP農業関連施設 PPP元キー:00000002-0000001631-1</t>
  </si>
  <si>
    <t>001883:大網排水機場</t>
  </si>
  <si>
    <t>南方町寺袋-地内</t>
  </si>
  <si>
    <t>0700020</t>
  </si>
  <si>
    <t>5号棟</t>
  </si>
  <si>
    <t>001412:中田加賀野住宅</t>
  </si>
  <si>
    <t>1994/10/01</t>
  </si>
  <si>
    <t>市営住宅</t>
  </si>
  <si>
    <t>中田町石森字加賀野一丁目12-3</t>
  </si>
  <si>
    <t>0170028</t>
  </si>
  <si>
    <t>1号棟</t>
  </si>
  <si>
    <t>001439:津山元町住宅</t>
  </si>
  <si>
    <t>津山町柳津字平形75-1</t>
  </si>
  <si>
    <t>01_01_07</t>
  </si>
  <si>
    <t>0170055</t>
  </si>
  <si>
    <t>2号棟</t>
  </si>
  <si>
    <t>3号棟</t>
  </si>
  <si>
    <t>001442:津山横山北沢住宅</t>
  </si>
  <si>
    <t>津山町横山字本町121-30</t>
  </si>
  <si>
    <t>0170058</t>
  </si>
  <si>
    <t>住宅</t>
  </si>
  <si>
    <t>001445:東和古舘厚生住宅</t>
  </si>
  <si>
    <t>東和町米谷字古舘4-2</t>
  </si>
  <si>
    <t>0170061</t>
  </si>
  <si>
    <t>001446:東和町裏厚生住宅</t>
  </si>
  <si>
    <t>1965/03/03</t>
  </si>
  <si>
    <t>東和町米川字町裏60-1</t>
  </si>
  <si>
    <t>0170062</t>
  </si>
  <si>
    <t>4号棟</t>
  </si>
  <si>
    <t>001411:中田本町住宅</t>
  </si>
  <si>
    <t>1995/03/31</t>
  </si>
  <si>
    <t>中田町石森字本町73</t>
  </si>
  <si>
    <t>0170027</t>
  </si>
  <si>
    <t>001408:東和城内住宅</t>
  </si>
  <si>
    <t>1982/03/20</t>
  </si>
  <si>
    <t>東和町米谷字根郭116-3</t>
  </si>
  <si>
    <t>4:無筋コンクリート</t>
  </si>
  <si>
    <t>0170024</t>
  </si>
  <si>
    <t>002227:住宅</t>
  </si>
  <si>
    <t>1976/03/31</t>
  </si>
  <si>
    <t>南方町西山成前145-2</t>
  </si>
  <si>
    <t>0760198</t>
  </si>
  <si>
    <t>001414:豊里上屋浦住宅</t>
  </si>
  <si>
    <t>豊里町上屋浦213</t>
  </si>
  <si>
    <t>0170030</t>
  </si>
  <si>
    <t>001387:迫東大網住宅</t>
  </si>
  <si>
    <t>1964/03/31</t>
  </si>
  <si>
    <t>迫町佐沼字大網241-2</t>
  </si>
  <si>
    <t>1964/04/01</t>
  </si>
  <si>
    <t>52</t>
  </si>
  <si>
    <t>0170003</t>
  </si>
  <si>
    <t>001386:迫北大網住宅</t>
  </si>
  <si>
    <t>迫町佐沼字大網132</t>
  </si>
  <si>
    <t>0170002</t>
  </si>
  <si>
    <t>001389:迫駒木袋住宅</t>
  </si>
  <si>
    <t>迫町佐沼字駒木袋20</t>
  </si>
  <si>
    <t>0170005</t>
  </si>
  <si>
    <t>001392:迫新下谷地住宅</t>
  </si>
  <si>
    <t>迫町北方字新下谷地114</t>
  </si>
  <si>
    <t>0170008</t>
  </si>
  <si>
    <t>10号棟</t>
  </si>
  <si>
    <t>001395:登米館山住宅</t>
  </si>
  <si>
    <t>1953/03/31</t>
  </si>
  <si>
    <t>登米町寺池上町32-1</t>
  </si>
  <si>
    <t>0170011</t>
  </si>
  <si>
    <t>001396:登米薬師崎第一住宅</t>
  </si>
  <si>
    <t>1957/03/31</t>
  </si>
  <si>
    <t>登米町日野渡薬師崎44-2</t>
  </si>
  <si>
    <t>0170012</t>
  </si>
  <si>
    <t>001399:登米金沢山第二住宅</t>
  </si>
  <si>
    <t>1969/03/31</t>
  </si>
  <si>
    <t>登米町寺池金沢山50</t>
  </si>
  <si>
    <t>0170015</t>
  </si>
  <si>
    <t>３号棟</t>
  </si>
  <si>
    <t>001388:迫南元丁住宅</t>
  </si>
  <si>
    <t>火災により一部解体のため、解体後面積にて再登録　</t>
  </si>
  <si>
    <t>迫町佐沼字南元丁88-2</t>
  </si>
  <si>
    <t>55</t>
  </si>
  <si>
    <t>0170004</t>
  </si>
  <si>
    <t>8号棟</t>
  </si>
  <si>
    <t>9号棟</t>
  </si>
  <si>
    <t>旧亘理邸</t>
  </si>
  <si>
    <t>001757:旧亘理邸</t>
  </si>
  <si>
    <t>1905/03/06</t>
  </si>
  <si>
    <t>迫町佐沼字内町12</t>
  </si>
  <si>
    <t>1905/04/01</t>
  </si>
  <si>
    <t>113</t>
  </si>
  <si>
    <t>0390012</t>
  </si>
  <si>
    <t>001403:登米遠見台第二住宅</t>
  </si>
  <si>
    <t>登米町寺池上町56-65</t>
  </si>
  <si>
    <t>0170019</t>
  </si>
  <si>
    <t>001429:南方茶臼森住宅</t>
  </si>
  <si>
    <t>南方町茶臼森前3-1</t>
  </si>
  <si>
    <t>0170045</t>
  </si>
  <si>
    <t>001421:米山西野第二住宅</t>
  </si>
  <si>
    <t>米山町西野字見通70-1</t>
  </si>
  <si>
    <t>0170037</t>
  </si>
  <si>
    <t>6号棟</t>
  </si>
  <si>
    <t>7号棟</t>
  </si>
  <si>
    <t>001394:登米前舟橋住宅</t>
  </si>
  <si>
    <t>登米町寺池前舟橋11-6</t>
  </si>
  <si>
    <t>0170010</t>
  </si>
  <si>
    <t>2018/08/24</t>
  </si>
  <si>
    <t>001397:登米薬師崎第二住宅</t>
  </si>
  <si>
    <t>1960/03/31</t>
  </si>
  <si>
    <t>登米町日野渡薬師崎47-1</t>
  </si>
  <si>
    <t>1960/04/01</t>
  </si>
  <si>
    <t>56</t>
  </si>
  <si>
    <t>0170013</t>
  </si>
  <si>
    <t>001404:東和三六山第一住宅</t>
  </si>
  <si>
    <t>東和町米谷字日面81-2</t>
  </si>
  <si>
    <t>0170020</t>
  </si>
  <si>
    <t>001405:東和町裏住宅</t>
  </si>
  <si>
    <t>1965/03/10</t>
  </si>
  <si>
    <t>0170021</t>
  </si>
  <si>
    <t>1961/03/31</t>
  </si>
  <si>
    <t>1961/04/01</t>
  </si>
  <si>
    <t>001398:登米金沢山第一住宅</t>
  </si>
  <si>
    <t>1958/03/31</t>
  </si>
  <si>
    <t>登米町寺池金沢山8</t>
  </si>
  <si>
    <t>1958/04/01</t>
  </si>
  <si>
    <t>58</t>
  </si>
  <si>
    <t>0170014</t>
  </si>
  <si>
    <t>001406:東和内山住宅</t>
  </si>
  <si>
    <t>東和町錦織字天沼54-10</t>
  </si>
  <si>
    <t>0170022</t>
  </si>
  <si>
    <t>001407:東和三六山第二住宅</t>
  </si>
  <si>
    <t>1971/03/31</t>
  </si>
  <si>
    <t>東和町米谷字日面65-2</t>
  </si>
  <si>
    <t>0170023</t>
  </si>
  <si>
    <t>001410:中田大柳住宅</t>
  </si>
  <si>
    <t>1986/03/01</t>
  </si>
  <si>
    <t>中田町上沼字大柳119-5</t>
  </si>
  <si>
    <t>0170026</t>
  </si>
  <si>
    <t>13号棟</t>
  </si>
  <si>
    <t>001400:登米金沢山南第一住宅</t>
  </si>
  <si>
    <t>登米町寺池金沢山60-1</t>
  </si>
  <si>
    <t>0170016</t>
  </si>
  <si>
    <t>11号棟</t>
  </si>
  <si>
    <t>12号棟</t>
  </si>
  <si>
    <t>001401:登米金沢山南第二住宅</t>
  </si>
  <si>
    <t>1977/03/31</t>
  </si>
  <si>
    <t>登米町寺池金沢山46</t>
  </si>
  <si>
    <t>0170017</t>
  </si>
  <si>
    <t>14号棟</t>
  </si>
  <si>
    <t>15号棟</t>
  </si>
  <si>
    <t>16号棟</t>
  </si>
  <si>
    <t>001448:豊里新町特定公共賃貸住宅</t>
  </si>
  <si>
    <t>豊里町新町5-1</t>
  </si>
  <si>
    <t>0170064</t>
  </si>
  <si>
    <t>17号棟</t>
  </si>
  <si>
    <t>18号棟</t>
  </si>
  <si>
    <t>19号棟</t>
  </si>
  <si>
    <t>20号棟</t>
  </si>
  <si>
    <t>(1)1号棟</t>
  </si>
  <si>
    <t>001413:豊里新町住宅</t>
  </si>
  <si>
    <t>豊里町土手下57</t>
  </si>
  <si>
    <t>0170029</t>
  </si>
  <si>
    <t>(1)3号棟</t>
  </si>
  <si>
    <t>(1)4号棟</t>
  </si>
  <si>
    <t>(2)1号棟</t>
  </si>
  <si>
    <t>(2)2号棟</t>
  </si>
  <si>
    <t>(2)3号棟</t>
  </si>
  <si>
    <t>(2)4号棟</t>
  </si>
  <si>
    <t>(2)5号棟</t>
  </si>
  <si>
    <t>001417:米山桜岡住宅</t>
  </si>
  <si>
    <t>2017/10/31</t>
  </si>
  <si>
    <t>米山町字桜岡貝待井5-7</t>
  </si>
  <si>
    <t>0170033</t>
  </si>
  <si>
    <t>001419:米山山吉田住宅</t>
  </si>
  <si>
    <t>米山町字小待井26-4</t>
  </si>
  <si>
    <t>0170035</t>
  </si>
  <si>
    <t>001420:米山西野第一住宅</t>
  </si>
  <si>
    <t>米山町西野字見通3-1</t>
  </si>
  <si>
    <t>0170036</t>
  </si>
  <si>
    <t>001424:石越田上住宅</t>
  </si>
  <si>
    <t>石越町南郷字芦倉101-5</t>
  </si>
  <si>
    <t>0170040</t>
  </si>
  <si>
    <t>001425:石越駅前住宅</t>
  </si>
  <si>
    <t>石越町南郷字小谷地前157-2</t>
  </si>
  <si>
    <t>0170041</t>
  </si>
  <si>
    <t>001461:迫西大網第二住宅（災害公営住宅）</t>
  </si>
  <si>
    <t>2016/06/30</t>
  </si>
  <si>
    <t>迫町佐沼字大網407-6</t>
  </si>
  <si>
    <t>0170077</t>
  </si>
  <si>
    <t>AsyzAP市営住宅 PPP元キー:00000002-0000001075-1</t>
  </si>
  <si>
    <t>001460:豊里横町住宅（災害公営住宅）</t>
  </si>
  <si>
    <t>2014/08/25</t>
  </si>
  <si>
    <t>豊里町横町25-1</t>
  </si>
  <si>
    <t>0170076</t>
  </si>
  <si>
    <t>AsyzAP市営住宅 PPP元キー:00000002-0000001074-1</t>
  </si>
  <si>
    <t>AsyzAP市営住宅 PPP元キー:00000002-0000001073-1</t>
  </si>
  <si>
    <t>AsyzAP市営住宅 PPP元キー:00000002-0000001072-1</t>
  </si>
  <si>
    <t>AsyzAP市営住宅 PPP元キー:00000002-0000001071-1</t>
  </si>
  <si>
    <t>AsyzAP市営住宅 PPP元キー:00000002-0000001070-1</t>
  </si>
  <si>
    <t>AsyzAP市営住宅 PPP元キー:00000002-0000001069-1</t>
  </si>
  <si>
    <t>AsyzAP市営住宅 PPP元キー:00000002-0000001068-1</t>
  </si>
  <si>
    <t>AsyzAP市営住宅 PPP元キー:00000002-0000001067-1</t>
  </si>
  <si>
    <t>AsyzAP市営住宅 PPP元キー:00000002-0000001066-1</t>
  </si>
  <si>
    <t>AsyzAP市営住宅 PPP元キー:00000002-0000001065-1</t>
  </si>
  <si>
    <t>001459:中田加賀野第二住宅（災害公営住宅）</t>
  </si>
  <si>
    <t>2014/08/08</t>
  </si>
  <si>
    <t>中田町石森字加賀野二丁目4-7</t>
  </si>
  <si>
    <t>0170075</t>
  </si>
  <si>
    <t>AsyzAP市営住宅 PPP元キー:00000002-0000001064-1</t>
  </si>
  <si>
    <t>AsyzAP市営住宅 PPP元キー:00000002-0000001063-1</t>
  </si>
  <si>
    <t>AsyzAP市営住宅 PPP元キー:00000002-0000001062-1</t>
  </si>
  <si>
    <t>AsyzAP市営住宅 PPP元キー:00000002-0000001061-1</t>
  </si>
  <si>
    <t>2014/08/22</t>
  </si>
  <si>
    <t>AsyzAP市営住宅 PPP元キー:00000002-0000001060-1</t>
  </si>
  <si>
    <t>AsyzAP市営住宅 PPP元キー:00000002-0000001059-1</t>
  </si>
  <si>
    <t>AsyzAP市営住宅 PPP元キー:00000002-0000001058-1</t>
  </si>
  <si>
    <t>AsyzAP市営住宅 PPP元キー:00000002-0000001057-1</t>
  </si>
  <si>
    <t>AsyzAP市営住宅 PPP元キー:00000002-0000001056-1</t>
  </si>
  <si>
    <t>001458:東和日面第二住宅（災害公営住宅）</t>
  </si>
  <si>
    <t>東和町米谷字日面56</t>
  </si>
  <si>
    <t>0170074</t>
  </si>
  <si>
    <t>AsyzAP市営住宅 PPP元キー:00000002-0000001055-1</t>
  </si>
  <si>
    <t>AsyzAP市営住宅 PPP元キー:00000002-0000001054-1</t>
  </si>
  <si>
    <t>AsyzAP市営住宅 PPP元キー:00000002-0000001053-1</t>
  </si>
  <si>
    <t>AsyzAP市営住宅 PPP元キー:00000002-0000001052-1</t>
  </si>
  <si>
    <t>001457:東和日面住宅（災害公営住宅）</t>
  </si>
  <si>
    <t>2014/07/08</t>
  </si>
  <si>
    <t>東和町米谷字日面15</t>
  </si>
  <si>
    <t>0170073</t>
  </si>
  <si>
    <t>AsyzAP市営住宅 PPP元キー:00000002-0000001051-1</t>
  </si>
  <si>
    <t>AsyzAP市営住宅 PPP元キー:00000002-0000001050-1</t>
  </si>
  <si>
    <t>AsyzAP市営住宅 PPP元キー:00000002-0000001049-1</t>
  </si>
  <si>
    <t>AsyzAP市営住宅 PPP元キー:00000002-0000001048-1</t>
  </si>
  <si>
    <t>AsyzAP市営住宅 PPP元キー:00000002-0000001047-1</t>
  </si>
  <si>
    <t>001456:迫南元丁第二住宅（災害公営住宅）</t>
  </si>
  <si>
    <t>2014/05/20</t>
  </si>
  <si>
    <t>迫町佐沼字南元丁66-1</t>
  </si>
  <si>
    <t>0170072</t>
  </si>
  <si>
    <t>AsyzAP市営住宅 PPP元キー:00000002-0000001046-1</t>
  </si>
  <si>
    <t>AsyzAP市営住宅 PPP元キー:00000002-0000001045-1</t>
  </si>
  <si>
    <t>AsyzAP市営住宅 PPP元キー:00000002-0000001044-1</t>
  </si>
  <si>
    <t>AsyzAP市営住宅 PPP元キー:00000002-0000001043-1</t>
  </si>
  <si>
    <t>AsyzAP市営住宅 PPP元キー:00000002-0000001042-1</t>
  </si>
  <si>
    <t>AsyzAP市営住宅 PPP元キー:00000002-0000001041-1</t>
  </si>
  <si>
    <t>AsyzAP市営住宅 PPP元キー:00000002-0000001040-1</t>
  </si>
  <si>
    <t>AsyzAP市営住宅 PPP元キー:00000002-0000001039-1</t>
  </si>
  <si>
    <t>AsyzAP市営住宅 PPP元キー:00000002-0000001038-1</t>
  </si>
  <si>
    <t>AsyzAP市営住宅 PPP元キー:00000002-0000001037-1</t>
  </si>
  <si>
    <t>001455:迫西大網住宅（災害公営住宅）</t>
  </si>
  <si>
    <t>2014/11/21</t>
  </si>
  <si>
    <t>迫町佐沼字大網201-1</t>
  </si>
  <si>
    <t>0170071</t>
  </si>
  <si>
    <t>AsyzAP市営住宅 PPP元キー:00000002-0000001036-1</t>
  </si>
  <si>
    <t>AsyzAP市営住宅 PPP元キー:00000002-0000001035-1</t>
  </si>
  <si>
    <t>AsyzAP市営住宅 PPP元キー:00000002-0000001034-1</t>
  </si>
  <si>
    <t>AsyzAP市営住宅 PPP元キー:00000002-0000001033-1</t>
  </si>
  <si>
    <t>AsyzAP市営住宅 PPP元キー:00000002-0000001032-1</t>
  </si>
  <si>
    <t>AsyzAP市営住宅 PPP元キー:00000002-0000001031-1</t>
  </si>
  <si>
    <t>AsyzAP市営住宅 PPP元キー:00000002-0000001030-1</t>
  </si>
  <si>
    <t>AsyzAP市営住宅 PPP元キー:00000002-0000001029-1</t>
  </si>
  <si>
    <t>AsyzAP市営住宅 PPP元キー:00000002-0000001028-1</t>
  </si>
  <si>
    <t>AsyzAP市営住宅 PPP元キー:00000002-0000001027-1</t>
  </si>
  <si>
    <t>AsyzAP市営住宅 PPP元キー:00000002-0000001026-1</t>
  </si>
  <si>
    <t>AsyzAP市営住宅 PPP元キー:00000002-0000001025-1</t>
  </si>
  <si>
    <t>AsyzAP市営住宅 PPP元キー:00000002-0000001024-1</t>
  </si>
  <si>
    <t>AsyzAP市営住宅 PPP元キー:00000002-0000001023-1</t>
  </si>
  <si>
    <t>AsyzAP市営住宅 PPP元キー:00000002-0000001022-1</t>
  </si>
  <si>
    <t>AsyzAP市営住宅 PPP元キー:00000002-0000001021-1</t>
  </si>
  <si>
    <t>AsyzAP市営住宅 PPP元キー:00000002-0000001020-1</t>
  </si>
  <si>
    <t>AsyzAP市営住宅 PPP元キー:00000002-0000001019-1</t>
  </si>
  <si>
    <t>AsyzAP市営住宅 PPP元キー:00000002-0000001018-1</t>
  </si>
  <si>
    <t>AsyzAP市営住宅 PPP元キー:00000002-0000001017-1</t>
  </si>
  <si>
    <t>AsyzAP市営住宅 PPP元キー:00000002-0000001016-1</t>
  </si>
  <si>
    <t>AsyzAP市営住宅 PPP元キー:00000002-0000001015-1</t>
  </si>
  <si>
    <t>001430:南方新高石住宅</t>
  </si>
  <si>
    <t>南方町八の森52-2</t>
  </si>
  <si>
    <t>0170046</t>
  </si>
  <si>
    <t>001431:南方高石住宅（S59）</t>
  </si>
  <si>
    <t>南方町山成前852-1</t>
  </si>
  <si>
    <t>0170047</t>
  </si>
  <si>
    <t>AsyzAP市営住宅 PPP元キー:00000002-0000001008-1</t>
  </si>
  <si>
    <t>AsyzAP市営住宅 PPP元キー:00000002-0000001007-1</t>
  </si>
  <si>
    <t>AsyzAP市営住宅 PPP元キー:00000002-0000001000-1</t>
  </si>
  <si>
    <t>AsyzAP市営住宅 PPP元キー:00000002-0000000999-1</t>
  </si>
  <si>
    <t>AsyzAP市営住宅 PPP元キー:00000002-0000000993-1</t>
  </si>
  <si>
    <t>AsyzAP市営住宅 PPP元キー:00000002-0000000990-1</t>
  </si>
  <si>
    <t>AsyzAP市営住宅 PPP元キー:00000002-0000000988-1</t>
  </si>
  <si>
    <t>AsyzAP市営住宅 PPP元キー:00000002-0000000985-1</t>
  </si>
  <si>
    <t>2号棟外壁等改修</t>
  </si>
  <si>
    <t>2020/03/03</t>
  </si>
  <si>
    <t>AsyzAP市営住宅 PPP元キー:00000002-0000000984-1</t>
  </si>
  <si>
    <t>1号棟外壁等改修</t>
  </si>
  <si>
    <t>2019/08/27</t>
  </si>
  <si>
    <t>AsyzAP市営住宅 PPP元キー:00000002-0000000983-1</t>
  </si>
  <si>
    <t>AsyzAP市営住宅 PPP元キー:00000002-0000000981-1</t>
  </si>
  <si>
    <t>AsyzAP市営住宅 PPP元キー:00000002-0000000978-1</t>
  </si>
  <si>
    <t>001449:津山柳津四丁目特定公共賃貸住宅</t>
  </si>
  <si>
    <t>津山町柳津字本町67</t>
  </si>
  <si>
    <t>0170065</t>
  </si>
  <si>
    <t>AsyzAP市営住宅 PPP元キー:00000002-0000000977-1</t>
  </si>
  <si>
    <t>001447:東和越路厚生住宅</t>
  </si>
  <si>
    <t>2000/03/23</t>
  </si>
  <si>
    <t>東和町米谷字越路75-4</t>
  </si>
  <si>
    <t>0170063</t>
  </si>
  <si>
    <t>AsyzAP市営住宅 PPP元キー:00000002-0000000971-1</t>
  </si>
  <si>
    <t>AsyzAP市営住宅 PPP元キー:00000002-0000000970-1</t>
  </si>
  <si>
    <t>AsyzAP市営住宅 PPP元キー:00000002-0000000969-1</t>
  </si>
  <si>
    <t>001443:津山横山本町住宅</t>
  </si>
  <si>
    <t>2009/03/19</t>
  </si>
  <si>
    <t>津山町横山字本町121-31</t>
  </si>
  <si>
    <t>0170059</t>
  </si>
  <si>
    <t>AsyzAP市営住宅 PPP元キー:00000002-0000000962-1</t>
  </si>
  <si>
    <t>AsyzAP市営住宅 PPP元キー:00000002-0000000961-1</t>
  </si>
  <si>
    <t>AsyzAP市営住宅 PPP元キー:00000002-0000000960-1</t>
  </si>
  <si>
    <t>AsyzAP市営住宅 PPP元キー:00000002-0000000959-1</t>
  </si>
  <si>
    <t>AsyzAP市営住宅 PPP元キー:00000002-0000000958-1</t>
  </si>
  <si>
    <t>AsyzAP市営住宅 PPP元キー:00000002-0000000957-1</t>
  </si>
  <si>
    <t>AsyzAP市営住宅 PPP元キー:00000002-0000000956-1</t>
  </si>
  <si>
    <t>001441:津山柳津四丁目住宅</t>
  </si>
  <si>
    <t>0170057</t>
  </si>
  <si>
    <t>AsyzAP市営住宅 PPP元キー:00000002-0000000952-1</t>
  </si>
  <si>
    <t>AsyzAP市営住宅 PPP元キー:00000002-0000000951-1</t>
  </si>
  <si>
    <t>001434:南方高石住宅27号（H26）</t>
  </si>
  <si>
    <t>2015/03/31</t>
  </si>
  <si>
    <t>南方町山成前842-1</t>
  </si>
  <si>
    <t>0170050</t>
  </si>
  <si>
    <t>AsyzAP市営住宅 PPP元キー:00000002-0000000938-1</t>
  </si>
  <si>
    <t>C棟2号</t>
  </si>
  <si>
    <t>001433:南方高石住宅（H15）</t>
  </si>
  <si>
    <t>南方町山成前855-1</t>
  </si>
  <si>
    <t>0170049</t>
  </si>
  <si>
    <t>AsyzAP市営住宅 PPP元キー:00000002-0000000937-1</t>
  </si>
  <si>
    <t>C棟1号</t>
  </si>
  <si>
    <t>AsyzAP市営住宅 PPP元キー:00000002-0000000936-1</t>
  </si>
  <si>
    <t>B棟2号</t>
  </si>
  <si>
    <t>AsyzAP市営住宅 PPP元キー:00000002-0000000935-1</t>
  </si>
  <si>
    <t>B棟1号</t>
  </si>
  <si>
    <t>AsyzAP市営住宅 PPP元キー:00000002-0000000934-1</t>
  </si>
  <si>
    <t>A棟2号</t>
  </si>
  <si>
    <t>AsyzAP市営住宅 PPP元キー:00000002-0000000933-1</t>
  </si>
  <si>
    <t>A棟1号</t>
  </si>
  <si>
    <t>AsyzAP市営住宅 PPP元キー:00000002-0000000932-1</t>
  </si>
  <si>
    <t>001428:石越舘前住宅</t>
  </si>
  <si>
    <t>石越町南郷字舘前176-12</t>
  </si>
  <si>
    <t>0170044</t>
  </si>
  <si>
    <t>AsyzAP市営住宅 PPP元キー:00000002-0000000908-1</t>
  </si>
  <si>
    <t>AsyzAP市営住宅 PPP元キー:00000002-0000000907-1</t>
  </si>
  <si>
    <t>AsyzAP市営住宅 PPP元キー:00000002-0000000906-1</t>
  </si>
  <si>
    <t>D号棟</t>
  </si>
  <si>
    <t>001423:石越西門住宅</t>
  </si>
  <si>
    <t>石越町北郷字西門38-1</t>
  </si>
  <si>
    <t>0170039</t>
  </si>
  <si>
    <t>AsyzAP市営住宅 PPP元キー:00000002-0000000885-1</t>
  </si>
  <si>
    <t>C号棟</t>
  </si>
  <si>
    <t>AsyzAP市営住宅 PPP元キー:00000002-0000000884-1</t>
  </si>
  <si>
    <t>B号棟</t>
  </si>
  <si>
    <t>AsyzAP市営住宅 PPP元キー:00000002-0000000883-1</t>
  </si>
  <si>
    <t>A号棟</t>
  </si>
  <si>
    <t>AsyzAP市営住宅 PPP元キー:00000002-0000000882-1</t>
  </si>
  <si>
    <t>001422:米山清水第一住宅</t>
  </si>
  <si>
    <t>1983/09/20</t>
  </si>
  <si>
    <t>米山町中津山字清水32-2</t>
  </si>
  <si>
    <t>0170038</t>
  </si>
  <si>
    <t>AsyzAP市営住宅 PPP元キー:00000002-0000000881-1</t>
  </si>
  <si>
    <t>AsyzAP市営住宅 PPP元キー:00000002-0000000880-1</t>
  </si>
  <si>
    <t>001418:米山今泉住宅</t>
  </si>
  <si>
    <t>米山町字桜岡今泉39-2</t>
  </si>
  <si>
    <t>0170034</t>
  </si>
  <si>
    <t>AsyzAP市営住宅 PPP元キー:00000002-0000000857-1</t>
  </si>
  <si>
    <t>AsyzAP市営住宅 PPP元キー:00000002-0000000856-1</t>
  </si>
  <si>
    <t>001416:豊里下町第2住宅</t>
  </si>
  <si>
    <t>豊里町下屋浦301-6</t>
  </si>
  <si>
    <t>0170032</t>
  </si>
  <si>
    <t>AsyzAP市営住宅 PPP元キー:00000002-0000000850-1</t>
  </si>
  <si>
    <t>AsyzAP市営住宅 PPP元キー:00000002-0000000849-1</t>
  </si>
  <si>
    <t>AsyzAP市営住宅 PPP元キー:00000002-0000000848-1</t>
  </si>
  <si>
    <t>AsyzAP市営住宅 PPP元キー:00000002-0000000847-1</t>
  </si>
  <si>
    <t>AsyzAP市営住宅 PPP元キー:00000002-0000000846-1</t>
  </si>
  <si>
    <t>AsyzAP市営住宅 PPP元キー:00000002-0000000845-1</t>
  </si>
  <si>
    <t>001415:豊里下町住宅</t>
  </si>
  <si>
    <t>豊里町町浦301-1</t>
  </si>
  <si>
    <t>0170031</t>
  </si>
  <si>
    <t>AsyzAP市営住宅 PPP元キー:00000002-0000000844-1</t>
  </si>
  <si>
    <t>AsyzAP市営住宅 PPP元キー:00000002-0000000843-1</t>
  </si>
  <si>
    <t>AsyzAP市営住宅 PPP元キー:00000002-0000000842-1</t>
  </si>
  <si>
    <t>AsyzAP市営住宅 PPP元キー:00000002-0000000841-1</t>
  </si>
  <si>
    <t>AsyzAP市営住宅 PPP元キー:00000002-0000000840-1</t>
  </si>
  <si>
    <t>AsyzAP市営住宅 PPP元キー:00000002-0000000839-1</t>
  </si>
  <si>
    <t>AsyzAP市営住宅 PPP元キー:00000002-0000000838-1</t>
  </si>
  <si>
    <t>AsyzAP市営住宅 PPP元キー:00000002-0000000837-1</t>
  </si>
  <si>
    <t>AsyzAP市営住宅 PPP元キー:00000002-0000000836-1</t>
  </si>
  <si>
    <t>AsyzAP市営住宅 PPP元キー:00000002-0000000835-1</t>
  </si>
  <si>
    <t>AsyzAP市営住宅 PPP元キー:00000002-0000000834-1</t>
  </si>
  <si>
    <t>AsyzAP市営住宅 PPP元キー:00000002-0000000833-1</t>
  </si>
  <si>
    <t>001402:登米遠見台住宅</t>
  </si>
  <si>
    <t>登米町寺池上町56-69</t>
  </si>
  <si>
    <t>0170018</t>
  </si>
  <si>
    <t>AsyzAP市営住宅 PPP元キー:00000002-0000000751-1</t>
  </si>
  <si>
    <t>AsyzAP市営住宅 PPP元キー:00000002-0000000750-1</t>
  </si>
  <si>
    <t>AsyzAP市営住宅 PPP元キー:00000002-0000000749-1</t>
  </si>
  <si>
    <t>AsyzAP市営住宅 PPP元キー:00000002-0000000748-1</t>
  </si>
  <si>
    <t>AsyzAP市営住宅 PPP元キー:00000002-0000000747-1</t>
  </si>
  <si>
    <t>001393:迫梅ノ木住宅</t>
  </si>
  <si>
    <t>迫町佐沼字八幡一丁目6-1</t>
  </si>
  <si>
    <t>0170009</t>
  </si>
  <si>
    <t>AsyzAP市営住宅 PPP元キー:00000002-0000000692-1</t>
  </si>
  <si>
    <t>AsyzAP市営住宅 PPP元キー:00000002-0000000691-1</t>
  </si>
  <si>
    <t>AsyzAP市営住宅 PPP元キー:00000002-0000000690-1</t>
  </si>
  <si>
    <t>001432:南方高石住宅（H2）</t>
  </si>
  <si>
    <t>0170048</t>
  </si>
  <si>
    <t>001436:南方大門住宅</t>
  </si>
  <si>
    <t>南方町宿畑63-5</t>
  </si>
  <si>
    <t>0170052</t>
  </si>
  <si>
    <t>2017/09/25</t>
  </si>
  <si>
    <t>2017/09/22</t>
  </si>
  <si>
    <t>001438:津山平形住宅</t>
  </si>
  <si>
    <t>0170054</t>
  </si>
  <si>
    <t>001427:石越南芦倉住宅</t>
  </si>
  <si>
    <t>石越町南郷字芦倉38</t>
  </si>
  <si>
    <t>0170043</t>
  </si>
  <si>
    <t>001426:石越駅前第二住宅</t>
  </si>
  <si>
    <t>石越町南郷字小谷地前126-1</t>
  </si>
  <si>
    <t>0170042</t>
  </si>
  <si>
    <t>001437:津山宮町住宅</t>
  </si>
  <si>
    <t>津山町柳津字黄牛田高畑22-1</t>
  </si>
  <si>
    <t>0170053</t>
  </si>
  <si>
    <t>舞台吊物設備ワイヤーロープ交換</t>
  </si>
  <si>
    <t>20:前掲の区分によらないもの/金属製のもの</t>
  </si>
  <si>
    <t>AsyzAP PPP元キー:00000002-0000001418-1</t>
  </si>
  <si>
    <t>バス停留所上屋</t>
  </si>
  <si>
    <t>001964:登米市民バス停留所上屋（豊里病院前）</t>
  </si>
  <si>
    <t>2011/06/14</t>
  </si>
  <si>
    <t>豊里町土手下72-4</t>
  </si>
  <si>
    <t>14:アーケード又は日よけ設備/その他のもの</t>
  </si>
  <si>
    <t>0710072</t>
  </si>
  <si>
    <t>001963:登米市民バス停留所上屋（佐沼病院前）</t>
  </si>
  <si>
    <t>2011/05/31</t>
  </si>
  <si>
    <t>迫町佐沼字下田中25-3</t>
  </si>
  <si>
    <t>0710071</t>
  </si>
  <si>
    <t>プール付属棟</t>
  </si>
  <si>
    <t>可燃ごみ施設：電気設備（交換修繕）</t>
  </si>
  <si>
    <t>電気設備　高圧気中開閉器　</t>
  </si>
  <si>
    <t>AsyzAP電気設備　高圧気中開閉器 PPP元キー:00000002-0000001839-1</t>
  </si>
  <si>
    <t>保育所：電気設備（修繕）</t>
  </si>
  <si>
    <t>2017/09/26</t>
  </si>
  <si>
    <t>電気設備　高圧受電設備　</t>
  </si>
  <si>
    <t>AsyzAP電気設備　高圧受電設備 PPP元キー:00000002-0000001829-1</t>
  </si>
  <si>
    <t>津山こども園整備事業（機械設備）</t>
  </si>
  <si>
    <t>AsyzAP PPP元キー:00000002-0000001760-1</t>
  </si>
  <si>
    <t>津山こども園整備事業（電気設備）</t>
  </si>
  <si>
    <t>AsyzAP PPP元キー:00000002-0000001759-1</t>
  </si>
  <si>
    <t>中津山児童クラブ室エアコン設置工事</t>
  </si>
  <si>
    <t>001971:中津山児童クラブ（中津山小学校）</t>
  </si>
  <si>
    <t>2020/03/05</t>
  </si>
  <si>
    <t>0710080</t>
  </si>
  <si>
    <t>AsyzAP PPP元キー:00000002-0000001710-1</t>
  </si>
  <si>
    <t>豊里こども園（機械設備）</t>
  </si>
  <si>
    <t>AsyzAP PPP元キー:00000002-0000001709-1</t>
  </si>
  <si>
    <t>豊里こども園（電気設備）</t>
  </si>
  <si>
    <t>AsyzAP PPP元キー:00000002-0000001708-1</t>
  </si>
  <si>
    <t>001966:登米市民病院前バス停上屋</t>
  </si>
  <si>
    <t>2016/12/26</t>
  </si>
  <si>
    <t>迫町佐沼字下田中18-1</t>
  </si>
  <si>
    <t>0710074</t>
  </si>
  <si>
    <t>AsyzAPその他の施設 PPP元キー:00000002-0000001704-1</t>
  </si>
  <si>
    <t>001965:若草園前バス停上屋</t>
  </si>
  <si>
    <t>2016/12/09</t>
  </si>
  <si>
    <t>東和町米川字東綱木10-1</t>
  </si>
  <si>
    <t>0710073</t>
  </si>
  <si>
    <t>AsyzAPその他の施設 PPP元キー:00000002-0000001703-1</t>
  </si>
  <si>
    <t>男子トイレ便器交換</t>
  </si>
  <si>
    <t>2019/04/26</t>
  </si>
  <si>
    <t>AsyzAP PPP元キー:00000002-0000001697-1</t>
  </si>
  <si>
    <t>多目的トイレドア改修（自動ドア化）</t>
  </si>
  <si>
    <t>2021/01/12</t>
  </si>
  <si>
    <t>12:エヤーカーテン又はドアー自動開閉</t>
  </si>
  <si>
    <t>AsyzAP PPP元キー:00000002-0000001669-1</t>
  </si>
  <si>
    <t>空調機入替</t>
  </si>
  <si>
    <t>2020/10/02</t>
  </si>
  <si>
    <t>AsyzAP PPP元キー:00000002-0000001656-1</t>
  </si>
  <si>
    <t>にぎわいセンター：空調設備（交換）</t>
  </si>
  <si>
    <t>空調設備</t>
  </si>
  <si>
    <t>AsyzAP空調設備 PPP元キー:00000002-0000001655-1</t>
  </si>
  <si>
    <t>バス停留所</t>
  </si>
  <si>
    <t>001901:佐沼高校西門前バス停留所上屋</t>
  </si>
  <si>
    <t>2016/03/17</t>
  </si>
  <si>
    <t>迫町佐沼字末広4-2</t>
  </si>
  <si>
    <t>13:アーケード又は日よけ設備/金属製のもの</t>
  </si>
  <si>
    <t>0710007</t>
  </si>
  <si>
    <t>AsyzAPその他の施設 PPP元キー:00000002-0000001640-1</t>
  </si>
  <si>
    <t>001900:佐沼高校北バス停留所上屋</t>
  </si>
  <si>
    <t>迫町佐沼字的場59-13</t>
  </si>
  <si>
    <t>0710006</t>
  </si>
  <si>
    <t>AsyzAPその他の施設 PPP元キー:00000002-0000001639-1</t>
  </si>
  <si>
    <t>001899:佐沼高校正門前バス停留所上屋</t>
  </si>
  <si>
    <t>2015/03/28</t>
  </si>
  <si>
    <t>迫町佐沼字的場64-3</t>
  </si>
  <si>
    <t>0710005</t>
  </si>
  <si>
    <t>AsyzAPその他の施設 PPP元キー:00000002-0000001638-1</t>
  </si>
  <si>
    <t>001898:登米総合産業高校前バス乗降場</t>
  </si>
  <si>
    <t>2015/01/28</t>
  </si>
  <si>
    <t>中田町上沼字北桜場219-1</t>
  </si>
  <si>
    <t>0710004</t>
  </si>
  <si>
    <t>AsyzAPその他の施設 PPP元キー:00000002-0000001637-1</t>
  </si>
  <si>
    <t>トイレドア改修（自動ドア化）</t>
  </si>
  <si>
    <t>2021/03/31</t>
  </si>
  <si>
    <t>AsyzAP PPP元キー:00000002-0000001611-1</t>
  </si>
  <si>
    <t>2021/02/05</t>
  </si>
  <si>
    <t>AsyzAP PPP元キー:00000002-0000001602-1</t>
  </si>
  <si>
    <t>AsyzAP PPP元キー:00000002-0000001600-1</t>
  </si>
  <si>
    <t>直売所多目的トイレ、屋外トイレドア改修（自動ドア化）</t>
  </si>
  <si>
    <t>2021/01/20</t>
  </si>
  <si>
    <t>AsyzAP PPP元キー:00000002-0000001595-1</t>
  </si>
  <si>
    <t>産地形成促進施設：パッケージエアコン入替え</t>
  </si>
  <si>
    <t>2020/08/24</t>
  </si>
  <si>
    <t>AsyzAP PPP元キー:00000002-0000001594-1</t>
  </si>
  <si>
    <t>便所：非常灯（設置）</t>
  </si>
  <si>
    <t>2018/03/29</t>
  </si>
  <si>
    <t>AsyzAP便所 PPP元キー:00000002-0000001593-1</t>
  </si>
  <si>
    <t>産地形成促進施設：給排水設備（修繕）</t>
  </si>
  <si>
    <t>給排水設備　加圧水ポンプ　</t>
  </si>
  <si>
    <t>AsyzAP給排水設備　加圧水ポンプ PPP元キー:00000002-0000001592-1</t>
  </si>
  <si>
    <t>産地形成促進施設：電気設備（交換）</t>
  </si>
  <si>
    <t>2017/07/27</t>
  </si>
  <si>
    <t>電気設備　高圧気中開閉器、電力計　</t>
  </si>
  <si>
    <t>AsyzAP電気設備　高圧気中開閉器、電力計 PPP元キー:00000002-0000001591-1</t>
  </si>
  <si>
    <t>屋外トイレドア改修（自動ドア化）</t>
  </si>
  <si>
    <t>AsyzAP PPP元キー:00000002-0000001588-1</t>
  </si>
  <si>
    <t>空調機設置工事（農村環境改善センター）</t>
  </si>
  <si>
    <t>2021/03/26</t>
  </si>
  <si>
    <t>2台　</t>
  </si>
  <si>
    <t>AsyzAP2台 PPP元キー:00000002-0000001580-1</t>
  </si>
  <si>
    <t>トイレドア作製・改修（自動ドア化）</t>
  </si>
  <si>
    <t>AsyzAP PPP元キー:00000002-0000001561-1</t>
  </si>
  <si>
    <t>花き園芸センター：電気設備（修繕）</t>
  </si>
  <si>
    <t>2017/12/01</t>
  </si>
  <si>
    <t>電気設備　受電設備　</t>
  </si>
  <si>
    <t>AsyzAP電気設備　受電設備 PPP元キー:00000002-0000001558-1</t>
  </si>
  <si>
    <t>舞台機構設備ブレーキシュー改修工事</t>
  </si>
  <si>
    <t>2020/10/07</t>
  </si>
  <si>
    <t>AsyzAP PPP元キー:00000002-0000001525-1</t>
  </si>
  <si>
    <t>エレベーター制御装置等修繕工事</t>
  </si>
  <si>
    <t>2019/09/26</t>
  </si>
  <si>
    <t>8:昇降機設備/エレベーター</t>
  </si>
  <si>
    <t>AsyzAP PPP元キー:00000002-0000001524-1</t>
  </si>
  <si>
    <t>高圧気中開閉器交換工事</t>
  </si>
  <si>
    <t>2019/09/18</t>
  </si>
  <si>
    <t>AsyzAP PPP元キー:00000002-0000001523-1</t>
  </si>
  <si>
    <t>コミュニティセンター：電気設備（修繕）</t>
  </si>
  <si>
    <t>2017/11/30</t>
  </si>
  <si>
    <t>AsyzAP電気設備　高圧受電設備 PPP元キー:00000002-0000001507-1</t>
  </si>
  <si>
    <t>排煙窓開閉装置（修繕）</t>
  </si>
  <si>
    <t>2018/03/23</t>
  </si>
  <si>
    <t>10:消火、排煙又は災害報知設備</t>
  </si>
  <si>
    <t>AsyzAP PPP元キー:00000002-0000001503-1</t>
  </si>
  <si>
    <t>集会施設：給排水設備（修繕）</t>
  </si>
  <si>
    <t>給排水設備　浄化槽　</t>
  </si>
  <si>
    <t>AsyzAP給排水設備　浄化槽 PPP元キー:00000002-0000001498-1</t>
  </si>
  <si>
    <t>空調機設置工事</t>
  </si>
  <si>
    <t>2021/03/23</t>
  </si>
  <si>
    <t>AsyzAP2台 PPP元キー:00000002-0000001467-1</t>
  </si>
  <si>
    <t>001781:登米市南方総合運動場</t>
  </si>
  <si>
    <t>2019/11/18</t>
  </si>
  <si>
    <t>0440011</t>
  </si>
  <si>
    <t>AsyzAP PPP元キー:00000002-0000001453-1</t>
  </si>
  <si>
    <t>AsyzAP PPP元キー:00000002-0000001447-1</t>
  </si>
  <si>
    <t>建物付属設備：消防防災設備（改修）</t>
  </si>
  <si>
    <t>2017/09/13</t>
  </si>
  <si>
    <t>消防防災設備　自動火災報知機・非常放送設備　</t>
  </si>
  <si>
    <t>AsyzAP消防防災設備　自動火災報知機・非常放送設備 PPP元キー:00000002-0000001441-1</t>
  </si>
  <si>
    <t>2019/12/26</t>
  </si>
  <si>
    <t>AsyzAP PPP元キー:00000002-0000001439-1</t>
  </si>
  <si>
    <t>防火シャッター危害防止装置取付工事</t>
  </si>
  <si>
    <t>AsyzAP PPP元キー:00000002-0000001423-1</t>
  </si>
  <si>
    <t>油圧エレベーター改修</t>
  </si>
  <si>
    <t>AsyzAP PPP元キー:00000002-0000001422-1</t>
  </si>
  <si>
    <t>空調機器改修</t>
  </si>
  <si>
    <t>2020/01/23</t>
  </si>
  <si>
    <t>AsyzAP PPP元キー:00000002-0000001421-1</t>
  </si>
  <si>
    <t>2021/02/08</t>
  </si>
  <si>
    <t>AsyzAP PPP元キー:00000002-0000001419-1</t>
  </si>
  <si>
    <t>体育館：電気設備（改修）</t>
  </si>
  <si>
    <t>2017/11/21</t>
  </si>
  <si>
    <t>AsyzAP電気設備　受電設備 PPP元キー:00000002-0000001417-1</t>
  </si>
  <si>
    <t>体育館：空調設備（改修）</t>
  </si>
  <si>
    <t>AsyzAP空調設備 PPP元キー:00000002-0000001416-1</t>
  </si>
  <si>
    <t>登米懐古館（機械設備）</t>
  </si>
  <si>
    <t>2019/09/04</t>
  </si>
  <si>
    <t>AsyzAP PPP元キー:00000002-0000001411-1</t>
  </si>
  <si>
    <t>登米懐古館（電気設備）</t>
  </si>
  <si>
    <t>AsyzAP PPP元キー:00000002-0000001410-1</t>
  </si>
  <si>
    <t>AsyzAP PPP元キー:00000002-0000001384-1</t>
  </si>
  <si>
    <t>4台　</t>
  </si>
  <si>
    <t>AsyzAP4台 PPP元キー:00000002-0000001376-1</t>
  </si>
  <si>
    <t>2021/03/29</t>
  </si>
  <si>
    <t>AsyzAP2台 PPP元キー:00000002-0000001363-1</t>
  </si>
  <si>
    <t>AsyzAP4台 PPP元キー:00000002-0000001360-1</t>
  </si>
  <si>
    <t>AsyzAP2台 PPP元キー:00000002-0000001357-1</t>
  </si>
  <si>
    <t>空調改修</t>
  </si>
  <si>
    <t>AsyzAP PPP元キー:00000002-0000001353-1</t>
  </si>
  <si>
    <t>空調設備改修</t>
  </si>
  <si>
    <t>AsyzAP PPP元キー:00000002-0000001343-1</t>
  </si>
  <si>
    <t>空調機設置工事（公民館）</t>
  </si>
  <si>
    <t>AsyzAP PPP元キー:00000002-0000001339-1</t>
  </si>
  <si>
    <t>福祉センター：電気設備（交換）</t>
  </si>
  <si>
    <t>2018/03/12</t>
  </si>
  <si>
    <t>AsyzAP電気設備　高圧受電設備 PPP元キー:00000002-0000001333-1</t>
  </si>
  <si>
    <t>老人福祉センター：消防防災設備（増設）</t>
  </si>
  <si>
    <t>2018/03/28</t>
  </si>
  <si>
    <t>消防防災設備　スポット感知器　</t>
  </si>
  <si>
    <t>AsyzAP消防防災設備　スポット感知器 PPP元キー:00000002-0000001328-1</t>
  </si>
  <si>
    <t>よねやま保育園空調設備改修</t>
  </si>
  <si>
    <t>2020/11/30</t>
  </si>
  <si>
    <t>AsyzAP PPP元キー:00000002-0000001307-1</t>
  </si>
  <si>
    <t>保育所：空調設備設置工事</t>
  </si>
  <si>
    <t>2020/03/10</t>
  </si>
  <si>
    <t>AsyzAP PPP元キー:00000002-0000001303-1</t>
  </si>
  <si>
    <t>保育所：給排水設備（改良）</t>
  </si>
  <si>
    <t>2018/01/09</t>
  </si>
  <si>
    <t>給排水設備　汚水インバート枡　</t>
  </si>
  <si>
    <t>AsyzAP給排水設備　汚水インバート枡 PPP元キー:00000002-0000001302-1</t>
  </si>
  <si>
    <t>保育所：機械設備（修繕）</t>
  </si>
  <si>
    <t>2018/01/10</t>
  </si>
  <si>
    <t>機械設備</t>
  </si>
  <si>
    <t>21:前掲の区分によらないもの/その他のもの</t>
  </si>
  <si>
    <t>AsyzAP機械設備 PPP元キー:00000002-0000001301-1</t>
  </si>
  <si>
    <t>観光物産施設：空調設備（交換）</t>
  </si>
  <si>
    <t>001585:間伐材流通合理化センター・食品加工普及施設</t>
  </si>
  <si>
    <t>2019/03/27</t>
  </si>
  <si>
    <t>5:冷房又は暖房設備/その他のもの</t>
  </si>
  <si>
    <t>0230004</t>
  </si>
  <si>
    <t>AsyzAP空調設備 PPP元キー:00000002-0000001243-1</t>
  </si>
  <si>
    <t>電気設備（修繕）</t>
  </si>
  <si>
    <t>2017/12/15</t>
  </si>
  <si>
    <t>電気設備</t>
  </si>
  <si>
    <t>AsyzAP電気設備 PPP元キー:00000002-0000001204-1</t>
  </si>
  <si>
    <t>屋外トイレ：給排水設備（改修）</t>
  </si>
  <si>
    <t>2017/06/16</t>
  </si>
  <si>
    <t>給排水設備</t>
  </si>
  <si>
    <t>AsyzAP給排水設備 PPP元キー:00000002-0000001203-1</t>
  </si>
  <si>
    <t>ふるさと物産館：空調設備（改修）</t>
  </si>
  <si>
    <t>2017/07/28</t>
  </si>
  <si>
    <t>7:通風又はボイラー設備/その他のもの</t>
  </si>
  <si>
    <t>AsyzAP空調設備 PPP元キー:00000002-0000001166-1</t>
  </si>
  <si>
    <t>建物付属設備：給排水設備（交換）</t>
  </si>
  <si>
    <t>給排水設備　シャワー付風呂釜　</t>
  </si>
  <si>
    <t>AsyzAP給排水設備　シャワー付風呂釜 PPP元キー:00000002-0000000998-1</t>
  </si>
  <si>
    <t>給排水設備　旧排水管取替　</t>
  </si>
  <si>
    <t>AsyzAP給排水設備　旧排水管取替 PPP元キー:00000002-0000000989-1</t>
  </si>
  <si>
    <t>シャワー付風呂釜　シャワー付風呂釜　</t>
  </si>
  <si>
    <t>AsyzAPシャワー付風呂釜　シャワー付風呂釜 PPP元キー:00000002-0000000982-1</t>
  </si>
  <si>
    <t>Ｈ29公営住宅火災報知器及び給水ポンプ改修費</t>
  </si>
  <si>
    <t>関連伝票：0067129001　</t>
  </si>
  <si>
    <t>AsyzAP関連伝票：0067129001 PPP元キー:00000002-0000000824-1</t>
  </si>
  <si>
    <t>特別支援教室空調設備設置工事</t>
  </si>
  <si>
    <t>2020/06/23</t>
  </si>
  <si>
    <t>AsyzAP PPP元キー:00000002-0000000631-1</t>
  </si>
  <si>
    <t>エアコン設置</t>
  </si>
  <si>
    <t>AsyzAP PPP元キー:00000002-0000000630-1</t>
  </si>
  <si>
    <t>電気設備改修</t>
  </si>
  <si>
    <t>AsyzAP PPP元キー:00000002-0000000629-1</t>
  </si>
  <si>
    <t>校舎：機械設備（更新）</t>
  </si>
  <si>
    <t>機械設備　電話設備　</t>
  </si>
  <si>
    <t>AsyzAP機械設備　電話設備 PPP元キー:00000002-0000000628-1</t>
  </si>
  <si>
    <t>AsyzAP PPP元キー:00000002-0000000624-1</t>
  </si>
  <si>
    <t>２階教室車いす対応手洗い器</t>
  </si>
  <si>
    <t>2020/03/31</t>
  </si>
  <si>
    <t>AsyzAP PPP元キー:00000002-0000000623-1</t>
  </si>
  <si>
    <t>AsyzAP PPP元キー:00000002-0000000616-1</t>
  </si>
  <si>
    <t>AsyzAPプール付属棟 PPP元キー:00000002-0000000613-1</t>
  </si>
  <si>
    <t>AsyzAP PPP元キー:00000002-0000000611-1</t>
  </si>
  <si>
    <t>校舎：電気設備（改修）</t>
  </si>
  <si>
    <t>AsyzAP電気設備 PPP元キー:00000002-0000000609-1</t>
  </si>
  <si>
    <t>AsyzAP PPP元キー:00000002-0000000601-1</t>
  </si>
  <si>
    <t>AsyzAP PPP元キー:00000002-0000000591-1</t>
  </si>
  <si>
    <t>空調設備（エアコン）</t>
  </si>
  <si>
    <t>AsyzAP PPP元キー:00000002-0000000590-1</t>
  </si>
  <si>
    <t>AsyzAP PPP元キー:00000002-0000000589-1</t>
  </si>
  <si>
    <t>校舎：給排水設備（改修）</t>
  </si>
  <si>
    <t>給排水設備　浄化槽排水用ポンプ　</t>
  </si>
  <si>
    <t>AsyzAP給排水設備　浄化槽排水用ポンプ PPP元キー:00000002-0000000588-1</t>
  </si>
  <si>
    <t>電気設備改修工事</t>
  </si>
  <si>
    <t>2021/03/18</t>
  </si>
  <si>
    <t>AsyzAP PPP元キー:00000002-0000000581-1</t>
  </si>
  <si>
    <t>AsyzAP PPP元キー:00000002-0000000580-1</t>
  </si>
  <si>
    <t>電話設備改修</t>
  </si>
  <si>
    <t>AsyzAP PPP元キー:00000002-0000000579-1</t>
  </si>
  <si>
    <t>校舎：空調設備（設置）</t>
  </si>
  <si>
    <t>空調設備　Ａ重油タンク　</t>
  </si>
  <si>
    <t>6:通風又はボイラー設備/冷暖房設備</t>
  </si>
  <si>
    <t>AsyzAP空調設備　Ａ重油タンク PPP元キー:00000002-0000000578-1</t>
  </si>
  <si>
    <t>AsyzAP PPP元キー:00000002-0000000571-1</t>
  </si>
  <si>
    <t>校舎：給排水設備（修繕）</t>
  </si>
  <si>
    <t>AsyzAP給排水設備　浄化槽 PPP元キー:00000002-0000000570-1</t>
  </si>
  <si>
    <t>AsyzAP PPP元キー:00000002-0000000561-1</t>
  </si>
  <si>
    <t>2020/03/13</t>
  </si>
  <si>
    <t>AsyzAP PPP元キー:00000002-0000000560-1</t>
  </si>
  <si>
    <t>AsyzAPプール付属棟 PPP元キー:00000002-0000000559-1</t>
  </si>
  <si>
    <t>AsyzAPプール付属棟 PPP元キー:00000002-0000000556-1</t>
  </si>
  <si>
    <t>2020/06/22</t>
  </si>
  <si>
    <t>2017/10/20</t>
  </si>
  <si>
    <t>AsyzAP PPP元キー:00000002-0000000546-1</t>
  </si>
  <si>
    <t>AsyzAP PPP元キー:00000002-0000000545-1</t>
  </si>
  <si>
    <t>2018/12/18</t>
  </si>
  <si>
    <t>AsyzAP PPP元キー:00000002-0000000544-1</t>
  </si>
  <si>
    <t>西郷児童クラブ室エアコン設置</t>
  </si>
  <si>
    <t>0150023</t>
  </si>
  <si>
    <t>AsyzAP PPP元キー:00000002-0000000537-1</t>
  </si>
  <si>
    <t>AsyzAP PPP元キー:00000002-0000000536-1</t>
  </si>
  <si>
    <t>AsyzAP機械設備　電話設備 PPP元キー:00000002-0000000535-1</t>
  </si>
  <si>
    <t>AsyzAP PPP元キー:00000002-0000000530-1</t>
  </si>
  <si>
    <t>AsyzAP電気設備 PPP元キー:00000002-0000000529-1</t>
  </si>
  <si>
    <t>2020/07/09</t>
  </si>
  <si>
    <t>AsyzAP PPP元キー:00000002-0000000518-1</t>
  </si>
  <si>
    <t>AsyzAP PPP元キー:00000002-0000000517-1</t>
  </si>
  <si>
    <t>AsyzAP PPP元キー:00000002-0000000509-1</t>
  </si>
  <si>
    <t>2020/01/31</t>
  </si>
  <si>
    <t>AsyzAP PPP元キー:00000002-0000000508-1</t>
  </si>
  <si>
    <t>AsyzAP PPP元キー:00000002-0000000500-1</t>
  </si>
  <si>
    <t>AsyzAP電気設備 PPP元キー:00000002-0000000499-1</t>
  </si>
  <si>
    <t>AsyzAP PPP元キー:00000002-0000000489-1</t>
  </si>
  <si>
    <t>AsyzAP電気設備 PPP元キー:00000002-0000000488-1</t>
  </si>
  <si>
    <t>AsyzAP PPP元キー:00000002-0000000483-1</t>
  </si>
  <si>
    <t>AsyzAP電気設備 PPP元キー:00000002-0000000482-1</t>
  </si>
  <si>
    <t>プール附属棟</t>
  </si>
  <si>
    <t>AsyzAPその他の施設 PPP元キー:00000002-0000000481-1</t>
  </si>
  <si>
    <t>AsyzAP PPP元キー:00000002-0000000475-1</t>
  </si>
  <si>
    <t>AsyzAP PPP元キー:00000002-0000000474-1</t>
  </si>
  <si>
    <t>AsyzAP PPP元キー:00000002-0000000468-1</t>
  </si>
  <si>
    <t>AsyzAP PPP元キー:00000002-0000000467-1</t>
  </si>
  <si>
    <t>AsyzAP PPP元キー:00000002-0000000460-1</t>
  </si>
  <si>
    <t>AsyzAPプール付属棟 PPP元キー:00000002-0000000459-1</t>
  </si>
  <si>
    <t>AsyzAP PPP元キー:00000002-0000000455-1</t>
  </si>
  <si>
    <t>AsyzAP PPP元キー:00000002-0000000447-1</t>
  </si>
  <si>
    <t>AsyzAP PPP元キー:00000002-0000000441-1</t>
  </si>
  <si>
    <t>2019/11/22</t>
  </si>
  <si>
    <t>AsyzAP PPP元キー:00000002-0000000440-1</t>
  </si>
  <si>
    <t>空調設備　エアコン　</t>
  </si>
  <si>
    <t>AsyzAP空調設備　エアコン PPP元キー:00000002-0000000439-1</t>
  </si>
  <si>
    <t>AsyzAP PPP元キー:00000002-0000000433-1</t>
  </si>
  <si>
    <t>AsyzAP PPP元キー:00000002-0000000426-1</t>
  </si>
  <si>
    <t>2020/06/19</t>
  </si>
  <si>
    <t>AsyzAP PPP元キー:00000002-0000000420-1</t>
  </si>
  <si>
    <t>AsyzAP PPP元キー:00000002-0000000419-1</t>
  </si>
  <si>
    <t>AsyzAP電気設備 PPP元キー:00000002-0000000418-1</t>
  </si>
  <si>
    <t>AsyzAP PPP元キー:00000002-0000000414-1</t>
  </si>
  <si>
    <t>AsyzAP PPP元キー:00000002-0000000403-1</t>
  </si>
  <si>
    <t>AsyzAP PPP元キー:00000002-0000000402-1</t>
  </si>
  <si>
    <t>AsyzAP PPP元キー:00000002-0000000393-1</t>
  </si>
  <si>
    <t>校舎：空調設備（改修）</t>
  </si>
  <si>
    <t>空調設備　暖房設備　</t>
  </si>
  <si>
    <t>AsyzAP空調設備　暖房設備 PPP元キー:00000002-0000000392-1</t>
  </si>
  <si>
    <t>AsyzAP PPP元キー:00000002-0000000388-1</t>
  </si>
  <si>
    <t>照明器具交換</t>
  </si>
  <si>
    <t>2019/11/01</t>
  </si>
  <si>
    <t>AsyzAP PPP元キー:00000002-0000000387-1</t>
  </si>
  <si>
    <t>AsyzAP電気設備 PPP元キー:00000002-0000000386-1</t>
  </si>
  <si>
    <t>AsyzAP PPP元キー:00000002-0000000381-1</t>
  </si>
  <si>
    <t>AsyzAP PPP元キー:00000002-0000000377-1</t>
  </si>
  <si>
    <t>2019/11/07</t>
  </si>
  <si>
    <t>AsyzAP PPP元キー:00000002-0000000367-1</t>
  </si>
  <si>
    <t>AsyzAP PPP元キー:00000002-0000000362-1</t>
  </si>
  <si>
    <t>AsyzAP PPP元キー:00000002-0000000356-1</t>
  </si>
  <si>
    <t>AsyzAP PPP元キー:00000002-0000000353-1</t>
  </si>
  <si>
    <t>AsyzAP PPP元キー:00000002-0000000344-1</t>
  </si>
  <si>
    <t>公共下水道接続工事</t>
  </si>
  <si>
    <t>AsyzAP PPP元キー:00000002-0000000343-1</t>
  </si>
  <si>
    <t>AsyzAP PPP元キー:00000002-0000000336-1</t>
  </si>
  <si>
    <t>AsyzAP PPP元キー:00000002-0000000332-1</t>
  </si>
  <si>
    <t>事務室エアコン（新設）</t>
  </si>
  <si>
    <t>001324:登米市北部学校給食センター</t>
  </si>
  <si>
    <t>中田町石森字蓬田315-2</t>
  </si>
  <si>
    <t>0120005</t>
  </si>
  <si>
    <t>AsyzAP PPP元キー:00000002-0000000320-1</t>
  </si>
  <si>
    <t>厨房内連続フライヤー改修</t>
  </si>
  <si>
    <t>18:前掲のもの以外のもの/金属製のもの</t>
  </si>
  <si>
    <t>AsyzAP PPP元キー:00000002-0000000319-1</t>
  </si>
  <si>
    <t>厨房機器改修工事</t>
  </si>
  <si>
    <t>2020/05/11</t>
  </si>
  <si>
    <t>AsyzAP PPP元キー:00000002-0000000314-1</t>
  </si>
  <si>
    <t>電解水生成装置更新</t>
  </si>
  <si>
    <t>2019/09/27</t>
  </si>
  <si>
    <t>AsyzAP PPP元キー:00000002-0000000313-1</t>
  </si>
  <si>
    <t>給湯用ミキシングバルブ</t>
  </si>
  <si>
    <t>AsyzAP PPP元キー:00000002-0000000312-1</t>
  </si>
  <si>
    <t>消防設備ポンプユニット</t>
  </si>
  <si>
    <t>2018/08/29</t>
  </si>
  <si>
    <t>AsyzAP PPP元キー:00000002-0000000311-1</t>
  </si>
  <si>
    <t>給食センター：受水槽（給排水設備）（改修）</t>
  </si>
  <si>
    <t>001320:登米市東部東和学校給食センター</t>
  </si>
  <si>
    <t>受水槽</t>
  </si>
  <si>
    <t>0120001</t>
  </si>
  <si>
    <t>AsyzAP受水槽 PPP元キー:00000002-0000000303-1</t>
  </si>
  <si>
    <t>本庁舎：電気設備（修繕）</t>
  </si>
  <si>
    <t>AsyzAP電気設備　高圧受電設備 PPP元キー:00000002-0000000294-1</t>
  </si>
  <si>
    <t>東和総合支所電話交換機等更新</t>
  </si>
  <si>
    <t>総務課の庁舎管理として更新　</t>
  </si>
  <si>
    <t>AsyzAP総務課の庁舎管理として更新 PPP元キー:00000002-0000000288-1</t>
  </si>
  <si>
    <t>本庁舎：消防防災設備（更新）</t>
  </si>
  <si>
    <t>消防防災設備　自動火災報知機　</t>
  </si>
  <si>
    <t>AsyzAP消防防災設備　自動火災報知機 PPP元キー:00000002-0000000287-1</t>
  </si>
  <si>
    <t>浸出水処理施設：電気設備（交換修繕）</t>
  </si>
  <si>
    <t>AsyzAP電気設備 PPP元キー:00000002-0000000258-1</t>
  </si>
  <si>
    <t>高機能指令センター機器（更新）</t>
  </si>
  <si>
    <t>7010400000:消防本部指令課</t>
  </si>
  <si>
    <t>2020/02/27</t>
  </si>
  <si>
    <t>0020007</t>
  </si>
  <si>
    <t>AsyzAP PPP元キー:00000002-0000000035-1</t>
  </si>
  <si>
    <t>無停電電源装置</t>
  </si>
  <si>
    <t>2018/09/12</t>
  </si>
  <si>
    <t>1:電気設備/蓄電池電源設備</t>
  </si>
  <si>
    <t>AsyzAP PPP元キー:00000002-0000000034-1</t>
  </si>
  <si>
    <t>高圧受変電設備更新</t>
  </si>
  <si>
    <t>AsyzAP PPP元キー:00000002-0000000017-1</t>
  </si>
  <si>
    <t>本庁舎：高圧受変電設備更新</t>
  </si>
  <si>
    <t>2018/11/30</t>
  </si>
  <si>
    <t>AsyzAP PPP元キー:00000002-0000000016-1</t>
  </si>
  <si>
    <t>AsyzAP電気設備　高圧受電設備 PPP元キー:00000002-0000000015-1</t>
  </si>
  <si>
    <t>本庁舎：空調設備（交換）</t>
  </si>
  <si>
    <t>空調設備　膨張タンク　</t>
  </si>
  <si>
    <t>AsyzAP空調設備　膨張タンク PPP元キー:00000002-0000000014-1</t>
  </si>
  <si>
    <t>本庁舎：機械設備（更新）</t>
  </si>
  <si>
    <t>機械設備　電話交換機　</t>
  </si>
  <si>
    <t>AsyzAP機械設備　電話交換機 PPP元キー:00000002-0000000013-1</t>
  </si>
  <si>
    <t>登米市電算室空調機設備更新</t>
  </si>
  <si>
    <t>2019/09/24</t>
  </si>
  <si>
    <t>AsyzAP PPP元キー:00000002-0000000008-1</t>
  </si>
  <si>
    <t>登米市電算室無停電電源装置改修</t>
  </si>
  <si>
    <t>AsyzAP PPP元キー:00000002-0000000007-1</t>
  </si>
  <si>
    <t>観光物産施設：電気設備（交換）</t>
  </si>
  <si>
    <t>2017/06/19</t>
  </si>
  <si>
    <t>電気設備　高圧開閉器　</t>
  </si>
  <si>
    <t>AsyzAP電気設備　高圧開閉器 PPP元キー:00000002-0000001242-1</t>
  </si>
  <si>
    <t>001967:横山駅前公衆トイレ</t>
  </si>
  <si>
    <t>津山町横山字本町117-1</t>
  </si>
  <si>
    <t>0710075</t>
  </si>
  <si>
    <t>1962/03/31</t>
  </si>
  <si>
    <t>1990/06/30</t>
  </si>
  <si>
    <t>1986/07/20</t>
  </si>
  <si>
    <t>1974/07/31</t>
  </si>
  <si>
    <t>1968/08/20</t>
  </si>
  <si>
    <t>1976/07/20</t>
  </si>
  <si>
    <t>バス待合所</t>
  </si>
  <si>
    <t>001926:東和道の駅施設内バス待合所</t>
  </si>
  <si>
    <t>1999/11/08</t>
  </si>
  <si>
    <t>東和町米川字六反56-1</t>
  </si>
  <si>
    <t>0710034</t>
  </si>
  <si>
    <t>1975/06/20</t>
  </si>
  <si>
    <t>1969/07/20</t>
  </si>
  <si>
    <t>1982/07/31</t>
  </si>
  <si>
    <t>1982/03/02</t>
  </si>
  <si>
    <t>1981/03/20</t>
  </si>
  <si>
    <t>1978/07/31</t>
  </si>
  <si>
    <t>1976/07/31</t>
  </si>
  <si>
    <t>1989/08/31</t>
  </si>
  <si>
    <t>1970/05/31</t>
  </si>
  <si>
    <t>1993/08/31</t>
  </si>
  <si>
    <t>森六ポンプ置場</t>
  </si>
  <si>
    <t>001077:中田支団第6分団第1班ポンプ置場</t>
  </si>
  <si>
    <t>中田町宝江新井田字新森六前25-2-の内</t>
  </si>
  <si>
    <t>0030066</t>
  </si>
  <si>
    <t>2001/12/28</t>
  </si>
  <si>
    <t>プロパンボンベ室</t>
  </si>
  <si>
    <t>境堀ポンプ置場</t>
  </si>
  <si>
    <t>001061:中田支団第3分団第1班ポンプ置場</t>
  </si>
  <si>
    <t>中田町石森字牡丹埣185-1-の内</t>
  </si>
  <si>
    <t>0030050</t>
  </si>
  <si>
    <t>石森長根ポンプ置場</t>
  </si>
  <si>
    <t>001062:中田支団第2分団第3班ポンプ置場</t>
  </si>
  <si>
    <t>中田町石森字西小倉1-1-の内</t>
  </si>
  <si>
    <t>0030051</t>
  </si>
  <si>
    <t>北区ポンプ置場</t>
  </si>
  <si>
    <t>001065:中田支団第8分団第3班ポンプ置場</t>
  </si>
  <si>
    <t>2006/03/01</t>
  </si>
  <si>
    <t>中田町上沼字弥勒寺宿29-2</t>
  </si>
  <si>
    <t>0030054</t>
  </si>
  <si>
    <t>神ノ木ポンプ置場</t>
  </si>
  <si>
    <t>001068:中田支団第8分団第1班ポンプ置場</t>
  </si>
  <si>
    <t>中田町上沼字堀米30-1</t>
  </si>
  <si>
    <t>0030057</t>
  </si>
  <si>
    <t>金谷ポンプ置場</t>
  </si>
  <si>
    <t>001069:中田支団第8分団第2班ポンプ置場</t>
  </si>
  <si>
    <t>中田町上沼字金谷80-1-借地</t>
  </si>
  <si>
    <t>0030058</t>
  </si>
  <si>
    <t>大柳ポンプ置場</t>
  </si>
  <si>
    <t>001070:中田支団第7分団第1班ポンプ置場</t>
  </si>
  <si>
    <t>中田町上沼字大柳28-3</t>
  </si>
  <si>
    <t>0030059</t>
  </si>
  <si>
    <t>籠壇ポンプ置場</t>
  </si>
  <si>
    <t>001071:中田支団第7分団第3班ポンプ置場</t>
  </si>
  <si>
    <t>中田町上沼字籠壇111-9-借地</t>
  </si>
  <si>
    <t>0030060</t>
  </si>
  <si>
    <t>十文字ポンプ置場</t>
  </si>
  <si>
    <t>001073:中田支団第5分団第1班ポンプ置場</t>
  </si>
  <si>
    <t>2003/03/01</t>
  </si>
  <si>
    <t>中田町宝江黒沼字大海崎6-の内</t>
  </si>
  <si>
    <t>0030062</t>
  </si>
  <si>
    <t>荒谷ポンプ置場</t>
  </si>
  <si>
    <t>001075:中田支団第4分団第2班ポンプ置場</t>
  </si>
  <si>
    <t>中田町宝江新井田字荒谷239-2-の内</t>
  </si>
  <si>
    <t>0030064</t>
  </si>
  <si>
    <t>舘ポンプ置場</t>
  </si>
  <si>
    <t>001076:中田支団第4分団第3班ポンプ置場</t>
  </si>
  <si>
    <t>中田町宝江新井田字舘79-借地</t>
  </si>
  <si>
    <t>0030065</t>
  </si>
  <si>
    <t>001336:登米児童館（倉庫用地）</t>
  </si>
  <si>
    <t>登米町寺池目子待井391-1</t>
  </si>
  <si>
    <t>0130010</t>
  </si>
  <si>
    <t>塵芥置場</t>
  </si>
  <si>
    <t>1982/09/20</t>
  </si>
  <si>
    <t>1989/09/20</t>
  </si>
  <si>
    <t>001786:登米市迫B＆G海洋センター</t>
  </si>
  <si>
    <t>迫町北方字天形114-2</t>
  </si>
  <si>
    <t>0440016</t>
  </si>
  <si>
    <t>1980/06/30</t>
  </si>
  <si>
    <t>1981/01/20</t>
  </si>
  <si>
    <t>消防ポンプ車庫(総合支所)</t>
  </si>
  <si>
    <t>001095:米山支団第5分団第2班ポンプ置場</t>
  </si>
  <si>
    <t>米山町西野字的場181-1</t>
  </si>
  <si>
    <t>0030084</t>
  </si>
  <si>
    <t>米山消防ポンプ車庫</t>
  </si>
  <si>
    <t>001092:米山支団第3分団第2班ポンプ置場</t>
  </si>
  <si>
    <t>米山町字善王寺中新田56-1</t>
  </si>
  <si>
    <t>0030081</t>
  </si>
  <si>
    <t>001094:米山支団第2分団第3班ポンプ置場</t>
  </si>
  <si>
    <t>米山町字桜岡今泉256-2</t>
  </si>
  <si>
    <t>0030083</t>
  </si>
  <si>
    <t>1991/11/30</t>
  </si>
  <si>
    <t>部室</t>
  </si>
  <si>
    <t>001093:米山支団第1分団第2班ポンプ置場</t>
  </si>
  <si>
    <t>米山町字桜岡畑崎37-2</t>
  </si>
  <si>
    <t>0030082</t>
  </si>
  <si>
    <t>1953/07/31</t>
  </si>
  <si>
    <t>1985/11/30</t>
  </si>
  <si>
    <t>001108:石越支団第1分団第2班ポンプ置場（第10区）</t>
  </si>
  <si>
    <t>石越町東郷字千貫巻153-2</t>
  </si>
  <si>
    <t>0030097</t>
  </si>
  <si>
    <t>水防倉庫</t>
  </si>
  <si>
    <t>001317:防災倉庫・倉庫用地</t>
  </si>
  <si>
    <t>0790172</t>
  </si>
  <si>
    <t>1954/08/31</t>
  </si>
  <si>
    <t>1955/04/01</t>
  </si>
  <si>
    <t>61</t>
  </si>
  <si>
    <t>001103:米山支団第8分団第3班ポンプ置場</t>
  </si>
  <si>
    <t>米山町中津山字鍛冶屋敷2-1</t>
  </si>
  <si>
    <t>0030092</t>
  </si>
  <si>
    <t>もみの木ハウス</t>
  </si>
  <si>
    <t>生活科ハウス</t>
  </si>
  <si>
    <t>2001/06/30</t>
  </si>
  <si>
    <t>AsyzAP倉庫 PPP元キー:00000002-0000000004-1</t>
  </si>
  <si>
    <t>001944:豊里白鳥前倉庫</t>
  </si>
  <si>
    <t>1065100000:豊里総合支所市民課</t>
  </si>
  <si>
    <t>豊里町白鳥前24-2</t>
  </si>
  <si>
    <t>0710052</t>
  </si>
  <si>
    <t>本宮ポンプ置場</t>
  </si>
  <si>
    <t>001046:中田支団第9分団第3班ポンプ置場</t>
  </si>
  <si>
    <t>中田町内</t>
  </si>
  <si>
    <t>0030035</t>
  </si>
  <si>
    <t>001107:米山支団第9分団第3班ポンプ置場</t>
  </si>
  <si>
    <t>米山町中津山字筒場埣265-3</t>
  </si>
  <si>
    <t>0030096</t>
  </si>
  <si>
    <t>002361:旧消防ポンプ置場</t>
  </si>
  <si>
    <t>迫町北方字早坂115-7</t>
  </si>
  <si>
    <t>0790054</t>
  </si>
  <si>
    <t>訓練棟A</t>
  </si>
  <si>
    <t>AsyzAP消防本部・署 PPP元キー:00000002-0000000024-1</t>
  </si>
  <si>
    <t>訓練棟B</t>
  </si>
  <si>
    <t>AsyzAP消防本部・署 PPP元キー:00000002-0000000025-1</t>
  </si>
  <si>
    <t>訓練棟C</t>
  </si>
  <si>
    <t>AsyzAP消防本部・署 PPP元キー:00000002-0000000026-1</t>
  </si>
  <si>
    <t>清水消防ポンプ車庫</t>
  </si>
  <si>
    <t>001102:米山支団第6分団第3班ポンプ置場</t>
  </si>
  <si>
    <t>米山町中津山字清水11-81</t>
  </si>
  <si>
    <t>0030091</t>
  </si>
  <si>
    <t>燃料備蓄倉庫</t>
  </si>
  <si>
    <t>AsyzAP消防本部・署 PPP元キー:00000002-0000000028-1</t>
  </si>
  <si>
    <t>南方町原屋敷1-・梶沼24・大袋187-5</t>
  </si>
  <si>
    <t>0790141</t>
  </si>
  <si>
    <t>001045:迫支団第6分団第2班ポンプ置場</t>
  </si>
  <si>
    <t>2013/05/24</t>
  </si>
  <si>
    <t>迫町北方字新土府51-3</t>
  </si>
  <si>
    <t>0030034</t>
  </si>
  <si>
    <t>AsyzAP消防ポンプ格納施設 PPP元キー:00000002-0000000036-1</t>
  </si>
  <si>
    <t>2014/02/01</t>
  </si>
  <si>
    <t>AsyzAP消防ポンプ格納施設 PPP元キー:00000002-0000000039-1</t>
  </si>
  <si>
    <t>002362:旧迫支団第6分団第2班ポンプ置場</t>
  </si>
  <si>
    <t>迫町北方字土手ノ内65-4</t>
  </si>
  <si>
    <t>0790055</t>
  </si>
  <si>
    <t>1986/06/20</t>
  </si>
  <si>
    <t>1990/07/31</t>
  </si>
  <si>
    <t>的場消防ポンプ車庫</t>
  </si>
  <si>
    <t>001101:米山支団第6分団第1班ポンプ置場</t>
  </si>
  <si>
    <t>米山町中津山字柳渕31-1</t>
  </si>
  <si>
    <t>0030090</t>
  </si>
  <si>
    <t>001047:南方支団第3分団第1班ポンプ置場</t>
  </si>
  <si>
    <t>南方町新大畑前126</t>
  </si>
  <si>
    <t>0030036</t>
  </si>
  <si>
    <t>AsyzAP消防ポンプ格納施設 PPP元キー:00000002-0000000040-1</t>
  </si>
  <si>
    <t>ポンプ置場（改修費）</t>
  </si>
  <si>
    <t>001109:石越支団第1分団第3班ポンプ置場（海上連区）</t>
  </si>
  <si>
    <t>2018/03/20</t>
  </si>
  <si>
    <t>石越町東郷字蕪木272-1-地内</t>
  </si>
  <si>
    <t>0030098</t>
  </si>
  <si>
    <t>AsyzAP消防ポンプ格納施設 PPP元キー:00000002-0000000106-1</t>
  </si>
  <si>
    <t>001119:石越支団第3分団第2班ポンプ置場（第7区）</t>
  </si>
  <si>
    <t>石越町北郷字小谷地126-7-地内</t>
  </si>
  <si>
    <t>0030108</t>
  </si>
  <si>
    <t>AsyzAP PPP元キー:00000002-0000000117-1</t>
  </si>
  <si>
    <t>1990/11/20</t>
  </si>
  <si>
    <t>詰所</t>
  </si>
  <si>
    <t>001127:東和支団第4分団第3班ポンプ置場（錦織詰所）</t>
  </si>
  <si>
    <t>2000/01/14</t>
  </si>
  <si>
    <t>消防団詰所</t>
  </si>
  <si>
    <t>0030116</t>
  </si>
  <si>
    <t>AsyzAP消防団詰所 PPP元キー:00000002-0000000125-1</t>
  </si>
  <si>
    <t>ポンプ置場（積載車車庫）</t>
  </si>
  <si>
    <t>001128:東和支団第5分団第3班ポンプ置場</t>
  </si>
  <si>
    <t>2000/03/28</t>
  </si>
  <si>
    <t>東和町錦織字中畑124-4</t>
  </si>
  <si>
    <t>0030117</t>
  </si>
  <si>
    <t>AsyzAP消防ポンプ格納施設 PPP元キー:00000002-0000000126-1</t>
  </si>
  <si>
    <t>001129:東和支団第4分団第1班ポンプ置場</t>
  </si>
  <si>
    <t>2001/01/29</t>
  </si>
  <si>
    <t>東和町錦織字石倉119-3</t>
  </si>
  <si>
    <t>0030118</t>
  </si>
  <si>
    <t>AsyzAP消防ポンプ格納施設 PPP元キー:00000002-0000000127-1</t>
  </si>
  <si>
    <t>001130:東和支団第6分団第1班ポンプ置場</t>
  </si>
  <si>
    <t>2002/12/25</t>
  </si>
  <si>
    <t>東和町米川字中嶋25-6</t>
  </si>
  <si>
    <t>0030119</t>
  </si>
  <si>
    <t>AsyzAP消防ポンプ格納施設 PPP元キー:00000002-0000000128-1</t>
  </si>
  <si>
    <t>消防積載車車庫</t>
  </si>
  <si>
    <t>001134:東和支団第7分団第1班・第2班ポンプ置場</t>
  </si>
  <si>
    <t>1999/03/30</t>
  </si>
  <si>
    <t>東和町米川字東綱木212-地内</t>
  </si>
  <si>
    <t>0030123</t>
  </si>
  <si>
    <t>AsyzAP消防ポンプ格納施設 PPP元キー:00000002-0000000133-1</t>
  </si>
  <si>
    <t>1959/04/01</t>
  </si>
  <si>
    <t>001135:東和支団第8分団第1班ポンプ置場</t>
  </si>
  <si>
    <t>東和町米川字六反85-1-地内</t>
  </si>
  <si>
    <t>0030124</t>
  </si>
  <si>
    <t>AsyzAP消防ポンプ格納施設 PPP元キー:00000002-0000000135-1</t>
  </si>
  <si>
    <t>001136:東和支団第5分団第1班・第2班ポンプ置場</t>
  </si>
  <si>
    <t>東和町錦織字小童子93-1-地内</t>
  </si>
  <si>
    <t>0030125</t>
  </si>
  <si>
    <t>AsyzAP消防ポンプ格納施設 PPP元キー:00000002-0000000136-1</t>
  </si>
  <si>
    <t>002130:旧農協倉庫</t>
  </si>
  <si>
    <t>1984/06/06</t>
  </si>
  <si>
    <t>東和町米川字町裏85-4</t>
  </si>
  <si>
    <t>0760101</t>
  </si>
  <si>
    <t>2000/03/10</t>
  </si>
  <si>
    <t>001137:東和支団第2分団第3班・第4班ポンプ置場</t>
  </si>
  <si>
    <t>東和町米谷字宮ノ前413-地内</t>
  </si>
  <si>
    <t>0030126</t>
  </si>
  <si>
    <t>AsyzAP消防ポンプ格納施設 PPP元キー:00000002-0000000137-1</t>
  </si>
  <si>
    <t>001140:迫支団第8分団第2班ポンプ置場</t>
  </si>
  <si>
    <t>迫町新田字下板橋56-24</t>
  </si>
  <si>
    <t>0030129</t>
  </si>
  <si>
    <t>AsyzAP消防ポンプ格納施設 PPP元キー:00000002-0000000140-1</t>
  </si>
  <si>
    <t>002111:旧米川中学校</t>
  </si>
  <si>
    <t>東和町米川字町裏120-1</t>
  </si>
  <si>
    <t>0760082</t>
  </si>
  <si>
    <t>001142:迫支団第11分団第1班ポンプ置場</t>
  </si>
  <si>
    <t>迫町新田字倉崎190-2</t>
  </si>
  <si>
    <t>0030131</t>
  </si>
  <si>
    <t>AsyzAP PPP元キー:00000002-0000000143-1</t>
  </si>
  <si>
    <t>防災倉庫</t>
  </si>
  <si>
    <t>002092:物置（貸付建物）</t>
  </si>
  <si>
    <t>1971/03/25</t>
  </si>
  <si>
    <t>迫町佐沼字西佐沼173</t>
  </si>
  <si>
    <t>0760063</t>
  </si>
  <si>
    <t>001143:迫支団第1分団第1班ポンプ置場</t>
  </si>
  <si>
    <t>迫町佐沼字下田中25-借地</t>
  </si>
  <si>
    <t>0030132</t>
  </si>
  <si>
    <t>AsyzAP消防ポンプ格納施設 PPP元キー:00000002-0000000145-1</t>
  </si>
  <si>
    <t>001112:石越支団第2分団第3班ポンプ置場（第12区）</t>
  </si>
  <si>
    <t>石越町東郷字加慶43-地先</t>
  </si>
  <si>
    <t>0030101</t>
  </si>
  <si>
    <t>001160:迫支団第12分団第1班ポンプ置場</t>
  </si>
  <si>
    <t>迫町新田字前沼92-1-借地</t>
  </si>
  <si>
    <t>0030149</t>
  </si>
  <si>
    <t>AsyzAP消防ポンプ格納施設 PPP元キー:00000002-0000000164-1</t>
  </si>
  <si>
    <t>001169:豊里支団第5分団第1班ポンプ置場</t>
  </si>
  <si>
    <t>2000/03/27</t>
  </si>
  <si>
    <t>豊里町中沼田69-1-地内</t>
  </si>
  <si>
    <t>0030158</t>
  </si>
  <si>
    <t>AsyzAP消防ポンプ格納施設 PPP元キー:00000002-0000000173-1</t>
  </si>
  <si>
    <t>001170:豊里支団第6分団第3班ポンプ置場</t>
  </si>
  <si>
    <t>豊里町沢尻166</t>
  </si>
  <si>
    <t>0030159</t>
  </si>
  <si>
    <t>AsyzAP消防ポンプ格納施設 PPP元キー:00000002-0000000174-1</t>
  </si>
  <si>
    <t>001171:豊里支団第4分団第3班ポンプ置場</t>
  </si>
  <si>
    <t>豊里町内</t>
  </si>
  <si>
    <t>0030160</t>
  </si>
  <si>
    <t>AsyzAP消防ポンプ格納施設 PPP元キー:00000002-0000000175-1</t>
  </si>
  <si>
    <t>2004/04/10</t>
  </si>
  <si>
    <t>AsyzAP消防ポンプ格納施設 PPP元キー:00000002-0000000176-1</t>
  </si>
  <si>
    <t>ポンプ置場改修</t>
  </si>
  <si>
    <t>001174:豊里支団第5分団第4班ポンプ置場</t>
  </si>
  <si>
    <t>0030163</t>
  </si>
  <si>
    <t>AsyzAP PPP元キー:00000002-0000000180-1</t>
  </si>
  <si>
    <t>001176:豊里支団第1分団第1班ポンプ置場</t>
  </si>
  <si>
    <t>豊里町長根浦250</t>
  </si>
  <si>
    <t>0030165</t>
  </si>
  <si>
    <t>AsyzAP消防ポンプ格納施設 PPP元キー:00000002-0000000183-1</t>
  </si>
  <si>
    <t>001177:豊里支団第2分団第4班ポンプ置場</t>
  </si>
  <si>
    <t>豊里町浦軒46-6</t>
  </si>
  <si>
    <t>0030166</t>
  </si>
  <si>
    <t>AsyzAP消防ポンプ格納施設 PPP元キー:00000002-0000000184-1</t>
  </si>
  <si>
    <t>六軒屋敷消防ポンプ車庫</t>
  </si>
  <si>
    <t>001100:米山支団第7分団第1班ポンプ置場</t>
  </si>
  <si>
    <t>米山町中津山字谷地渕33-1</t>
  </si>
  <si>
    <t>0030089</t>
  </si>
  <si>
    <t>001188:津山支団第1分団第2班ポンプ置場</t>
  </si>
  <si>
    <t>2008/03/28</t>
  </si>
  <si>
    <t>津山町横山字上の山41-1</t>
  </si>
  <si>
    <t>0030177</t>
  </si>
  <si>
    <t>AsyzAP消防ポンプ格納施設 PPP元キー:00000002-0000000195-1</t>
  </si>
  <si>
    <t>001213:南方支団第7分団第3班ポンプ置場</t>
  </si>
  <si>
    <t>南方町三代前27-2</t>
  </si>
  <si>
    <t>0030202</t>
  </si>
  <si>
    <t>AsyzAP PPP元キー:00000002-0000000221-1</t>
  </si>
  <si>
    <t>001214:登米市消防団豊里支団第3分団第2・3班消防ポンプ庫</t>
  </si>
  <si>
    <t>2008/09/25</t>
  </si>
  <si>
    <t>豊里町二ツ屋360-14</t>
  </si>
  <si>
    <t>0030203</t>
  </si>
  <si>
    <t>AsyzAP消防ポンプ格納施設 PPP元キー:00000002-0000000222-1</t>
  </si>
  <si>
    <t>001215:登米支団第3分団第6班ポンプ置場</t>
  </si>
  <si>
    <t>登米町小島木戸崎100-1</t>
  </si>
  <si>
    <t>0030204</t>
  </si>
  <si>
    <t>AsyzAP消防ポンプ格納施設 PPP元キー:00000002-0000000223-1</t>
  </si>
  <si>
    <t>001216:南方支団第4分団第5班ポンプ置場</t>
  </si>
  <si>
    <t>2011/02/22</t>
  </si>
  <si>
    <t>南方町中高石18-1</t>
  </si>
  <si>
    <t>0030205</t>
  </si>
  <si>
    <t>AsyzAP消防ポンプ格納施設 PPP元キー:00000002-0000000224-1</t>
  </si>
  <si>
    <t>001865:農業機械格納庫</t>
  </si>
  <si>
    <t>南方町西山成前138-借地</t>
  </si>
  <si>
    <t>0700002</t>
  </si>
  <si>
    <t>001217:東和支団第3分団第1班ポンプ置場</t>
  </si>
  <si>
    <t>2011/03/15</t>
  </si>
  <si>
    <t>東和町米谷字南沢54-1</t>
  </si>
  <si>
    <t>0030206</t>
  </si>
  <si>
    <t>AsyzAP消防ポンプ格納施設 PPP元キー:00000002-0000000225-1</t>
  </si>
  <si>
    <t>001218:迫支団第4分団第2班消防ポンプ置場</t>
  </si>
  <si>
    <t>2012/04/25</t>
  </si>
  <si>
    <t>0030207</t>
  </si>
  <si>
    <t>AsyzAP消防ポンプ格納施設 PPP元キー:00000002-0000000226-1</t>
  </si>
  <si>
    <t>001219:南方支団第2分団第2班消防ポンプ置場</t>
  </si>
  <si>
    <t>0030208</t>
  </si>
  <si>
    <t>AsyzAP消防ポンプ格納施設 PPP元キー:00000002-0000000227-1</t>
  </si>
  <si>
    <t>001220:南方支団第4分団第3班消防ポンプ置場</t>
  </si>
  <si>
    <t>南方町大袋浦588</t>
  </si>
  <si>
    <t>0030209</t>
  </si>
  <si>
    <t>AsyzAP消防ポンプ格納施設 PPP元キー:00000002-0000000228-1</t>
  </si>
  <si>
    <t>001221:南方支団第3分団第4班消防ポンプ置場</t>
  </si>
  <si>
    <t>南方町梶沼71-2</t>
  </si>
  <si>
    <t>0030210</t>
  </si>
  <si>
    <t>AsyzAP消防ポンプ格納施設 PPP元キー:00000002-0000000229-1</t>
  </si>
  <si>
    <t>001222:中田支団第6分団第3班ポンプ置場</t>
  </si>
  <si>
    <t>中田町宝江新井田字要害142-1</t>
  </si>
  <si>
    <t>0030211</t>
  </si>
  <si>
    <t>AsyzAP消防ポンプ格納施設 PPP元キー:00000002-0000000230-1</t>
  </si>
  <si>
    <t>001223:南方支団第5分団第3班ポンプ置場</t>
  </si>
  <si>
    <t>南方町板ケ沢32-2</t>
  </si>
  <si>
    <t>0030212</t>
  </si>
  <si>
    <t>AsyzAP消防ポンプ格納施設 PPP元キー:00000002-0000000231-1</t>
  </si>
  <si>
    <t>001099:米山支団第5分団第4班ポンプ置場</t>
  </si>
  <si>
    <t>米山町西野字砥落2</t>
  </si>
  <si>
    <t>0030088</t>
  </si>
  <si>
    <t>001224:東和支団第3分団第4班ポンプ置場</t>
  </si>
  <si>
    <t>2015/03/17</t>
  </si>
  <si>
    <t>東和町米谷字新大沢95-2</t>
  </si>
  <si>
    <t>0030213</t>
  </si>
  <si>
    <t>AsyzAP消防ポンプ格納施設 PPP元キー:00000002-0000000232-1</t>
  </si>
  <si>
    <t>1999/08/20</t>
  </si>
  <si>
    <t>001225:中田支団第11分団第1班ポンプ置場</t>
  </si>
  <si>
    <t>中田町浅水字鮎川田216-1</t>
  </si>
  <si>
    <t>0030214</t>
  </si>
  <si>
    <t>AsyzAP消防ポンプ格納施設 PPP元キー:00000002-0000000233-1</t>
  </si>
  <si>
    <t>001845:登米市津山林業総合センター</t>
  </si>
  <si>
    <t>1983/06/06</t>
  </si>
  <si>
    <t>0610001</t>
  </si>
  <si>
    <t>001226:豊里支団第2分団第3班ポンプ置場</t>
  </si>
  <si>
    <t>豊里町上屋浦214-4</t>
  </si>
  <si>
    <t>0030215</t>
  </si>
  <si>
    <t>AsyzAP消防ポンプ格納施設 PPP元キー:00000002-0000000234-1</t>
  </si>
  <si>
    <t>001228:南方支団第1分団第3班ポンプ置場</t>
  </si>
  <si>
    <t>2016/02/22</t>
  </si>
  <si>
    <t>南方町青島屋敷1</t>
  </si>
  <si>
    <t>0030217</t>
  </si>
  <si>
    <t>AsyzAP消防ポンプ格納施設 PPP元キー:00000002-0000000237-1</t>
  </si>
  <si>
    <t>001098:米山支団第4分団第4班ポンプ置場</t>
  </si>
  <si>
    <t>米山町西野字平埣85-15</t>
  </si>
  <si>
    <t>0030087</t>
  </si>
  <si>
    <t>001229:南方支団第6分団第3班ポンプ置場</t>
  </si>
  <si>
    <t>南方町畑岡2</t>
  </si>
  <si>
    <t>0030218</t>
  </si>
  <si>
    <t>AsyzAP消防ポンプ格納施設 PPP元キー:00000002-0000000239-1</t>
  </si>
  <si>
    <t>001230:米山支団第6分団第2班ポンプ置場</t>
  </si>
  <si>
    <t>2017/02/20</t>
  </si>
  <si>
    <t>米山町中津山字弥蔵壇60</t>
  </si>
  <si>
    <t>0030219</t>
  </si>
  <si>
    <t>AsyzAP消防ポンプ格納施設 PPP元キー:00000002-0000000240-1</t>
  </si>
  <si>
    <t>001231:米山支団第4分団第2・3班ポンプ置場</t>
  </si>
  <si>
    <t>米山町西野字下小路2-2</t>
  </si>
  <si>
    <t>0030220</t>
  </si>
  <si>
    <t>AsyzAP消防ポンプ格納施設 PPP元キー:00000002-0000000241-1</t>
  </si>
  <si>
    <t>収蔵庫</t>
  </si>
  <si>
    <t>1972/11/30</t>
  </si>
  <si>
    <t>1981/05/31</t>
  </si>
  <si>
    <t>迫支団第9分団第1班消防ポンプ置場</t>
  </si>
  <si>
    <t>001156:迫支団第9分団第1班ポンプ置場</t>
  </si>
  <si>
    <t>迫町新田字台所75-1</t>
  </si>
  <si>
    <t>0030221</t>
  </si>
  <si>
    <t>AsyzAP消防ポンプ格納施設 PPP元キー:00000002-0000000242-1</t>
  </si>
  <si>
    <t>石越支団第4分団第2班消防ポンプ置場</t>
  </si>
  <si>
    <t>001233:石越支団第4分団第2班ポンプ置場</t>
  </si>
  <si>
    <t>消防ポンプ格納施設　276番地2及び276番地4の一部　</t>
  </si>
  <si>
    <t>石越町北郷字橋向276-2,4</t>
  </si>
  <si>
    <t>0030222</t>
  </si>
  <si>
    <t>AsyzAP消防ポンプ格納施設　276番地2及び276番地4の一部 PPP元キー:00000002-0000000243-1</t>
  </si>
  <si>
    <t>001206:南方支団第5分団第1班ポンプ置場</t>
  </si>
  <si>
    <t>南方町長根5-7</t>
  </si>
  <si>
    <t>0030195</t>
  </si>
  <si>
    <t>AsyzAP消防ポンプ格納施設 PPP元キー:00000002-0000000244-1</t>
  </si>
  <si>
    <t>米山支団第8分団第1班消防ポンプ置場</t>
  </si>
  <si>
    <t>001106:米山支団第8分団第1班ポンプ置場</t>
  </si>
  <si>
    <t>米山町中津山字東千貫47</t>
  </si>
  <si>
    <t>0030223</t>
  </si>
  <si>
    <t>AsyzAP消防ポンプ格納施設 PPP元キー:00000002-0000000245-1</t>
  </si>
  <si>
    <t>豊里支団本部分団ポンプ庫</t>
  </si>
  <si>
    <t>001236:豊里支団本部分団ポンプ庫</t>
  </si>
  <si>
    <t>2020/06/03</t>
  </si>
  <si>
    <t>豊里町新町9-11</t>
  </si>
  <si>
    <t>0030225</t>
  </si>
  <si>
    <t>AsyzAP PPP元キー:00000002-0000000247-1</t>
  </si>
  <si>
    <t>消防ポンプ置場</t>
  </si>
  <si>
    <t>001237:中田支団第10分団第2班ポンプ庫</t>
  </si>
  <si>
    <t>中田町浅水字西水越99</t>
  </si>
  <si>
    <t>0030226</t>
  </si>
  <si>
    <t>AsyzAP PPP元キー:00000002-0000000248-1</t>
  </si>
  <si>
    <t>001111:石越支団第2分団第2班ポンプ置場（平町）</t>
  </si>
  <si>
    <t>石越町東郷字登戸13-6-の内</t>
  </si>
  <si>
    <t>0030100</t>
  </si>
  <si>
    <t>001303:日根牛水防倉庫</t>
  </si>
  <si>
    <t>2012/05/31</t>
  </si>
  <si>
    <t>登米町大字日根牛浦小路16-2</t>
  </si>
  <si>
    <t>0090005</t>
  </si>
  <si>
    <t>AsyzAP水防倉庫 PPP元キー:00000002-0000000271-1</t>
  </si>
  <si>
    <t>001304:登米市水防センター</t>
  </si>
  <si>
    <t>2015/02/26</t>
  </si>
  <si>
    <t>米山町西野字西野前279</t>
  </si>
  <si>
    <t>0090006</t>
  </si>
  <si>
    <t>AsyzAP水防倉庫 PPP元キー:00000002-0000000272-1</t>
  </si>
  <si>
    <t>001205:南方支団第4分団第2班ポンプ置場</t>
  </si>
  <si>
    <t>南方町下砥落38-1-先</t>
  </si>
  <si>
    <t>0030194</t>
  </si>
  <si>
    <t>中町消防ポンプ車庫</t>
  </si>
  <si>
    <t>001097:米山支団第5分団第1班ポンプ置場</t>
  </si>
  <si>
    <t>0030086</t>
  </si>
  <si>
    <t>1992/08/20</t>
  </si>
  <si>
    <t>001113:石越支団第3分団第3班ポンプ置場（第3区）</t>
  </si>
  <si>
    <t>石越町南郷字松ケ崎前3-3</t>
  </si>
  <si>
    <t>0030102</t>
  </si>
  <si>
    <t>001110:石越支団第2分団第1班ポンプ置場（口梨）</t>
  </si>
  <si>
    <t>石越町東郷字山根前17-先</t>
  </si>
  <si>
    <t>0030099</t>
  </si>
  <si>
    <t>001164:迫支団第15分団第1班ポンプ置場</t>
  </si>
  <si>
    <t>迫町森字新道360-4-借地</t>
  </si>
  <si>
    <t>0030153</t>
  </si>
  <si>
    <t>001163:迫支団第15分団第2班ポンプ置場</t>
  </si>
  <si>
    <t>迫町森字吐出421-2-借地</t>
  </si>
  <si>
    <t>0030152</t>
  </si>
  <si>
    <t>001105:米山支団第7分団第2班ポンプ置場</t>
  </si>
  <si>
    <t>米山町中津山字清水11-4</t>
  </si>
  <si>
    <t>0030094</t>
  </si>
  <si>
    <t>001318:防災倉庫</t>
  </si>
  <si>
    <t>中田町上沼字西桜場18-の内</t>
  </si>
  <si>
    <t>0110004</t>
  </si>
  <si>
    <t>AsyzAP水防倉庫 PPP元キー:00000002-0000000299-1</t>
  </si>
  <si>
    <t>001115:石越支団第3分団第5班ポンプ置場（渋川区）</t>
  </si>
  <si>
    <t>石越町南郷字前新田140-1</t>
  </si>
  <si>
    <t>0030104</t>
  </si>
  <si>
    <t>第1分団自動車班車庫</t>
  </si>
  <si>
    <t>001116:石越支団第1分団自動車班ポンプ置場</t>
  </si>
  <si>
    <t>石越町北郷字遠沢179-5-の内</t>
  </si>
  <si>
    <t>0030105</t>
  </si>
  <si>
    <t>001117:石越支団第1分団第1班ポンプ置場（第1区）</t>
  </si>
  <si>
    <t>石越町北郷字長根85-18</t>
  </si>
  <si>
    <t>0030106</t>
  </si>
  <si>
    <t>詰所兼ポンプ置場</t>
  </si>
  <si>
    <t>001118:石越支団第3分団詰所兼第1班ポンプ置場（駅前区）</t>
  </si>
  <si>
    <t>石越町北郷字西門沖270-2</t>
  </si>
  <si>
    <t>0030107</t>
  </si>
  <si>
    <t>001120:石越支団第4分団詰所兼第1班ポンプ置場（芦倉区）</t>
  </si>
  <si>
    <t>石越町北郷字遠沢12-12</t>
  </si>
  <si>
    <t>0030109</t>
  </si>
  <si>
    <t>旧庁舎事務室</t>
  </si>
  <si>
    <t>001327:旧庁舎事務室</t>
  </si>
  <si>
    <t>石越町北郷字長根151-1</t>
  </si>
  <si>
    <t>0130001</t>
  </si>
  <si>
    <t>AsyzAPその他の施設 PPP元キー:00000002-0000000321-1</t>
  </si>
  <si>
    <t>001123:石越支団第4分団第4班ポンプ置場（赤谷区）</t>
  </si>
  <si>
    <t>石越町北郷字赤谷105-8-地内</t>
  </si>
  <si>
    <t>0030112</t>
  </si>
  <si>
    <t>米谷消防詰所</t>
  </si>
  <si>
    <t>001124:東和支団第1分団第1班ポンプ置場(米谷詰所)</t>
  </si>
  <si>
    <t>東和町米谷字元町86</t>
  </si>
  <si>
    <t>0030113</t>
  </si>
  <si>
    <t>米川消防詰所</t>
  </si>
  <si>
    <t>001125:東和支団第6分団第2・3班ポンプ置場(米川詰所)</t>
  </si>
  <si>
    <t>東和町米川字町下7-1</t>
  </si>
  <si>
    <t>0030114</t>
  </si>
  <si>
    <t>第８分団消防詰所</t>
  </si>
  <si>
    <t>001126:東和支団第8分団第2班ポンプ置場（手引き）</t>
  </si>
  <si>
    <t>1999/01/21</t>
  </si>
  <si>
    <t>東和町米川字城ノ内82-9</t>
  </si>
  <si>
    <t>0030115</t>
  </si>
  <si>
    <t>001141:迫支団第5分団第1班ポンプ置場</t>
  </si>
  <si>
    <t>迫町北方字永田111-1</t>
  </si>
  <si>
    <t>0030130</t>
  </si>
  <si>
    <t>第４分団詰所</t>
  </si>
  <si>
    <t>001048:中田支団第10分団第2班ポンプ置場</t>
  </si>
  <si>
    <t>1994/03/01</t>
  </si>
  <si>
    <t>中田町浅水字下川面18-1-借地</t>
  </si>
  <si>
    <t>0030037</t>
  </si>
  <si>
    <t>巻ポンプ置場</t>
  </si>
  <si>
    <t>001049:中田支団第11分団第3班ポンプ置場</t>
  </si>
  <si>
    <t>中田町浅水字駒形195-6-の内</t>
  </si>
  <si>
    <t>0030038</t>
  </si>
  <si>
    <t>二ツ木ポンプ置場</t>
  </si>
  <si>
    <t>001056:中田支団第2分団1班ポンプ置場</t>
  </si>
  <si>
    <t>中田町石森字二木105-1-借地</t>
  </si>
  <si>
    <t>0030045</t>
  </si>
  <si>
    <t>桑代ポンプ置場</t>
  </si>
  <si>
    <t>001057:中田支団第2分団第2班ポンプ置場</t>
  </si>
  <si>
    <t>0030046</t>
  </si>
  <si>
    <t>寝具乾燥機室</t>
  </si>
  <si>
    <t>002468:寝具乾燥機室</t>
  </si>
  <si>
    <t>1980/03/01</t>
  </si>
  <si>
    <t>中田町上沼字新田68-1</t>
  </si>
  <si>
    <t>0790161</t>
  </si>
  <si>
    <t>第１分団詰所</t>
  </si>
  <si>
    <t>001063:中田支団第1分団第1班ポンプ置場</t>
  </si>
  <si>
    <t>1995/03/01</t>
  </si>
  <si>
    <t>中田町石森字越戸9-1</t>
  </si>
  <si>
    <t>0030052</t>
  </si>
  <si>
    <t>弥勒寺ポンプ置場</t>
  </si>
  <si>
    <t>001064:中田支団第8分団第4班ポンプ置場</t>
  </si>
  <si>
    <t>中田町上沼字弥勒寺中下22-2</t>
  </si>
  <si>
    <t>0030053</t>
  </si>
  <si>
    <t>上沼長根ポンプ置場</t>
  </si>
  <si>
    <t>001066:中田支団第9分団第1班ポンプ置場</t>
  </si>
  <si>
    <t>中田町上沼字長根23-3</t>
  </si>
  <si>
    <t>0030055</t>
  </si>
  <si>
    <t>八幡山ポンプ置場</t>
  </si>
  <si>
    <t>001067:中田支団第9分団第2班ポンプ置場</t>
  </si>
  <si>
    <t>2001/03/01</t>
  </si>
  <si>
    <t>中田町上沼字新小塚前1</t>
  </si>
  <si>
    <t>0030056</t>
  </si>
  <si>
    <t>蓬原ポンプ置場</t>
  </si>
  <si>
    <t>001072:中田支団第5分団第3班ポンプ置場</t>
  </si>
  <si>
    <t>中田町宝江黒沼字葉ノ木立85-1-借地</t>
  </si>
  <si>
    <t>0030061</t>
  </si>
  <si>
    <t>上待井ポンプ置場</t>
  </si>
  <si>
    <t>001074:中田支団第6分団第2班ポンプ置場</t>
  </si>
  <si>
    <t>中田町宝江新井田字上待井31</t>
  </si>
  <si>
    <t>0030063</t>
  </si>
  <si>
    <t>第２分団詰所</t>
  </si>
  <si>
    <t>001078:中田支団第4分団第1班ポンプ置場</t>
  </si>
  <si>
    <t>1992/08/01</t>
  </si>
  <si>
    <t>中田町宝江黒沼字町64-の内</t>
  </si>
  <si>
    <t>0030067</t>
  </si>
  <si>
    <t>001079:南方支団第1分団第1班ポンプ置場</t>
  </si>
  <si>
    <t>南方町内</t>
  </si>
  <si>
    <t>0030068</t>
  </si>
  <si>
    <t>001080:登米支団第1分団第1班ポンプ置場</t>
  </si>
  <si>
    <t>登米町大字日根牛入谷68</t>
  </si>
  <si>
    <t>0030069</t>
  </si>
  <si>
    <t>001081:登米支団第1分団第2班ポンプ置場</t>
  </si>
  <si>
    <t>登米町大字日根牛五郎峯15</t>
  </si>
  <si>
    <t>0030070</t>
  </si>
  <si>
    <t>001082:登米支団第2分団第1班ポンプ置場</t>
  </si>
  <si>
    <t>登米町寺池荒町54-4-隣</t>
  </si>
  <si>
    <t>0030071</t>
  </si>
  <si>
    <t>001083:登米支団第3分団第5班ポンプ置場</t>
  </si>
  <si>
    <t>登米町寺池八丁田待井54</t>
  </si>
  <si>
    <t>0030072</t>
  </si>
  <si>
    <t>001084:登米支団第4分団第8班ポンプ置場</t>
  </si>
  <si>
    <t>0030073</t>
  </si>
  <si>
    <t>001085:登米支団第2分団第4班ポンプ置場</t>
  </si>
  <si>
    <t>登米町寺池桜小路103-4</t>
  </si>
  <si>
    <t>0030074</t>
  </si>
  <si>
    <t>001131:東和支団第8分団第3班ポンプ置場</t>
  </si>
  <si>
    <t>東和町米川字寺内55-10-地内</t>
  </si>
  <si>
    <t>0030120</t>
  </si>
  <si>
    <t>001132:東和支団第5分団第4班ポンプ置場</t>
  </si>
  <si>
    <t>東和町錦織字細野7-1-地内</t>
  </si>
  <si>
    <t>0030121</t>
  </si>
  <si>
    <t>001133:東和支団第7分団第3班・第4班ポンプ置場</t>
  </si>
  <si>
    <t>1991/03/30</t>
  </si>
  <si>
    <t>東和町米川字北上沢176-2-地内</t>
  </si>
  <si>
    <t>0030122</t>
  </si>
  <si>
    <t>001138:迫支団第10分団第1班ポンプ置場</t>
  </si>
  <si>
    <t>迫町新田字飯島53-1</t>
  </si>
  <si>
    <t>0030127</t>
  </si>
  <si>
    <t>001139:迫支団第9分団第3班ポンプ置場</t>
  </si>
  <si>
    <t>迫町新田字駒林41-3</t>
  </si>
  <si>
    <t>0030128</t>
  </si>
  <si>
    <t>001144:迫支団第2分団第2班ポンプ置場</t>
  </si>
  <si>
    <t>迫町佐沼字大東54-借地</t>
  </si>
  <si>
    <t>0030133</t>
  </si>
  <si>
    <t>001145:迫支団第3分団第2班ポンプ置場</t>
  </si>
  <si>
    <t>迫町佐沼字錦108-借地</t>
  </si>
  <si>
    <t>0030134</t>
  </si>
  <si>
    <t>001146:迫支団第3分団第1班ポンプ置場</t>
  </si>
  <si>
    <t>迫町佐沼字末広1-2-借地</t>
  </si>
  <si>
    <t>0030135</t>
  </si>
  <si>
    <t>001147:迫支団第4分団第1班ポンプ置場</t>
  </si>
  <si>
    <t>迫町北方字表52-2-借地</t>
  </si>
  <si>
    <t>0030136</t>
  </si>
  <si>
    <t>001148:迫支団第5分団第2班ポンプ置場</t>
  </si>
  <si>
    <t>迫町北方字金ケ森11-6-借地</t>
  </si>
  <si>
    <t>0030137</t>
  </si>
  <si>
    <t>001149:迫支団第5分団第3班ポンプ置場</t>
  </si>
  <si>
    <t>迫町北方字大洞2-3-借地</t>
  </si>
  <si>
    <t>0030138</t>
  </si>
  <si>
    <t>001150:迫支団第6分団第1班ポンプ置場</t>
  </si>
  <si>
    <t>迫町北方字台52-40-借地</t>
  </si>
  <si>
    <t>0030139</t>
  </si>
  <si>
    <t>001151:迫支団第7分団第3班ポンプ置場</t>
  </si>
  <si>
    <t>迫町北方字新下谷地114-借地</t>
  </si>
  <si>
    <t>0030140</t>
  </si>
  <si>
    <t>001153:迫支団第7分団第2班ポンプ置場</t>
  </si>
  <si>
    <t>迫町北方字壇ノ浦34-1-借地</t>
  </si>
  <si>
    <t>0030142</t>
  </si>
  <si>
    <t>001154:迫支団第8分団第1班ポンプ置場</t>
  </si>
  <si>
    <t>迫町新田字田上3-4-借地</t>
  </si>
  <si>
    <t>0030143</t>
  </si>
  <si>
    <t>001155:迫支団第9分団第2班ポンプ置場</t>
  </si>
  <si>
    <t>迫町新田字北立戸1-3-借地</t>
  </si>
  <si>
    <t>0030144</t>
  </si>
  <si>
    <t>001157:迫支団第10分団第2班ポンプ置場</t>
  </si>
  <si>
    <t>迫町新田字彦道125-1-借地</t>
  </si>
  <si>
    <t>0030146</t>
  </si>
  <si>
    <t>001158:迫支団第11分団第2班ポンプ置場</t>
  </si>
  <si>
    <t>迫町新田字山ノ神126-借地</t>
  </si>
  <si>
    <t>0030147</t>
  </si>
  <si>
    <t>001159:迫支団第12分団第2班ポンプ置場</t>
  </si>
  <si>
    <t>迫町新田字蒲3-2-借地</t>
  </si>
  <si>
    <t>0030148</t>
  </si>
  <si>
    <t>001161:迫支団第13分団第2班ポンプ置場</t>
  </si>
  <si>
    <t>迫町新田字大形173-4-借地</t>
  </si>
  <si>
    <t>0030150</t>
  </si>
  <si>
    <t>001187:津山支団第5分団第3班ポンプ置場</t>
  </si>
  <si>
    <t>津山町柳津字町13-3</t>
  </si>
  <si>
    <t>0030176</t>
  </si>
  <si>
    <t>後小路消防ポンプ車庫</t>
  </si>
  <si>
    <t>001096:米山支団第4分団第1班ポンプ置場</t>
  </si>
  <si>
    <t>米山町西野字中島134-1-の内</t>
  </si>
  <si>
    <t>0030085</t>
  </si>
  <si>
    <t>001162:迫支団第14分団第1班ポンプ置場</t>
  </si>
  <si>
    <t>迫町森字平柳119-2-借地</t>
  </si>
  <si>
    <t>0030151</t>
  </si>
  <si>
    <t>AsyzAP倉庫 PPP元キー:00000002-0000000301-1</t>
  </si>
  <si>
    <t>001165:豊里支団第1分団第2班ポンプ置場</t>
  </si>
  <si>
    <t>1982/03/30</t>
  </si>
  <si>
    <t>豊里町下古屋12-1</t>
  </si>
  <si>
    <t>0030154</t>
  </si>
  <si>
    <t>001167:豊里支団第5分団第2班ポンプ置場</t>
  </si>
  <si>
    <t>豊里町久寿田79-3</t>
  </si>
  <si>
    <t>0030156</t>
  </si>
  <si>
    <t>001168:豊里支団第3分団第5班ポンプ置場</t>
  </si>
  <si>
    <t>1990/03/30</t>
  </si>
  <si>
    <t>豊里町外五番江133-地内</t>
  </si>
  <si>
    <t>0030157</t>
  </si>
  <si>
    <t>001172:豊里支団第3分団第4班ポンプ置場</t>
  </si>
  <si>
    <t>1978/03/28</t>
  </si>
  <si>
    <t>豊里町上谷地3-2</t>
  </si>
  <si>
    <t>0030161</t>
  </si>
  <si>
    <t>001322:登米市西部学校給食センター</t>
  </si>
  <si>
    <t>2013/03/21</t>
  </si>
  <si>
    <t>南方町新高石浦153</t>
  </si>
  <si>
    <t>0120003</t>
  </si>
  <si>
    <t>AsyzAP給食センター PPP元キー:00000002-0000000307-1</t>
  </si>
  <si>
    <t>001173:豊里支団第6分団第1班ポンプ置場</t>
  </si>
  <si>
    <t>豊里町白鳥20-2</t>
  </si>
  <si>
    <t>0030162</t>
  </si>
  <si>
    <t>AsyzAP倉庫 PPP元キー:00000002-0000000310-1</t>
  </si>
  <si>
    <t>001175:豊里支団第6分団第2班ポンプ置場</t>
  </si>
  <si>
    <t>豊里町小谷地304</t>
  </si>
  <si>
    <t>0030164</t>
  </si>
  <si>
    <t>AsyzAP倉庫 PPP元キー:00000002-0000000316-1</t>
  </si>
  <si>
    <t>1994/03/20</t>
  </si>
  <si>
    <t>AsyzAP倉庫 PPP元キー:00000002-0000000348-1</t>
  </si>
  <si>
    <t>2012/09/10</t>
  </si>
  <si>
    <t>AsyzAP倉庫 PPP元キー:00000002-0000000438-1</t>
  </si>
  <si>
    <t>AsyzAP倉庫 PPP元キー:00000002-0000000454-1</t>
  </si>
  <si>
    <t>001178:津山支団第1分団第1班ポンプ置場</t>
  </si>
  <si>
    <t>津山町横山字黒沢137-2</t>
  </si>
  <si>
    <t>0030167</t>
  </si>
  <si>
    <t>AsyzAP倉庫 PPP元キー:00000002-0000000552-1</t>
  </si>
  <si>
    <t>AsyzAP倉庫 PPP元キー:00000002-0000000553-1</t>
  </si>
  <si>
    <t>AsyzAP倉庫 PPP元キー:00000002-0000000554-1</t>
  </si>
  <si>
    <t>AsyzAP倉庫 PPP元キー:00000002-0000000555-1</t>
  </si>
  <si>
    <t>AsyzAP部室 PPP元キー:00000002-0000000558-1</t>
  </si>
  <si>
    <t>1994/10/31</t>
  </si>
  <si>
    <t>AsyzAP倉庫 PPP元キー:00000002-0000000567-1</t>
  </si>
  <si>
    <t>AsyzAP倉庫 PPP元キー:00000002-0000001370-1</t>
  </si>
  <si>
    <t>AsyzAP機械室 PPP元キー:00000002-0000000994-1</t>
  </si>
  <si>
    <t>AsyzAP機械室 PPP元キー:00000002-0000001004-1</t>
  </si>
  <si>
    <t>AsyzAP物置 PPP元キー:00000002-0000001013-1</t>
  </si>
  <si>
    <t>AsyzAP物置 PPP元キー:00000002-0000001014-1</t>
  </si>
  <si>
    <t>001179:津山支団第1分団第2班詰所</t>
  </si>
  <si>
    <t>津山町横山字上鴻巣94</t>
  </si>
  <si>
    <t>0030168</t>
  </si>
  <si>
    <t>001180:津山支団第2分団第1班ポンプ置場</t>
  </si>
  <si>
    <t>津山町横山字久保82-7</t>
  </si>
  <si>
    <t>0030169</t>
  </si>
  <si>
    <t>001181:津山支団第2分団第2班ポンプ置場</t>
  </si>
  <si>
    <t>津山町横山字寺倉112-5</t>
  </si>
  <si>
    <t>0030170</t>
  </si>
  <si>
    <t>001182:津山支団第3分団第1班ポンプ置場</t>
  </si>
  <si>
    <t>津山町柳津字黄牛新岩前67-2</t>
  </si>
  <si>
    <t>0030171</t>
  </si>
  <si>
    <t>001183:津山支団第3分団第2班ポンプ置場</t>
  </si>
  <si>
    <t>津山町柳津字黄牛宇名31-2</t>
  </si>
  <si>
    <t>0030172</t>
  </si>
  <si>
    <t>001184:津山支団第3分団第3班ポンプ置場</t>
  </si>
  <si>
    <t>津山町柳津字舘石94-2</t>
  </si>
  <si>
    <t>0030173</t>
  </si>
  <si>
    <t>001185:津山支団第5分団第1班ポンプ置場</t>
  </si>
  <si>
    <t>津山町柳津字堂前58-1</t>
  </si>
  <si>
    <t>0030174</t>
  </si>
  <si>
    <t>001186:津山支団第5分団第2班ポンプ置場</t>
  </si>
  <si>
    <t>津山町柳津字入土45-1</t>
  </si>
  <si>
    <t>0030175</t>
  </si>
  <si>
    <t>001189:津山支団第4分団第1班・第2班ポンプ置場</t>
  </si>
  <si>
    <t>津山町柳津字黄牛田高畑21-5</t>
  </si>
  <si>
    <t>0030178</t>
  </si>
  <si>
    <t>001190:東和支団第1分団第2班ポンプ置場</t>
  </si>
  <si>
    <t>東和町米谷字日面84-6-地内</t>
  </si>
  <si>
    <t>0030179</t>
  </si>
  <si>
    <t>001191:豊里支団第3分団第2班・第3班ポンプ置場</t>
  </si>
  <si>
    <t>0030180</t>
  </si>
  <si>
    <t>001192:豊里支団第5分団第3班ポンプ置場</t>
  </si>
  <si>
    <t>豊里町鳥越145-1</t>
  </si>
  <si>
    <t>0030181</t>
  </si>
  <si>
    <t>001193:米山支団第2分団第1班ポンプ置場</t>
  </si>
  <si>
    <t>米山町字桜岡上待井259-7-地内</t>
  </si>
  <si>
    <t>0030182</t>
  </si>
  <si>
    <t>001194:米山支団第9分団第1班ポンプ置場</t>
  </si>
  <si>
    <t>米山町中津山字壇ノ前7-1</t>
  </si>
  <si>
    <t>0030183</t>
  </si>
  <si>
    <t>001195:米山支団第9分団第2班ポンプ置場</t>
  </si>
  <si>
    <t>米山町中津山字平潟234</t>
  </si>
  <si>
    <t>0030184</t>
  </si>
  <si>
    <t>001196:南方支団第3分団第3班ポンプ置場</t>
  </si>
  <si>
    <t>南方町新田15-1</t>
  </si>
  <si>
    <t>0030185</t>
  </si>
  <si>
    <t>001197:南方支団第4分団第1班ポンプ置場</t>
  </si>
  <si>
    <t>0030186</t>
  </si>
  <si>
    <t>001198:迫支団第13分団第1班ポンプ置場</t>
  </si>
  <si>
    <t>迫町新田字山田43-借地</t>
  </si>
  <si>
    <t>0030187</t>
  </si>
  <si>
    <t>001199:南方支団第1分団第2班ポンプ置場</t>
  </si>
  <si>
    <t>南方町沢田屋敷183-1</t>
  </si>
  <si>
    <t>0030188</t>
  </si>
  <si>
    <t>001200:南方支団第2分団第1班ポンプ置場</t>
  </si>
  <si>
    <t>0030189</t>
  </si>
  <si>
    <t>001201:南方支団第2分団第3班ポンプ置場</t>
  </si>
  <si>
    <t>南方町鴻ノ木178-1</t>
  </si>
  <si>
    <t>0030190</t>
  </si>
  <si>
    <t>001202:南方支団第3分団第2班ポンプ置場</t>
  </si>
  <si>
    <t>南方町細川88-1</t>
  </si>
  <si>
    <t>0030191</t>
  </si>
  <si>
    <t>001203:南方支団第3分団第5班ポンプ置場</t>
  </si>
  <si>
    <t>0030192</t>
  </si>
  <si>
    <t>001204:南方支団第4分団第4班旧ポンプ置場</t>
  </si>
  <si>
    <t>南方町西山成前71-12</t>
  </si>
  <si>
    <t>0030193</t>
  </si>
  <si>
    <t>001207:南方支団第5分団第2班ポンプ置場</t>
  </si>
  <si>
    <t>南方町中須崎160-1</t>
  </si>
  <si>
    <t>0030196</t>
  </si>
  <si>
    <t>001208:南方支団第5分団第4班ポンプ置場</t>
  </si>
  <si>
    <t>南方町実沢180</t>
  </si>
  <si>
    <t>0030197</t>
  </si>
  <si>
    <t>001209:南方支団第6分団第1班ポンプ置場</t>
  </si>
  <si>
    <t>南方町堤田1-2</t>
  </si>
  <si>
    <t>0030198</t>
  </si>
  <si>
    <t>001210:南方支団第6分団第2班ポンプ置場</t>
  </si>
  <si>
    <t>南方町太田1-31</t>
  </si>
  <si>
    <t>0030199</t>
  </si>
  <si>
    <t>001211:南方支団第7分団第1班ポンプ置場</t>
  </si>
  <si>
    <t>南方町中ノ口40-2</t>
  </si>
  <si>
    <t>0030200</t>
  </si>
  <si>
    <t>001212:南方支団第7分団第2班ポンプ置場</t>
  </si>
  <si>
    <t>南方町沼崎前167-11</t>
  </si>
  <si>
    <t>0030201</t>
  </si>
  <si>
    <t>第３分団詰所</t>
  </si>
  <si>
    <t>001252:中田支団第7分団第2班ポンプ置場</t>
  </si>
  <si>
    <t>中田町上沼字要害53-4-借地</t>
  </si>
  <si>
    <t>0040015</t>
  </si>
  <si>
    <t>001253:石越支団第1分団詰所</t>
  </si>
  <si>
    <t>石越町北郷字遠沢179-5</t>
  </si>
  <si>
    <t>0040016</t>
  </si>
  <si>
    <t>001299:飯土井水防倉庫</t>
  </si>
  <si>
    <t>0090001</t>
  </si>
  <si>
    <t>001300:米山町水防倉庫</t>
  </si>
  <si>
    <t>米山町中津山字下谷地275-6</t>
  </si>
  <si>
    <t>0090002</t>
  </si>
  <si>
    <t>001301:橋向水防倉庫</t>
  </si>
  <si>
    <t>石越町北郷字橋向48-地先地内</t>
  </si>
  <si>
    <t>0090003</t>
  </si>
  <si>
    <t>001302:平町水防倉庫</t>
  </si>
  <si>
    <t>石越町東郷字登戸13-6-地内</t>
  </si>
  <si>
    <t>0090004</t>
  </si>
  <si>
    <t>001305:水防倉庫</t>
  </si>
  <si>
    <t>1950/04/01</t>
  </si>
  <si>
    <t>迫町内</t>
  </si>
  <si>
    <t>1951/04/01</t>
  </si>
  <si>
    <t>65</t>
  </si>
  <si>
    <t>0090007</t>
  </si>
  <si>
    <t>南方町沼崎前25-4</t>
  </si>
  <si>
    <t>0090008</t>
  </si>
  <si>
    <t>1991/12/28</t>
  </si>
  <si>
    <t>1980/02/28</t>
  </si>
  <si>
    <t>1990/08/31</t>
  </si>
  <si>
    <t>1981/05/20</t>
  </si>
  <si>
    <t>1986/04/20</t>
  </si>
  <si>
    <t>1971/04/20</t>
  </si>
  <si>
    <t>1979/05/31</t>
  </si>
  <si>
    <t>1991/08/31</t>
  </si>
  <si>
    <t>1989/09/30</t>
  </si>
  <si>
    <t>1992/09/30</t>
  </si>
  <si>
    <t>2017/09/27</t>
  </si>
  <si>
    <t>001086:登米支団第4分団第7班ポンプ置場</t>
  </si>
  <si>
    <t>登米町寺池前舟橋120-3</t>
  </si>
  <si>
    <t>0030075</t>
  </si>
  <si>
    <t>1968/07/31</t>
  </si>
  <si>
    <t>001087:登米支団第3分団第6班旧ポンプ置場</t>
  </si>
  <si>
    <t>登米町小島西針田65</t>
  </si>
  <si>
    <t>0030076</t>
  </si>
  <si>
    <t>001088:米山支団第1分団第3班ポンプ置場</t>
  </si>
  <si>
    <t>米山町字桜岡新東新田25-6</t>
  </si>
  <si>
    <t>0030077</t>
  </si>
  <si>
    <t>1953/07/20</t>
  </si>
  <si>
    <t>1969/11/20</t>
  </si>
  <si>
    <t>2008/10/30</t>
  </si>
  <si>
    <t>AsyzAP倉庫 PPP元キー:00000002-0000001362-1</t>
  </si>
  <si>
    <t>2000/04/10</t>
  </si>
  <si>
    <t>AsyzAP倉庫 PPP元キー:00000002-0000001368-1</t>
  </si>
  <si>
    <t>001104:米山支団第8分団第2班ポンプ置場</t>
  </si>
  <si>
    <t>米山町中津山字瀬ケ崎85-2</t>
  </si>
  <si>
    <t>0030093</t>
  </si>
  <si>
    <t>屋上防水等工事</t>
  </si>
  <si>
    <t>2020/03/23</t>
  </si>
  <si>
    <t>AsyzAP倉庫 PPP元キー:00000002-0000001391-1</t>
  </si>
  <si>
    <t>AsyzAP倉庫 PPP元キー:00000002-0000001437-1</t>
  </si>
  <si>
    <t>AsyzAP倉庫 PPP元キー:00000002-0000001451-1</t>
  </si>
  <si>
    <t>1981/02/10</t>
  </si>
  <si>
    <t>面積訂正のため、前建物を調査判明（減）にて削除し、新規登録　</t>
  </si>
  <si>
    <t>大泉ポンプ置場</t>
  </si>
  <si>
    <t>ファンシーサイクル倉庫</t>
  </si>
  <si>
    <t>AsyzAP PPP元キー:00000002-0000001474-1</t>
  </si>
  <si>
    <t>ふわふわランド上屋</t>
  </si>
  <si>
    <t>3:鉄骨コンクリート</t>
  </si>
  <si>
    <t>AsyzAP PPP元キー:00000002-0000001476-1</t>
  </si>
  <si>
    <t>ちびっこサーキット上屋</t>
  </si>
  <si>
    <t>AsyzAP PPP元キー:00000002-0000001477-1</t>
  </si>
  <si>
    <t>旧ゲームハウス倉庫</t>
  </si>
  <si>
    <t>AsyzAP PPP元キー:00000002-0000001478-1</t>
  </si>
  <si>
    <t>AsyzAP倉庫 PPP元キー:00000002-0000001511-1</t>
  </si>
  <si>
    <t>製品保管庫</t>
  </si>
  <si>
    <t>AsyzAP製品保管庫 PPP元キー:00000002-0000001537-1</t>
  </si>
  <si>
    <t>2008/03/07</t>
  </si>
  <si>
    <t>AsyzAP製品保管庫 PPP元キー:00000002-0000001541-1</t>
  </si>
  <si>
    <t>AsyzAP製品保管庫 PPP元キー:00000002-0000001544-1</t>
  </si>
  <si>
    <t>AsyzAP製品保管庫 PPP元キー:00000002-0000001553-1</t>
  </si>
  <si>
    <t>製品保管庫（堆肥舎）</t>
  </si>
  <si>
    <t>AsyzAP製品保管庫 PPP元キー:00000002-0000001556-1</t>
  </si>
  <si>
    <t>2004/11/30</t>
  </si>
  <si>
    <t>AsyzAP倉庫 PPP元キー:00000002-0000001724-1</t>
  </si>
  <si>
    <t>001089:米山支団第2分団第2班ポンプ置場</t>
  </si>
  <si>
    <t>米山町字桜岡大又159-1</t>
  </si>
  <si>
    <t>0030078</t>
  </si>
  <si>
    <t>1984/08/20</t>
  </si>
  <si>
    <t>1979/05/20</t>
  </si>
  <si>
    <t>001090:米山支団第3分団第1班ポンプ置場</t>
  </si>
  <si>
    <t>米山町字善王寺和道64-1</t>
  </si>
  <si>
    <t>0030079</t>
  </si>
  <si>
    <t>001091:米山支団第3分団第3班ポンプ置場</t>
  </si>
  <si>
    <t>米山町字田畑西3-1</t>
  </si>
  <si>
    <t>0030080</t>
  </si>
  <si>
    <t>浅部ポンプ置場</t>
  </si>
  <si>
    <t>001050:中田支団第12分団第2班ポンプ置場</t>
  </si>
  <si>
    <t>中田町浅水字浅部玉山180-4-の内</t>
  </si>
  <si>
    <t>0030039</t>
  </si>
  <si>
    <t>小島ポンプ置場</t>
  </si>
  <si>
    <t>001051:中田支団第12分団第1班ポンプ置場</t>
  </si>
  <si>
    <t>中田町浅水字小島443-1-借地</t>
  </si>
  <si>
    <t>0030040</t>
  </si>
  <si>
    <t>長谷舟場ポンプ置場</t>
  </si>
  <si>
    <t>001052:中田支団第11分団第2班ポンプ置場</t>
  </si>
  <si>
    <t>中田町浅水字長谷山352-12</t>
  </si>
  <si>
    <t>0030041</t>
  </si>
  <si>
    <t>川面ポンプ置場</t>
  </si>
  <si>
    <t>001053:中田支団第10分団1班ポンプ置場</t>
  </si>
  <si>
    <t>中田町浅水字中川面25-1</t>
  </si>
  <si>
    <t>0030042</t>
  </si>
  <si>
    <t>浅水新田ポンプ置場</t>
  </si>
  <si>
    <t>001054:中田支団第10分団第3班ポンプ置場</t>
  </si>
  <si>
    <t>中田町浅水字新田248-1-借地</t>
  </si>
  <si>
    <t>0030043</t>
  </si>
  <si>
    <t>蓬田ポンプ置場</t>
  </si>
  <si>
    <t>001055:中田支団第3分団第2班ポンプ置場</t>
  </si>
  <si>
    <t>2002/03/01</t>
  </si>
  <si>
    <t>中田町石森字蓬田208-1-地内</t>
  </si>
  <si>
    <t>0030044</t>
  </si>
  <si>
    <t>白地ポンプ置場</t>
  </si>
  <si>
    <t>表ポンプ置場</t>
  </si>
  <si>
    <t>001058:中田支団第3分団第3班ポンプ置場</t>
  </si>
  <si>
    <t>0030047</t>
  </si>
  <si>
    <t>新町ポンプ置場</t>
  </si>
  <si>
    <t>001059:中田支団第1分団第3班ポンプ置場</t>
  </si>
  <si>
    <t>中田町石森字川前65-40-の内</t>
  </si>
  <si>
    <t>0030048</t>
  </si>
  <si>
    <t>小塚ポンプ置場</t>
  </si>
  <si>
    <t>001060:中田支団第2分団第1班ポンプ置場</t>
  </si>
  <si>
    <t>中田町石森字新茨島203-2-借地</t>
  </si>
  <si>
    <t>0030049</t>
  </si>
  <si>
    <t>自転車置場</t>
  </si>
  <si>
    <t>6:自転車置場・置場</t>
  </si>
  <si>
    <t>AsyzAP自転車置場 PPP元キー:00000002-0000000012-1</t>
  </si>
  <si>
    <t>2号棟側自転車置場</t>
  </si>
  <si>
    <t>AsyzAP自転車置場 PPP元キー:00000002-0000001012-1</t>
  </si>
  <si>
    <t>1号棟側自転車置場</t>
  </si>
  <si>
    <t>AsyzAP自転車置場 PPP元キー:00000002-0000000996-1</t>
  </si>
  <si>
    <t>001945:石越駅自転車置場</t>
  </si>
  <si>
    <t>1975/04/30</t>
  </si>
  <si>
    <t>石越町南郷字西門沖4-4</t>
  </si>
  <si>
    <t>0710053</t>
  </si>
  <si>
    <t>書庫</t>
  </si>
  <si>
    <t>7:書庫</t>
  </si>
  <si>
    <t>AsyzAP書庫 PPP元キー:00000002-0000000018-1</t>
  </si>
  <si>
    <t>001321:登米市東部津山学校給食センター</t>
  </si>
  <si>
    <t>津山町柳津字黄牛比良1-5</t>
  </si>
  <si>
    <t>0120002</t>
  </si>
  <si>
    <t>AsyzAP給食センター PPP元キー:00000002-0000000305-1</t>
  </si>
  <si>
    <t>1998/01/30</t>
  </si>
  <si>
    <t>001152:迫支団第7分団第1班ポンプ置場</t>
  </si>
  <si>
    <t>迫町北方字新土手90-2</t>
  </si>
  <si>
    <t>0030141</t>
  </si>
  <si>
    <t>AsyzAP PPP元キー:00000002-0000000155-1</t>
  </si>
  <si>
    <t>石越支団第1分団自動車班ポンプ置場</t>
  </si>
  <si>
    <t>石越町北郷字長根157-1</t>
  </si>
  <si>
    <t>0030224</t>
  </si>
  <si>
    <t>AsyzAP PPP元キー:00000002-0000000246-1</t>
  </si>
  <si>
    <t>車庫棟</t>
  </si>
  <si>
    <t>AsyzAP PPP元キー:00000002-0000000263-1</t>
  </si>
  <si>
    <t>001308:登米市登米総合支所</t>
  </si>
  <si>
    <t>1999/03/08</t>
  </si>
  <si>
    <t>登米町寺池目子待井381-1</t>
  </si>
  <si>
    <t>0100001</t>
  </si>
  <si>
    <t>AsyzAP車庫 PPP元キー:00000002-0000000278-1</t>
  </si>
  <si>
    <t>2019/03/22</t>
  </si>
  <si>
    <t>AsyzAP車庫 PPP元キー:00000002-0000000280-1</t>
  </si>
  <si>
    <t>001313:一時避難所（車庫）</t>
  </si>
  <si>
    <t>一時避難所</t>
  </si>
  <si>
    <t>0100006</t>
  </si>
  <si>
    <t>AsyzAP一時避難所 PPP元キー:00000002-0000000295-1</t>
  </si>
  <si>
    <t>AsyzAP車庫 PPP元キー:00000002-0000000318-1</t>
  </si>
  <si>
    <t>AsyzAP車庫 PPP元キー:00000002-0000001321-1</t>
  </si>
  <si>
    <t>車庫：シャッター（交換）</t>
  </si>
  <si>
    <t>車庫シャッター</t>
  </si>
  <si>
    <t>AsyzAP車庫シャッター PPP元キー:00000002-0000001324-1</t>
  </si>
  <si>
    <t>AsyzAP車庫 PPP元キー:00000002-0000001378-1</t>
  </si>
  <si>
    <t>AsyzAPその他体育施設 PPP元キー:00000002-0000001459-1</t>
  </si>
  <si>
    <t>AsyzAP車庫 PPP元キー:00000002-0000001516-1</t>
  </si>
  <si>
    <t>AsyzAP車庫 PPP元キー:00000002-0000001521-1</t>
  </si>
  <si>
    <t>AsyzAP車庫 PPP元キー:00000002-0000001540-1</t>
  </si>
  <si>
    <t>1994/03/14</t>
  </si>
  <si>
    <t>1969/02/21</t>
  </si>
  <si>
    <t>001335:マイクロバス車庫</t>
  </si>
  <si>
    <t>南方町八の森10-1-の内</t>
  </si>
  <si>
    <t>0130009</t>
  </si>
  <si>
    <t>001332:旧車庫</t>
  </si>
  <si>
    <t>0130006</t>
  </si>
  <si>
    <t>調理場</t>
  </si>
  <si>
    <t>AsyzAP給食センター PPP元キー:00000002-0000000304-1</t>
  </si>
  <si>
    <t>管理棟（クラブハウス）</t>
  </si>
  <si>
    <t>AsyzAP PPP元キー:00000002-0000001473-1</t>
  </si>
  <si>
    <t>共同作業所</t>
  </si>
  <si>
    <t>AsyzAP給食センター PPP元キー:00000002-0000000306-1</t>
  </si>
  <si>
    <t>001847:とよま農産加工調理場</t>
  </si>
  <si>
    <t>1964/01/31</t>
  </si>
  <si>
    <t>0620002</t>
  </si>
  <si>
    <t>給食センター：屋根（改修）</t>
  </si>
  <si>
    <t>2017/08/23</t>
  </si>
  <si>
    <t>AsyzAP屋根 PPP元キー:00000002-0000000302-1</t>
  </si>
  <si>
    <t>1963/11/20</t>
  </si>
  <si>
    <t>AsyzAP給食センター PPP元キー:00000002-0000000308-1</t>
  </si>
  <si>
    <t>AsyzAP給食センター PPP元キー:00000002-0000000315-1</t>
  </si>
  <si>
    <t>AsyzAP給食センター PPP元キー:00000002-0000000542-1</t>
  </si>
  <si>
    <t>AsyzAP給食センター PPP元キー:00000002-0000000300-1</t>
  </si>
  <si>
    <t>002456:旧米山高等学校</t>
  </si>
  <si>
    <t>2016/07/25</t>
  </si>
  <si>
    <t>米山町中津山字筒場埣215</t>
  </si>
  <si>
    <t>999:強制評価用</t>
  </si>
  <si>
    <t>2:2年</t>
  </si>
  <si>
    <t>0790149</t>
  </si>
  <si>
    <t>倉庫　取得年月日：H28/07/25　建設年月日：H12/03/31</t>
  </si>
  <si>
    <t>19:19年</t>
  </si>
  <si>
    <t>AsyzAP倉庫　取得年月日：H28/07/25　建設年月日：H12/03/31 PPP元キー:00000002-0000001824-1</t>
  </si>
  <si>
    <t>農業実習室（収納調整室）</t>
  </si>
  <si>
    <t>便所　H28/07/25　H11/12/03</t>
  </si>
  <si>
    <t>AsyzAP便所　H28/07/25　H11/12/03 PPP元キー:00000002-0000001826-1</t>
  </si>
  <si>
    <t>温室</t>
  </si>
  <si>
    <t>その他の施設　取得年月日：H28/07/25　建設年月日：H12/03/09</t>
  </si>
  <si>
    <t>16:16年</t>
  </si>
  <si>
    <t>AsyzAPその他の施設　取得年月日：H28/07/25　建設年月日：H12/03/09 PPP元キー:00000002-0000001825-1</t>
  </si>
  <si>
    <t>生徒会館</t>
  </si>
  <si>
    <t>その他の施設　取得年月日：H28/07/25　建設年月日：S55/11/10</t>
  </si>
  <si>
    <t>17:17年</t>
  </si>
  <si>
    <t>AsyzAPその他の施設　取得年月日：H28/07/25　建設年月日：S55/11/10 PPP元キー:00000002-0000001822-1</t>
  </si>
  <si>
    <t>校舎　取得年月日：H28/07/25　建設年月日：S55/03/25</t>
  </si>
  <si>
    <t>AsyzAP校舎　取得年月日：H28/07/25　建設年月日：S55/03/25 PPP元キー:00000002-0000001819-1</t>
  </si>
  <si>
    <t>柔剣道場</t>
  </si>
  <si>
    <t>灯油庫</t>
  </si>
  <si>
    <t>その他の施設　取得年月日：H28/07/25　建設年月日：H11/12/01</t>
  </si>
  <si>
    <t>AsyzAPその他の施設　取得年月日：H28/07/25　建設年月日：H11/12/01 PPP元キー:00000002-0000001823-1</t>
  </si>
  <si>
    <t>農機具実習室（農機具整備実習室）</t>
  </si>
  <si>
    <t>機械実習室2</t>
  </si>
  <si>
    <t>0:通常資産</t>
  </si>
  <si>
    <t>2022/04/15</t>
  </si>
  <si>
    <t>0:　</t>
  </si>
  <si>
    <t>30:突合</t>
  </si>
  <si>
    <t>01:新規</t>
  </si>
  <si>
    <t>02</t>
  </si>
  <si>
    <t>06</t>
  </si>
  <si>
    <t>002</t>
  </si>
  <si>
    <t>000</t>
  </si>
  <si>
    <t>トイレ室内自動点灯化工事</t>
  </si>
  <si>
    <t>2021/06/18</t>
  </si>
  <si>
    <t>令和２年度請第９０号　石森小学校外１３施設トイレ室内自動点灯化工事（小学校分）</t>
  </si>
  <si>
    <t>510015892</t>
  </si>
  <si>
    <t>12:式</t>
  </si>
  <si>
    <t>AsyzAP令和２年度請第９０号　石森小学校外１３施設トイレ室内自動点灯化工事（小学校分） PPP元キー:00000002-0000001882-1</t>
  </si>
  <si>
    <t>加賀野小学校</t>
  </si>
  <si>
    <t>AsyzAP令和２年度請第９０号　石森小学校外１３施設トイレ室内自動点灯化工事（小学校分） PPP元キー:00000002-0000001879-1</t>
  </si>
  <si>
    <t>木質バイオマスボイラー建屋</t>
  </si>
  <si>
    <t>2022/03/24</t>
  </si>
  <si>
    <t>道の駅津山木質バイオマスボイラー建屋</t>
  </si>
  <si>
    <t>9860402</t>
  </si>
  <si>
    <t>宮城県登米市津山町横山細屋</t>
  </si>
  <si>
    <t>0:通常財産</t>
  </si>
  <si>
    <t>07</t>
  </si>
  <si>
    <t>03</t>
  </si>
  <si>
    <t>510013946</t>
  </si>
  <si>
    <t>0102:補助事業</t>
  </si>
  <si>
    <t>01020102:国庫支出金（資本的）</t>
  </si>
  <si>
    <t>e:その他</t>
  </si>
  <si>
    <t>J:鉄骨造</t>
  </si>
  <si>
    <t>30:金属板葺</t>
  </si>
  <si>
    <t>AsyzAP道の駅津山木質バイオマスボイラー建屋 PPP元キー:00000002-0000001915-1</t>
  </si>
  <si>
    <t>特別支援教室改修工事</t>
  </si>
  <si>
    <t>2022/04/22</t>
  </si>
  <si>
    <t>錦織小学校特別支援教室改修工事</t>
  </si>
  <si>
    <t>錦織小学校</t>
  </si>
  <si>
    <t>510082252</t>
  </si>
  <si>
    <t>AsyzAP錦織小学校特別支援教室改修工事 PPP元キー:00000002-0000001876-1</t>
  </si>
  <si>
    <t>豊里児童クラブエアコン設置</t>
  </si>
  <si>
    <t>05</t>
  </si>
  <si>
    <t>510078060</t>
  </si>
  <si>
    <t>AsyzAP PPP元キー:00000002-0000001913-1</t>
  </si>
  <si>
    <t>電話設備更新</t>
  </si>
  <si>
    <t>2022/04/08</t>
  </si>
  <si>
    <t>中津山小学校電話設備更新工事</t>
  </si>
  <si>
    <t>中津山小学校</t>
  </si>
  <si>
    <t>510066930</t>
  </si>
  <si>
    <t>AsyzAP中津山小学校電話設備更新工事 PPP元キー:00000002-0000001872-1</t>
  </si>
  <si>
    <t>浅水小学校電話設備更新工事</t>
  </si>
  <si>
    <t>浅水小学校</t>
  </si>
  <si>
    <t>510066929</t>
  </si>
  <si>
    <t>AsyzAP浅水小学校電話設備更新工事 PPP元キー:00000002-0000001870-1</t>
  </si>
  <si>
    <t>トイレドア改修工事</t>
  </si>
  <si>
    <t>令和２年度請第１０７号　柳津小学校外２施設トイレドア改修工事（中学校分）</t>
  </si>
  <si>
    <t>津山中学校</t>
  </si>
  <si>
    <t>510015952</t>
  </si>
  <si>
    <t>AsyzAP令和２年度請第１０７号　柳津小学校外２施設トイレドア改修工事（中学校分） PPP元キー:00000002-0000001909-1</t>
  </si>
  <si>
    <t>2021/09/10</t>
  </si>
  <si>
    <t>西郷小学校　あおば教室（言語通級教室）エアコン設置工事</t>
  </si>
  <si>
    <t>西郷小学校</t>
  </si>
  <si>
    <t>510036659</t>
  </si>
  <si>
    <t>AsyzAP西郷小学校　あおば教室（言語通級教室）エアコン設置工事 PPP元キー:00000002-0000001868-1</t>
  </si>
  <si>
    <t>空調（エアコン）移設設置</t>
  </si>
  <si>
    <t>2021/08/20</t>
  </si>
  <si>
    <t>豊里中学校　空調機移設設置工事</t>
  </si>
  <si>
    <t>豊里中学校</t>
  </si>
  <si>
    <t>510031566</t>
  </si>
  <si>
    <t>AsyzAP豊里中学校　空調機移設設置工事 PPP元キー:00000002-0000001867-1</t>
  </si>
  <si>
    <t>2021/08/13</t>
  </si>
  <si>
    <t>西郷小学校　特別支援教室エアコン移設据付工事</t>
  </si>
  <si>
    <t>510022843</t>
  </si>
  <si>
    <t>AsyzAP西郷小学校　特別支援教室エアコン移設据付工事 PPP元キー:00000002-0000001863-1</t>
  </si>
  <si>
    <t>米山東児童クラブエアコン設置</t>
  </si>
  <si>
    <t>AsyzAP PPP元キー:00000002-0000001914-1</t>
  </si>
  <si>
    <t>2021/07/02</t>
  </si>
  <si>
    <t>令和２年度請第９７号　登米小学校外１施設トイレドア改修工事（小学校分）</t>
  </si>
  <si>
    <t>登米小学校</t>
  </si>
  <si>
    <t>510015927</t>
  </si>
  <si>
    <t>AsyzAP令和２年度請第９７号　登米小学校外１施設トイレドア改修工事（小学校分） PPP元キー:00000002-0000001894-1</t>
  </si>
  <si>
    <t>令和２年度請第９７号　登米小学校外１施設トイレドア改修工事（中学校分）</t>
  </si>
  <si>
    <t>登米中学校</t>
  </si>
  <si>
    <t>510015928</t>
  </si>
  <si>
    <t>AsyzAP令和２年度請第９７号　登米小学校外１施設トイレドア改修工事（中学校分） PPP元キー:00000002-0000001895-1</t>
  </si>
  <si>
    <t>浅水児童クラブエアコン設置業務</t>
  </si>
  <si>
    <t>510070120</t>
  </si>
  <si>
    <t>AsyzAP PPP元キー:00000002-0000001912-1</t>
  </si>
  <si>
    <t>2021/07/09</t>
  </si>
  <si>
    <t>令和２年度請第９６号　佐沼小学校外４施設トイレドア改修工事（小学校分）</t>
  </si>
  <si>
    <t>佐沼小学校</t>
  </si>
  <si>
    <t>510015923</t>
  </si>
  <si>
    <t>AsyzAP令和２年度請第９６号　佐沼小学校外４施設トイレドア改修工事（小学校分） PPP元キー:00000002-0000001889-1</t>
  </si>
  <si>
    <t>北方小学校</t>
  </si>
  <si>
    <t>AsyzAP令和２年度請第９６号　佐沼小学校外４施設トイレドア改修工事（小学校分） PPP元キー:00000002-0000001891-1</t>
  </si>
  <si>
    <t>米川児童クラブエアコン設置</t>
  </si>
  <si>
    <t>AsyzAP PPP元キー:00000002-0000001911-1</t>
  </si>
  <si>
    <t>510028086</t>
  </si>
  <si>
    <t>AsyzAP体育館 PPP元キー:00000002-0000001413-1</t>
  </si>
  <si>
    <t>西郷小学校電話設備更新工事</t>
  </si>
  <si>
    <t>510066932</t>
  </si>
  <si>
    <t>AsyzAP西郷小学校電話設備更新工事 PPP元キー:00000002-0000001873-1</t>
  </si>
  <si>
    <t>宝江小学校電話設備更新工事</t>
  </si>
  <si>
    <t>宝江小学校</t>
  </si>
  <si>
    <t>510066928</t>
  </si>
  <si>
    <t>AsyzAP宝江小学校電話設備更新工事 PPP元キー:00000002-0000001869-1</t>
  </si>
  <si>
    <t>2021/12/24</t>
  </si>
  <si>
    <t>請第３０号　錦織小学校電気設備改修工事</t>
  </si>
  <si>
    <t>510029730</t>
  </si>
  <si>
    <t>AsyzAP請第３０号　錦織小学校電気設備改修工事 PPP元キー:00000002-0000001866-1</t>
  </si>
  <si>
    <t>林業活動センター</t>
  </si>
  <si>
    <t>510027511</t>
  </si>
  <si>
    <t>AsyzAP林業活動センター PPP元キー:00000002-0000001564-1</t>
  </si>
  <si>
    <t>令和２年度請第９６号　佐沼小学校外４施設トイレドア改修工事（中学校分）</t>
  </si>
  <si>
    <t>佐沼中学校</t>
  </si>
  <si>
    <t>510015924</t>
  </si>
  <si>
    <t>AsyzAP令和２年度請第９６号　佐沼小学校外４施設トイレドア改修工事（中学校分） PPP元キー:00000002-0000001892-1</t>
  </si>
  <si>
    <t>新田小学校</t>
  </si>
  <si>
    <t>AsyzAP令和２年度請第９６号　佐沼小学校外４施設トイレドア改修工事（小学校分） PPP元キー:00000002-0000001890-1</t>
  </si>
  <si>
    <t>2021/10/29</t>
  </si>
  <si>
    <t>請第３１号　津山中学校電気設備改修工事</t>
  </si>
  <si>
    <t>510029729</t>
  </si>
  <si>
    <t>AsyzAP請第３１号　津山中学校電気設備改修工事 PPP元キー:00000002-0000001865-1</t>
  </si>
  <si>
    <t>新田中学校</t>
  </si>
  <si>
    <t>AsyzAP令和２年度請第９６号　佐沼小学校外４施設トイレドア改修工事（中学校分） PPP元キー:00000002-0000001893-1</t>
  </si>
  <si>
    <t>2021/10/08</t>
  </si>
  <si>
    <t>請第２０号　学校教育施設空調機設置工事（米山中学校）</t>
  </si>
  <si>
    <t>米山中学校</t>
  </si>
  <si>
    <t>510029727</t>
  </si>
  <si>
    <t>AsyzAP請第２０号　学校教育施設空調機設置工事（米山中学校） PPP元キー:00000002-0000001864-1</t>
  </si>
  <si>
    <t>2021/06/11</t>
  </si>
  <si>
    <t>令和２年度請第９９号　石森小学校外３施設トイレドア改修工事（小学校分）</t>
  </si>
  <si>
    <t>石森小学校</t>
  </si>
  <si>
    <t>510015940</t>
  </si>
  <si>
    <t>AsyzAP令和２年度請第９９号　石森小学校外３施設トイレドア改修工事（小学校分） PPP元キー:00000002-0000001898-1</t>
  </si>
  <si>
    <t>令和２年度請第９９号　石森小学校外３施設トイレドア改修工事（中学校分）</t>
  </si>
  <si>
    <t>中田中学校</t>
  </si>
  <si>
    <t>510015941</t>
  </si>
  <si>
    <t>AsyzAP令和２年度請第９９号　石森小学校外３施設トイレドア改修工事（中学校分） PPP元キー:00000002-0000001901-1</t>
  </si>
  <si>
    <t>令和２年度請第１０１号　中津山小学校外３施設トイレドア改修工事（小学校分）</t>
  </si>
  <si>
    <t>米岡小学校</t>
  </si>
  <si>
    <t>510015943</t>
  </si>
  <si>
    <t>AsyzAP令和２年度請第１０１号　中津山小学校外３施設トイレドア改修工事（小学校分） PPP元キー:00000002-0000001903-1</t>
  </si>
  <si>
    <t>米山東小学校</t>
  </si>
  <si>
    <t>AsyzAP令和２年度請第１０１号　中津山小学校外３施設トイレドア改修工事（小学校分） PPP元キー:00000002-0000001904-1</t>
  </si>
  <si>
    <t>トイレ自動水栓交換工事</t>
  </si>
  <si>
    <t>令和２年度請第７８号　佐沼小学校外１１施設トイレ自動水栓交換工事（小学校分）</t>
  </si>
  <si>
    <t>510015903</t>
  </si>
  <si>
    <t>AsyzAP令和２年度請第７８号　佐沼小学校外１１施設トイレ自動水栓交換工事（小学校分） PPP元キー:00000002-0000001886-1</t>
  </si>
  <si>
    <t>AsyzAP令和２年度請第７８号　佐沼小学校外１１施設トイレ自動水栓交換工事（小学校分） PPP元キー:00000002-0000001885-1</t>
  </si>
  <si>
    <t>AsyzAP令和２年度請第７８号　佐沼小学校外１１施設トイレ自動水栓交換工事（小学校分） PPP元キー:00000002-0000001884-1</t>
  </si>
  <si>
    <t>令和２年度請第９８号　米谷小学校外１施設トイレドア改修工事（米谷小、錦織小）</t>
  </si>
  <si>
    <t>510015933</t>
  </si>
  <si>
    <t>AsyzAP令和２年度請第９８号　米谷小学校外１施設トイレドア改修工事（米谷小、錦織小） PPP元キー:00000002-0000001897-1</t>
  </si>
  <si>
    <t>米谷小学校</t>
  </si>
  <si>
    <t>AsyzAP令和２年度請第９８号　米谷小学校外１施設トイレドア改修工事（米谷小、錦織小） PPP元キー:00000002-0000001896-1</t>
  </si>
  <si>
    <t>サンクチェアリーセンター</t>
  </si>
  <si>
    <t>1992/02/25</t>
  </si>
  <si>
    <t>迫町新田字新前沼254</t>
  </si>
  <si>
    <t>510083636</t>
  </si>
  <si>
    <t>0550001</t>
  </si>
  <si>
    <t>AsyzAPサンクチェアリーセンター PPP元キー:00000002-0000001530-1</t>
  </si>
  <si>
    <t>AsyzAP令和２年度請第９０号　石森小学校外１３施設トイレ室内自動点灯化工事（小学校分） PPP元キー:00000002-0000001880-1</t>
  </si>
  <si>
    <t>1998/12/24</t>
  </si>
  <si>
    <t>AsyzAP本庁舎 PPP元キー:00000002-0000000277-1</t>
  </si>
  <si>
    <t>令和２年度請第７８号　佐沼小学校外１１施設トイレ自動水栓交換工事（中学校分）</t>
  </si>
  <si>
    <t>510015904</t>
  </si>
  <si>
    <t>AsyzAP令和２年度請第７８号　佐沼小学校外１１施設トイレ自動水栓交換工事（中学校分） PPP元キー:00000002-0000001888-1</t>
  </si>
  <si>
    <t>AsyzAP令和２年度請第７８号　佐沼小学校外１１施設トイレ自動水栓交換工事（中学校分） PPP元キー:00000002-0000001887-1</t>
  </si>
  <si>
    <t>電算室</t>
  </si>
  <si>
    <t>1015100000:まちづくり推進課</t>
  </si>
  <si>
    <t>01_01_01</t>
  </si>
  <si>
    <t>AsyzAP本庁舎 PPP元キー:00000002-0000000005-1</t>
  </si>
  <si>
    <t>令和２年度請第９０号　石森小学校外１３施設トイレ室内自動点灯化工事（中学校分）</t>
  </si>
  <si>
    <t>510015893</t>
  </si>
  <si>
    <t>AsyzAP令和２年度請第９０号　石森小学校外１３施設トイレ室内自動点灯化工事（中学校分） PPP元キー:00000002-0000001883-1</t>
  </si>
  <si>
    <t>加賀野小学校特別支援教室改修工事</t>
  </si>
  <si>
    <t>510077693</t>
  </si>
  <si>
    <t>AsyzAP加賀野小学校特別支援教室改修工事 PPP元キー:00000002-0000001874-1</t>
  </si>
  <si>
    <t>2005/03/20</t>
  </si>
  <si>
    <t>AsyzAP車庫 PPP元キー:00000002-0000000020-1</t>
  </si>
  <si>
    <t>令和２年度請第１０７号　柳津小学校外２施設トイレドア改修工事（小学校分）</t>
  </si>
  <si>
    <t>横山小学校</t>
  </si>
  <si>
    <t>510015951</t>
  </si>
  <si>
    <t>AsyzAP令和２年度請第１０７号　柳津小学校外２施設トイレドア改修工事（小学校分） PPP元キー:00000002-0000001908-1</t>
  </si>
  <si>
    <t>AsyzAP令和２年度請第９０号　石森小学校外１３施設トイレ室内自動点灯化工事（小学校分） PPP元キー:00000002-0000001878-1</t>
  </si>
  <si>
    <t>上沼小学校</t>
  </si>
  <si>
    <t>AsyzAP令和２年度請第９０号　石森小学校外１３施設トイレ室内自動点灯化工事（小学校分） PPP元キー:00000002-0000001881-1</t>
  </si>
  <si>
    <t>AsyzAP校舎 PPP元キー:00000002-0000000476-1</t>
  </si>
  <si>
    <t>柳津小学校</t>
  </si>
  <si>
    <t>AsyzAP令和２年度請第１０７号　柳津小学校外２施設トイレドア改修工事（小学校分） PPP元キー:00000002-0000001907-1</t>
  </si>
  <si>
    <t>令和２年度請第１０１号　中津山小学校外３施設トイレドア改修工事（中学校分）</t>
  </si>
  <si>
    <t>510015944</t>
  </si>
  <si>
    <t>AsyzAP令和２年度請第１０１号　中津山小学校外３施設トイレドア改修工事（中学校分） PPP元キー:00000002-0000001905-1</t>
  </si>
  <si>
    <t>AsyzAP令和２年度請第１０１号　中津山小学校外３施設トイレドア改修工事（小学校分） PPP元キー:00000002-0000001902-1</t>
  </si>
  <si>
    <t>令和２年度請第１０２号　石越小学校施設トイレドア改修工事</t>
  </si>
  <si>
    <t>石越小学校</t>
  </si>
  <si>
    <t>510015948</t>
  </si>
  <si>
    <t>AsyzAP令和２年度請第１０２号　石越小学校施設トイレドア改修工事 PPP元キー:00000002-0000001906-1</t>
  </si>
  <si>
    <t>AsyzAP令和２年度請第９９号　石森小学校外３施設トイレドア改修工事（小学校分） PPP元キー:00000002-0000001899-1</t>
  </si>
  <si>
    <t>AsyzAP令和２年度請第９９号　石森小学校外３施設トイレドア改修工事（小学校分） PPP元キー:00000002-0000001900-1</t>
  </si>
  <si>
    <t>登米市登米総合支所</t>
  </si>
  <si>
    <t>2021/11/16</t>
  </si>
  <si>
    <t>2021/12/03</t>
  </si>
  <si>
    <t>【請第２６号】登米総合支所外壁補修工事</t>
  </si>
  <si>
    <t>510029492</t>
  </si>
  <si>
    <t>AsyzAP【請第２６号】登米総合支所外壁補修工事 PPP元キー:00000002-0000001875-1</t>
  </si>
  <si>
    <t>木質バイオマスボイラー空調設備</t>
  </si>
  <si>
    <t>1170000:事業用／その他</t>
  </si>
  <si>
    <t>33:熱供給業用設備</t>
  </si>
  <si>
    <t>1:熱供給業用設備</t>
  </si>
  <si>
    <t>AsyzAP PPP元キー:00000002-0000001954-1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</si>
</sst>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m/dd"/>
  </numFmts>
  <fonts count="4" x14ac:knownFonts="1">
    <font>
      <sz val="11"/>
      <name val="Calibri"/>
    </font>
    <font>
      <sz val="11"/>
      <name val="ＭＳ ゴシック"/>
      <family val="3"/>
    </font>
    <font>
      <b/>
      <sz val="12"/>
      <name val="游ゴシック"/>
      <family val="3"/>
      <charset val="128"/>
    </font>
    <font>
      <sz val="12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0EE9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Font="1" applyFill="1" applyBorder="1"/>
    <xf numFmtId="0" fontId="2" fillId="2" borderId="0" xfId="0" applyFont="1" applyFill="1" applyBorder="1" applyAlignment="1">
      <alignment horizontal="center"/>
    </xf>
    <xf numFmtId="176" fontId="2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76" fontId="3" fillId="0" borderId="0" xfId="0" applyNumberFormat="1" applyFont="1" applyFill="1" applyBorder="1"/>
    <xf numFmtId="3" fontId="3" fillId="0" borderId="0" xfId="0" applyNumberFormat="1" applyFont="1" applyFill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G1554"/>
  <sheetViews>
    <sheetView tabSelected="1" defaultGridColor="0" topLeftCell="C1" colorId="8" workbookViewId="0">
      <selection activeCell="C1" sqref="C1"/>
    </sheetView>
  </sheetViews>
  <sheetFormatPr defaultColWidth="2.7109375" defaultRowHeight="19.5" x14ac:dyDescent="0.4"/>
  <cols>
    <col min="1" max="1" width="6.42578125" style="4" hidden="1" customWidth="1"/>
    <col min="2" max="2" width="4.42578125" style="4" hidden="1" customWidth="1"/>
    <col min="3" max="4" width="21" style="4" bestFit="1" customWidth="1"/>
    <col min="5" max="5" width="26.140625" style="4" bestFit="1" customWidth="1"/>
    <col min="6" max="8" width="10" style="4" hidden="1" customWidth="1"/>
    <col min="9" max="9" width="74" style="4" bestFit="1" customWidth="1"/>
    <col min="10" max="10" width="48.28515625" style="4" bestFit="1" customWidth="1"/>
    <col min="11" max="11" width="13.5703125" style="4" bestFit="1" customWidth="1"/>
    <col min="12" max="12" width="101" style="4" bestFit="1" customWidth="1"/>
    <col min="13" max="13" width="56" style="5" bestFit="1" customWidth="1"/>
    <col min="14" max="14" width="95.85546875" style="4" bestFit="1" customWidth="1"/>
    <col min="15" max="15" width="7.7109375" style="6" bestFit="1" customWidth="1"/>
    <col min="16" max="16" width="20" style="4" bestFit="1" customWidth="1"/>
    <col min="17" max="17" width="17.5703125" style="6" bestFit="1" customWidth="1"/>
    <col min="18" max="18" width="20.140625" style="6" bestFit="1" customWidth="1"/>
    <col min="19" max="19" width="14.5703125" style="5" bestFit="1" customWidth="1"/>
    <col min="20" max="21" width="8.140625" style="4" customWidth="1"/>
    <col min="22" max="22" width="17.42578125" style="6" bestFit="1" customWidth="1"/>
    <col min="23" max="23" width="20.140625" style="6" bestFit="1" customWidth="1"/>
    <col min="24" max="24" width="32.85546875" style="4" bestFit="1" customWidth="1"/>
    <col min="25" max="25" width="15.5703125" style="4" hidden="1" customWidth="1"/>
    <col min="26" max="26" width="13.7109375" style="4" hidden="1" customWidth="1"/>
    <col min="27" max="29" width="11.85546875" style="4" hidden="1" customWidth="1"/>
    <col min="30" max="30" width="6.28515625" style="4" hidden="1" customWidth="1"/>
    <col min="31" max="31" width="6.28515625" style="5" hidden="1" customWidth="1"/>
    <col min="32" max="32" width="13.7109375" style="5" hidden="1" customWidth="1"/>
    <col min="33" max="33" width="11.85546875" style="4" hidden="1" customWidth="1"/>
    <col min="34" max="35" width="10" style="5" hidden="1" customWidth="1"/>
    <col min="36" max="36" width="10" style="4" hidden="1" customWidth="1"/>
    <col min="37" max="38" width="8.140625" style="4" hidden="1" customWidth="1"/>
    <col min="39" max="39" width="13.7109375" style="4" hidden="1" customWidth="1"/>
    <col min="40" max="40" width="11.85546875" style="4" hidden="1" customWidth="1"/>
    <col min="41" max="41" width="13.7109375" style="4" hidden="1" customWidth="1"/>
    <col min="42" max="43" width="11.85546875" style="4" hidden="1" customWidth="1"/>
    <col min="44" max="44" width="13.7109375" style="4" hidden="1" customWidth="1"/>
    <col min="45" max="45" width="11.85546875" style="4" hidden="1" customWidth="1"/>
    <col min="46" max="47" width="4.42578125" style="5" hidden="1" customWidth="1"/>
    <col min="48" max="48" width="8.140625" style="5" hidden="1" customWidth="1"/>
    <col min="49" max="49" width="10" style="5" hidden="1" customWidth="1"/>
    <col min="50" max="50" width="10" style="4" hidden="1" customWidth="1"/>
    <col min="51" max="52" width="4.42578125" style="4" hidden="1" customWidth="1"/>
    <col min="53" max="55" width="11.85546875" style="4" hidden="1" customWidth="1"/>
    <col min="56" max="56" width="10" style="4" hidden="1" customWidth="1"/>
    <col min="57" max="57" width="11.85546875" style="4" hidden="1" customWidth="1"/>
    <col min="58" max="58" width="13.7109375" style="4" hidden="1" customWidth="1"/>
    <col min="59" max="59" width="15.5703125" style="5" hidden="1" customWidth="1"/>
    <col min="60" max="61" width="11.85546875" style="4" hidden="1" customWidth="1"/>
    <col min="62" max="62" width="8.140625" style="4" hidden="1" customWidth="1"/>
    <col min="63" max="63" width="10" style="5" hidden="1" customWidth="1"/>
    <col min="64" max="64" width="13.7109375" style="4" hidden="1" customWidth="1"/>
    <col min="65" max="65" width="21.28515625" style="4" hidden="1" customWidth="1"/>
    <col min="66" max="66" width="11.85546875" style="4" hidden="1" customWidth="1"/>
    <col min="67" max="67" width="13.85546875" style="6" hidden="1" customWidth="1"/>
    <col min="68" max="68" width="10" style="6" hidden="1" customWidth="1"/>
    <col min="69" max="69" width="10" style="4" hidden="1" customWidth="1"/>
    <col min="70" max="70" width="4.42578125" style="4" hidden="1" customWidth="1"/>
    <col min="71" max="73" width="11.85546875" style="4" hidden="1" customWidth="1"/>
    <col min="74" max="78" width="15.5703125" style="4" hidden="1" customWidth="1"/>
    <col min="79" max="79" width="8.140625" style="5" hidden="1" customWidth="1"/>
    <col min="80" max="82" width="8.140625" style="4" hidden="1" customWidth="1"/>
    <col min="83" max="83" width="10" style="4" hidden="1" customWidth="1"/>
    <col min="84" max="84" width="8.140625" style="4" hidden="1" customWidth="1"/>
    <col min="85" max="85" width="11.85546875" style="4" hidden="1" customWidth="1"/>
    <col min="86" max="87" width="13.7109375" style="4" hidden="1" customWidth="1"/>
    <col min="88" max="88" width="17.42578125" style="4" hidden="1" customWidth="1"/>
    <col min="89" max="90" width="11.85546875" style="4" hidden="1" customWidth="1"/>
    <col min="91" max="91" width="6.42578125" style="4" hidden="1" customWidth="1"/>
    <col min="92" max="92" width="11.85546875" style="4" hidden="1" customWidth="1"/>
    <col min="93" max="93" width="13.7109375" style="4" hidden="1" customWidth="1"/>
    <col min="94" max="94" width="11.85546875" style="5" hidden="1" customWidth="1"/>
    <col min="95" max="96" width="11.85546875" style="4" hidden="1" customWidth="1"/>
    <col min="97" max="97" width="8.140625" style="4" hidden="1" customWidth="1"/>
    <col min="98" max="98" width="11.85546875" style="4" hidden="1" customWidth="1"/>
    <col min="99" max="99" width="10" style="4" hidden="1" customWidth="1"/>
    <col min="100" max="102" width="13.7109375" style="4" hidden="1" customWidth="1"/>
    <col min="103" max="103" width="4.42578125" style="6" hidden="1" customWidth="1"/>
    <col min="104" max="104" width="6.28515625" style="6" hidden="1" customWidth="1"/>
    <col min="105" max="106" width="10" style="6" hidden="1" customWidth="1"/>
    <col min="107" max="107" width="8.140625" style="4" hidden="1" customWidth="1"/>
    <col min="108" max="108" width="4.42578125" style="4" hidden="1" customWidth="1"/>
    <col min="109" max="110" width="8.140625" style="4" hidden="1" customWidth="1"/>
    <col min="111" max="111" width="8.140625" style="6" hidden="1" customWidth="1"/>
    <col min="112" max="112" width="6.28515625" style="5" hidden="1" customWidth="1"/>
    <col min="113" max="113" width="8.140625" style="4" hidden="1" customWidth="1"/>
    <col min="114" max="114" width="4.42578125" style="4" hidden="1" customWidth="1"/>
    <col min="115" max="115" width="2.7109375" style="4" hidden="1" customWidth="1"/>
    <col min="116" max="116" width="4.42578125" style="4" hidden="1" customWidth="1"/>
    <col min="117" max="118" width="8.140625" style="4" hidden="1" customWidth="1"/>
    <col min="119" max="119" width="6.28515625" style="6" hidden="1" customWidth="1"/>
    <col min="120" max="120" width="4.42578125" style="4" hidden="1" customWidth="1"/>
    <col min="121" max="121" width="8.140625" style="4" hidden="1" customWidth="1"/>
    <col min="122" max="125" width="4.42578125" style="4" hidden="1" customWidth="1"/>
    <col min="126" max="127" width="11.85546875" style="4" hidden="1" customWidth="1"/>
    <col min="128" max="134" width="10" style="4" hidden="1" customWidth="1"/>
    <col min="135" max="195" width="11.85546875" style="4" hidden="1" customWidth="1"/>
    <col min="196" max="204" width="10" style="4" hidden="1" customWidth="1"/>
    <col min="205" max="225" width="11.85546875" style="4" hidden="1" customWidth="1"/>
    <col min="226" max="226" width="17.5703125" style="4" hidden="1" customWidth="1"/>
    <col min="227" max="227" width="15.7109375" style="4" hidden="1" customWidth="1"/>
    <col min="228" max="228" width="11.85546875" style="4" hidden="1" customWidth="1"/>
    <col min="229" max="229" width="10" style="4" hidden="1" customWidth="1"/>
    <col min="230" max="230" width="13.85546875" style="4" hidden="1" customWidth="1"/>
    <col min="231" max="231" width="6.28515625" style="4" hidden="1" customWidth="1"/>
    <col min="232" max="234" width="8.140625" style="4" hidden="1" customWidth="1"/>
    <col min="235" max="235" width="15.5703125" style="4" hidden="1" customWidth="1"/>
    <col min="236" max="240" width="19.42578125" style="4" hidden="1" customWidth="1"/>
    <col min="241" max="241" width="2.7109375" style="4" hidden="1" customWidth="1"/>
    <col min="242" max="254" width="0" style="4" hidden="1" customWidth="1"/>
    <col min="255" max="16384" width="2.7109375" style="4"/>
  </cols>
  <sheetData>
    <row r="1" spans="1:240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11</v>
      </c>
      <c r="J1" s="1" t="s">
        <v>16</v>
      </c>
      <c r="K1" s="1" t="s">
        <v>46</v>
      </c>
      <c r="L1" s="1" t="s">
        <v>24</v>
      </c>
      <c r="M1" s="2" t="s">
        <v>35</v>
      </c>
      <c r="N1" s="1" t="s">
        <v>8</v>
      </c>
      <c r="O1" s="3" t="s">
        <v>97</v>
      </c>
      <c r="P1" s="1" t="s">
        <v>98</v>
      </c>
      <c r="Q1" s="3" t="s">
        <v>103</v>
      </c>
      <c r="R1" s="3" t="s">
        <v>104</v>
      </c>
      <c r="S1" s="2" t="s">
        <v>18</v>
      </c>
      <c r="T1" s="1" t="s">
        <v>94</v>
      </c>
      <c r="U1" s="1" t="s">
        <v>95</v>
      </c>
      <c r="V1" s="3" t="s">
        <v>101</v>
      </c>
      <c r="W1" s="3" t="s">
        <v>100</v>
      </c>
      <c r="X1" s="1" t="s">
        <v>9</v>
      </c>
      <c r="Y1" s="1" t="s">
        <v>10</v>
      </c>
      <c r="Z1" s="1" t="s">
        <v>12</v>
      </c>
      <c r="AA1" s="1" t="s">
        <v>13</v>
      </c>
      <c r="AB1" s="1" t="s">
        <v>14</v>
      </c>
      <c r="AC1" s="1" t="s">
        <v>15</v>
      </c>
      <c r="AD1" s="1" t="s">
        <v>17</v>
      </c>
      <c r="AE1" s="2" t="s">
        <v>19</v>
      </c>
      <c r="AF1" s="2" t="s">
        <v>20</v>
      </c>
      <c r="AG1" s="1" t="s">
        <v>21</v>
      </c>
      <c r="AH1" s="2" t="s">
        <v>22</v>
      </c>
      <c r="AI1" s="2" t="s">
        <v>23</v>
      </c>
      <c r="AJ1" s="1" t="s">
        <v>25</v>
      </c>
      <c r="AK1" s="1" t="s">
        <v>26</v>
      </c>
      <c r="AL1" s="1" t="s">
        <v>27</v>
      </c>
      <c r="AM1" s="1" t="s">
        <v>28</v>
      </c>
      <c r="AN1" s="1" t="s">
        <v>29</v>
      </c>
      <c r="AO1" s="1" t="s">
        <v>30</v>
      </c>
      <c r="AP1" s="1" t="s">
        <v>31</v>
      </c>
      <c r="AQ1" s="1" t="s">
        <v>32</v>
      </c>
      <c r="AR1" s="1" t="s">
        <v>33</v>
      </c>
      <c r="AS1" s="1" t="s">
        <v>34</v>
      </c>
      <c r="AT1" s="2" t="s">
        <v>36</v>
      </c>
      <c r="AU1" s="2" t="s">
        <v>37</v>
      </c>
      <c r="AV1" s="2" t="s">
        <v>38</v>
      </c>
      <c r="AW1" s="2" t="s">
        <v>39</v>
      </c>
      <c r="AX1" s="1" t="s">
        <v>40</v>
      </c>
      <c r="AY1" s="1" t="s">
        <v>41</v>
      </c>
      <c r="AZ1" s="1" t="s">
        <v>42</v>
      </c>
      <c r="BA1" s="1" t="s">
        <v>43</v>
      </c>
      <c r="BB1" s="1" t="s">
        <v>44</v>
      </c>
      <c r="BC1" s="1" t="s">
        <v>45</v>
      </c>
      <c r="BD1" s="1" t="s">
        <v>47</v>
      </c>
      <c r="BE1" s="1" t="s">
        <v>48</v>
      </c>
      <c r="BF1" s="1" t="s">
        <v>49</v>
      </c>
      <c r="BG1" s="2" t="s">
        <v>50</v>
      </c>
      <c r="BH1" s="1" t="s">
        <v>51</v>
      </c>
      <c r="BI1" s="1" t="s">
        <v>52</v>
      </c>
      <c r="BJ1" s="1" t="s">
        <v>53</v>
      </c>
      <c r="BK1" s="2" t="s">
        <v>54</v>
      </c>
      <c r="BL1" s="1" t="s">
        <v>55</v>
      </c>
      <c r="BM1" s="1" t="s">
        <v>56</v>
      </c>
      <c r="BN1" s="1" t="s">
        <v>57</v>
      </c>
      <c r="BO1" s="3" t="s">
        <v>58</v>
      </c>
      <c r="BP1" s="3" t="s">
        <v>59</v>
      </c>
      <c r="BQ1" s="1" t="s">
        <v>60</v>
      </c>
      <c r="BR1" s="1" t="s">
        <v>61</v>
      </c>
      <c r="BS1" s="1" t="s">
        <v>62</v>
      </c>
      <c r="BT1" s="1" t="s">
        <v>63</v>
      </c>
      <c r="BU1" s="1" t="s">
        <v>64</v>
      </c>
      <c r="BV1" s="1" t="s">
        <v>65</v>
      </c>
      <c r="BW1" s="1" t="s">
        <v>66</v>
      </c>
      <c r="BX1" s="1" t="s">
        <v>67</v>
      </c>
      <c r="BY1" s="1" t="s">
        <v>68</v>
      </c>
      <c r="BZ1" s="1" t="s">
        <v>69</v>
      </c>
      <c r="CA1" s="2" t="s">
        <v>70</v>
      </c>
      <c r="CB1" s="1" t="s">
        <v>71</v>
      </c>
      <c r="CC1" s="1" t="s">
        <v>72</v>
      </c>
      <c r="CD1" s="1" t="s">
        <v>73</v>
      </c>
      <c r="CE1" s="1" t="s">
        <v>74</v>
      </c>
      <c r="CF1" s="1" t="s">
        <v>75</v>
      </c>
      <c r="CG1" s="1" t="s">
        <v>76</v>
      </c>
      <c r="CH1" s="1" t="s">
        <v>77</v>
      </c>
      <c r="CI1" s="1" t="s">
        <v>78</v>
      </c>
      <c r="CJ1" s="1" t="s">
        <v>79</v>
      </c>
      <c r="CK1" s="1" t="s">
        <v>80</v>
      </c>
      <c r="CL1" s="1" t="s">
        <v>81</v>
      </c>
      <c r="CM1" s="1" t="s">
        <v>82</v>
      </c>
      <c r="CN1" s="1" t="s">
        <v>83</v>
      </c>
      <c r="CO1" s="1" t="s">
        <v>84</v>
      </c>
      <c r="CP1" s="2" t="s">
        <v>85</v>
      </c>
      <c r="CQ1" s="1" t="s">
        <v>86</v>
      </c>
      <c r="CR1" s="1" t="s">
        <v>87</v>
      </c>
      <c r="CS1" s="1" t="s">
        <v>88</v>
      </c>
      <c r="CT1" s="1" t="s">
        <v>89</v>
      </c>
      <c r="CU1" s="1" t="s">
        <v>90</v>
      </c>
      <c r="CV1" s="1" t="s">
        <v>91</v>
      </c>
      <c r="CW1" s="1" t="s">
        <v>92</v>
      </c>
      <c r="CX1" s="1" t="s">
        <v>93</v>
      </c>
      <c r="CY1" s="3" t="s">
        <v>96</v>
      </c>
      <c r="CZ1" s="3" t="s">
        <v>99</v>
      </c>
      <c r="DA1" s="3" t="s">
        <v>102</v>
      </c>
      <c r="DB1" s="3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3" t="s">
        <v>110</v>
      </c>
      <c r="DH1" s="2" t="s">
        <v>111</v>
      </c>
      <c r="DI1" s="1" t="s">
        <v>112</v>
      </c>
      <c r="DJ1" s="1" t="s">
        <v>24</v>
      </c>
      <c r="DK1" s="1" t="s">
        <v>113</v>
      </c>
      <c r="DL1" s="1" t="s">
        <v>114</v>
      </c>
      <c r="DM1" s="1" t="s">
        <v>115</v>
      </c>
      <c r="DN1" s="1" t="s">
        <v>116</v>
      </c>
      <c r="DO1" s="3" t="s">
        <v>117</v>
      </c>
      <c r="DP1" s="1" t="s">
        <v>118</v>
      </c>
      <c r="DQ1" s="1" t="s">
        <v>119</v>
      </c>
      <c r="DR1" s="1" t="s">
        <v>120</v>
      </c>
      <c r="DS1" s="1" t="s">
        <v>121</v>
      </c>
      <c r="DT1" s="1" t="s">
        <v>122</v>
      </c>
      <c r="DU1" s="1" t="s">
        <v>123</v>
      </c>
      <c r="DV1" s="1" t="s">
        <v>124</v>
      </c>
      <c r="DW1" s="1" t="s">
        <v>125</v>
      </c>
      <c r="DX1" s="1" t="s">
        <v>126</v>
      </c>
      <c r="DY1" s="1" t="s">
        <v>127</v>
      </c>
      <c r="DZ1" s="1" t="s">
        <v>128</v>
      </c>
      <c r="EA1" s="1" t="s">
        <v>129</v>
      </c>
      <c r="EB1" s="1" t="s">
        <v>130</v>
      </c>
      <c r="EC1" s="1" t="s">
        <v>131</v>
      </c>
      <c r="ED1" s="1" t="s">
        <v>132</v>
      </c>
      <c r="EE1" s="1" t="s">
        <v>133</v>
      </c>
      <c r="EF1" s="1" t="s">
        <v>134</v>
      </c>
      <c r="EG1" s="1" t="s">
        <v>135</v>
      </c>
      <c r="EH1" s="1" t="s">
        <v>136</v>
      </c>
      <c r="EI1" s="1" t="s">
        <v>137</v>
      </c>
      <c r="EJ1" s="1" t="s">
        <v>138</v>
      </c>
      <c r="EK1" s="1" t="s">
        <v>139</v>
      </c>
      <c r="EL1" s="1" t="s">
        <v>140</v>
      </c>
      <c r="EM1" s="1" t="s">
        <v>141</v>
      </c>
      <c r="EN1" s="1" t="s">
        <v>142</v>
      </c>
      <c r="EO1" s="1" t="s">
        <v>143</v>
      </c>
      <c r="EP1" s="1" t="s">
        <v>144</v>
      </c>
      <c r="EQ1" s="1" t="s">
        <v>145</v>
      </c>
      <c r="ER1" s="1" t="s">
        <v>146</v>
      </c>
      <c r="ES1" s="1" t="s">
        <v>147</v>
      </c>
      <c r="ET1" s="1" t="s">
        <v>148</v>
      </c>
      <c r="EU1" s="1" t="s">
        <v>149</v>
      </c>
      <c r="EV1" s="1" t="s">
        <v>150</v>
      </c>
      <c r="EW1" s="1" t="s">
        <v>151</v>
      </c>
      <c r="EX1" s="1" t="s">
        <v>152</v>
      </c>
      <c r="EY1" s="1" t="s">
        <v>153</v>
      </c>
      <c r="EZ1" s="1" t="s">
        <v>154</v>
      </c>
      <c r="FA1" s="1" t="s">
        <v>155</v>
      </c>
      <c r="FB1" s="1" t="s">
        <v>156</v>
      </c>
      <c r="FC1" s="1" t="s">
        <v>157</v>
      </c>
      <c r="FD1" s="1" t="s">
        <v>158</v>
      </c>
      <c r="FE1" s="1" t="s">
        <v>159</v>
      </c>
      <c r="FF1" s="1" t="s">
        <v>160</v>
      </c>
      <c r="FG1" s="1" t="s">
        <v>161</v>
      </c>
      <c r="FH1" s="1" t="s">
        <v>162</v>
      </c>
      <c r="FI1" s="1" t="s">
        <v>163</v>
      </c>
      <c r="FJ1" s="1" t="s">
        <v>164</v>
      </c>
      <c r="FK1" s="1" t="s">
        <v>165</v>
      </c>
      <c r="FL1" s="1" t="s">
        <v>166</v>
      </c>
      <c r="FM1" s="1" t="s">
        <v>167</v>
      </c>
      <c r="FN1" s="1" t="s">
        <v>168</v>
      </c>
      <c r="FO1" s="1" t="s">
        <v>169</v>
      </c>
      <c r="FP1" s="1" t="s">
        <v>170</v>
      </c>
      <c r="FQ1" s="1" t="s">
        <v>171</v>
      </c>
      <c r="FR1" s="1" t="s">
        <v>172</v>
      </c>
      <c r="FS1" s="1" t="s">
        <v>173</v>
      </c>
      <c r="FT1" s="1" t="s">
        <v>174</v>
      </c>
      <c r="FU1" s="1" t="s">
        <v>175</v>
      </c>
      <c r="FV1" s="1" t="s">
        <v>176</v>
      </c>
      <c r="FW1" s="1" t="s">
        <v>177</v>
      </c>
      <c r="FX1" s="1" t="s">
        <v>178</v>
      </c>
      <c r="FY1" s="1" t="s">
        <v>179</v>
      </c>
      <c r="FZ1" s="1" t="s">
        <v>180</v>
      </c>
      <c r="GA1" s="1" t="s">
        <v>181</v>
      </c>
      <c r="GB1" s="1" t="s">
        <v>182</v>
      </c>
      <c r="GC1" s="1" t="s">
        <v>183</v>
      </c>
      <c r="GD1" s="1" t="s">
        <v>184</v>
      </c>
      <c r="GE1" s="1" t="s">
        <v>185</v>
      </c>
      <c r="GF1" s="1" t="s">
        <v>186</v>
      </c>
      <c r="GG1" s="1" t="s">
        <v>187</v>
      </c>
      <c r="GH1" s="1" t="s">
        <v>188</v>
      </c>
      <c r="GI1" s="1" t="s">
        <v>189</v>
      </c>
      <c r="GJ1" s="1" t="s">
        <v>190</v>
      </c>
      <c r="GK1" s="1" t="s">
        <v>191</v>
      </c>
      <c r="GL1" s="1" t="s">
        <v>192</v>
      </c>
      <c r="GM1" s="1" t="s">
        <v>193</v>
      </c>
      <c r="GN1" s="1" t="s">
        <v>194</v>
      </c>
      <c r="GO1" s="1" t="s">
        <v>195</v>
      </c>
      <c r="GP1" s="1" t="s">
        <v>196</v>
      </c>
      <c r="GQ1" s="1" t="s">
        <v>197</v>
      </c>
      <c r="GR1" s="1" t="s">
        <v>198</v>
      </c>
      <c r="GS1" s="1" t="s">
        <v>199</v>
      </c>
      <c r="GT1" s="1" t="s">
        <v>200</v>
      </c>
      <c r="GU1" s="1" t="s">
        <v>201</v>
      </c>
      <c r="GV1" s="1" t="s">
        <v>202</v>
      </c>
      <c r="GW1" s="1" t="s">
        <v>203</v>
      </c>
      <c r="GX1" s="1" t="s">
        <v>204</v>
      </c>
      <c r="GY1" s="1" t="s">
        <v>205</v>
      </c>
      <c r="GZ1" s="1" t="s">
        <v>206</v>
      </c>
      <c r="HA1" s="1" t="s">
        <v>207</v>
      </c>
      <c r="HB1" s="1" t="s">
        <v>208</v>
      </c>
      <c r="HC1" s="1" t="s">
        <v>209</v>
      </c>
      <c r="HD1" s="1" t="s">
        <v>210</v>
      </c>
      <c r="HE1" s="1" t="s">
        <v>211</v>
      </c>
      <c r="HF1" s="1" t="s">
        <v>212</v>
      </c>
      <c r="HG1" s="1" t="s">
        <v>213</v>
      </c>
      <c r="HH1" s="1" t="s">
        <v>214</v>
      </c>
      <c r="HI1" s="1" t="s">
        <v>215</v>
      </c>
      <c r="HJ1" s="1" t="s">
        <v>216</v>
      </c>
      <c r="HK1" s="1" t="s">
        <v>217</v>
      </c>
      <c r="HL1" s="1" t="s">
        <v>218</v>
      </c>
      <c r="HM1" s="1" t="s">
        <v>219</v>
      </c>
      <c r="HN1" s="1" t="s">
        <v>220</v>
      </c>
      <c r="HO1" s="1" t="s">
        <v>221</v>
      </c>
      <c r="HP1" s="1" t="s">
        <v>222</v>
      </c>
      <c r="HQ1" s="1" t="s">
        <v>223</v>
      </c>
      <c r="HR1" s="1" t="s">
        <v>224</v>
      </c>
      <c r="HS1" s="1" t="s">
        <v>225</v>
      </c>
      <c r="HT1" s="1" t="s">
        <v>226</v>
      </c>
      <c r="HU1" s="1" t="s">
        <v>227</v>
      </c>
      <c r="HV1" s="1" t="s">
        <v>228</v>
      </c>
      <c r="HW1" s="1" t="s">
        <v>229</v>
      </c>
      <c r="HX1" s="1" t="s">
        <v>230</v>
      </c>
      <c r="HY1" s="1" t="s">
        <v>231</v>
      </c>
      <c r="HZ1" s="1" t="s">
        <v>232</v>
      </c>
      <c r="IA1" s="1" t="s">
        <v>233</v>
      </c>
      <c r="IB1" s="1" t="s">
        <v>234</v>
      </c>
      <c r="IC1" s="1" t="s">
        <v>235</v>
      </c>
      <c r="ID1" s="1" t="s">
        <v>236</v>
      </c>
      <c r="IE1" s="1" t="s">
        <v>237</v>
      </c>
      <c r="IF1" s="1" t="s">
        <v>238</v>
      </c>
    </row>
    <row r="2" spans="1:240" x14ac:dyDescent="0.4">
      <c r="A2" s="4">
        <v>2</v>
      </c>
      <c r="B2" s="4" t="s">
        <v>239</v>
      </c>
      <c r="C2" s="4">
        <v>1</v>
      </c>
      <c r="D2" s="4">
        <v>1</v>
      </c>
      <c r="E2" s="4">
        <v>2</v>
      </c>
      <c r="F2" s="4" t="s">
        <v>240</v>
      </c>
      <c r="G2" s="4" t="s">
        <v>241</v>
      </c>
      <c r="H2" s="4" t="s">
        <v>241</v>
      </c>
      <c r="I2" s="4" t="s">
        <v>457</v>
      </c>
      <c r="J2" s="4" t="s">
        <v>458</v>
      </c>
      <c r="K2" s="4" t="s">
        <v>256</v>
      </c>
      <c r="L2" s="4" t="s">
        <v>280</v>
      </c>
      <c r="M2" s="5" t="s">
        <v>460</v>
      </c>
      <c r="N2" s="4" t="s">
        <v>280</v>
      </c>
      <c r="O2" s="6">
        <f>5565.37</f>
        <v>5565.37</v>
      </c>
      <c r="P2" s="4" t="s">
        <v>276</v>
      </c>
      <c r="Q2" s="6">
        <f>60105996</f>
        <v>60105996</v>
      </c>
      <c r="R2" s="6">
        <f>1001766600</f>
        <v>1001766600</v>
      </c>
      <c r="S2" s="5" t="s">
        <v>459</v>
      </c>
      <c r="T2" s="4" t="s">
        <v>296</v>
      </c>
      <c r="U2" s="4" t="s">
        <v>306</v>
      </c>
      <c r="W2" s="6">
        <f>941660604</f>
        <v>941660604</v>
      </c>
      <c r="X2" s="4" t="s">
        <v>243</v>
      </c>
      <c r="Y2" s="4" t="s">
        <v>244</v>
      </c>
      <c r="Z2" s="4" t="s">
        <v>282</v>
      </c>
      <c r="AA2" s="4" t="s">
        <v>241</v>
      </c>
      <c r="AD2" s="4" t="s">
        <v>241</v>
      </c>
      <c r="AE2" s="5" t="s">
        <v>241</v>
      </c>
      <c r="AF2" s="5" t="s">
        <v>241</v>
      </c>
      <c r="AH2" s="5" t="s">
        <v>241</v>
      </c>
      <c r="AI2" s="5" t="s">
        <v>249</v>
      </c>
      <c r="AJ2" s="4" t="s">
        <v>251</v>
      </c>
      <c r="AK2" s="4" t="s">
        <v>252</v>
      </c>
      <c r="AQ2" s="4" t="s">
        <v>241</v>
      </c>
      <c r="AR2" s="4" t="s">
        <v>241</v>
      </c>
      <c r="AS2" s="4" t="s">
        <v>241</v>
      </c>
      <c r="AT2" s="5" t="s">
        <v>241</v>
      </c>
      <c r="AU2" s="5" t="s">
        <v>241</v>
      </c>
      <c r="AV2" s="5" t="s">
        <v>241</v>
      </c>
      <c r="AY2" s="4" t="s">
        <v>286</v>
      </c>
      <c r="AZ2" s="4" t="s">
        <v>286</v>
      </c>
      <c r="BA2" s="4" t="s">
        <v>254</v>
      </c>
      <c r="BB2" s="4" t="s">
        <v>287</v>
      </c>
      <c r="BC2" s="4" t="s">
        <v>255</v>
      </c>
      <c r="BD2" s="4" t="s">
        <v>241</v>
      </c>
      <c r="BE2" s="4" t="s">
        <v>257</v>
      </c>
      <c r="BF2" s="4" t="s">
        <v>241</v>
      </c>
      <c r="BJ2" s="4" t="s">
        <v>288</v>
      </c>
      <c r="BK2" s="5" t="s">
        <v>289</v>
      </c>
      <c r="BL2" s="4" t="s">
        <v>290</v>
      </c>
      <c r="BM2" s="4" t="s">
        <v>290</v>
      </c>
      <c r="BN2" s="4" t="s">
        <v>241</v>
      </c>
      <c r="BO2" s="6">
        <f>0</f>
        <v>0</v>
      </c>
      <c r="BP2" s="6">
        <f>-20035332</f>
        <v>-20035332</v>
      </c>
      <c r="BQ2" s="4" t="s">
        <v>263</v>
      </c>
      <c r="BR2" s="4" t="s">
        <v>264</v>
      </c>
      <c r="BS2" s="4" t="s">
        <v>241</v>
      </c>
      <c r="BT2" s="4" t="s">
        <v>241</v>
      </c>
      <c r="BU2" s="4" t="s">
        <v>241</v>
      </c>
      <c r="BV2" s="4" t="s">
        <v>241</v>
      </c>
      <c r="CE2" s="4" t="s">
        <v>264</v>
      </c>
      <c r="CF2" s="4" t="s">
        <v>241</v>
      </c>
      <c r="CG2" s="4" t="s">
        <v>241</v>
      </c>
      <c r="CK2" s="4" t="s">
        <v>265</v>
      </c>
      <c r="CL2" s="4" t="s">
        <v>266</v>
      </c>
      <c r="CM2" s="4" t="s">
        <v>241</v>
      </c>
      <c r="CO2" s="4" t="s">
        <v>305</v>
      </c>
      <c r="CP2" s="5" t="s">
        <v>268</v>
      </c>
      <c r="CQ2" s="4" t="s">
        <v>269</v>
      </c>
      <c r="CR2" s="4" t="s">
        <v>270</v>
      </c>
      <c r="CS2" s="4" t="s">
        <v>293</v>
      </c>
      <c r="CT2" s="4" t="s">
        <v>241</v>
      </c>
      <c r="CU2" s="4">
        <v>0</v>
      </c>
      <c r="CV2" s="4" t="s">
        <v>271</v>
      </c>
      <c r="CW2" s="4" t="s">
        <v>294</v>
      </c>
      <c r="CX2" s="4" t="s">
        <v>295</v>
      </c>
      <c r="CY2" s="6">
        <f>0</f>
        <v>0</v>
      </c>
      <c r="CZ2" s="6">
        <f>1001766600</f>
        <v>1001766600</v>
      </c>
      <c r="DA2" s="6">
        <f>80141328</f>
        <v>80141328</v>
      </c>
      <c r="DC2" s="4" t="s">
        <v>241</v>
      </c>
      <c r="DD2" s="4" t="s">
        <v>241</v>
      </c>
      <c r="DF2" s="4" t="s">
        <v>241</v>
      </c>
      <c r="DG2" s="6">
        <f>0</f>
        <v>0</v>
      </c>
      <c r="DI2" s="4" t="s">
        <v>241</v>
      </c>
      <c r="DJ2" s="4" t="s">
        <v>241</v>
      </c>
      <c r="DK2" s="4" t="s">
        <v>241</v>
      </c>
      <c r="DL2" s="4" t="s">
        <v>241</v>
      </c>
      <c r="DM2" s="4" t="s">
        <v>297</v>
      </c>
      <c r="DN2" s="4" t="s">
        <v>278</v>
      </c>
      <c r="DO2" s="6">
        <f>5565.37</f>
        <v>5565.37</v>
      </c>
      <c r="DP2" s="4" t="s">
        <v>241</v>
      </c>
      <c r="DQ2" s="4" t="s">
        <v>241</v>
      </c>
      <c r="DR2" s="4" t="s">
        <v>241</v>
      </c>
      <c r="DS2" s="4" t="s">
        <v>241</v>
      </c>
      <c r="DV2" s="4" t="s">
        <v>461</v>
      </c>
      <c r="DW2" s="4" t="s">
        <v>277</v>
      </c>
      <c r="GN2" s="4" t="s">
        <v>462</v>
      </c>
      <c r="HO2" s="4" t="s">
        <v>300</v>
      </c>
      <c r="HR2" s="4" t="s">
        <v>278</v>
      </c>
      <c r="HS2" s="4" t="s">
        <v>278</v>
      </c>
      <c r="HT2" s="4" t="s">
        <v>241</v>
      </c>
      <c r="HU2" s="4" t="s">
        <v>241</v>
      </c>
      <c r="HV2" s="4" t="s">
        <v>241</v>
      </c>
      <c r="HW2" s="4" t="s">
        <v>241</v>
      </c>
      <c r="HX2" s="4" t="s">
        <v>241</v>
      </c>
      <c r="HY2" s="4" t="s">
        <v>241</v>
      </c>
      <c r="HZ2" s="4" t="s">
        <v>241</v>
      </c>
      <c r="IA2" s="4" t="s">
        <v>241</v>
      </c>
      <c r="IB2" s="4" t="s">
        <v>241</v>
      </c>
      <c r="IC2" s="4" t="s">
        <v>241</v>
      </c>
      <c r="ID2" s="4" t="s">
        <v>241</v>
      </c>
      <c r="IE2" s="4" t="s">
        <v>241</v>
      </c>
      <c r="IF2" s="4" t="s">
        <v>241</v>
      </c>
    </row>
    <row r="3" spans="1:240" x14ac:dyDescent="0.4">
      <c r="A3" s="4">
        <v>2</v>
      </c>
      <c r="B3" s="4" t="s">
        <v>239</v>
      </c>
      <c r="C3" s="4">
        <v>2</v>
      </c>
      <c r="D3" s="4">
        <v>1</v>
      </c>
      <c r="E3" s="4">
        <v>1</v>
      </c>
      <c r="F3" s="4" t="s">
        <v>240</v>
      </c>
      <c r="G3" s="4" t="s">
        <v>241</v>
      </c>
      <c r="H3" s="4" t="s">
        <v>241</v>
      </c>
      <c r="I3" s="4" t="s">
        <v>457</v>
      </c>
      <c r="J3" s="4" t="s">
        <v>458</v>
      </c>
      <c r="K3" s="4" t="s">
        <v>256</v>
      </c>
      <c r="L3" s="4" t="s">
        <v>454</v>
      </c>
      <c r="M3" s="5" t="s">
        <v>460</v>
      </c>
      <c r="N3" s="4" t="s">
        <v>454</v>
      </c>
      <c r="O3" s="6">
        <f>111.6</f>
        <v>111.6</v>
      </c>
      <c r="P3" s="4" t="s">
        <v>276</v>
      </c>
      <c r="Q3" s="6">
        <f>1</f>
        <v>1</v>
      </c>
      <c r="R3" s="6">
        <f>6696000</f>
        <v>6696000</v>
      </c>
      <c r="S3" s="5" t="s">
        <v>459</v>
      </c>
      <c r="T3" s="4" t="s">
        <v>441</v>
      </c>
      <c r="U3" s="4" t="s">
        <v>373</v>
      </c>
      <c r="W3" s="6">
        <f>6695999</f>
        <v>6695999</v>
      </c>
      <c r="X3" s="4" t="s">
        <v>243</v>
      </c>
      <c r="Y3" s="4" t="s">
        <v>244</v>
      </c>
      <c r="Z3" s="4" t="s">
        <v>282</v>
      </c>
      <c r="AA3" s="4" t="s">
        <v>241</v>
      </c>
      <c r="AD3" s="4" t="s">
        <v>241</v>
      </c>
      <c r="AF3" s="5" t="s">
        <v>241</v>
      </c>
      <c r="AI3" s="5" t="s">
        <v>249</v>
      </c>
      <c r="AJ3" s="4" t="s">
        <v>251</v>
      </c>
      <c r="AK3" s="4" t="s">
        <v>252</v>
      </c>
      <c r="BA3" s="4" t="s">
        <v>254</v>
      </c>
      <c r="BB3" s="4" t="s">
        <v>241</v>
      </c>
      <c r="BC3" s="4" t="s">
        <v>255</v>
      </c>
      <c r="BD3" s="4" t="s">
        <v>241</v>
      </c>
      <c r="BE3" s="4" t="s">
        <v>257</v>
      </c>
      <c r="BF3" s="4" t="s">
        <v>241</v>
      </c>
      <c r="BJ3" s="4" t="s">
        <v>374</v>
      </c>
      <c r="BK3" s="5" t="s">
        <v>375</v>
      </c>
      <c r="BL3" s="4" t="s">
        <v>261</v>
      </c>
      <c r="BM3" s="4" t="s">
        <v>262</v>
      </c>
      <c r="BN3" s="4" t="s">
        <v>241</v>
      </c>
      <c r="BO3" s="6">
        <f>0</f>
        <v>0</v>
      </c>
      <c r="BP3" s="6">
        <f>0</f>
        <v>0</v>
      </c>
      <c r="BQ3" s="4" t="s">
        <v>263</v>
      </c>
      <c r="BR3" s="4" t="s">
        <v>264</v>
      </c>
      <c r="CF3" s="4" t="s">
        <v>241</v>
      </c>
      <c r="CG3" s="4" t="s">
        <v>241</v>
      </c>
      <c r="CK3" s="4" t="s">
        <v>265</v>
      </c>
      <c r="CL3" s="4" t="s">
        <v>266</v>
      </c>
      <c r="CM3" s="4" t="s">
        <v>241</v>
      </c>
      <c r="CO3" s="4" t="s">
        <v>305</v>
      </c>
      <c r="CP3" s="5" t="s">
        <v>268</v>
      </c>
      <c r="CQ3" s="4" t="s">
        <v>269</v>
      </c>
      <c r="CR3" s="4" t="s">
        <v>270</v>
      </c>
      <c r="CS3" s="4" t="s">
        <v>241</v>
      </c>
      <c r="CT3" s="4" t="s">
        <v>241</v>
      </c>
      <c r="CU3" s="4">
        <v>0</v>
      </c>
      <c r="CV3" s="4" t="s">
        <v>271</v>
      </c>
      <c r="CW3" s="4" t="s">
        <v>455</v>
      </c>
      <c r="CX3" s="4" t="s">
        <v>487</v>
      </c>
      <c r="CZ3" s="6">
        <f>6696000</f>
        <v>6696000</v>
      </c>
      <c r="DA3" s="6">
        <f>0</f>
        <v>0</v>
      </c>
      <c r="DC3" s="4" t="s">
        <v>241</v>
      </c>
      <c r="DD3" s="4" t="s">
        <v>241</v>
      </c>
      <c r="DF3" s="4" t="s">
        <v>241</v>
      </c>
      <c r="DI3" s="4" t="s">
        <v>241</v>
      </c>
      <c r="DJ3" s="4" t="s">
        <v>241</v>
      </c>
      <c r="DK3" s="4" t="s">
        <v>241</v>
      </c>
      <c r="DL3" s="4" t="s">
        <v>241</v>
      </c>
      <c r="DM3" s="4" t="s">
        <v>277</v>
      </c>
      <c r="DN3" s="4" t="s">
        <v>278</v>
      </c>
      <c r="DO3" s="6">
        <f>111.6</f>
        <v>111.6</v>
      </c>
      <c r="DP3" s="4" t="s">
        <v>241</v>
      </c>
      <c r="DQ3" s="4" t="s">
        <v>241</v>
      </c>
      <c r="DR3" s="4" t="s">
        <v>241</v>
      </c>
      <c r="DS3" s="4" t="s">
        <v>241</v>
      </c>
      <c r="DV3" s="4" t="s">
        <v>461</v>
      </c>
      <c r="DW3" s="4" t="s">
        <v>323</v>
      </c>
      <c r="HO3" s="4" t="s">
        <v>277</v>
      </c>
      <c r="HR3" s="4" t="s">
        <v>278</v>
      </c>
      <c r="HS3" s="4" t="s">
        <v>278</v>
      </c>
    </row>
    <row r="4" spans="1:240" x14ac:dyDescent="0.4">
      <c r="A4" s="4">
        <v>2</v>
      </c>
      <c r="B4" s="4" t="s">
        <v>239</v>
      </c>
      <c r="C4" s="4">
        <v>3</v>
      </c>
      <c r="D4" s="4">
        <v>1</v>
      </c>
      <c r="E4" s="4">
        <v>1</v>
      </c>
      <c r="F4" s="4" t="s">
        <v>240</v>
      </c>
      <c r="G4" s="4" t="s">
        <v>241</v>
      </c>
      <c r="H4" s="4" t="s">
        <v>241</v>
      </c>
      <c r="I4" s="4" t="s">
        <v>457</v>
      </c>
      <c r="J4" s="4" t="s">
        <v>458</v>
      </c>
      <c r="K4" s="4" t="s">
        <v>256</v>
      </c>
      <c r="L4" s="4" t="s">
        <v>454</v>
      </c>
      <c r="M4" s="5" t="s">
        <v>460</v>
      </c>
      <c r="N4" s="4" t="s">
        <v>454</v>
      </c>
      <c r="O4" s="6">
        <f>163.95</f>
        <v>163.95</v>
      </c>
      <c r="P4" s="4" t="s">
        <v>276</v>
      </c>
      <c r="Q4" s="6">
        <f>1</f>
        <v>1</v>
      </c>
      <c r="R4" s="6">
        <f>9837000</f>
        <v>9837000</v>
      </c>
      <c r="S4" s="5" t="s">
        <v>459</v>
      </c>
      <c r="T4" s="4" t="s">
        <v>441</v>
      </c>
      <c r="U4" s="4" t="s">
        <v>373</v>
      </c>
      <c r="W4" s="6">
        <f>9836999</f>
        <v>9836999</v>
      </c>
      <c r="X4" s="4" t="s">
        <v>243</v>
      </c>
      <c r="Y4" s="4" t="s">
        <v>244</v>
      </c>
      <c r="Z4" s="4" t="s">
        <v>282</v>
      </c>
      <c r="AA4" s="4" t="s">
        <v>241</v>
      </c>
      <c r="AD4" s="4" t="s">
        <v>241</v>
      </c>
      <c r="AF4" s="5" t="s">
        <v>241</v>
      </c>
      <c r="AI4" s="5" t="s">
        <v>249</v>
      </c>
      <c r="AJ4" s="4" t="s">
        <v>251</v>
      </c>
      <c r="AK4" s="4" t="s">
        <v>252</v>
      </c>
      <c r="BA4" s="4" t="s">
        <v>254</v>
      </c>
      <c r="BB4" s="4" t="s">
        <v>241</v>
      </c>
      <c r="BC4" s="4" t="s">
        <v>255</v>
      </c>
      <c r="BD4" s="4" t="s">
        <v>241</v>
      </c>
      <c r="BE4" s="4" t="s">
        <v>257</v>
      </c>
      <c r="BF4" s="4" t="s">
        <v>241</v>
      </c>
      <c r="BJ4" s="4" t="s">
        <v>377</v>
      </c>
      <c r="BK4" s="5" t="s">
        <v>378</v>
      </c>
      <c r="BL4" s="4" t="s">
        <v>261</v>
      </c>
      <c r="BM4" s="4" t="s">
        <v>262</v>
      </c>
      <c r="BN4" s="4" t="s">
        <v>241</v>
      </c>
      <c r="BO4" s="6">
        <f>0</f>
        <v>0</v>
      </c>
      <c r="BP4" s="6">
        <f>0</f>
        <v>0</v>
      </c>
      <c r="BQ4" s="4" t="s">
        <v>263</v>
      </c>
      <c r="BR4" s="4" t="s">
        <v>264</v>
      </c>
      <c r="CF4" s="4" t="s">
        <v>241</v>
      </c>
      <c r="CG4" s="4" t="s">
        <v>241</v>
      </c>
      <c r="CK4" s="4" t="s">
        <v>265</v>
      </c>
      <c r="CL4" s="4" t="s">
        <v>266</v>
      </c>
      <c r="CM4" s="4" t="s">
        <v>241</v>
      </c>
      <c r="CO4" s="4" t="s">
        <v>305</v>
      </c>
      <c r="CP4" s="5" t="s">
        <v>268</v>
      </c>
      <c r="CQ4" s="4" t="s">
        <v>269</v>
      </c>
      <c r="CR4" s="4" t="s">
        <v>270</v>
      </c>
      <c r="CS4" s="4" t="s">
        <v>241</v>
      </c>
      <c r="CT4" s="4" t="s">
        <v>241</v>
      </c>
      <c r="CU4" s="4">
        <v>0</v>
      </c>
      <c r="CV4" s="4" t="s">
        <v>271</v>
      </c>
      <c r="CW4" s="4" t="s">
        <v>455</v>
      </c>
      <c r="CX4" s="4" t="s">
        <v>487</v>
      </c>
      <c r="CZ4" s="6">
        <f>9837000</f>
        <v>9837000</v>
      </c>
      <c r="DA4" s="6">
        <f>0</f>
        <v>0</v>
      </c>
      <c r="DC4" s="4" t="s">
        <v>241</v>
      </c>
      <c r="DD4" s="4" t="s">
        <v>241</v>
      </c>
      <c r="DF4" s="4" t="s">
        <v>241</v>
      </c>
      <c r="DI4" s="4" t="s">
        <v>241</v>
      </c>
      <c r="DJ4" s="4" t="s">
        <v>241</v>
      </c>
      <c r="DK4" s="4" t="s">
        <v>241</v>
      </c>
      <c r="DL4" s="4" t="s">
        <v>241</v>
      </c>
      <c r="DM4" s="4" t="s">
        <v>277</v>
      </c>
      <c r="DN4" s="4" t="s">
        <v>278</v>
      </c>
      <c r="DO4" s="6">
        <f>163.95</f>
        <v>163.95</v>
      </c>
      <c r="DP4" s="4" t="s">
        <v>241</v>
      </c>
      <c r="DQ4" s="4" t="s">
        <v>241</v>
      </c>
      <c r="DR4" s="4" t="s">
        <v>241</v>
      </c>
      <c r="DS4" s="4" t="s">
        <v>241</v>
      </c>
      <c r="DV4" s="4" t="s">
        <v>461</v>
      </c>
      <c r="DW4" s="4" t="s">
        <v>297</v>
      </c>
      <c r="HO4" s="4" t="s">
        <v>277</v>
      </c>
      <c r="HR4" s="4" t="s">
        <v>278</v>
      </c>
      <c r="HS4" s="4" t="s">
        <v>278</v>
      </c>
    </row>
    <row r="5" spans="1:240" x14ac:dyDescent="0.4">
      <c r="A5" s="4">
        <v>2</v>
      </c>
      <c r="B5" s="4" t="s">
        <v>239</v>
      </c>
      <c r="C5" s="4">
        <v>4</v>
      </c>
      <c r="D5" s="4">
        <v>1</v>
      </c>
      <c r="E5" s="4">
        <v>7</v>
      </c>
      <c r="F5" s="4" t="s">
        <v>240</v>
      </c>
      <c r="G5" s="4" t="s">
        <v>241</v>
      </c>
      <c r="H5" s="4" t="s">
        <v>241</v>
      </c>
      <c r="I5" s="4" t="s">
        <v>457</v>
      </c>
      <c r="J5" s="4" t="s">
        <v>458</v>
      </c>
      <c r="K5" s="4" t="s">
        <v>256</v>
      </c>
      <c r="L5" s="4" t="s">
        <v>429</v>
      </c>
      <c r="M5" s="5" t="s">
        <v>460</v>
      </c>
      <c r="N5" s="4" t="s">
        <v>429</v>
      </c>
      <c r="O5" s="6">
        <f>447.04</f>
        <v>447.04</v>
      </c>
      <c r="P5" s="4" t="s">
        <v>276</v>
      </c>
      <c r="Q5" s="6">
        <f>14439400</f>
        <v>14439400</v>
      </c>
      <c r="R5" s="6">
        <f>42468800</f>
        <v>42468800</v>
      </c>
      <c r="S5" s="5" t="s">
        <v>3038</v>
      </c>
      <c r="T5" s="4" t="s">
        <v>441</v>
      </c>
      <c r="U5" s="4" t="s">
        <v>379</v>
      </c>
      <c r="V5" s="6">
        <f>1401470</f>
        <v>1401470</v>
      </c>
      <c r="W5" s="6">
        <f>28029400</f>
        <v>28029400</v>
      </c>
      <c r="X5" s="4" t="s">
        <v>243</v>
      </c>
      <c r="Y5" s="4" t="s">
        <v>244</v>
      </c>
      <c r="Z5" s="4" t="s">
        <v>282</v>
      </c>
      <c r="AA5" s="4" t="s">
        <v>241</v>
      </c>
      <c r="AD5" s="4" t="s">
        <v>241</v>
      </c>
      <c r="AE5" s="5" t="s">
        <v>241</v>
      </c>
      <c r="AF5" s="5" t="s">
        <v>241</v>
      </c>
      <c r="AH5" s="5" t="s">
        <v>241</v>
      </c>
      <c r="AI5" s="5" t="s">
        <v>249</v>
      </c>
      <c r="AJ5" s="4" t="s">
        <v>251</v>
      </c>
      <c r="AK5" s="4" t="s">
        <v>252</v>
      </c>
      <c r="AQ5" s="4" t="s">
        <v>241</v>
      </c>
      <c r="AR5" s="4" t="s">
        <v>241</v>
      </c>
      <c r="AS5" s="4" t="s">
        <v>241</v>
      </c>
      <c r="AT5" s="5" t="s">
        <v>241</v>
      </c>
      <c r="AU5" s="5" t="s">
        <v>241</v>
      </c>
      <c r="AV5" s="5" t="s">
        <v>241</v>
      </c>
      <c r="AY5" s="4" t="s">
        <v>286</v>
      </c>
      <c r="AZ5" s="4" t="s">
        <v>286</v>
      </c>
      <c r="BA5" s="4" t="s">
        <v>254</v>
      </c>
      <c r="BB5" s="4" t="s">
        <v>287</v>
      </c>
      <c r="BC5" s="4" t="s">
        <v>255</v>
      </c>
      <c r="BD5" s="4" t="s">
        <v>241</v>
      </c>
      <c r="BE5" s="4" t="s">
        <v>257</v>
      </c>
      <c r="BF5" s="4" t="s">
        <v>241</v>
      </c>
      <c r="BJ5" s="4" t="s">
        <v>288</v>
      </c>
      <c r="BK5" s="5" t="s">
        <v>289</v>
      </c>
      <c r="BL5" s="4" t="s">
        <v>290</v>
      </c>
      <c r="BM5" s="4" t="s">
        <v>290</v>
      </c>
      <c r="BN5" s="4" t="s">
        <v>241</v>
      </c>
      <c r="BO5" s="6">
        <f>0</f>
        <v>0</v>
      </c>
      <c r="BP5" s="6">
        <f>-1401470</f>
        <v>-1401470</v>
      </c>
      <c r="BQ5" s="4" t="s">
        <v>263</v>
      </c>
      <c r="BR5" s="4" t="s">
        <v>264</v>
      </c>
      <c r="BS5" s="4" t="s">
        <v>241</v>
      </c>
      <c r="BT5" s="4" t="s">
        <v>241</v>
      </c>
      <c r="BU5" s="4" t="s">
        <v>241</v>
      </c>
      <c r="BV5" s="4" t="s">
        <v>241</v>
      </c>
      <c r="CE5" s="4" t="s">
        <v>264</v>
      </c>
      <c r="CF5" s="4" t="s">
        <v>241</v>
      </c>
      <c r="CG5" s="4" t="s">
        <v>241</v>
      </c>
      <c r="CK5" s="4" t="s">
        <v>291</v>
      </c>
      <c r="CL5" s="4" t="s">
        <v>266</v>
      </c>
      <c r="CM5" s="4" t="s">
        <v>241</v>
      </c>
      <c r="CO5" s="4" t="s">
        <v>1127</v>
      </c>
      <c r="CP5" s="5" t="s">
        <v>268</v>
      </c>
      <c r="CQ5" s="4" t="s">
        <v>269</v>
      </c>
      <c r="CR5" s="4" t="s">
        <v>270</v>
      </c>
      <c r="CS5" s="4" t="s">
        <v>293</v>
      </c>
      <c r="CT5" s="4" t="s">
        <v>241</v>
      </c>
      <c r="CU5" s="4">
        <v>3.3000000000000002E-2</v>
      </c>
      <c r="CV5" s="4" t="s">
        <v>271</v>
      </c>
      <c r="CW5" s="4" t="s">
        <v>272</v>
      </c>
      <c r="CX5" s="4" t="s">
        <v>487</v>
      </c>
      <c r="CY5" s="6">
        <f>0</f>
        <v>0</v>
      </c>
      <c r="CZ5" s="6">
        <f>42468800</f>
        <v>42468800</v>
      </c>
      <c r="DA5" s="6">
        <f>8833520</f>
        <v>8833520</v>
      </c>
      <c r="DC5" s="4" t="s">
        <v>241</v>
      </c>
      <c r="DD5" s="4" t="s">
        <v>241</v>
      </c>
      <c r="DF5" s="4" t="s">
        <v>241</v>
      </c>
      <c r="DG5" s="6">
        <f>0</f>
        <v>0</v>
      </c>
      <c r="DI5" s="4" t="s">
        <v>241</v>
      </c>
      <c r="DJ5" s="4" t="s">
        <v>241</v>
      </c>
      <c r="DK5" s="4" t="s">
        <v>241</v>
      </c>
      <c r="DL5" s="4" t="s">
        <v>241</v>
      </c>
      <c r="DM5" s="4" t="s">
        <v>277</v>
      </c>
      <c r="DN5" s="4" t="s">
        <v>278</v>
      </c>
      <c r="DO5" s="6">
        <f>447.04</f>
        <v>447.04</v>
      </c>
      <c r="DP5" s="4" t="s">
        <v>241</v>
      </c>
      <c r="DQ5" s="4" t="s">
        <v>241</v>
      </c>
      <c r="DR5" s="4" t="s">
        <v>241</v>
      </c>
      <c r="DS5" s="4" t="s">
        <v>241</v>
      </c>
      <c r="DV5" s="4" t="s">
        <v>461</v>
      </c>
      <c r="DW5" s="4" t="s">
        <v>336</v>
      </c>
      <c r="GN5" s="4" t="s">
        <v>3039</v>
      </c>
      <c r="HO5" s="4" t="s">
        <v>300</v>
      </c>
      <c r="HR5" s="4" t="s">
        <v>278</v>
      </c>
      <c r="HS5" s="4" t="s">
        <v>278</v>
      </c>
      <c r="HT5" s="4" t="s">
        <v>241</v>
      </c>
      <c r="HU5" s="4" t="s">
        <v>241</v>
      </c>
      <c r="HV5" s="4" t="s">
        <v>241</v>
      </c>
      <c r="HW5" s="4" t="s">
        <v>241</v>
      </c>
      <c r="HX5" s="4" t="s">
        <v>241</v>
      </c>
      <c r="HY5" s="4" t="s">
        <v>241</v>
      </c>
      <c r="HZ5" s="4" t="s">
        <v>241</v>
      </c>
      <c r="IA5" s="4" t="s">
        <v>241</v>
      </c>
      <c r="IB5" s="4" t="s">
        <v>241</v>
      </c>
      <c r="IC5" s="4" t="s">
        <v>241</v>
      </c>
      <c r="ID5" s="4" t="s">
        <v>241</v>
      </c>
      <c r="IE5" s="4" t="s">
        <v>241</v>
      </c>
      <c r="IF5" s="4" t="s">
        <v>241</v>
      </c>
    </row>
    <row r="6" spans="1:240" x14ac:dyDescent="0.4">
      <c r="A6" s="4">
        <v>2</v>
      </c>
      <c r="B6" s="4" t="s">
        <v>239</v>
      </c>
      <c r="C6" s="4">
        <v>5</v>
      </c>
      <c r="D6" s="4">
        <v>1</v>
      </c>
      <c r="E6" s="4">
        <v>4</v>
      </c>
      <c r="F6" s="4" t="s">
        <v>240</v>
      </c>
      <c r="I6" s="4" t="s">
        <v>241</v>
      </c>
      <c r="J6" s="4" t="s">
        <v>4092</v>
      </c>
      <c r="K6" s="4" t="s">
        <v>256</v>
      </c>
      <c r="L6" s="4" t="s">
        <v>280</v>
      </c>
      <c r="M6" s="5" t="s">
        <v>460</v>
      </c>
      <c r="N6" s="4" t="s">
        <v>4091</v>
      </c>
      <c r="O6" s="6">
        <f>159.5</f>
        <v>159.5</v>
      </c>
      <c r="P6" s="4" t="s">
        <v>276</v>
      </c>
      <c r="Q6" s="6">
        <f>2871000</f>
        <v>2871000</v>
      </c>
      <c r="R6" s="6">
        <f>28710000</f>
        <v>28710000</v>
      </c>
      <c r="S6" s="5" t="s">
        <v>686</v>
      </c>
      <c r="T6" s="4" t="s">
        <v>296</v>
      </c>
      <c r="U6" s="4" t="s">
        <v>683</v>
      </c>
      <c r="V6" s="6">
        <f>574200</f>
        <v>574200</v>
      </c>
      <c r="W6" s="6">
        <f>25839000</f>
        <v>25839000</v>
      </c>
      <c r="X6" s="4" t="s">
        <v>243</v>
      </c>
      <c r="Y6" s="4" t="s">
        <v>244</v>
      </c>
      <c r="Z6" s="4" t="s">
        <v>282</v>
      </c>
      <c r="AA6" s="4" t="s">
        <v>241</v>
      </c>
      <c r="AD6" s="4" t="s">
        <v>241</v>
      </c>
      <c r="AE6" s="5" t="s">
        <v>241</v>
      </c>
      <c r="AF6" s="5" t="s">
        <v>241</v>
      </c>
      <c r="AH6" s="5" t="s">
        <v>241</v>
      </c>
      <c r="AI6" s="5" t="s">
        <v>249</v>
      </c>
      <c r="AJ6" s="4" t="s">
        <v>251</v>
      </c>
      <c r="AK6" s="4" t="s">
        <v>252</v>
      </c>
      <c r="AV6" s="5" t="s">
        <v>241</v>
      </c>
      <c r="AY6" s="4" t="s">
        <v>286</v>
      </c>
      <c r="AZ6" s="4" t="s">
        <v>286</v>
      </c>
      <c r="BA6" s="4" t="s">
        <v>254</v>
      </c>
      <c r="BB6" s="4" t="s">
        <v>287</v>
      </c>
      <c r="BC6" s="4" t="s">
        <v>255</v>
      </c>
      <c r="BD6" s="4" t="s">
        <v>241</v>
      </c>
      <c r="BE6" s="4" t="s">
        <v>257</v>
      </c>
      <c r="BF6" s="4" t="s">
        <v>241</v>
      </c>
      <c r="BH6" s="4" t="s">
        <v>4093</v>
      </c>
      <c r="BJ6" s="4" t="s">
        <v>288</v>
      </c>
      <c r="BK6" s="5" t="s">
        <v>289</v>
      </c>
      <c r="BL6" s="4" t="s">
        <v>290</v>
      </c>
      <c r="BM6" s="4" t="s">
        <v>290</v>
      </c>
      <c r="BN6" s="4" t="s">
        <v>241</v>
      </c>
      <c r="BO6" s="6">
        <f>0</f>
        <v>0</v>
      </c>
      <c r="BP6" s="6">
        <f>-574200</f>
        <v>-574200</v>
      </c>
      <c r="BQ6" s="4" t="s">
        <v>263</v>
      </c>
      <c r="BR6" s="4" t="s">
        <v>264</v>
      </c>
      <c r="BS6" s="4" t="s">
        <v>241</v>
      </c>
      <c r="BT6" s="4" t="s">
        <v>241</v>
      </c>
      <c r="BU6" s="4" t="s">
        <v>241</v>
      </c>
      <c r="BV6" s="4" t="s">
        <v>241</v>
      </c>
      <c r="CE6" s="4" t="s">
        <v>264</v>
      </c>
      <c r="CF6" s="4" t="s">
        <v>241</v>
      </c>
      <c r="CG6" s="4" t="s">
        <v>241</v>
      </c>
      <c r="CK6" s="4" t="s">
        <v>265</v>
      </c>
      <c r="CL6" s="4" t="s">
        <v>266</v>
      </c>
      <c r="CM6" s="4" t="s">
        <v>241</v>
      </c>
      <c r="CO6" s="4" t="s">
        <v>392</v>
      </c>
      <c r="CP6" s="5" t="s">
        <v>268</v>
      </c>
      <c r="CQ6" s="4" t="s">
        <v>269</v>
      </c>
      <c r="CR6" s="4" t="s">
        <v>270</v>
      </c>
      <c r="CS6" s="4" t="s">
        <v>293</v>
      </c>
      <c r="CT6" s="4" t="s">
        <v>241</v>
      </c>
      <c r="CU6" s="4">
        <v>0.02</v>
      </c>
      <c r="CV6" s="4" t="s">
        <v>271</v>
      </c>
      <c r="CW6" s="4" t="s">
        <v>294</v>
      </c>
      <c r="CX6" s="4" t="s">
        <v>295</v>
      </c>
      <c r="CY6" s="6">
        <f>0</f>
        <v>0</v>
      </c>
      <c r="CZ6" s="6">
        <f>28710000</f>
        <v>28710000</v>
      </c>
      <c r="DA6" s="6">
        <f>2871000</f>
        <v>2871000</v>
      </c>
      <c r="DC6" s="4" t="s">
        <v>241</v>
      </c>
      <c r="DD6" s="4" t="s">
        <v>241</v>
      </c>
      <c r="DF6" s="4" t="s">
        <v>241</v>
      </c>
      <c r="DG6" s="6">
        <f>0</f>
        <v>0</v>
      </c>
      <c r="DI6" s="4" t="s">
        <v>241</v>
      </c>
      <c r="DJ6" s="4" t="s">
        <v>241</v>
      </c>
      <c r="DK6" s="4" t="s">
        <v>241</v>
      </c>
      <c r="DL6" s="4" t="s">
        <v>241</v>
      </c>
      <c r="DM6" s="4" t="s">
        <v>277</v>
      </c>
      <c r="DN6" s="4" t="s">
        <v>278</v>
      </c>
      <c r="DO6" s="6">
        <f>159.5</f>
        <v>159.5</v>
      </c>
      <c r="DP6" s="4" t="s">
        <v>241</v>
      </c>
      <c r="DQ6" s="4" t="s">
        <v>241</v>
      </c>
      <c r="DR6" s="4" t="s">
        <v>241</v>
      </c>
      <c r="DS6" s="4" t="s">
        <v>241</v>
      </c>
      <c r="DV6" s="4" t="s">
        <v>480</v>
      </c>
      <c r="DW6" s="4" t="s">
        <v>277</v>
      </c>
      <c r="GN6" s="4" t="s">
        <v>4094</v>
      </c>
      <c r="HO6" s="4" t="s">
        <v>341</v>
      </c>
      <c r="HR6" s="4" t="s">
        <v>278</v>
      </c>
      <c r="HS6" s="4" t="s">
        <v>278</v>
      </c>
      <c r="HT6" s="4" t="s">
        <v>241</v>
      </c>
      <c r="HU6" s="4" t="s">
        <v>241</v>
      </c>
      <c r="HV6" s="4" t="s">
        <v>241</v>
      </c>
      <c r="HW6" s="4" t="s">
        <v>241</v>
      </c>
      <c r="HX6" s="4" t="s">
        <v>241</v>
      </c>
      <c r="HY6" s="4" t="s">
        <v>241</v>
      </c>
      <c r="HZ6" s="4" t="s">
        <v>241</v>
      </c>
      <c r="IA6" s="4" t="s">
        <v>241</v>
      </c>
      <c r="IB6" s="4" t="s">
        <v>241</v>
      </c>
      <c r="IC6" s="4" t="s">
        <v>241</v>
      </c>
      <c r="ID6" s="4" t="s">
        <v>241</v>
      </c>
      <c r="IE6" s="4" t="s">
        <v>241</v>
      </c>
      <c r="IF6" s="4" t="s">
        <v>241</v>
      </c>
    </row>
    <row r="7" spans="1:240" x14ac:dyDescent="0.4">
      <c r="A7" s="4">
        <v>2</v>
      </c>
      <c r="B7" s="4" t="s">
        <v>239</v>
      </c>
      <c r="C7" s="4">
        <v>6</v>
      </c>
      <c r="D7" s="4">
        <v>1</v>
      </c>
      <c r="E7" s="4">
        <v>3</v>
      </c>
      <c r="F7" s="4" t="s">
        <v>326</v>
      </c>
      <c r="G7" s="4" t="s">
        <v>241</v>
      </c>
      <c r="H7" s="4" t="s">
        <v>241</v>
      </c>
      <c r="I7" s="4" t="s">
        <v>477</v>
      </c>
      <c r="J7" s="4" t="s">
        <v>478</v>
      </c>
      <c r="K7" s="4" t="s">
        <v>256</v>
      </c>
      <c r="L7" s="4" t="s">
        <v>114</v>
      </c>
      <c r="M7" s="5" t="s">
        <v>460</v>
      </c>
      <c r="N7" s="4" t="s">
        <v>476</v>
      </c>
      <c r="O7" s="6">
        <f>0</f>
        <v>0</v>
      </c>
      <c r="P7" s="4" t="s">
        <v>276</v>
      </c>
      <c r="Q7" s="6">
        <f>3308688</f>
        <v>3308688</v>
      </c>
      <c r="R7" s="6">
        <f>3596400</f>
        <v>3596400</v>
      </c>
      <c r="S7" s="5" t="s">
        <v>479</v>
      </c>
      <c r="T7" s="4" t="s">
        <v>296</v>
      </c>
      <c r="U7" s="4" t="s">
        <v>297</v>
      </c>
      <c r="V7" s="6">
        <f>71928</f>
        <v>71928</v>
      </c>
      <c r="W7" s="6">
        <f>287712</f>
        <v>287712</v>
      </c>
      <c r="X7" s="4" t="s">
        <v>243</v>
      </c>
      <c r="Y7" s="4" t="s">
        <v>244</v>
      </c>
      <c r="Z7" s="4" t="s">
        <v>282</v>
      </c>
      <c r="AA7" s="4" t="s">
        <v>241</v>
      </c>
      <c r="AD7" s="4" t="s">
        <v>241</v>
      </c>
      <c r="AE7" s="5" t="s">
        <v>241</v>
      </c>
      <c r="AF7" s="5" t="s">
        <v>241</v>
      </c>
      <c r="AH7" s="5" t="s">
        <v>241</v>
      </c>
      <c r="AI7" s="5" t="s">
        <v>249</v>
      </c>
      <c r="AJ7" s="4" t="s">
        <v>251</v>
      </c>
      <c r="AK7" s="4" t="s">
        <v>252</v>
      </c>
      <c r="AQ7" s="4" t="s">
        <v>241</v>
      </c>
      <c r="AR7" s="4" t="s">
        <v>241</v>
      </c>
      <c r="AS7" s="4" t="s">
        <v>241</v>
      </c>
      <c r="AT7" s="5" t="s">
        <v>241</v>
      </c>
      <c r="AU7" s="5" t="s">
        <v>241</v>
      </c>
      <c r="AV7" s="5" t="s">
        <v>241</v>
      </c>
      <c r="AY7" s="4" t="s">
        <v>286</v>
      </c>
      <c r="AZ7" s="4" t="s">
        <v>286</v>
      </c>
      <c r="BA7" s="4" t="s">
        <v>254</v>
      </c>
      <c r="BB7" s="4" t="s">
        <v>287</v>
      </c>
      <c r="BC7" s="4" t="s">
        <v>255</v>
      </c>
      <c r="BD7" s="4" t="s">
        <v>241</v>
      </c>
      <c r="BE7" s="4" t="s">
        <v>257</v>
      </c>
      <c r="BF7" s="4" t="s">
        <v>241</v>
      </c>
      <c r="BJ7" s="4" t="s">
        <v>288</v>
      </c>
      <c r="BK7" s="5" t="s">
        <v>289</v>
      </c>
      <c r="BL7" s="4" t="s">
        <v>290</v>
      </c>
      <c r="BM7" s="4" t="s">
        <v>290</v>
      </c>
      <c r="BN7" s="4" t="s">
        <v>241</v>
      </c>
      <c r="BP7" s="6">
        <f>-71928</f>
        <v>-71928</v>
      </c>
      <c r="BQ7" s="4" t="s">
        <v>263</v>
      </c>
      <c r="BR7" s="4" t="s">
        <v>264</v>
      </c>
      <c r="BS7" s="4" t="s">
        <v>241</v>
      </c>
      <c r="BT7" s="4" t="s">
        <v>241</v>
      </c>
      <c r="BU7" s="4" t="s">
        <v>241</v>
      </c>
      <c r="BV7" s="4" t="s">
        <v>241</v>
      </c>
      <c r="CE7" s="4" t="s">
        <v>264</v>
      </c>
      <c r="CF7" s="4" t="s">
        <v>241</v>
      </c>
      <c r="CG7" s="4" t="s">
        <v>241</v>
      </c>
      <c r="CK7" s="4" t="s">
        <v>291</v>
      </c>
      <c r="CL7" s="4" t="s">
        <v>266</v>
      </c>
      <c r="CM7" s="4" t="s">
        <v>241</v>
      </c>
      <c r="CO7" s="4" t="s">
        <v>413</v>
      </c>
      <c r="CP7" s="5" t="s">
        <v>268</v>
      </c>
      <c r="CQ7" s="4" t="s">
        <v>269</v>
      </c>
      <c r="CR7" s="4" t="s">
        <v>270</v>
      </c>
      <c r="CS7" s="4" t="s">
        <v>293</v>
      </c>
      <c r="CT7" s="4" t="s">
        <v>241</v>
      </c>
      <c r="CU7" s="4">
        <v>0.02</v>
      </c>
      <c r="CV7" s="4" t="s">
        <v>271</v>
      </c>
      <c r="CW7" s="4" t="s">
        <v>294</v>
      </c>
      <c r="CX7" s="4" t="s">
        <v>295</v>
      </c>
      <c r="CY7" s="6">
        <f>0</f>
        <v>0</v>
      </c>
      <c r="CZ7" s="6">
        <f>3596400</f>
        <v>3596400</v>
      </c>
      <c r="DA7" s="6">
        <f>3308688</f>
        <v>3308688</v>
      </c>
      <c r="DC7" s="4" t="s">
        <v>241</v>
      </c>
      <c r="DD7" s="4" t="s">
        <v>241</v>
      </c>
      <c r="DF7" s="4" t="s">
        <v>241</v>
      </c>
      <c r="DG7" s="6">
        <f>0</f>
        <v>0</v>
      </c>
      <c r="DI7" s="4" t="s">
        <v>241</v>
      </c>
      <c r="DJ7" s="4" t="s">
        <v>241</v>
      </c>
      <c r="DK7" s="4" t="s">
        <v>241</v>
      </c>
      <c r="DL7" s="4" t="s">
        <v>241</v>
      </c>
      <c r="DM7" s="4" t="s">
        <v>278</v>
      </c>
      <c r="DN7" s="4" t="s">
        <v>278</v>
      </c>
      <c r="DO7" s="6" t="s">
        <v>241</v>
      </c>
      <c r="DP7" s="4" t="s">
        <v>241</v>
      </c>
      <c r="DQ7" s="4" t="s">
        <v>241</v>
      </c>
      <c r="DR7" s="4" t="s">
        <v>241</v>
      </c>
      <c r="DS7" s="4" t="s">
        <v>241</v>
      </c>
      <c r="DV7" s="4" t="s">
        <v>480</v>
      </c>
      <c r="DW7" s="4" t="s">
        <v>323</v>
      </c>
      <c r="GN7" s="4" t="s">
        <v>481</v>
      </c>
      <c r="HO7" s="4" t="s">
        <v>300</v>
      </c>
      <c r="HR7" s="4" t="s">
        <v>278</v>
      </c>
      <c r="HS7" s="4" t="s">
        <v>278</v>
      </c>
      <c r="HT7" s="4" t="s">
        <v>241</v>
      </c>
      <c r="HU7" s="4" t="s">
        <v>241</v>
      </c>
      <c r="HV7" s="4" t="s">
        <v>241</v>
      </c>
      <c r="HW7" s="4" t="s">
        <v>241</v>
      </c>
      <c r="HX7" s="4" t="s">
        <v>241</v>
      </c>
      <c r="HY7" s="4" t="s">
        <v>241</v>
      </c>
      <c r="HZ7" s="4" t="s">
        <v>241</v>
      </c>
      <c r="IA7" s="4" t="s">
        <v>241</v>
      </c>
      <c r="IB7" s="4" t="s">
        <v>241</v>
      </c>
      <c r="IC7" s="4" t="s">
        <v>241</v>
      </c>
      <c r="ID7" s="4" t="s">
        <v>241</v>
      </c>
      <c r="IE7" s="4" t="s">
        <v>241</v>
      </c>
      <c r="IF7" s="4" t="s">
        <v>241</v>
      </c>
    </row>
    <row r="8" spans="1:240" x14ac:dyDescent="0.4">
      <c r="A8" s="4">
        <v>2</v>
      </c>
      <c r="B8" s="4" t="s">
        <v>239</v>
      </c>
      <c r="C8" s="4">
        <v>7</v>
      </c>
      <c r="D8" s="4">
        <v>1</v>
      </c>
      <c r="E8" s="4">
        <v>3</v>
      </c>
      <c r="F8" s="4" t="s">
        <v>326</v>
      </c>
      <c r="G8" s="4" t="s">
        <v>241</v>
      </c>
      <c r="H8" s="4" t="s">
        <v>241</v>
      </c>
      <c r="I8" s="4" t="s">
        <v>477</v>
      </c>
      <c r="J8" s="4" t="s">
        <v>478</v>
      </c>
      <c r="K8" s="4" t="s">
        <v>256</v>
      </c>
      <c r="L8" s="4" t="s">
        <v>241</v>
      </c>
      <c r="M8" s="5" t="s">
        <v>460</v>
      </c>
      <c r="N8" s="4" t="s">
        <v>2917</v>
      </c>
      <c r="O8" s="6">
        <f>0</f>
        <v>0</v>
      </c>
      <c r="P8" s="4" t="s">
        <v>276</v>
      </c>
      <c r="Q8" s="6">
        <f>4149684</f>
        <v>4149684</v>
      </c>
      <c r="R8" s="6">
        <f>8316000</f>
        <v>8316000</v>
      </c>
      <c r="S8" s="5" t="s">
        <v>485</v>
      </c>
      <c r="T8" s="4" t="s">
        <v>300</v>
      </c>
      <c r="U8" s="4" t="s">
        <v>323</v>
      </c>
      <c r="V8" s="6">
        <f>1388772</f>
        <v>1388772</v>
      </c>
      <c r="W8" s="6">
        <f>4166316</f>
        <v>4166316</v>
      </c>
      <c r="X8" s="4" t="s">
        <v>243</v>
      </c>
      <c r="Y8" s="4" t="s">
        <v>244</v>
      </c>
      <c r="Z8" s="4" t="s">
        <v>241</v>
      </c>
      <c r="AA8" s="4" t="s">
        <v>241</v>
      </c>
      <c r="AD8" s="4" t="s">
        <v>241</v>
      </c>
      <c r="AE8" s="5" t="s">
        <v>241</v>
      </c>
      <c r="AF8" s="5" t="s">
        <v>241</v>
      </c>
      <c r="AH8" s="5" t="s">
        <v>241</v>
      </c>
      <c r="AI8" s="5" t="s">
        <v>249</v>
      </c>
      <c r="AJ8" s="4" t="s">
        <v>251</v>
      </c>
      <c r="AK8" s="4" t="s">
        <v>252</v>
      </c>
      <c r="AQ8" s="4" t="s">
        <v>241</v>
      </c>
      <c r="AR8" s="4" t="s">
        <v>241</v>
      </c>
      <c r="AS8" s="4" t="s">
        <v>241</v>
      </c>
      <c r="AT8" s="5" t="s">
        <v>241</v>
      </c>
      <c r="AU8" s="5" t="s">
        <v>241</v>
      </c>
      <c r="AV8" s="5" t="s">
        <v>241</v>
      </c>
      <c r="AY8" s="4" t="s">
        <v>286</v>
      </c>
      <c r="AZ8" s="4" t="s">
        <v>286</v>
      </c>
      <c r="BA8" s="4" t="s">
        <v>254</v>
      </c>
      <c r="BB8" s="4" t="s">
        <v>287</v>
      </c>
      <c r="BC8" s="4" t="s">
        <v>255</v>
      </c>
      <c r="BD8" s="4" t="s">
        <v>241</v>
      </c>
      <c r="BE8" s="4" t="s">
        <v>257</v>
      </c>
      <c r="BF8" s="4" t="s">
        <v>241</v>
      </c>
      <c r="BJ8" s="4" t="s">
        <v>288</v>
      </c>
      <c r="BK8" s="5" t="s">
        <v>289</v>
      </c>
      <c r="BL8" s="4" t="s">
        <v>290</v>
      </c>
      <c r="BM8" s="4" t="s">
        <v>290</v>
      </c>
      <c r="BN8" s="4" t="s">
        <v>241</v>
      </c>
      <c r="BP8" s="6">
        <f>-1388772</f>
        <v>-1388772</v>
      </c>
      <c r="BQ8" s="4" t="s">
        <v>263</v>
      </c>
      <c r="BR8" s="4" t="s">
        <v>264</v>
      </c>
      <c r="BS8" s="4" t="s">
        <v>241</v>
      </c>
      <c r="BT8" s="4" t="s">
        <v>241</v>
      </c>
      <c r="BU8" s="4" t="s">
        <v>241</v>
      </c>
      <c r="BV8" s="4" t="s">
        <v>241</v>
      </c>
      <c r="CE8" s="4" t="s">
        <v>264</v>
      </c>
      <c r="CF8" s="4" t="s">
        <v>241</v>
      </c>
      <c r="CG8" s="4" t="s">
        <v>241</v>
      </c>
      <c r="CK8" s="4" t="s">
        <v>291</v>
      </c>
      <c r="CL8" s="4" t="s">
        <v>266</v>
      </c>
      <c r="CM8" s="4" t="s">
        <v>241</v>
      </c>
      <c r="CO8" s="4" t="s">
        <v>421</v>
      </c>
      <c r="CP8" s="5" t="s">
        <v>268</v>
      </c>
      <c r="CQ8" s="4" t="s">
        <v>269</v>
      </c>
      <c r="CR8" s="4" t="s">
        <v>270</v>
      </c>
      <c r="CS8" s="4" t="s">
        <v>293</v>
      </c>
      <c r="CT8" s="4" t="s">
        <v>241</v>
      </c>
      <c r="CU8" s="4">
        <v>0.16700000000000001</v>
      </c>
      <c r="CV8" s="4" t="s">
        <v>271</v>
      </c>
      <c r="CW8" s="4" t="s">
        <v>415</v>
      </c>
      <c r="CX8" s="4" t="s">
        <v>2900</v>
      </c>
      <c r="CY8" s="6">
        <f>0</f>
        <v>0</v>
      </c>
      <c r="CZ8" s="6">
        <f>8316000</f>
        <v>8316000</v>
      </c>
      <c r="DA8" s="6">
        <f>4149684</f>
        <v>4149684</v>
      </c>
      <c r="DC8" s="4" t="s">
        <v>241</v>
      </c>
      <c r="DD8" s="4" t="s">
        <v>241</v>
      </c>
      <c r="DF8" s="4" t="s">
        <v>241</v>
      </c>
      <c r="DG8" s="6">
        <f>0</f>
        <v>0</v>
      </c>
      <c r="DI8" s="4" t="s">
        <v>241</v>
      </c>
      <c r="DJ8" s="4" t="s">
        <v>241</v>
      </c>
      <c r="DK8" s="4" t="s">
        <v>241</v>
      </c>
      <c r="DL8" s="4" t="s">
        <v>241</v>
      </c>
      <c r="DM8" s="4" t="s">
        <v>278</v>
      </c>
      <c r="DN8" s="4" t="s">
        <v>278</v>
      </c>
      <c r="DO8" s="6" t="s">
        <v>241</v>
      </c>
      <c r="DP8" s="4" t="s">
        <v>241</v>
      </c>
      <c r="DQ8" s="4" t="s">
        <v>241</v>
      </c>
      <c r="DR8" s="4" t="s">
        <v>241</v>
      </c>
      <c r="DS8" s="4" t="s">
        <v>241</v>
      </c>
      <c r="DV8" s="4" t="s">
        <v>480</v>
      </c>
      <c r="DW8" s="4" t="s">
        <v>297</v>
      </c>
      <c r="GN8" s="4" t="s">
        <v>2918</v>
      </c>
      <c r="HO8" s="4" t="s">
        <v>351</v>
      </c>
      <c r="HR8" s="4" t="s">
        <v>278</v>
      </c>
      <c r="HS8" s="4" t="s">
        <v>278</v>
      </c>
      <c r="HT8" s="4" t="s">
        <v>241</v>
      </c>
      <c r="HU8" s="4" t="s">
        <v>241</v>
      </c>
      <c r="HV8" s="4" t="s">
        <v>241</v>
      </c>
      <c r="HW8" s="4" t="s">
        <v>241</v>
      </c>
      <c r="HX8" s="4" t="s">
        <v>241</v>
      </c>
      <c r="HY8" s="4" t="s">
        <v>241</v>
      </c>
      <c r="HZ8" s="4" t="s">
        <v>241</v>
      </c>
      <c r="IA8" s="4" t="s">
        <v>241</v>
      </c>
      <c r="IB8" s="4" t="s">
        <v>241</v>
      </c>
      <c r="IC8" s="4" t="s">
        <v>241</v>
      </c>
      <c r="ID8" s="4" t="s">
        <v>241</v>
      </c>
      <c r="IE8" s="4" t="s">
        <v>241</v>
      </c>
      <c r="IF8" s="4" t="s">
        <v>241</v>
      </c>
    </row>
    <row r="9" spans="1:240" x14ac:dyDescent="0.4">
      <c r="A9" s="4">
        <v>2</v>
      </c>
      <c r="B9" s="4" t="s">
        <v>239</v>
      </c>
      <c r="C9" s="4">
        <v>8</v>
      </c>
      <c r="D9" s="4">
        <v>1</v>
      </c>
      <c r="E9" s="4">
        <v>3</v>
      </c>
      <c r="F9" s="4" t="s">
        <v>326</v>
      </c>
      <c r="G9" s="4" t="s">
        <v>241</v>
      </c>
      <c r="H9" s="4" t="s">
        <v>241</v>
      </c>
      <c r="I9" s="4" t="s">
        <v>477</v>
      </c>
      <c r="J9" s="4" t="s">
        <v>478</v>
      </c>
      <c r="K9" s="4" t="s">
        <v>256</v>
      </c>
      <c r="L9" s="4" t="s">
        <v>241</v>
      </c>
      <c r="M9" s="5" t="s">
        <v>460</v>
      </c>
      <c r="N9" s="4" t="s">
        <v>2914</v>
      </c>
      <c r="O9" s="6">
        <f>0</f>
        <v>0</v>
      </c>
      <c r="P9" s="4" t="s">
        <v>276</v>
      </c>
      <c r="Q9" s="6">
        <f>5116608</f>
        <v>5116608</v>
      </c>
      <c r="R9" s="6">
        <f>6048000</f>
        <v>6048000</v>
      </c>
      <c r="S9" s="5" t="s">
        <v>2915</v>
      </c>
      <c r="T9" s="4" t="s">
        <v>322</v>
      </c>
      <c r="U9" s="4" t="s">
        <v>277</v>
      </c>
      <c r="V9" s="6">
        <f>465696</f>
        <v>465696</v>
      </c>
      <c r="W9" s="6">
        <f>931392</f>
        <v>931392</v>
      </c>
      <c r="X9" s="4" t="s">
        <v>243</v>
      </c>
      <c r="Y9" s="4" t="s">
        <v>244</v>
      </c>
      <c r="Z9" s="4" t="s">
        <v>241</v>
      </c>
      <c r="AA9" s="4" t="s">
        <v>241</v>
      </c>
      <c r="AD9" s="4" t="s">
        <v>241</v>
      </c>
      <c r="AE9" s="5" t="s">
        <v>241</v>
      </c>
      <c r="AF9" s="5" t="s">
        <v>241</v>
      </c>
      <c r="AH9" s="5" t="s">
        <v>241</v>
      </c>
      <c r="AI9" s="5" t="s">
        <v>249</v>
      </c>
      <c r="AJ9" s="4" t="s">
        <v>251</v>
      </c>
      <c r="AK9" s="4" t="s">
        <v>252</v>
      </c>
      <c r="AQ9" s="4" t="s">
        <v>241</v>
      </c>
      <c r="AR9" s="4" t="s">
        <v>241</v>
      </c>
      <c r="AS9" s="4" t="s">
        <v>241</v>
      </c>
      <c r="AT9" s="5" t="s">
        <v>241</v>
      </c>
      <c r="AU9" s="5" t="s">
        <v>241</v>
      </c>
      <c r="AV9" s="5" t="s">
        <v>241</v>
      </c>
      <c r="AY9" s="4" t="s">
        <v>286</v>
      </c>
      <c r="AZ9" s="4" t="s">
        <v>286</v>
      </c>
      <c r="BA9" s="4" t="s">
        <v>254</v>
      </c>
      <c r="BB9" s="4" t="s">
        <v>287</v>
      </c>
      <c r="BC9" s="4" t="s">
        <v>255</v>
      </c>
      <c r="BD9" s="4" t="s">
        <v>241</v>
      </c>
      <c r="BE9" s="4" t="s">
        <v>257</v>
      </c>
      <c r="BF9" s="4" t="s">
        <v>241</v>
      </c>
      <c r="BJ9" s="4" t="s">
        <v>288</v>
      </c>
      <c r="BK9" s="5" t="s">
        <v>289</v>
      </c>
      <c r="BL9" s="4" t="s">
        <v>290</v>
      </c>
      <c r="BM9" s="4" t="s">
        <v>290</v>
      </c>
      <c r="BN9" s="4" t="s">
        <v>241</v>
      </c>
      <c r="BP9" s="6">
        <f>-465696</f>
        <v>-465696</v>
      </c>
      <c r="BQ9" s="4" t="s">
        <v>263</v>
      </c>
      <c r="BR9" s="4" t="s">
        <v>264</v>
      </c>
      <c r="BS9" s="4" t="s">
        <v>241</v>
      </c>
      <c r="BT9" s="4" t="s">
        <v>241</v>
      </c>
      <c r="BU9" s="4" t="s">
        <v>241</v>
      </c>
      <c r="BV9" s="4" t="s">
        <v>241</v>
      </c>
      <c r="CE9" s="4" t="s">
        <v>264</v>
      </c>
      <c r="CF9" s="4" t="s">
        <v>241</v>
      </c>
      <c r="CG9" s="4" t="s">
        <v>241</v>
      </c>
      <c r="CK9" s="4" t="s">
        <v>291</v>
      </c>
      <c r="CL9" s="4" t="s">
        <v>266</v>
      </c>
      <c r="CM9" s="4" t="s">
        <v>241</v>
      </c>
      <c r="CO9" s="4" t="s">
        <v>331</v>
      </c>
      <c r="CP9" s="5" t="s">
        <v>268</v>
      </c>
      <c r="CQ9" s="4" t="s">
        <v>269</v>
      </c>
      <c r="CR9" s="4" t="s">
        <v>270</v>
      </c>
      <c r="CS9" s="4" t="s">
        <v>293</v>
      </c>
      <c r="CT9" s="4" t="s">
        <v>241</v>
      </c>
      <c r="CU9" s="4">
        <v>7.6999999999999999E-2</v>
      </c>
      <c r="CV9" s="4" t="s">
        <v>271</v>
      </c>
      <c r="CW9" s="4" t="s">
        <v>415</v>
      </c>
      <c r="CX9" s="4" t="s">
        <v>428</v>
      </c>
      <c r="CY9" s="6">
        <f>0</f>
        <v>0</v>
      </c>
      <c r="CZ9" s="6">
        <f>6048000</f>
        <v>6048000</v>
      </c>
      <c r="DA9" s="6">
        <f>5116608</f>
        <v>5116608</v>
      </c>
      <c r="DC9" s="4" t="s">
        <v>241</v>
      </c>
      <c r="DD9" s="4" t="s">
        <v>241</v>
      </c>
      <c r="DF9" s="4" t="s">
        <v>241</v>
      </c>
      <c r="DG9" s="6">
        <f>0</f>
        <v>0</v>
      </c>
      <c r="DI9" s="4" t="s">
        <v>241</v>
      </c>
      <c r="DJ9" s="4" t="s">
        <v>241</v>
      </c>
      <c r="DK9" s="4" t="s">
        <v>241</v>
      </c>
      <c r="DL9" s="4" t="s">
        <v>241</v>
      </c>
      <c r="DM9" s="4" t="s">
        <v>278</v>
      </c>
      <c r="DN9" s="4" t="s">
        <v>278</v>
      </c>
      <c r="DO9" s="6" t="s">
        <v>241</v>
      </c>
      <c r="DP9" s="4" t="s">
        <v>241</v>
      </c>
      <c r="DQ9" s="4" t="s">
        <v>241</v>
      </c>
      <c r="DR9" s="4" t="s">
        <v>241</v>
      </c>
      <c r="DS9" s="4" t="s">
        <v>241</v>
      </c>
      <c r="DV9" s="4" t="s">
        <v>480</v>
      </c>
      <c r="DW9" s="4" t="s">
        <v>336</v>
      </c>
      <c r="GN9" s="4" t="s">
        <v>2916</v>
      </c>
      <c r="HO9" s="4" t="s">
        <v>336</v>
      </c>
      <c r="HR9" s="4" t="s">
        <v>278</v>
      </c>
      <c r="HS9" s="4" t="s">
        <v>278</v>
      </c>
      <c r="HT9" s="4" t="s">
        <v>241</v>
      </c>
      <c r="HU9" s="4" t="s">
        <v>241</v>
      </c>
      <c r="HV9" s="4" t="s">
        <v>241</v>
      </c>
      <c r="HW9" s="4" t="s">
        <v>241</v>
      </c>
      <c r="HX9" s="4" t="s">
        <v>241</v>
      </c>
      <c r="HY9" s="4" t="s">
        <v>241</v>
      </c>
      <c r="HZ9" s="4" t="s">
        <v>241</v>
      </c>
      <c r="IA9" s="4" t="s">
        <v>241</v>
      </c>
      <c r="IB9" s="4" t="s">
        <v>241</v>
      </c>
      <c r="IC9" s="4" t="s">
        <v>241</v>
      </c>
      <c r="ID9" s="4" t="s">
        <v>241</v>
      </c>
      <c r="IE9" s="4" t="s">
        <v>241</v>
      </c>
      <c r="IF9" s="4" t="s">
        <v>241</v>
      </c>
    </row>
    <row r="10" spans="1:240" x14ac:dyDescent="0.4">
      <c r="A10" s="4">
        <v>2</v>
      </c>
      <c r="B10" s="4" t="s">
        <v>239</v>
      </c>
      <c r="C10" s="4">
        <v>9</v>
      </c>
      <c r="D10" s="4">
        <v>1</v>
      </c>
      <c r="E10" s="4">
        <v>3</v>
      </c>
      <c r="F10" s="4" t="s">
        <v>240</v>
      </c>
      <c r="G10" s="4" t="s">
        <v>241</v>
      </c>
      <c r="H10" s="4" t="s">
        <v>241</v>
      </c>
      <c r="I10" s="4" t="s">
        <v>471</v>
      </c>
      <c r="J10" s="4" t="s">
        <v>418</v>
      </c>
      <c r="K10" s="4" t="s">
        <v>256</v>
      </c>
      <c r="L10" s="4" t="s">
        <v>280</v>
      </c>
      <c r="M10" s="5" t="s">
        <v>419</v>
      </c>
      <c r="N10" s="4" t="s">
        <v>280</v>
      </c>
      <c r="O10" s="6">
        <f>4624.78</f>
        <v>4624.78</v>
      </c>
      <c r="P10" s="4" t="s">
        <v>276</v>
      </c>
      <c r="Q10" s="6">
        <f>375902132</f>
        <v>375902132</v>
      </c>
      <c r="R10" s="6">
        <f>1174694120</f>
        <v>1174694120</v>
      </c>
      <c r="S10" s="5" t="s">
        <v>472</v>
      </c>
      <c r="T10" s="4" t="s">
        <v>296</v>
      </c>
      <c r="U10" s="4" t="s">
        <v>473</v>
      </c>
      <c r="V10" s="6">
        <f>23493882</f>
        <v>23493882</v>
      </c>
      <c r="W10" s="6">
        <f>798791988</f>
        <v>798791988</v>
      </c>
      <c r="X10" s="4" t="s">
        <v>243</v>
      </c>
      <c r="Y10" s="4" t="s">
        <v>244</v>
      </c>
      <c r="Z10" s="4" t="s">
        <v>282</v>
      </c>
      <c r="AA10" s="4" t="s">
        <v>241</v>
      </c>
      <c r="AD10" s="4" t="s">
        <v>241</v>
      </c>
      <c r="AE10" s="5" t="s">
        <v>241</v>
      </c>
      <c r="AF10" s="5" t="s">
        <v>241</v>
      </c>
      <c r="AH10" s="5" t="s">
        <v>241</v>
      </c>
      <c r="AI10" s="5" t="s">
        <v>249</v>
      </c>
      <c r="AJ10" s="4" t="s">
        <v>251</v>
      </c>
      <c r="AK10" s="4" t="s">
        <v>252</v>
      </c>
      <c r="AQ10" s="4" t="s">
        <v>241</v>
      </c>
      <c r="AR10" s="4" t="s">
        <v>241</v>
      </c>
      <c r="AS10" s="4" t="s">
        <v>241</v>
      </c>
      <c r="AT10" s="5" t="s">
        <v>241</v>
      </c>
      <c r="AU10" s="5" t="s">
        <v>241</v>
      </c>
      <c r="AV10" s="5" t="s">
        <v>241</v>
      </c>
      <c r="AY10" s="4" t="s">
        <v>286</v>
      </c>
      <c r="AZ10" s="4" t="s">
        <v>286</v>
      </c>
      <c r="BA10" s="4" t="s">
        <v>254</v>
      </c>
      <c r="BB10" s="4" t="s">
        <v>287</v>
      </c>
      <c r="BC10" s="4" t="s">
        <v>255</v>
      </c>
      <c r="BD10" s="4" t="s">
        <v>241</v>
      </c>
      <c r="BE10" s="4" t="s">
        <v>257</v>
      </c>
      <c r="BF10" s="4" t="s">
        <v>241</v>
      </c>
      <c r="BJ10" s="4" t="s">
        <v>288</v>
      </c>
      <c r="BK10" s="5" t="s">
        <v>289</v>
      </c>
      <c r="BL10" s="4" t="s">
        <v>290</v>
      </c>
      <c r="BM10" s="4" t="s">
        <v>290</v>
      </c>
      <c r="BN10" s="4" t="s">
        <v>241</v>
      </c>
      <c r="BO10" s="6">
        <f>0</f>
        <v>0</v>
      </c>
      <c r="BP10" s="6">
        <f>-23493882</f>
        <v>-23493882</v>
      </c>
      <c r="BQ10" s="4" t="s">
        <v>263</v>
      </c>
      <c r="BR10" s="4" t="s">
        <v>264</v>
      </c>
      <c r="BS10" s="4" t="s">
        <v>241</v>
      </c>
      <c r="BT10" s="4" t="s">
        <v>241</v>
      </c>
      <c r="BU10" s="4" t="s">
        <v>241</v>
      </c>
      <c r="BV10" s="4" t="s">
        <v>241</v>
      </c>
      <c r="CE10" s="4" t="s">
        <v>264</v>
      </c>
      <c r="CF10" s="4" t="s">
        <v>241</v>
      </c>
      <c r="CG10" s="4" t="s">
        <v>241</v>
      </c>
      <c r="CK10" s="4" t="s">
        <v>291</v>
      </c>
      <c r="CL10" s="4" t="s">
        <v>266</v>
      </c>
      <c r="CM10" s="4" t="s">
        <v>241</v>
      </c>
      <c r="CO10" s="4" t="s">
        <v>390</v>
      </c>
      <c r="CP10" s="5" t="s">
        <v>268</v>
      </c>
      <c r="CQ10" s="4" t="s">
        <v>269</v>
      </c>
      <c r="CR10" s="4" t="s">
        <v>270</v>
      </c>
      <c r="CS10" s="4" t="s">
        <v>293</v>
      </c>
      <c r="CT10" s="4" t="s">
        <v>241</v>
      </c>
      <c r="CU10" s="4">
        <v>0.02</v>
      </c>
      <c r="CV10" s="4" t="s">
        <v>271</v>
      </c>
      <c r="CW10" s="4" t="s">
        <v>294</v>
      </c>
      <c r="CX10" s="4" t="s">
        <v>295</v>
      </c>
      <c r="CY10" s="6">
        <f>0</f>
        <v>0</v>
      </c>
      <c r="CZ10" s="6">
        <f>1174694120</f>
        <v>1174694120</v>
      </c>
      <c r="DA10" s="6">
        <f>375902132</f>
        <v>375902132</v>
      </c>
      <c r="DC10" s="4" t="s">
        <v>241</v>
      </c>
      <c r="DD10" s="4" t="s">
        <v>241</v>
      </c>
      <c r="DF10" s="4" t="s">
        <v>241</v>
      </c>
      <c r="DG10" s="6">
        <f>0</f>
        <v>0</v>
      </c>
      <c r="DI10" s="4" t="s">
        <v>241</v>
      </c>
      <c r="DJ10" s="4" t="s">
        <v>241</v>
      </c>
      <c r="DK10" s="4" t="s">
        <v>241</v>
      </c>
      <c r="DL10" s="4" t="s">
        <v>241</v>
      </c>
      <c r="DM10" s="4" t="s">
        <v>336</v>
      </c>
      <c r="DN10" s="4" t="s">
        <v>278</v>
      </c>
      <c r="DO10" s="6">
        <f>4624.78</f>
        <v>4624.78</v>
      </c>
      <c r="DP10" s="4" t="s">
        <v>241</v>
      </c>
      <c r="DQ10" s="4" t="s">
        <v>241</v>
      </c>
      <c r="DR10" s="4" t="s">
        <v>241</v>
      </c>
      <c r="DS10" s="4" t="s">
        <v>241</v>
      </c>
      <c r="DV10" s="4" t="s">
        <v>474</v>
      </c>
      <c r="DW10" s="4" t="s">
        <v>277</v>
      </c>
      <c r="GN10" s="4" t="s">
        <v>475</v>
      </c>
      <c r="HO10" s="4" t="s">
        <v>300</v>
      </c>
      <c r="HR10" s="4" t="s">
        <v>278</v>
      </c>
      <c r="HS10" s="4" t="s">
        <v>278</v>
      </c>
      <c r="HT10" s="4" t="s">
        <v>241</v>
      </c>
      <c r="HU10" s="4" t="s">
        <v>241</v>
      </c>
      <c r="HV10" s="4" t="s">
        <v>241</v>
      </c>
      <c r="HW10" s="4" t="s">
        <v>241</v>
      </c>
      <c r="HX10" s="4" t="s">
        <v>241</v>
      </c>
      <c r="HY10" s="4" t="s">
        <v>241</v>
      </c>
      <c r="HZ10" s="4" t="s">
        <v>241</v>
      </c>
      <c r="IA10" s="4" t="s">
        <v>241</v>
      </c>
      <c r="IB10" s="4" t="s">
        <v>241</v>
      </c>
      <c r="IC10" s="4" t="s">
        <v>241</v>
      </c>
      <c r="ID10" s="4" t="s">
        <v>241</v>
      </c>
      <c r="IE10" s="4" t="s">
        <v>241</v>
      </c>
      <c r="IF10" s="4" t="s">
        <v>241</v>
      </c>
    </row>
    <row r="11" spans="1:240" x14ac:dyDescent="0.4">
      <c r="A11" s="4">
        <v>2</v>
      </c>
      <c r="B11" s="4" t="s">
        <v>239</v>
      </c>
      <c r="C11" s="4">
        <v>10</v>
      </c>
      <c r="D11" s="4">
        <v>1</v>
      </c>
      <c r="E11" s="4">
        <v>1</v>
      </c>
      <c r="F11" s="4" t="s">
        <v>240</v>
      </c>
      <c r="G11" s="4" t="s">
        <v>241</v>
      </c>
      <c r="H11" s="4" t="s">
        <v>241</v>
      </c>
      <c r="I11" s="4" t="s">
        <v>471</v>
      </c>
      <c r="J11" s="4" t="s">
        <v>418</v>
      </c>
      <c r="K11" s="4" t="s">
        <v>256</v>
      </c>
      <c r="L11" s="4" t="s">
        <v>454</v>
      </c>
      <c r="M11" s="5" t="s">
        <v>419</v>
      </c>
      <c r="N11" s="4" t="s">
        <v>454</v>
      </c>
      <c r="O11" s="6">
        <f>906.85</f>
        <v>906.85</v>
      </c>
      <c r="P11" s="4" t="s">
        <v>276</v>
      </c>
      <c r="Q11" s="6">
        <f>1</f>
        <v>1</v>
      </c>
      <c r="R11" s="6">
        <f>225805650</f>
        <v>225805650</v>
      </c>
      <c r="S11" s="5" t="s">
        <v>472</v>
      </c>
      <c r="T11" s="4" t="s">
        <v>441</v>
      </c>
      <c r="U11" s="4" t="s">
        <v>441</v>
      </c>
      <c r="W11" s="6">
        <f>225805649</f>
        <v>225805649</v>
      </c>
      <c r="X11" s="4" t="s">
        <v>243</v>
      </c>
      <c r="Y11" s="4" t="s">
        <v>244</v>
      </c>
      <c r="Z11" s="4" t="s">
        <v>282</v>
      </c>
      <c r="AA11" s="4" t="s">
        <v>241</v>
      </c>
      <c r="AD11" s="4" t="s">
        <v>241</v>
      </c>
      <c r="AF11" s="5" t="s">
        <v>241</v>
      </c>
      <c r="AI11" s="5" t="s">
        <v>249</v>
      </c>
      <c r="AJ11" s="4" t="s">
        <v>251</v>
      </c>
      <c r="AK11" s="4" t="s">
        <v>252</v>
      </c>
      <c r="BA11" s="4" t="s">
        <v>254</v>
      </c>
      <c r="BB11" s="4" t="s">
        <v>241</v>
      </c>
      <c r="BC11" s="4" t="s">
        <v>255</v>
      </c>
      <c r="BD11" s="4" t="s">
        <v>241</v>
      </c>
      <c r="BE11" s="4" t="s">
        <v>257</v>
      </c>
      <c r="BF11" s="4" t="s">
        <v>241</v>
      </c>
      <c r="BJ11" s="4" t="s">
        <v>259</v>
      </c>
      <c r="BK11" s="5" t="s">
        <v>260</v>
      </c>
      <c r="BL11" s="4" t="s">
        <v>261</v>
      </c>
      <c r="BM11" s="4" t="s">
        <v>290</v>
      </c>
      <c r="BN11" s="4" t="s">
        <v>241</v>
      </c>
      <c r="BO11" s="6">
        <f>0</f>
        <v>0</v>
      </c>
      <c r="BP11" s="6">
        <f>0</f>
        <v>0</v>
      </c>
      <c r="BQ11" s="4" t="s">
        <v>263</v>
      </c>
      <c r="BR11" s="4" t="s">
        <v>264</v>
      </c>
      <c r="CF11" s="4" t="s">
        <v>241</v>
      </c>
      <c r="CG11" s="4" t="s">
        <v>241</v>
      </c>
      <c r="CK11" s="4" t="s">
        <v>291</v>
      </c>
      <c r="CL11" s="4" t="s">
        <v>266</v>
      </c>
      <c r="CM11" s="4" t="s">
        <v>241</v>
      </c>
      <c r="CO11" s="4" t="s">
        <v>390</v>
      </c>
      <c r="CP11" s="5" t="s">
        <v>268</v>
      </c>
      <c r="CQ11" s="4" t="s">
        <v>269</v>
      </c>
      <c r="CR11" s="4" t="s">
        <v>270</v>
      </c>
      <c r="CS11" s="4" t="s">
        <v>241</v>
      </c>
      <c r="CT11" s="4" t="s">
        <v>241</v>
      </c>
      <c r="CU11" s="4">
        <v>0</v>
      </c>
      <c r="CV11" s="4" t="s">
        <v>271</v>
      </c>
      <c r="CW11" s="4" t="s">
        <v>455</v>
      </c>
      <c r="CX11" s="4" t="s">
        <v>487</v>
      </c>
      <c r="CZ11" s="6">
        <f>225805650</f>
        <v>225805650</v>
      </c>
      <c r="DA11" s="6">
        <f>0</f>
        <v>0</v>
      </c>
      <c r="DC11" s="4" t="s">
        <v>241</v>
      </c>
      <c r="DD11" s="4" t="s">
        <v>241</v>
      </c>
      <c r="DF11" s="4" t="s">
        <v>241</v>
      </c>
      <c r="DI11" s="4" t="s">
        <v>241</v>
      </c>
      <c r="DJ11" s="4" t="s">
        <v>241</v>
      </c>
      <c r="DK11" s="4" t="s">
        <v>241</v>
      </c>
      <c r="DL11" s="4" t="s">
        <v>241</v>
      </c>
      <c r="DM11" s="4" t="s">
        <v>277</v>
      </c>
      <c r="DN11" s="4" t="s">
        <v>278</v>
      </c>
      <c r="DO11" s="6">
        <f>906.85</f>
        <v>906.85</v>
      </c>
      <c r="DP11" s="4" t="s">
        <v>241</v>
      </c>
      <c r="DQ11" s="4" t="s">
        <v>241</v>
      </c>
      <c r="DR11" s="4" t="s">
        <v>241</v>
      </c>
      <c r="DS11" s="4" t="s">
        <v>241</v>
      </c>
      <c r="DV11" s="4" t="s">
        <v>474</v>
      </c>
      <c r="DW11" s="4" t="s">
        <v>323</v>
      </c>
      <c r="HO11" s="4" t="s">
        <v>336</v>
      </c>
      <c r="HR11" s="4" t="s">
        <v>278</v>
      </c>
      <c r="HS11" s="4" t="s">
        <v>278</v>
      </c>
    </row>
    <row r="12" spans="1:240" x14ac:dyDescent="0.4">
      <c r="A12" s="4">
        <v>2</v>
      </c>
      <c r="B12" s="4" t="s">
        <v>239</v>
      </c>
      <c r="C12" s="4">
        <v>11</v>
      </c>
      <c r="D12" s="4">
        <v>1</v>
      </c>
      <c r="E12" s="4">
        <v>1</v>
      </c>
      <c r="F12" s="4" t="s">
        <v>240</v>
      </c>
      <c r="G12" s="4" t="s">
        <v>241</v>
      </c>
      <c r="H12" s="4" t="s">
        <v>241</v>
      </c>
      <c r="I12" s="4" t="s">
        <v>471</v>
      </c>
      <c r="J12" s="4" t="s">
        <v>418</v>
      </c>
      <c r="K12" s="4" t="s">
        <v>256</v>
      </c>
      <c r="L12" s="4" t="s">
        <v>414</v>
      </c>
      <c r="M12" s="5" t="s">
        <v>419</v>
      </c>
      <c r="N12" s="4" t="s">
        <v>414</v>
      </c>
      <c r="O12" s="6">
        <f>44.64</f>
        <v>44.64</v>
      </c>
      <c r="P12" s="4" t="s">
        <v>276</v>
      </c>
      <c r="Q12" s="6">
        <f>1</f>
        <v>1</v>
      </c>
      <c r="R12" s="6">
        <f>10713600</f>
        <v>10713600</v>
      </c>
      <c r="S12" s="5" t="s">
        <v>472</v>
      </c>
      <c r="T12" s="4" t="s">
        <v>348</v>
      </c>
      <c r="U12" s="4" t="s">
        <v>391</v>
      </c>
      <c r="W12" s="6">
        <f>10713599</f>
        <v>10713599</v>
      </c>
      <c r="X12" s="4" t="s">
        <v>243</v>
      </c>
      <c r="Y12" s="4" t="s">
        <v>244</v>
      </c>
      <c r="Z12" s="4" t="s">
        <v>282</v>
      </c>
      <c r="AA12" s="4" t="s">
        <v>241</v>
      </c>
      <c r="AD12" s="4" t="s">
        <v>241</v>
      </c>
      <c r="AF12" s="5" t="s">
        <v>241</v>
      </c>
      <c r="AI12" s="5" t="s">
        <v>249</v>
      </c>
      <c r="AJ12" s="4" t="s">
        <v>251</v>
      </c>
      <c r="AK12" s="4" t="s">
        <v>252</v>
      </c>
      <c r="BA12" s="4" t="s">
        <v>254</v>
      </c>
      <c r="BB12" s="4" t="s">
        <v>241</v>
      </c>
      <c r="BC12" s="4" t="s">
        <v>255</v>
      </c>
      <c r="BD12" s="4" t="s">
        <v>241</v>
      </c>
      <c r="BE12" s="4" t="s">
        <v>257</v>
      </c>
      <c r="BF12" s="4" t="s">
        <v>241</v>
      </c>
      <c r="BJ12" s="4" t="s">
        <v>367</v>
      </c>
      <c r="BK12" s="5" t="s">
        <v>249</v>
      </c>
      <c r="BL12" s="4" t="s">
        <v>261</v>
      </c>
      <c r="BM12" s="4" t="s">
        <v>262</v>
      </c>
      <c r="BN12" s="4" t="s">
        <v>241</v>
      </c>
      <c r="BO12" s="6">
        <f>0</f>
        <v>0</v>
      </c>
      <c r="BP12" s="6">
        <f>0</f>
        <v>0</v>
      </c>
      <c r="BQ12" s="4" t="s">
        <v>263</v>
      </c>
      <c r="BR12" s="4" t="s">
        <v>264</v>
      </c>
      <c r="CF12" s="4" t="s">
        <v>241</v>
      </c>
      <c r="CG12" s="4" t="s">
        <v>241</v>
      </c>
      <c r="CK12" s="4" t="s">
        <v>291</v>
      </c>
      <c r="CL12" s="4" t="s">
        <v>266</v>
      </c>
      <c r="CM12" s="4" t="s">
        <v>241</v>
      </c>
      <c r="CO12" s="4" t="s">
        <v>390</v>
      </c>
      <c r="CP12" s="5" t="s">
        <v>268</v>
      </c>
      <c r="CQ12" s="4" t="s">
        <v>269</v>
      </c>
      <c r="CR12" s="4" t="s">
        <v>270</v>
      </c>
      <c r="CS12" s="4" t="s">
        <v>241</v>
      </c>
      <c r="CT12" s="4" t="s">
        <v>241</v>
      </c>
      <c r="CU12" s="4">
        <v>0</v>
      </c>
      <c r="CV12" s="4" t="s">
        <v>271</v>
      </c>
      <c r="CW12" s="4" t="s">
        <v>415</v>
      </c>
      <c r="CX12" s="4" t="s">
        <v>416</v>
      </c>
      <c r="CZ12" s="6">
        <f>10713600</f>
        <v>10713600</v>
      </c>
      <c r="DA12" s="6">
        <f>0</f>
        <v>0</v>
      </c>
      <c r="DC12" s="4" t="s">
        <v>241</v>
      </c>
      <c r="DD12" s="4" t="s">
        <v>241</v>
      </c>
      <c r="DF12" s="4" t="s">
        <v>241</v>
      </c>
      <c r="DI12" s="4" t="s">
        <v>241</v>
      </c>
      <c r="DJ12" s="4" t="s">
        <v>241</v>
      </c>
      <c r="DK12" s="4" t="s">
        <v>241</v>
      </c>
      <c r="DL12" s="4" t="s">
        <v>241</v>
      </c>
      <c r="DM12" s="4" t="s">
        <v>277</v>
      </c>
      <c r="DN12" s="4" t="s">
        <v>278</v>
      </c>
      <c r="DO12" s="6">
        <f>44.64</f>
        <v>44.64</v>
      </c>
      <c r="DP12" s="4" t="s">
        <v>241</v>
      </c>
      <c r="DQ12" s="4" t="s">
        <v>241</v>
      </c>
      <c r="DR12" s="4" t="s">
        <v>241</v>
      </c>
      <c r="DS12" s="4" t="s">
        <v>241</v>
      </c>
      <c r="DV12" s="4" t="s">
        <v>474</v>
      </c>
      <c r="DW12" s="4" t="s">
        <v>297</v>
      </c>
      <c r="HO12" s="4" t="s">
        <v>277</v>
      </c>
      <c r="HR12" s="4" t="s">
        <v>278</v>
      </c>
      <c r="HS12" s="4" t="s">
        <v>278</v>
      </c>
    </row>
    <row r="13" spans="1:240" x14ac:dyDescent="0.4">
      <c r="A13" s="4">
        <v>2</v>
      </c>
      <c r="B13" s="4" t="s">
        <v>239</v>
      </c>
      <c r="C13" s="4">
        <v>12</v>
      </c>
      <c r="D13" s="4">
        <v>1</v>
      </c>
      <c r="E13" s="4">
        <v>3</v>
      </c>
      <c r="F13" s="4" t="s">
        <v>240</v>
      </c>
      <c r="G13" s="4" t="s">
        <v>241</v>
      </c>
      <c r="H13" s="4" t="s">
        <v>241</v>
      </c>
      <c r="I13" s="4" t="s">
        <v>471</v>
      </c>
      <c r="J13" s="4" t="s">
        <v>418</v>
      </c>
      <c r="K13" s="4" t="s">
        <v>256</v>
      </c>
      <c r="L13" s="4" t="s">
        <v>3822</v>
      </c>
      <c r="M13" s="5" t="s">
        <v>419</v>
      </c>
      <c r="N13" s="4" t="s">
        <v>3822</v>
      </c>
      <c r="O13" s="6">
        <f>42</f>
        <v>42</v>
      </c>
      <c r="P13" s="4" t="s">
        <v>276</v>
      </c>
      <c r="Q13" s="6">
        <f>402948</f>
        <v>402948</v>
      </c>
      <c r="R13" s="6">
        <f>4914000</f>
        <v>4914000</v>
      </c>
      <c r="S13" s="5" t="s">
        <v>472</v>
      </c>
      <c r="T13" s="4" t="s">
        <v>333</v>
      </c>
      <c r="U13" s="4" t="s">
        <v>473</v>
      </c>
      <c r="V13" s="6">
        <f>132678</f>
        <v>132678</v>
      </c>
      <c r="W13" s="6">
        <f>4511052</f>
        <v>4511052</v>
      </c>
      <c r="X13" s="4" t="s">
        <v>243</v>
      </c>
      <c r="Y13" s="4" t="s">
        <v>244</v>
      </c>
      <c r="Z13" s="4" t="s">
        <v>282</v>
      </c>
      <c r="AA13" s="4" t="s">
        <v>241</v>
      </c>
      <c r="AD13" s="4" t="s">
        <v>241</v>
      </c>
      <c r="AE13" s="5" t="s">
        <v>241</v>
      </c>
      <c r="AF13" s="5" t="s">
        <v>241</v>
      </c>
      <c r="AH13" s="5" t="s">
        <v>241</v>
      </c>
      <c r="AI13" s="5" t="s">
        <v>249</v>
      </c>
      <c r="AJ13" s="4" t="s">
        <v>251</v>
      </c>
      <c r="AK13" s="4" t="s">
        <v>252</v>
      </c>
      <c r="AQ13" s="4" t="s">
        <v>241</v>
      </c>
      <c r="AR13" s="4" t="s">
        <v>241</v>
      </c>
      <c r="AS13" s="4" t="s">
        <v>241</v>
      </c>
      <c r="AT13" s="5" t="s">
        <v>241</v>
      </c>
      <c r="AU13" s="5" t="s">
        <v>241</v>
      </c>
      <c r="AV13" s="5" t="s">
        <v>241</v>
      </c>
      <c r="AY13" s="4" t="s">
        <v>286</v>
      </c>
      <c r="AZ13" s="4" t="s">
        <v>286</v>
      </c>
      <c r="BA13" s="4" t="s">
        <v>254</v>
      </c>
      <c r="BB13" s="4" t="s">
        <v>287</v>
      </c>
      <c r="BC13" s="4" t="s">
        <v>255</v>
      </c>
      <c r="BD13" s="4" t="s">
        <v>241</v>
      </c>
      <c r="BE13" s="4" t="s">
        <v>257</v>
      </c>
      <c r="BF13" s="4" t="s">
        <v>241</v>
      </c>
      <c r="BJ13" s="4" t="s">
        <v>288</v>
      </c>
      <c r="BK13" s="5" t="s">
        <v>289</v>
      </c>
      <c r="BL13" s="4" t="s">
        <v>290</v>
      </c>
      <c r="BM13" s="4" t="s">
        <v>290</v>
      </c>
      <c r="BN13" s="4" t="s">
        <v>241</v>
      </c>
      <c r="BO13" s="6">
        <f>0</f>
        <v>0</v>
      </c>
      <c r="BP13" s="6">
        <f>-132678</f>
        <v>-132678</v>
      </c>
      <c r="BQ13" s="4" t="s">
        <v>263</v>
      </c>
      <c r="BR13" s="4" t="s">
        <v>264</v>
      </c>
      <c r="BS13" s="4" t="s">
        <v>241</v>
      </c>
      <c r="BT13" s="4" t="s">
        <v>241</v>
      </c>
      <c r="BU13" s="4" t="s">
        <v>241</v>
      </c>
      <c r="BV13" s="4" t="s">
        <v>241</v>
      </c>
      <c r="CE13" s="4" t="s">
        <v>264</v>
      </c>
      <c r="CF13" s="4" t="s">
        <v>241</v>
      </c>
      <c r="CG13" s="4" t="s">
        <v>241</v>
      </c>
      <c r="CK13" s="4" t="s">
        <v>291</v>
      </c>
      <c r="CL13" s="4" t="s">
        <v>266</v>
      </c>
      <c r="CM13" s="4" t="s">
        <v>241</v>
      </c>
      <c r="CO13" s="4" t="s">
        <v>390</v>
      </c>
      <c r="CP13" s="5" t="s">
        <v>268</v>
      </c>
      <c r="CQ13" s="4" t="s">
        <v>269</v>
      </c>
      <c r="CR13" s="4" t="s">
        <v>270</v>
      </c>
      <c r="CS13" s="4" t="s">
        <v>293</v>
      </c>
      <c r="CT13" s="4" t="s">
        <v>241</v>
      </c>
      <c r="CU13" s="4">
        <v>2.7E-2</v>
      </c>
      <c r="CV13" s="4" t="s">
        <v>271</v>
      </c>
      <c r="CW13" s="4" t="s">
        <v>3823</v>
      </c>
      <c r="CX13" s="4" t="s">
        <v>295</v>
      </c>
      <c r="CY13" s="6">
        <f>0</f>
        <v>0</v>
      </c>
      <c r="CZ13" s="6">
        <f>4914000</f>
        <v>4914000</v>
      </c>
      <c r="DA13" s="6">
        <f>402948</f>
        <v>402948</v>
      </c>
      <c r="DC13" s="4" t="s">
        <v>241</v>
      </c>
      <c r="DD13" s="4" t="s">
        <v>241</v>
      </c>
      <c r="DF13" s="4" t="s">
        <v>241</v>
      </c>
      <c r="DG13" s="6">
        <f>0</f>
        <v>0</v>
      </c>
      <c r="DI13" s="4" t="s">
        <v>241</v>
      </c>
      <c r="DJ13" s="4" t="s">
        <v>241</v>
      </c>
      <c r="DK13" s="4" t="s">
        <v>241</v>
      </c>
      <c r="DL13" s="4" t="s">
        <v>241</v>
      </c>
      <c r="DM13" s="4" t="s">
        <v>277</v>
      </c>
      <c r="DN13" s="4" t="s">
        <v>278</v>
      </c>
      <c r="DO13" s="6">
        <f>42</f>
        <v>42</v>
      </c>
      <c r="DP13" s="4" t="s">
        <v>241</v>
      </c>
      <c r="DQ13" s="4" t="s">
        <v>241</v>
      </c>
      <c r="DR13" s="4" t="s">
        <v>241</v>
      </c>
      <c r="DS13" s="4" t="s">
        <v>241</v>
      </c>
      <c r="DV13" s="4" t="s">
        <v>474</v>
      </c>
      <c r="DW13" s="4" t="s">
        <v>336</v>
      </c>
      <c r="GN13" s="4" t="s">
        <v>3824</v>
      </c>
      <c r="HO13" s="4" t="s">
        <v>300</v>
      </c>
      <c r="HR13" s="4" t="s">
        <v>278</v>
      </c>
      <c r="HS13" s="4" t="s">
        <v>278</v>
      </c>
      <c r="HT13" s="4" t="s">
        <v>241</v>
      </c>
      <c r="HU13" s="4" t="s">
        <v>241</v>
      </c>
      <c r="HV13" s="4" t="s">
        <v>241</v>
      </c>
      <c r="HW13" s="4" t="s">
        <v>241</v>
      </c>
      <c r="HX13" s="4" t="s">
        <v>241</v>
      </c>
      <c r="HY13" s="4" t="s">
        <v>241</v>
      </c>
      <c r="HZ13" s="4" t="s">
        <v>241</v>
      </c>
      <c r="IA13" s="4" t="s">
        <v>241</v>
      </c>
      <c r="IB13" s="4" t="s">
        <v>241</v>
      </c>
      <c r="IC13" s="4" t="s">
        <v>241</v>
      </c>
      <c r="ID13" s="4" t="s">
        <v>241</v>
      </c>
      <c r="IE13" s="4" t="s">
        <v>241</v>
      </c>
      <c r="IF13" s="4" t="s">
        <v>241</v>
      </c>
    </row>
    <row r="14" spans="1:240" x14ac:dyDescent="0.4">
      <c r="A14" s="4">
        <v>2</v>
      </c>
      <c r="B14" s="4" t="s">
        <v>239</v>
      </c>
      <c r="C14" s="4">
        <v>13</v>
      </c>
      <c r="D14" s="4">
        <v>1</v>
      </c>
      <c r="E14" s="4">
        <v>3</v>
      </c>
      <c r="F14" s="4" t="s">
        <v>326</v>
      </c>
      <c r="G14" s="4" t="s">
        <v>241</v>
      </c>
      <c r="H14" s="4" t="s">
        <v>241</v>
      </c>
      <c r="I14" s="4" t="s">
        <v>471</v>
      </c>
      <c r="J14" s="4" t="s">
        <v>418</v>
      </c>
      <c r="K14" s="4" t="s">
        <v>256</v>
      </c>
      <c r="L14" s="4" t="s">
        <v>2912</v>
      </c>
      <c r="M14" s="5" t="s">
        <v>419</v>
      </c>
      <c r="N14" s="4" t="s">
        <v>2911</v>
      </c>
      <c r="O14" s="6">
        <f>0</f>
        <v>0</v>
      </c>
      <c r="P14" s="4" t="s">
        <v>276</v>
      </c>
      <c r="Q14" s="6">
        <f>11009520</f>
        <v>11009520</v>
      </c>
      <c r="R14" s="6">
        <f>18349200</f>
        <v>18349200</v>
      </c>
      <c r="S14" s="5" t="s">
        <v>1410</v>
      </c>
      <c r="T14" s="4" t="s">
        <v>427</v>
      </c>
      <c r="U14" s="4" t="s">
        <v>297</v>
      </c>
      <c r="V14" s="6">
        <f>1834920</f>
        <v>1834920</v>
      </c>
      <c r="W14" s="6">
        <f>7339680</f>
        <v>7339680</v>
      </c>
      <c r="X14" s="4" t="s">
        <v>243</v>
      </c>
      <c r="Y14" s="4" t="s">
        <v>244</v>
      </c>
      <c r="Z14" s="4" t="s">
        <v>282</v>
      </c>
      <c r="AA14" s="4" t="s">
        <v>241</v>
      </c>
      <c r="AD14" s="4" t="s">
        <v>241</v>
      </c>
      <c r="AE14" s="5" t="s">
        <v>241</v>
      </c>
      <c r="AF14" s="5" t="s">
        <v>241</v>
      </c>
      <c r="AH14" s="5" t="s">
        <v>241</v>
      </c>
      <c r="AI14" s="5" t="s">
        <v>249</v>
      </c>
      <c r="AJ14" s="4" t="s">
        <v>251</v>
      </c>
      <c r="AK14" s="4" t="s">
        <v>252</v>
      </c>
      <c r="AQ14" s="4" t="s">
        <v>241</v>
      </c>
      <c r="AR14" s="4" t="s">
        <v>241</v>
      </c>
      <c r="AS14" s="4" t="s">
        <v>241</v>
      </c>
      <c r="AT14" s="5" t="s">
        <v>241</v>
      </c>
      <c r="AU14" s="5" t="s">
        <v>241</v>
      </c>
      <c r="AV14" s="5" t="s">
        <v>241</v>
      </c>
      <c r="AY14" s="4" t="s">
        <v>286</v>
      </c>
      <c r="AZ14" s="4" t="s">
        <v>286</v>
      </c>
      <c r="BA14" s="4" t="s">
        <v>254</v>
      </c>
      <c r="BB14" s="4" t="s">
        <v>287</v>
      </c>
      <c r="BC14" s="4" t="s">
        <v>255</v>
      </c>
      <c r="BD14" s="4" t="s">
        <v>241</v>
      </c>
      <c r="BE14" s="4" t="s">
        <v>257</v>
      </c>
      <c r="BF14" s="4" t="s">
        <v>241</v>
      </c>
      <c r="BJ14" s="4" t="s">
        <v>288</v>
      </c>
      <c r="BK14" s="5" t="s">
        <v>289</v>
      </c>
      <c r="BL14" s="4" t="s">
        <v>290</v>
      </c>
      <c r="BM14" s="4" t="s">
        <v>290</v>
      </c>
      <c r="BN14" s="4" t="s">
        <v>241</v>
      </c>
      <c r="BP14" s="6">
        <f>-1834920</f>
        <v>-1834920</v>
      </c>
      <c r="BQ14" s="4" t="s">
        <v>263</v>
      </c>
      <c r="BR14" s="4" t="s">
        <v>264</v>
      </c>
      <c r="BS14" s="4" t="s">
        <v>241</v>
      </c>
      <c r="BT14" s="4" t="s">
        <v>241</v>
      </c>
      <c r="BU14" s="4" t="s">
        <v>241</v>
      </c>
      <c r="BV14" s="4" t="s">
        <v>241</v>
      </c>
      <c r="CE14" s="4" t="s">
        <v>264</v>
      </c>
      <c r="CF14" s="4" t="s">
        <v>241</v>
      </c>
      <c r="CG14" s="4" t="s">
        <v>241</v>
      </c>
      <c r="CK14" s="4" t="s">
        <v>291</v>
      </c>
      <c r="CL14" s="4" t="s">
        <v>266</v>
      </c>
      <c r="CM14" s="4" t="s">
        <v>241</v>
      </c>
      <c r="CO14" s="4" t="s">
        <v>413</v>
      </c>
      <c r="CP14" s="5" t="s">
        <v>268</v>
      </c>
      <c r="CQ14" s="4" t="s">
        <v>269</v>
      </c>
      <c r="CR14" s="4" t="s">
        <v>270</v>
      </c>
      <c r="CS14" s="4" t="s">
        <v>293</v>
      </c>
      <c r="CT14" s="4" t="s">
        <v>241</v>
      </c>
      <c r="CU14" s="4">
        <v>0.1</v>
      </c>
      <c r="CV14" s="4" t="s">
        <v>271</v>
      </c>
      <c r="CW14" s="4" t="s">
        <v>415</v>
      </c>
      <c r="CX14" s="4" t="s">
        <v>2714</v>
      </c>
      <c r="CY14" s="6">
        <f>0</f>
        <v>0</v>
      </c>
      <c r="CZ14" s="6">
        <f>18349200</f>
        <v>18349200</v>
      </c>
      <c r="DA14" s="6">
        <f>11009520</f>
        <v>11009520</v>
      </c>
      <c r="DC14" s="4" t="s">
        <v>241</v>
      </c>
      <c r="DD14" s="4" t="s">
        <v>241</v>
      </c>
      <c r="DF14" s="4" t="s">
        <v>241</v>
      </c>
      <c r="DG14" s="6">
        <f>0</f>
        <v>0</v>
      </c>
      <c r="DI14" s="4" t="s">
        <v>241</v>
      </c>
      <c r="DJ14" s="4" t="s">
        <v>241</v>
      </c>
      <c r="DK14" s="4" t="s">
        <v>241</v>
      </c>
      <c r="DL14" s="4" t="s">
        <v>241</v>
      </c>
      <c r="DM14" s="4" t="s">
        <v>278</v>
      </c>
      <c r="DN14" s="4" t="s">
        <v>278</v>
      </c>
      <c r="DO14" s="6" t="s">
        <v>241</v>
      </c>
      <c r="DP14" s="4" t="s">
        <v>241</v>
      </c>
      <c r="DQ14" s="4" t="s">
        <v>241</v>
      </c>
      <c r="DR14" s="4" t="s">
        <v>241</v>
      </c>
      <c r="DS14" s="4" t="s">
        <v>241</v>
      </c>
      <c r="DV14" s="4" t="s">
        <v>474</v>
      </c>
      <c r="DW14" s="4" t="s">
        <v>351</v>
      </c>
      <c r="GN14" s="4" t="s">
        <v>2913</v>
      </c>
      <c r="HO14" s="4" t="s">
        <v>351</v>
      </c>
      <c r="HR14" s="4" t="s">
        <v>278</v>
      </c>
      <c r="HS14" s="4" t="s">
        <v>278</v>
      </c>
      <c r="HT14" s="4" t="s">
        <v>241</v>
      </c>
      <c r="HU14" s="4" t="s">
        <v>241</v>
      </c>
      <c r="HV14" s="4" t="s">
        <v>241</v>
      </c>
      <c r="HW14" s="4" t="s">
        <v>241</v>
      </c>
      <c r="HX14" s="4" t="s">
        <v>241</v>
      </c>
      <c r="HY14" s="4" t="s">
        <v>241</v>
      </c>
      <c r="HZ14" s="4" t="s">
        <v>241</v>
      </c>
      <c r="IA14" s="4" t="s">
        <v>241</v>
      </c>
      <c r="IB14" s="4" t="s">
        <v>241</v>
      </c>
      <c r="IC14" s="4" t="s">
        <v>241</v>
      </c>
      <c r="ID14" s="4" t="s">
        <v>241</v>
      </c>
      <c r="IE14" s="4" t="s">
        <v>241</v>
      </c>
      <c r="IF14" s="4" t="s">
        <v>241</v>
      </c>
    </row>
    <row r="15" spans="1:240" x14ac:dyDescent="0.4">
      <c r="A15" s="4">
        <v>2</v>
      </c>
      <c r="B15" s="4" t="s">
        <v>239</v>
      </c>
      <c r="C15" s="4">
        <v>14</v>
      </c>
      <c r="D15" s="4">
        <v>1</v>
      </c>
      <c r="E15" s="4">
        <v>3</v>
      </c>
      <c r="F15" s="4" t="s">
        <v>326</v>
      </c>
      <c r="G15" s="4" t="s">
        <v>241</v>
      </c>
      <c r="H15" s="4" t="s">
        <v>241</v>
      </c>
      <c r="I15" s="4" t="s">
        <v>471</v>
      </c>
      <c r="J15" s="4" t="s">
        <v>418</v>
      </c>
      <c r="K15" s="4" t="s">
        <v>256</v>
      </c>
      <c r="L15" s="4" t="s">
        <v>2909</v>
      </c>
      <c r="M15" s="5" t="s">
        <v>419</v>
      </c>
      <c r="N15" s="4" t="s">
        <v>2908</v>
      </c>
      <c r="O15" s="6">
        <f>0</f>
        <v>0</v>
      </c>
      <c r="P15" s="4" t="s">
        <v>276</v>
      </c>
      <c r="Q15" s="6">
        <f>745868</f>
        <v>745868</v>
      </c>
      <c r="R15" s="6">
        <f>1077840</f>
        <v>1077840</v>
      </c>
      <c r="S15" s="5" t="s">
        <v>2639</v>
      </c>
      <c r="T15" s="4" t="s">
        <v>322</v>
      </c>
      <c r="U15" s="4" t="s">
        <v>297</v>
      </c>
      <c r="V15" s="6">
        <f>82993</f>
        <v>82993</v>
      </c>
      <c r="W15" s="6">
        <f>331972</f>
        <v>331972</v>
      </c>
      <c r="X15" s="4" t="s">
        <v>243</v>
      </c>
      <c r="Y15" s="4" t="s">
        <v>244</v>
      </c>
      <c r="Z15" s="4" t="s">
        <v>282</v>
      </c>
      <c r="AA15" s="4" t="s">
        <v>241</v>
      </c>
      <c r="AD15" s="4" t="s">
        <v>241</v>
      </c>
      <c r="AE15" s="5" t="s">
        <v>241</v>
      </c>
      <c r="AF15" s="5" t="s">
        <v>241</v>
      </c>
      <c r="AH15" s="5" t="s">
        <v>241</v>
      </c>
      <c r="AI15" s="5" t="s">
        <v>249</v>
      </c>
      <c r="AJ15" s="4" t="s">
        <v>251</v>
      </c>
      <c r="AK15" s="4" t="s">
        <v>252</v>
      </c>
      <c r="AQ15" s="4" t="s">
        <v>241</v>
      </c>
      <c r="AR15" s="4" t="s">
        <v>241</v>
      </c>
      <c r="AS15" s="4" t="s">
        <v>241</v>
      </c>
      <c r="AT15" s="5" t="s">
        <v>241</v>
      </c>
      <c r="AU15" s="5" t="s">
        <v>241</v>
      </c>
      <c r="AV15" s="5" t="s">
        <v>241</v>
      </c>
      <c r="AY15" s="4" t="s">
        <v>286</v>
      </c>
      <c r="AZ15" s="4" t="s">
        <v>286</v>
      </c>
      <c r="BA15" s="4" t="s">
        <v>254</v>
      </c>
      <c r="BB15" s="4" t="s">
        <v>287</v>
      </c>
      <c r="BC15" s="4" t="s">
        <v>255</v>
      </c>
      <c r="BD15" s="4" t="s">
        <v>241</v>
      </c>
      <c r="BE15" s="4" t="s">
        <v>257</v>
      </c>
      <c r="BF15" s="4" t="s">
        <v>241</v>
      </c>
      <c r="BJ15" s="4" t="s">
        <v>288</v>
      </c>
      <c r="BK15" s="5" t="s">
        <v>289</v>
      </c>
      <c r="BL15" s="4" t="s">
        <v>290</v>
      </c>
      <c r="BM15" s="4" t="s">
        <v>290</v>
      </c>
      <c r="BN15" s="4" t="s">
        <v>241</v>
      </c>
      <c r="BP15" s="6">
        <f>-82993</f>
        <v>-82993</v>
      </c>
      <c r="BQ15" s="4" t="s">
        <v>263</v>
      </c>
      <c r="BR15" s="4" t="s">
        <v>264</v>
      </c>
      <c r="BS15" s="4" t="s">
        <v>241</v>
      </c>
      <c r="BT15" s="4" t="s">
        <v>241</v>
      </c>
      <c r="BU15" s="4" t="s">
        <v>241</v>
      </c>
      <c r="BV15" s="4" t="s">
        <v>241</v>
      </c>
      <c r="CE15" s="4" t="s">
        <v>264</v>
      </c>
      <c r="CF15" s="4" t="s">
        <v>241</v>
      </c>
      <c r="CG15" s="4" t="s">
        <v>241</v>
      </c>
      <c r="CK15" s="4" t="s">
        <v>291</v>
      </c>
      <c r="CL15" s="4" t="s">
        <v>266</v>
      </c>
      <c r="CM15" s="4" t="s">
        <v>241</v>
      </c>
      <c r="CO15" s="4" t="s">
        <v>413</v>
      </c>
      <c r="CP15" s="5" t="s">
        <v>268</v>
      </c>
      <c r="CQ15" s="4" t="s">
        <v>269</v>
      </c>
      <c r="CR15" s="4" t="s">
        <v>270</v>
      </c>
      <c r="CS15" s="4" t="s">
        <v>293</v>
      </c>
      <c r="CT15" s="4" t="s">
        <v>241</v>
      </c>
      <c r="CU15" s="4">
        <v>7.6999999999999999E-2</v>
      </c>
      <c r="CV15" s="4" t="s">
        <v>271</v>
      </c>
      <c r="CW15" s="4" t="s">
        <v>415</v>
      </c>
      <c r="CX15" s="4" t="s">
        <v>428</v>
      </c>
      <c r="CY15" s="6">
        <f>0</f>
        <v>0</v>
      </c>
      <c r="CZ15" s="6">
        <f>1077840</f>
        <v>1077840</v>
      </c>
      <c r="DA15" s="6">
        <f>745868</f>
        <v>745868</v>
      </c>
      <c r="DC15" s="4" t="s">
        <v>241</v>
      </c>
      <c r="DD15" s="4" t="s">
        <v>241</v>
      </c>
      <c r="DF15" s="4" t="s">
        <v>241</v>
      </c>
      <c r="DG15" s="6">
        <f>0</f>
        <v>0</v>
      </c>
      <c r="DI15" s="4" t="s">
        <v>241</v>
      </c>
      <c r="DJ15" s="4" t="s">
        <v>241</v>
      </c>
      <c r="DK15" s="4" t="s">
        <v>241</v>
      </c>
      <c r="DL15" s="4" t="s">
        <v>241</v>
      </c>
      <c r="DM15" s="4" t="s">
        <v>278</v>
      </c>
      <c r="DN15" s="4" t="s">
        <v>278</v>
      </c>
      <c r="DO15" s="6" t="s">
        <v>241</v>
      </c>
      <c r="DP15" s="4" t="s">
        <v>241</v>
      </c>
      <c r="DQ15" s="4" t="s">
        <v>241</v>
      </c>
      <c r="DR15" s="4" t="s">
        <v>241</v>
      </c>
      <c r="DS15" s="4" t="s">
        <v>241</v>
      </c>
      <c r="DV15" s="4" t="s">
        <v>474</v>
      </c>
      <c r="DW15" s="4" t="s">
        <v>300</v>
      </c>
      <c r="GN15" s="4" t="s">
        <v>2910</v>
      </c>
      <c r="HO15" s="4" t="s">
        <v>351</v>
      </c>
      <c r="HR15" s="4" t="s">
        <v>278</v>
      </c>
      <c r="HS15" s="4" t="s">
        <v>278</v>
      </c>
      <c r="HT15" s="4" t="s">
        <v>241</v>
      </c>
      <c r="HU15" s="4" t="s">
        <v>241</v>
      </c>
      <c r="HV15" s="4" t="s">
        <v>241</v>
      </c>
      <c r="HW15" s="4" t="s">
        <v>241</v>
      </c>
      <c r="HX15" s="4" t="s">
        <v>241</v>
      </c>
      <c r="HY15" s="4" t="s">
        <v>241</v>
      </c>
      <c r="HZ15" s="4" t="s">
        <v>241</v>
      </c>
      <c r="IA15" s="4" t="s">
        <v>241</v>
      </c>
      <c r="IB15" s="4" t="s">
        <v>241</v>
      </c>
      <c r="IC15" s="4" t="s">
        <v>241</v>
      </c>
      <c r="ID15" s="4" t="s">
        <v>241</v>
      </c>
      <c r="IE15" s="4" t="s">
        <v>241</v>
      </c>
      <c r="IF15" s="4" t="s">
        <v>241</v>
      </c>
    </row>
    <row r="16" spans="1:240" x14ac:dyDescent="0.4">
      <c r="A16" s="4">
        <v>2</v>
      </c>
      <c r="B16" s="4" t="s">
        <v>239</v>
      </c>
      <c r="C16" s="4">
        <v>15</v>
      </c>
      <c r="D16" s="4">
        <v>1</v>
      </c>
      <c r="E16" s="4">
        <v>3</v>
      </c>
      <c r="F16" s="4" t="s">
        <v>326</v>
      </c>
      <c r="G16" s="4" t="s">
        <v>241</v>
      </c>
      <c r="H16" s="4" t="s">
        <v>241</v>
      </c>
      <c r="I16" s="4" t="s">
        <v>471</v>
      </c>
      <c r="J16" s="4" t="s">
        <v>418</v>
      </c>
      <c r="K16" s="4" t="s">
        <v>256</v>
      </c>
      <c r="L16" s="4" t="s">
        <v>2535</v>
      </c>
      <c r="M16" s="5" t="s">
        <v>419</v>
      </c>
      <c r="N16" s="4" t="s">
        <v>2883</v>
      </c>
      <c r="O16" s="6">
        <f>0</f>
        <v>0</v>
      </c>
      <c r="P16" s="4" t="s">
        <v>276</v>
      </c>
      <c r="Q16" s="6">
        <f>944720</f>
        <v>944720</v>
      </c>
      <c r="R16" s="6">
        <f>1290600</f>
        <v>1290600</v>
      </c>
      <c r="S16" s="5" t="s">
        <v>583</v>
      </c>
      <c r="T16" s="4" t="s">
        <v>348</v>
      </c>
      <c r="U16" s="4" t="s">
        <v>297</v>
      </c>
      <c r="V16" s="6">
        <f>86470</f>
        <v>86470</v>
      </c>
      <c r="W16" s="6">
        <f>345880</f>
        <v>345880</v>
      </c>
      <c r="X16" s="4" t="s">
        <v>243</v>
      </c>
      <c r="Y16" s="4" t="s">
        <v>244</v>
      </c>
      <c r="Z16" s="4" t="s">
        <v>282</v>
      </c>
      <c r="AA16" s="4" t="s">
        <v>241</v>
      </c>
      <c r="AD16" s="4" t="s">
        <v>241</v>
      </c>
      <c r="AE16" s="5" t="s">
        <v>241</v>
      </c>
      <c r="AF16" s="5" t="s">
        <v>241</v>
      </c>
      <c r="AH16" s="5" t="s">
        <v>241</v>
      </c>
      <c r="AI16" s="5" t="s">
        <v>479</v>
      </c>
      <c r="AJ16" s="4" t="s">
        <v>251</v>
      </c>
      <c r="AK16" s="4" t="s">
        <v>252</v>
      </c>
      <c r="AQ16" s="4" t="s">
        <v>241</v>
      </c>
      <c r="AR16" s="4" t="s">
        <v>241</v>
      </c>
      <c r="AS16" s="4" t="s">
        <v>241</v>
      </c>
      <c r="AT16" s="5" t="s">
        <v>241</v>
      </c>
      <c r="AU16" s="5" t="s">
        <v>241</v>
      </c>
      <c r="AV16" s="5" t="s">
        <v>241</v>
      </c>
      <c r="AY16" s="4" t="s">
        <v>286</v>
      </c>
      <c r="AZ16" s="4" t="s">
        <v>286</v>
      </c>
      <c r="BA16" s="4" t="s">
        <v>254</v>
      </c>
      <c r="BB16" s="4" t="s">
        <v>287</v>
      </c>
      <c r="BC16" s="4" t="s">
        <v>255</v>
      </c>
      <c r="BD16" s="4" t="s">
        <v>241</v>
      </c>
      <c r="BE16" s="4" t="s">
        <v>257</v>
      </c>
      <c r="BF16" s="4" t="s">
        <v>241</v>
      </c>
      <c r="BJ16" s="4" t="s">
        <v>288</v>
      </c>
      <c r="BK16" s="5" t="s">
        <v>289</v>
      </c>
      <c r="BL16" s="4" t="s">
        <v>290</v>
      </c>
      <c r="BM16" s="4" t="s">
        <v>290</v>
      </c>
      <c r="BN16" s="4" t="s">
        <v>241</v>
      </c>
      <c r="BP16" s="6">
        <f>-86470</f>
        <v>-86470</v>
      </c>
      <c r="BQ16" s="4" t="s">
        <v>263</v>
      </c>
      <c r="BR16" s="4" t="s">
        <v>264</v>
      </c>
      <c r="BS16" s="4" t="s">
        <v>241</v>
      </c>
      <c r="BT16" s="4" t="s">
        <v>241</v>
      </c>
      <c r="BU16" s="4" t="s">
        <v>241</v>
      </c>
      <c r="BV16" s="4" t="s">
        <v>241</v>
      </c>
      <c r="CE16" s="4" t="s">
        <v>264</v>
      </c>
      <c r="CF16" s="4" t="s">
        <v>241</v>
      </c>
      <c r="CG16" s="4" t="s">
        <v>241</v>
      </c>
      <c r="CK16" s="4" t="s">
        <v>291</v>
      </c>
      <c r="CL16" s="4" t="s">
        <v>266</v>
      </c>
      <c r="CM16" s="4" t="s">
        <v>241</v>
      </c>
      <c r="CO16" s="4" t="s">
        <v>413</v>
      </c>
      <c r="CP16" s="5" t="s">
        <v>268</v>
      </c>
      <c r="CQ16" s="4" t="s">
        <v>269</v>
      </c>
      <c r="CR16" s="4" t="s">
        <v>270</v>
      </c>
      <c r="CS16" s="4" t="s">
        <v>293</v>
      </c>
      <c r="CT16" s="4" t="s">
        <v>241</v>
      </c>
      <c r="CU16" s="4">
        <v>6.7000000000000004E-2</v>
      </c>
      <c r="CV16" s="4" t="s">
        <v>271</v>
      </c>
      <c r="CW16" s="4" t="s">
        <v>415</v>
      </c>
      <c r="CX16" s="4" t="s">
        <v>422</v>
      </c>
      <c r="CY16" s="6">
        <f>0</f>
        <v>0</v>
      </c>
      <c r="CZ16" s="6">
        <f>1290600</f>
        <v>1290600</v>
      </c>
      <c r="DA16" s="6">
        <f>944720</f>
        <v>944720</v>
      </c>
      <c r="DC16" s="4" t="s">
        <v>241</v>
      </c>
      <c r="DD16" s="4" t="s">
        <v>241</v>
      </c>
      <c r="DF16" s="4" t="s">
        <v>241</v>
      </c>
      <c r="DG16" s="6">
        <f>0</f>
        <v>0</v>
      </c>
      <c r="DI16" s="4" t="s">
        <v>241</v>
      </c>
      <c r="DJ16" s="4" t="s">
        <v>241</v>
      </c>
      <c r="DK16" s="4" t="s">
        <v>241</v>
      </c>
      <c r="DL16" s="4" t="s">
        <v>241</v>
      </c>
      <c r="DM16" s="4" t="s">
        <v>278</v>
      </c>
      <c r="DN16" s="4" t="s">
        <v>278</v>
      </c>
      <c r="DO16" s="6" t="s">
        <v>241</v>
      </c>
      <c r="DP16" s="4" t="s">
        <v>241</v>
      </c>
      <c r="DQ16" s="4" t="s">
        <v>241</v>
      </c>
      <c r="DR16" s="4" t="s">
        <v>241</v>
      </c>
      <c r="DS16" s="4" t="s">
        <v>241</v>
      </c>
      <c r="DV16" s="4" t="s">
        <v>474</v>
      </c>
      <c r="DW16" s="4" t="s">
        <v>341</v>
      </c>
      <c r="GN16" s="4" t="s">
        <v>2907</v>
      </c>
      <c r="HO16" s="4" t="s">
        <v>351</v>
      </c>
      <c r="HR16" s="4" t="s">
        <v>278</v>
      </c>
      <c r="HS16" s="4" t="s">
        <v>278</v>
      </c>
      <c r="HT16" s="4" t="s">
        <v>241</v>
      </c>
      <c r="HU16" s="4" t="s">
        <v>241</v>
      </c>
      <c r="HV16" s="4" t="s">
        <v>241</v>
      </c>
      <c r="HW16" s="4" t="s">
        <v>241</v>
      </c>
      <c r="HX16" s="4" t="s">
        <v>241</v>
      </c>
      <c r="HY16" s="4" t="s">
        <v>241</v>
      </c>
      <c r="HZ16" s="4" t="s">
        <v>241</v>
      </c>
      <c r="IA16" s="4" t="s">
        <v>241</v>
      </c>
      <c r="IB16" s="4" t="s">
        <v>241</v>
      </c>
      <c r="IC16" s="4" t="s">
        <v>241</v>
      </c>
      <c r="ID16" s="4" t="s">
        <v>241</v>
      </c>
      <c r="IE16" s="4" t="s">
        <v>241</v>
      </c>
      <c r="IF16" s="4" t="s">
        <v>241</v>
      </c>
    </row>
    <row r="17" spans="1:240" x14ac:dyDescent="0.4">
      <c r="A17" s="4">
        <v>2</v>
      </c>
      <c r="B17" s="4" t="s">
        <v>239</v>
      </c>
      <c r="C17" s="4">
        <v>16</v>
      </c>
      <c r="D17" s="4">
        <v>1</v>
      </c>
      <c r="E17" s="4">
        <v>3</v>
      </c>
      <c r="F17" s="4" t="s">
        <v>326</v>
      </c>
      <c r="G17" s="4" t="s">
        <v>241</v>
      </c>
      <c r="H17" s="4" t="s">
        <v>241</v>
      </c>
      <c r="I17" s="4" t="s">
        <v>471</v>
      </c>
      <c r="J17" s="4" t="s">
        <v>418</v>
      </c>
      <c r="K17" s="4" t="s">
        <v>256</v>
      </c>
      <c r="L17" s="4" t="s">
        <v>241</v>
      </c>
      <c r="M17" s="5" t="s">
        <v>419</v>
      </c>
      <c r="N17" s="4" t="s">
        <v>2904</v>
      </c>
      <c r="O17" s="6">
        <f>0</f>
        <v>0</v>
      </c>
      <c r="P17" s="4" t="s">
        <v>276</v>
      </c>
      <c r="Q17" s="6">
        <f>604044</f>
        <v>604044</v>
      </c>
      <c r="R17" s="6">
        <f>756000</f>
        <v>756000</v>
      </c>
      <c r="S17" s="5" t="s">
        <v>2905</v>
      </c>
      <c r="T17" s="4" t="s">
        <v>348</v>
      </c>
      <c r="U17" s="4" t="s">
        <v>323</v>
      </c>
      <c r="V17" s="6">
        <f>50652</f>
        <v>50652</v>
      </c>
      <c r="W17" s="6">
        <f>151956</f>
        <v>151956</v>
      </c>
      <c r="X17" s="4" t="s">
        <v>243</v>
      </c>
      <c r="Y17" s="4" t="s">
        <v>244</v>
      </c>
      <c r="Z17" s="4" t="s">
        <v>241</v>
      </c>
      <c r="AA17" s="4" t="s">
        <v>241</v>
      </c>
      <c r="AD17" s="4" t="s">
        <v>241</v>
      </c>
      <c r="AE17" s="5" t="s">
        <v>241</v>
      </c>
      <c r="AF17" s="5" t="s">
        <v>241</v>
      </c>
      <c r="AH17" s="5" t="s">
        <v>241</v>
      </c>
      <c r="AI17" s="5" t="s">
        <v>479</v>
      </c>
      <c r="AJ17" s="4" t="s">
        <v>251</v>
      </c>
      <c r="AK17" s="4" t="s">
        <v>252</v>
      </c>
      <c r="AQ17" s="4" t="s">
        <v>241</v>
      </c>
      <c r="AR17" s="4" t="s">
        <v>241</v>
      </c>
      <c r="AS17" s="4" t="s">
        <v>241</v>
      </c>
      <c r="AT17" s="5" t="s">
        <v>241</v>
      </c>
      <c r="AU17" s="5" t="s">
        <v>241</v>
      </c>
      <c r="AV17" s="5" t="s">
        <v>241</v>
      </c>
      <c r="AY17" s="4" t="s">
        <v>286</v>
      </c>
      <c r="AZ17" s="4" t="s">
        <v>286</v>
      </c>
      <c r="BA17" s="4" t="s">
        <v>254</v>
      </c>
      <c r="BB17" s="4" t="s">
        <v>287</v>
      </c>
      <c r="BC17" s="4" t="s">
        <v>255</v>
      </c>
      <c r="BD17" s="4" t="s">
        <v>241</v>
      </c>
      <c r="BE17" s="4" t="s">
        <v>257</v>
      </c>
      <c r="BF17" s="4" t="s">
        <v>241</v>
      </c>
      <c r="BJ17" s="4" t="s">
        <v>288</v>
      </c>
      <c r="BK17" s="5" t="s">
        <v>289</v>
      </c>
      <c r="BL17" s="4" t="s">
        <v>290</v>
      </c>
      <c r="BM17" s="4" t="s">
        <v>290</v>
      </c>
      <c r="BN17" s="4" t="s">
        <v>241</v>
      </c>
      <c r="BP17" s="6">
        <f>-50652</f>
        <v>-50652</v>
      </c>
      <c r="BQ17" s="4" t="s">
        <v>263</v>
      </c>
      <c r="BR17" s="4" t="s">
        <v>264</v>
      </c>
      <c r="BS17" s="4" t="s">
        <v>241</v>
      </c>
      <c r="BT17" s="4" t="s">
        <v>241</v>
      </c>
      <c r="BU17" s="4" t="s">
        <v>241</v>
      </c>
      <c r="BV17" s="4" t="s">
        <v>241</v>
      </c>
      <c r="CE17" s="4" t="s">
        <v>264</v>
      </c>
      <c r="CF17" s="4" t="s">
        <v>241</v>
      </c>
      <c r="CG17" s="4" t="s">
        <v>241</v>
      </c>
      <c r="CK17" s="4" t="s">
        <v>291</v>
      </c>
      <c r="CL17" s="4" t="s">
        <v>266</v>
      </c>
      <c r="CM17" s="4" t="s">
        <v>241</v>
      </c>
      <c r="CO17" s="4" t="s">
        <v>421</v>
      </c>
      <c r="CP17" s="5" t="s">
        <v>268</v>
      </c>
      <c r="CQ17" s="4" t="s">
        <v>269</v>
      </c>
      <c r="CR17" s="4" t="s">
        <v>270</v>
      </c>
      <c r="CS17" s="4" t="s">
        <v>293</v>
      </c>
      <c r="CT17" s="4" t="s">
        <v>241</v>
      </c>
      <c r="CU17" s="4">
        <v>6.7000000000000004E-2</v>
      </c>
      <c r="CV17" s="4" t="s">
        <v>271</v>
      </c>
      <c r="CW17" s="4" t="s">
        <v>415</v>
      </c>
      <c r="CX17" s="4" t="s">
        <v>422</v>
      </c>
      <c r="CY17" s="6">
        <f>0</f>
        <v>0</v>
      </c>
      <c r="CZ17" s="6">
        <f>756000</f>
        <v>756000</v>
      </c>
      <c r="DA17" s="6">
        <f>604044</f>
        <v>604044</v>
      </c>
      <c r="DC17" s="4" t="s">
        <v>241</v>
      </c>
      <c r="DD17" s="4" t="s">
        <v>241</v>
      </c>
      <c r="DF17" s="4" t="s">
        <v>241</v>
      </c>
      <c r="DG17" s="6">
        <f>0</f>
        <v>0</v>
      </c>
      <c r="DI17" s="4" t="s">
        <v>241</v>
      </c>
      <c r="DJ17" s="4" t="s">
        <v>241</v>
      </c>
      <c r="DK17" s="4" t="s">
        <v>241</v>
      </c>
      <c r="DL17" s="4" t="s">
        <v>241</v>
      </c>
      <c r="DM17" s="4" t="s">
        <v>278</v>
      </c>
      <c r="DN17" s="4" t="s">
        <v>278</v>
      </c>
      <c r="DO17" s="6" t="s">
        <v>241</v>
      </c>
      <c r="DP17" s="4" t="s">
        <v>241</v>
      </c>
      <c r="DQ17" s="4" t="s">
        <v>241</v>
      </c>
      <c r="DR17" s="4" t="s">
        <v>241</v>
      </c>
      <c r="DS17" s="4" t="s">
        <v>241</v>
      </c>
      <c r="DV17" s="4" t="s">
        <v>474</v>
      </c>
      <c r="DW17" s="4" t="s">
        <v>343</v>
      </c>
      <c r="GN17" s="4" t="s">
        <v>2906</v>
      </c>
      <c r="HO17" s="4" t="s">
        <v>336</v>
      </c>
      <c r="HR17" s="4" t="s">
        <v>278</v>
      </c>
      <c r="HS17" s="4" t="s">
        <v>278</v>
      </c>
      <c r="HT17" s="4" t="s">
        <v>241</v>
      </c>
      <c r="HU17" s="4" t="s">
        <v>241</v>
      </c>
      <c r="HV17" s="4" t="s">
        <v>241</v>
      </c>
      <c r="HW17" s="4" t="s">
        <v>241</v>
      </c>
      <c r="HX17" s="4" t="s">
        <v>241</v>
      </c>
      <c r="HY17" s="4" t="s">
        <v>241</v>
      </c>
      <c r="HZ17" s="4" t="s">
        <v>241</v>
      </c>
      <c r="IA17" s="4" t="s">
        <v>241</v>
      </c>
      <c r="IB17" s="4" t="s">
        <v>241</v>
      </c>
      <c r="IC17" s="4" t="s">
        <v>241</v>
      </c>
      <c r="ID17" s="4" t="s">
        <v>241</v>
      </c>
      <c r="IE17" s="4" t="s">
        <v>241</v>
      </c>
      <c r="IF17" s="4" t="s">
        <v>241</v>
      </c>
    </row>
    <row r="18" spans="1:240" x14ac:dyDescent="0.4">
      <c r="A18" s="4">
        <v>2</v>
      </c>
      <c r="B18" s="4" t="s">
        <v>239</v>
      </c>
      <c r="C18" s="4">
        <v>17</v>
      </c>
      <c r="D18" s="4">
        <v>1</v>
      </c>
      <c r="E18" s="4">
        <v>3</v>
      </c>
      <c r="F18" s="4" t="s">
        <v>326</v>
      </c>
      <c r="G18" s="4" t="s">
        <v>241</v>
      </c>
      <c r="H18" s="4" t="s">
        <v>241</v>
      </c>
      <c r="I18" s="4" t="s">
        <v>471</v>
      </c>
      <c r="J18" s="4" t="s">
        <v>418</v>
      </c>
      <c r="K18" s="4" t="s">
        <v>256</v>
      </c>
      <c r="L18" s="4" t="s">
        <v>241</v>
      </c>
      <c r="M18" s="5" t="s">
        <v>419</v>
      </c>
      <c r="N18" s="4" t="s">
        <v>2902</v>
      </c>
      <c r="O18" s="6">
        <f>0</f>
        <v>0</v>
      </c>
      <c r="P18" s="4" t="s">
        <v>276</v>
      </c>
      <c r="Q18" s="6">
        <f>4451934</f>
        <v>4451934</v>
      </c>
      <c r="R18" s="6">
        <f>5140800</f>
        <v>5140800</v>
      </c>
      <c r="S18" s="5" t="s">
        <v>2871</v>
      </c>
      <c r="T18" s="4" t="s">
        <v>348</v>
      </c>
      <c r="U18" s="4" t="s">
        <v>277</v>
      </c>
      <c r="V18" s="6">
        <f>344433</f>
        <v>344433</v>
      </c>
      <c r="W18" s="6">
        <f>688866</f>
        <v>688866</v>
      </c>
      <c r="X18" s="4" t="s">
        <v>243</v>
      </c>
      <c r="Y18" s="4" t="s">
        <v>244</v>
      </c>
      <c r="Z18" s="4" t="s">
        <v>241</v>
      </c>
      <c r="AA18" s="4" t="s">
        <v>241</v>
      </c>
      <c r="AD18" s="4" t="s">
        <v>241</v>
      </c>
      <c r="AE18" s="5" t="s">
        <v>241</v>
      </c>
      <c r="AF18" s="5" t="s">
        <v>241</v>
      </c>
      <c r="AH18" s="5" t="s">
        <v>241</v>
      </c>
      <c r="AI18" s="5" t="s">
        <v>479</v>
      </c>
      <c r="AJ18" s="4" t="s">
        <v>251</v>
      </c>
      <c r="AK18" s="4" t="s">
        <v>252</v>
      </c>
      <c r="AQ18" s="4" t="s">
        <v>241</v>
      </c>
      <c r="AR18" s="4" t="s">
        <v>241</v>
      </c>
      <c r="AS18" s="4" t="s">
        <v>241</v>
      </c>
      <c r="AT18" s="5" t="s">
        <v>241</v>
      </c>
      <c r="AU18" s="5" t="s">
        <v>241</v>
      </c>
      <c r="AV18" s="5" t="s">
        <v>241</v>
      </c>
      <c r="AY18" s="4" t="s">
        <v>286</v>
      </c>
      <c r="AZ18" s="4" t="s">
        <v>286</v>
      </c>
      <c r="BA18" s="4" t="s">
        <v>254</v>
      </c>
      <c r="BB18" s="4" t="s">
        <v>287</v>
      </c>
      <c r="BC18" s="4" t="s">
        <v>255</v>
      </c>
      <c r="BD18" s="4" t="s">
        <v>241</v>
      </c>
      <c r="BE18" s="4" t="s">
        <v>257</v>
      </c>
      <c r="BF18" s="4" t="s">
        <v>241</v>
      </c>
      <c r="BJ18" s="4" t="s">
        <v>288</v>
      </c>
      <c r="BK18" s="5" t="s">
        <v>289</v>
      </c>
      <c r="BL18" s="4" t="s">
        <v>290</v>
      </c>
      <c r="BM18" s="4" t="s">
        <v>290</v>
      </c>
      <c r="BN18" s="4" t="s">
        <v>241</v>
      </c>
      <c r="BP18" s="6">
        <f>-344433</f>
        <v>-344433</v>
      </c>
      <c r="BQ18" s="4" t="s">
        <v>263</v>
      </c>
      <c r="BR18" s="4" t="s">
        <v>264</v>
      </c>
      <c r="BS18" s="4" t="s">
        <v>241</v>
      </c>
      <c r="BT18" s="4" t="s">
        <v>241</v>
      </c>
      <c r="BU18" s="4" t="s">
        <v>241</v>
      </c>
      <c r="BV18" s="4" t="s">
        <v>241</v>
      </c>
      <c r="CE18" s="4" t="s">
        <v>264</v>
      </c>
      <c r="CF18" s="4" t="s">
        <v>241</v>
      </c>
      <c r="CG18" s="4" t="s">
        <v>241</v>
      </c>
      <c r="CK18" s="4" t="s">
        <v>291</v>
      </c>
      <c r="CL18" s="4" t="s">
        <v>266</v>
      </c>
      <c r="CM18" s="4" t="s">
        <v>241</v>
      </c>
      <c r="CO18" s="4" t="s">
        <v>331</v>
      </c>
      <c r="CP18" s="5" t="s">
        <v>268</v>
      </c>
      <c r="CQ18" s="4" t="s">
        <v>269</v>
      </c>
      <c r="CR18" s="4" t="s">
        <v>270</v>
      </c>
      <c r="CS18" s="4" t="s">
        <v>293</v>
      </c>
      <c r="CT18" s="4" t="s">
        <v>241</v>
      </c>
      <c r="CU18" s="4">
        <v>6.7000000000000004E-2</v>
      </c>
      <c r="CV18" s="4" t="s">
        <v>271</v>
      </c>
      <c r="CW18" s="4" t="s">
        <v>415</v>
      </c>
      <c r="CX18" s="4" t="s">
        <v>422</v>
      </c>
      <c r="CY18" s="6">
        <f>0</f>
        <v>0</v>
      </c>
      <c r="CZ18" s="6">
        <f>5140800</f>
        <v>5140800</v>
      </c>
      <c r="DA18" s="6">
        <f>4451934</f>
        <v>4451934</v>
      </c>
      <c r="DC18" s="4" t="s">
        <v>241</v>
      </c>
      <c r="DD18" s="4" t="s">
        <v>241</v>
      </c>
      <c r="DF18" s="4" t="s">
        <v>241</v>
      </c>
      <c r="DG18" s="6">
        <f>0</f>
        <v>0</v>
      </c>
      <c r="DI18" s="4" t="s">
        <v>241</v>
      </c>
      <c r="DJ18" s="4" t="s">
        <v>241</v>
      </c>
      <c r="DK18" s="4" t="s">
        <v>241</v>
      </c>
      <c r="DL18" s="4" t="s">
        <v>241</v>
      </c>
      <c r="DM18" s="4" t="s">
        <v>278</v>
      </c>
      <c r="DN18" s="4" t="s">
        <v>278</v>
      </c>
      <c r="DO18" s="6" t="s">
        <v>241</v>
      </c>
      <c r="DP18" s="4" t="s">
        <v>241</v>
      </c>
      <c r="DQ18" s="4" t="s">
        <v>241</v>
      </c>
      <c r="DR18" s="4" t="s">
        <v>241</v>
      </c>
      <c r="DS18" s="4" t="s">
        <v>241</v>
      </c>
      <c r="DV18" s="4" t="s">
        <v>474</v>
      </c>
      <c r="DW18" s="4" t="s">
        <v>417</v>
      </c>
      <c r="GN18" s="4" t="s">
        <v>2903</v>
      </c>
      <c r="HO18" s="4" t="s">
        <v>297</v>
      </c>
      <c r="HR18" s="4" t="s">
        <v>278</v>
      </c>
      <c r="HS18" s="4" t="s">
        <v>278</v>
      </c>
      <c r="HT18" s="4" t="s">
        <v>241</v>
      </c>
      <c r="HU18" s="4" t="s">
        <v>241</v>
      </c>
      <c r="HV18" s="4" t="s">
        <v>241</v>
      </c>
      <c r="HW18" s="4" t="s">
        <v>241</v>
      </c>
      <c r="HX18" s="4" t="s">
        <v>241</v>
      </c>
      <c r="HY18" s="4" t="s">
        <v>241</v>
      </c>
      <c r="HZ18" s="4" t="s">
        <v>241</v>
      </c>
      <c r="IA18" s="4" t="s">
        <v>241</v>
      </c>
      <c r="IB18" s="4" t="s">
        <v>241</v>
      </c>
      <c r="IC18" s="4" t="s">
        <v>241</v>
      </c>
      <c r="ID18" s="4" t="s">
        <v>241</v>
      </c>
      <c r="IE18" s="4" t="s">
        <v>241</v>
      </c>
      <c r="IF18" s="4" t="s">
        <v>241</v>
      </c>
    </row>
    <row r="19" spans="1:240" x14ac:dyDescent="0.4">
      <c r="A19" s="4">
        <v>2</v>
      </c>
      <c r="B19" s="4" t="s">
        <v>239</v>
      </c>
      <c r="C19" s="4">
        <v>18</v>
      </c>
      <c r="D19" s="4">
        <v>1</v>
      </c>
      <c r="E19" s="4">
        <v>3</v>
      </c>
      <c r="F19" s="4" t="s">
        <v>240</v>
      </c>
      <c r="G19" s="4" t="s">
        <v>241</v>
      </c>
      <c r="H19" s="4" t="s">
        <v>241</v>
      </c>
      <c r="I19" s="4" t="s">
        <v>482</v>
      </c>
      <c r="J19" s="4" t="s">
        <v>483</v>
      </c>
      <c r="K19" s="4" t="s">
        <v>256</v>
      </c>
      <c r="L19" s="4" t="s">
        <v>3833</v>
      </c>
      <c r="M19" s="5" t="s">
        <v>486</v>
      </c>
      <c r="N19" s="4" t="s">
        <v>3833</v>
      </c>
      <c r="O19" s="6">
        <f>115.94</f>
        <v>115.94</v>
      </c>
      <c r="P19" s="4" t="s">
        <v>276</v>
      </c>
      <c r="Q19" s="6">
        <f>3680636</f>
        <v>3680636</v>
      </c>
      <c r="R19" s="6">
        <f>12869340</f>
        <v>12869340</v>
      </c>
      <c r="S19" s="5" t="s">
        <v>484</v>
      </c>
      <c r="T19" s="4" t="s">
        <v>274</v>
      </c>
      <c r="U19" s="4" t="s">
        <v>371</v>
      </c>
      <c r="V19" s="6">
        <f>540512</f>
        <v>540512</v>
      </c>
      <c r="W19" s="6">
        <f>9188704</f>
        <v>9188704</v>
      </c>
      <c r="X19" s="4" t="s">
        <v>243</v>
      </c>
      <c r="Y19" s="4" t="s">
        <v>244</v>
      </c>
      <c r="Z19" s="4" t="s">
        <v>282</v>
      </c>
      <c r="AA19" s="4" t="s">
        <v>241</v>
      </c>
      <c r="AD19" s="4" t="s">
        <v>241</v>
      </c>
      <c r="AE19" s="5" t="s">
        <v>241</v>
      </c>
      <c r="AF19" s="5" t="s">
        <v>241</v>
      </c>
      <c r="AH19" s="5" t="s">
        <v>241</v>
      </c>
      <c r="AI19" s="5" t="s">
        <v>485</v>
      </c>
      <c r="AJ19" s="4" t="s">
        <v>251</v>
      </c>
      <c r="AK19" s="4" t="s">
        <v>252</v>
      </c>
      <c r="AQ19" s="4" t="s">
        <v>241</v>
      </c>
      <c r="AR19" s="4" t="s">
        <v>241</v>
      </c>
      <c r="AS19" s="4" t="s">
        <v>241</v>
      </c>
      <c r="AT19" s="5" t="s">
        <v>241</v>
      </c>
      <c r="AU19" s="5" t="s">
        <v>241</v>
      </c>
      <c r="AV19" s="5" t="s">
        <v>241</v>
      </c>
      <c r="AY19" s="4" t="s">
        <v>286</v>
      </c>
      <c r="AZ19" s="4" t="s">
        <v>286</v>
      </c>
      <c r="BA19" s="4" t="s">
        <v>254</v>
      </c>
      <c r="BB19" s="4" t="s">
        <v>287</v>
      </c>
      <c r="BC19" s="4" t="s">
        <v>255</v>
      </c>
      <c r="BD19" s="4" t="s">
        <v>241</v>
      </c>
      <c r="BE19" s="4" t="s">
        <v>257</v>
      </c>
      <c r="BF19" s="4" t="s">
        <v>241</v>
      </c>
      <c r="BJ19" s="4" t="s">
        <v>288</v>
      </c>
      <c r="BK19" s="5" t="s">
        <v>289</v>
      </c>
      <c r="BL19" s="4" t="s">
        <v>290</v>
      </c>
      <c r="BM19" s="4" t="s">
        <v>290</v>
      </c>
      <c r="BN19" s="4" t="s">
        <v>241</v>
      </c>
      <c r="BO19" s="6">
        <f>0</f>
        <v>0</v>
      </c>
      <c r="BP19" s="6">
        <f>-540512</f>
        <v>-540512</v>
      </c>
      <c r="BQ19" s="4" t="s">
        <v>263</v>
      </c>
      <c r="BR19" s="4" t="s">
        <v>264</v>
      </c>
      <c r="BS19" s="4" t="s">
        <v>241</v>
      </c>
      <c r="BT19" s="4" t="s">
        <v>241</v>
      </c>
      <c r="BU19" s="4" t="s">
        <v>241</v>
      </c>
      <c r="BV19" s="4" t="s">
        <v>241</v>
      </c>
      <c r="CE19" s="4" t="s">
        <v>264</v>
      </c>
      <c r="CF19" s="4" t="s">
        <v>241</v>
      </c>
      <c r="CG19" s="4" t="s">
        <v>241</v>
      </c>
      <c r="CK19" s="4" t="s">
        <v>291</v>
      </c>
      <c r="CL19" s="4" t="s">
        <v>266</v>
      </c>
      <c r="CM19" s="4" t="s">
        <v>241</v>
      </c>
      <c r="CO19" s="4" t="s">
        <v>407</v>
      </c>
      <c r="CP19" s="5" t="s">
        <v>268</v>
      </c>
      <c r="CQ19" s="4" t="s">
        <v>269</v>
      </c>
      <c r="CR19" s="4" t="s">
        <v>270</v>
      </c>
      <c r="CS19" s="4" t="s">
        <v>293</v>
      </c>
      <c r="CT19" s="4" t="s">
        <v>241</v>
      </c>
      <c r="CU19" s="4">
        <v>4.2000000000000003E-2</v>
      </c>
      <c r="CV19" s="4" t="s">
        <v>271</v>
      </c>
      <c r="CW19" s="4" t="s">
        <v>3834</v>
      </c>
      <c r="CX19" s="4" t="s">
        <v>347</v>
      </c>
      <c r="CY19" s="6">
        <f>0</f>
        <v>0</v>
      </c>
      <c r="CZ19" s="6">
        <f>12869340</f>
        <v>12869340</v>
      </c>
      <c r="DA19" s="6">
        <f>3680636</f>
        <v>3680636</v>
      </c>
      <c r="DC19" s="4" t="s">
        <v>241</v>
      </c>
      <c r="DD19" s="4" t="s">
        <v>241</v>
      </c>
      <c r="DF19" s="4" t="s">
        <v>241</v>
      </c>
      <c r="DG19" s="6">
        <f>0</f>
        <v>0</v>
      </c>
      <c r="DI19" s="4" t="s">
        <v>241</v>
      </c>
      <c r="DJ19" s="4" t="s">
        <v>241</v>
      </c>
      <c r="DK19" s="4" t="s">
        <v>241</v>
      </c>
      <c r="DL19" s="4" t="s">
        <v>241</v>
      </c>
      <c r="DM19" s="4" t="s">
        <v>277</v>
      </c>
      <c r="DN19" s="4" t="s">
        <v>278</v>
      </c>
      <c r="DO19" s="6">
        <f>115.94</f>
        <v>115.94</v>
      </c>
      <c r="DP19" s="4" t="s">
        <v>241</v>
      </c>
      <c r="DQ19" s="4" t="s">
        <v>241</v>
      </c>
      <c r="DR19" s="4" t="s">
        <v>241</v>
      </c>
      <c r="DS19" s="4" t="s">
        <v>241</v>
      </c>
      <c r="DV19" s="4" t="s">
        <v>488</v>
      </c>
      <c r="DW19" s="4" t="s">
        <v>277</v>
      </c>
      <c r="GN19" s="4" t="s">
        <v>3835</v>
      </c>
      <c r="HO19" s="4" t="s">
        <v>300</v>
      </c>
      <c r="HR19" s="4" t="s">
        <v>278</v>
      </c>
      <c r="HS19" s="4" t="s">
        <v>278</v>
      </c>
      <c r="HT19" s="4" t="s">
        <v>241</v>
      </c>
      <c r="HU19" s="4" t="s">
        <v>241</v>
      </c>
      <c r="HV19" s="4" t="s">
        <v>241</v>
      </c>
      <c r="HW19" s="4" t="s">
        <v>241</v>
      </c>
      <c r="HX19" s="4" t="s">
        <v>241</v>
      </c>
      <c r="HY19" s="4" t="s">
        <v>241</v>
      </c>
      <c r="HZ19" s="4" t="s">
        <v>241</v>
      </c>
      <c r="IA19" s="4" t="s">
        <v>241</v>
      </c>
      <c r="IB19" s="4" t="s">
        <v>241</v>
      </c>
      <c r="IC19" s="4" t="s">
        <v>241</v>
      </c>
      <c r="ID19" s="4" t="s">
        <v>241</v>
      </c>
      <c r="IE19" s="4" t="s">
        <v>241</v>
      </c>
      <c r="IF19" s="4" t="s">
        <v>241</v>
      </c>
    </row>
    <row r="20" spans="1:240" x14ac:dyDescent="0.4">
      <c r="A20" s="4">
        <v>2</v>
      </c>
      <c r="B20" s="4" t="s">
        <v>239</v>
      </c>
      <c r="C20" s="4">
        <v>19</v>
      </c>
      <c r="D20" s="4">
        <v>1</v>
      </c>
      <c r="E20" s="4">
        <v>3</v>
      </c>
      <c r="F20" s="4" t="s">
        <v>240</v>
      </c>
      <c r="G20" s="4" t="s">
        <v>241</v>
      </c>
      <c r="H20" s="4" t="s">
        <v>241</v>
      </c>
      <c r="I20" s="4" t="s">
        <v>482</v>
      </c>
      <c r="J20" s="4" t="s">
        <v>483</v>
      </c>
      <c r="K20" s="4" t="s">
        <v>256</v>
      </c>
      <c r="L20" s="4" t="s">
        <v>280</v>
      </c>
      <c r="M20" s="5" t="s">
        <v>486</v>
      </c>
      <c r="N20" s="4" t="s">
        <v>280</v>
      </c>
      <c r="O20" s="6">
        <f>3722.28</f>
        <v>3722.28</v>
      </c>
      <c r="P20" s="4" t="s">
        <v>276</v>
      </c>
      <c r="Q20" s="6">
        <f>533644679</f>
        <v>533644679</v>
      </c>
      <c r="R20" s="6">
        <f>986404200</f>
        <v>986404200</v>
      </c>
      <c r="S20" s="5" t="s">
        <v>484</v>
      </c>
      <c r="T20" s="4" t="s">
        <v>333</v>
      </c>
      <c r="U20" s="4" t="s">
        <v>371</v>
      </c>
      <c r="V20" s="6">
        <f>26632913</f>
        <v>26632913</v>
      </c>
      <c r="W20" s="6">
        <f>452759521</f>
        <v>452759521</v>
      </c>
      <c r="X20" s="4" t="s">
        <v>243</v>
      </c>
      <c r="Y20" s="4" t="s">
        <v>244</v>
      </c>
      <c r="Z20" s="4" t="s">
        <v>282</v>
      </c>
      <c r="AA20" s="4" t="s">
        <v>241</v>
      </c>
      <c r="AD20" s="4" t="s">
        <v>241</v>
      </c>
      <c r="AE20" s="5" t="s">
        <v>241</v>
      </c>
      <c r="AF20" s="5" t="s">
        <v>241</v>
      </c>
      <c r="AH20" s="5" t="s">
        <v>241</v>
      </c>
      <c r="AI20" s="5" t="s">
        <v>485</v>
      </c>
      <c r="AJ20" s="4" t="s">
        <v>251</v>
      </c>
      <c r="AK20" s="4" t="s">
        <v>252</v>
      </c>
      <c r="AQ20" s="4" t="s">
        <v>241</v>
      </c>
      <c r="AR20" s="4" t="s">
        <v>241</v>
      </c>
      <c r="AS20" s="4" t="s">
        <v>241</v>
      </c>
      <c r="AT20" s="5" t="s">
        <v>241</v>
      </c>
      <c r="AU20" s="5" t="s">
        <v>241</v>
      </c>
      <c r="AV20" s="5" t="s">
        <v>241</v>
      </c>
      <c r="AY20" s="4" t="s">
        <v>286</v>
      </c>
      <c r="AZ20" s="4" t="s">
        <v>286</v>
      </c>
      <c r="BA20" s="4" t="s">
        <v>254</v>
      </c>
      <c r="BB20" s="4" t="s">
        <v>287</v>
      </c>
      <c r="BC20" s="4" t="s">
        <v>255</v>
      </c>
      <c r="BD20" s="4" t="s">
        <v>241</v>
      </c>
      <c r="BE20" s="4" t="s">
        <v>257</v>
      </c>
      <c r="BF20" s="4" t="s">
        <v>241</v>
      </c>
      <c r="BJ20" s="4" t="s">
        <v>288</v>
      </c>
      <c r="BK20" s="5" t="s">
        <v>289</v>
      </c>
      <c r="BL20" s="4" t="s">
        <v>290</v>
      </c>
      <c r="BM20" s="4" t="s">
        <v>290</v>
      </c>
      <c r="BN20" s="4" t="s">
        <v>241</v>
      </c>
      <c r="BO20" s="6">
        <f>0</f>
        <v>0</v>
      </c>
      <c r="BP20" s="6">
        <f>-26632913</f>
        <v>-26632913</v>
      </c>
      <c r="BQ20" s="4" t="s">
        <v>263</v>
      </c>
      <c r="BR20" s="4" t="s">
        <v>264</v>
      </c>
      <c r="BS20" s="4" t="s">
        <v>241</v>
      </c>
      <c r="BT20" s="4" t="s">
        <v>241</v>
      </c>
      <c r="BU20" s="4" t="s">
        <v>241</v>
      </c>
      <c r="BV20" s="4" t="s">
        <v>241</v>
      </c>
      <c r="CE20" s="4" t="s">
        <v>264</v>
      </c>
      <c r="CF20" s="4" t="s">
        <v>241</v>
      </c>
      <c r="CG20" s="4" t="s">
        <v>241</v>
      </c>
      <c r="CK20" s="4" t="s">
        <v>291</v>
      </c>
      <c r="CL20" s="4" t="s">
        <v>266</v>
      </c>
      <c r="CM20" s="4" t="s">
        <v>241</v>
      </c>
      <c r="CO20" s="4" t="s">
        <v>407</v>
      </c>
      <c r="CP20" s="5" t="s">
        <v>268</v>
      </c>
      <c r="CQ20" s="4" t="s">
        <v>269</v>
      </c>
      <c r="CR20" s="4" t="s">
        <v>270</v>
      </c>
      <c r="CS20" s="4" t="s">
        <v>293</v>
      </c>
      <c r="CT20" s="4" t="s">
        <v>241</v>
      </c>
      <c r="CU20" s="4">
        <v>2.7E-2</v>
      </c>
      <c r="CV20" s="4" t="s">
        <v>271</v>
      </c>
      <c r="CW20" s="4" t="s">
        <v>294</v>
      </c>
      <c r="CX20" s="4" t="s">
        <v>487</v>
      </c>
      <c r="CY20" s="6">
        <f>0</f>
        <v>0</v>
      </c>
      <c r="CZ20" s="6">
        <f>986404200</f>
        <v>986404200</v>
      </c>
      <c r="DA20" s="6">
        <f>533644679</f>
        <v>533644679</v>
      </c>
      <c r="DC20" s="4" t="s">
        <v>241</v>
      </c>
      <c r="DD20" s="4" t="s">
        <v>241</v>
      </c>
      <c r="DF20" s="4" t="s">
        <v>241</v>
      </c>
      <c r="DG20" s="6">
        <f>0</f>
        <v>0</v>
      </c>
      <c r="DI20" s="4" t="s">
        <v>241</v>
      </c>
      <c r="DJ20" s="4" t="s">
        <v>241</v>
      </c>
      <c r="DK20" s="4" t="s">
        <v>241</v>
      </c>
      <c r="DL20" s="4" t="s">
        <v>241</v>
      </c>
      <c r="DM20" s="4" t="s">
        <v>323</v>
      </c>
      <c r="DN20" s="4" t="s">
        <v>278</v>
      </c>
      <c r="DO20" s="6">
        <f>3722.28</f>
        <v>3722.28</v>
      </c>
      <c r="DP20" s="4" t="s">
        <v>241</v>
      </c>
      <c r="DQ20" s="4" t="s">
        <v>241</v>
      </c>
      <c r="DR20" s="4" t="s">
        <v>241</v>
      </c>
      <c r="DS20" s="4" t="s">
        <v>241</v>
      </c>
      <c r="DV20" s="4" t="s">
        <v>488</v>
      </c>
      <c r="DW20" s="4" t="s">
        <v>323</v>
      </c>
      <c r="GN20" s="4" t="s">
        <v>489</v>
      </c>
      <c r="HO20" s="4" t="s">
        <v>300</v>
      </c>
      <c r="HR20" s="4" t="s">
        <v>278</v>
      </c>
      <c r="HS20" s="4" t="s">
        <v>278</v>
      </c>
      <c r="HT20" s="4" t="s">
        <v>241</v>
      </c>
      <c r="HU20" s="4" t="s">
        <v>241</v>
      </c>
      <c r="HV20" s="4" t="s">
        <v>241</v>
      </c>
      <c r="HW20" s="4" t="s">
        <v>241</v>
      </c>
      <c r="HX20" s="4" t="s">
        <v>241</v>
      </c>
      <c r="HY20" s="4" t="s">
        <v>241</v>
      </c>
      <c r="HZ20" s="4" t="s">
        <v>241</v>
      </c>
      <c r="IA20" s="4" t="s">
        <v>241</v>
      </c>
      <c r="IB20" s="4" t="s">
        <v>241</v>
      </c>
      <c r="IC20" s="4" t="s">
        <v>241</v>
      </c>
      <c r="ID20" s="4" t="s">
        <v>241</v>
      </c>
      <c r="IE20" s="4" t="s">
        <v>241</v>
      </c>
      <c r="IF20" s="4" t="s">
        <v>241</v>
      </c>
    </row>
    <row r="21" spans="1:240" x14ac:dyDescent="0.4">
      <c r="A21" s="4">
        <v>2</v>
      </c>
      <c r="B21" s="4" t="s">
        <v>239</v>
      </c>
      <c r="C21" s="4">
        <v>20</v>
      </c>
      <c r="D21" s="4">
        <v>1</v>
      </c>
      <c r="E21" s="4">
        <v>2</v>
      </c>
      <c r="F21" s="4" t="s">
        <v>240</v>
      </c>
      <c r="I21" s="4" t="s">
        <v>241</v>
      </c>
      <c r="J21" s="4" t="s">
        <v>483</v>
      </c>
      <c r="K21" s="4" t="s">
        <v>256</v>
      </c>
      <c r="L21" s="4" t="s">
        <v>454</v>
      </c>
      <c r="M21" s="5" t="s">
        <v>486</v>
      </c>
      <c r="N21" s="4" t="s">
        <v>454</v>
      </c>
      <c r="O21" s="6">
        <f>830.02</f>
        <v>830.02</v>
      </c>
      <c r="P21" s="4" t="s">
        <v>276</v>
      </c>
      <c r="Q21" s="6">
        <f>96560392</f>
        <v>96560392</v>
      </c>
      <c r="R21" s="6">
        <f>219955300</f>
        <v>219955300</v>
      </c>
      <c r="S21" s="5" t="s">
        <v>4101</v>
      </c>
      <c r="T21" s="4" t="s">
        <v>441</v>
      </c>
      <c r="U21" s="4" t="s">
        <v>371</v>
      </c>
      <c r="W21" s="6">
        <f>123394908</f>
        <v>123394908</v>
      </c>
      <c r="X21" s="4" t="s">
        <v>243</v>
      </c>
      <c r="Y21" s="4" t="s">
        <v>244</v>
      </c>
      <c r="Z21" s="4" t="s">
        <v>282</v>
      </c>
      <c r="AA21" s="4" t="s">
        <v>241</v>
      </c>
      <c r="AD21" s="4" t="s">
        <v>241</v>
      </c>
      <c r="AE21" s="5" t="s">
        <v>241</v>
      </c>
      <c r="AF21" s="5" t="s">
        <v>241</v>
      </c>
      <c r="AH21" s="5" t="s">
        <v>241</v>
      </c>
      <c r="AI21" s="5" t="s">
        <v>249</v>
      </c>
      <c r="AJ21" s="4" t="s">
        <v>251</v>
      </c>
      <c r="AK21" s="4" t="s">
        <v>252</v>
      </c>
      <c r="AQ21" s="4" t="s">
        <v>241</v>
      </c>
      <c r="AR21" s="4" t="s">
        <v>241</v>
      </c>
      <c r="AS21" s="4" t="s">
        <v>241</v>
      </c>
      <c r="AT21" s="5" t="s">
        <v>241</v>
      </c>
      <c r="AU21" s="5" t="s">
        <v>241</v>
      </c>
      <c r="AV21" s="5" t="s">
        <v>241</v>
      </c>
      <c r="AY21" s="4" t="s">
        <v>286</v>
      </c>
      <c r="AZ21" s="4" t="s">
        <v>286</v>
      </c>
      <c r="BA21" s="4" t="s">
        <v>254</v>
      </c>
      <c r="BB21" s="4" t="s">
        <v>287</v>
      </c>
      <c r="BC21" s="4" t="s">
        <v>255</v>
      </c>
      <c r="BD21" s="4" t="s">
        <v>241</v>
      </c>
      <c r="BE21" s="4" t="s">
        <v>257</v>
      </c>
      <c r="BF21" s="4" t="s">
        <v>241</v>
      </c>
      <c r="BJ21" s="4" t="s">
        <v>288</v>
      </c>
      <c r="BK21" s="5" t="s">
        <v>289</v>
      </c>
      <c r="BL21" s="4" t="s">
        <v>290</v>
      </c>
      <c r="BM21" s="4" t="s">
        <v>290</v>
      </c>
      <c r="BN21" s="4" t="s">
        <v>241</v>
      </c>
      <c r="BO21" s="6">
        <f>0</f>
        <v>0</v>
      </c>
      <c r="BP21" s="6">
        <f>-7258524</f>
        <v>-7258524</v>
      </c>
      <c r="BQ21" s="4" t="s">
        <v>263</v>
      </c>
      <c r="BR21" s="4" t="s">
        <v>264</v>
      </c>
      <c r="BS21" s="4" t="s">
        <v>241</v>
      </c>
      <c r="BT21" s="4" t="s">
        <v>241</v>
      </c>
      <c r="BU21" s="4" t="s">
        <v>241</v>
      </c>
      <c r="BV21" s="4" t="s">
        <v>241</v>
      </c>
      <c r="CE21" s="4" t="s">
        <v>264</v>
      </c>
      <c r="CF21" s="4" t="s">
        <v>241</v>
      </c>
      <c r="CG21" s="4" t="s">
        <v>241</v>
      </c>
      <c r="CK21" s="4" t="s">
        <v>291</v>
      </c>
      <c r="CL21" s="4" t="s">
        <v>266</v>
      </c>
      <c r="CM21" s="4" t="s">
        <v>241</v>
      </c>
      <c r="CO21" s="4" t="s">
        <v>407</v>
      </c>
      <c r="CP21" s="5" t="s">
        <v>268</v>
      </c>
      <c r="CQ21" s="4" t="s">
        <v>269</v>
      </c>
      <c r="CR21" s="4" t="s">
        <v>270</v>
      </c>
      <c r="CS21" s="4" t="s">
        <v>293</v>
      </c>
      <c r="CT21" s="4" t="s">
        <v>241</v>
      </c>
      <c r="CU21" s="4">
        <v>0</v>
      </c>
      <c r="CV21" s="4" t="s">
        <v>271</v>
      </c>
      <c r="CW21" s="4" t="s">
        <v>455</v>
      </c>
      <c r="CX21" s="4" t="s">
        <v>487</v>
      </c>
      <c r="CY21" s="6">
        <f>0</f>
        <v>0</v>
      </c>
      <c r="CZ21" s="6">
        <f>219955300</f>
        <v>219955300</v>
      </c>
      <c r="DA21" s="6">
        <f>103818916</f>
        <v>103818916</v>
      </c>
      <c r="DC21" s="4" t="s">
        <v>241</v>
      </c>
      <c r="DD21" s="4" t="s">
        <v>241</v>
      </c>
      <c r="DF21" s="4" t="s">
        <v>241</v>
      </c>
      <c r="DG21" s="6">
        <f>0</f>
        <v>0</v>
      </c>
      <c r="DI21" s="4" t="s">
        <v>241</v>
      </c>
      <c r="DJ21" s="4" t="s">
        <v>241</v>
      </c>
      <c r="DK21" s="4" t="s">
        <v>241</v>
      </c>
      <c r="DL21" s="4" t="s">
        <v>241</v>
      </c>
      <c r="DM21" s="4" t="s">
        <v>277</v>
      </c>
      <c r="DN21" s="4" t="s">
        <v>278</v>
      </c>
      <c r="DO21" s="6">
        <f>830.02</f>
        <v>830.02</v>
      </c>
      <c r="DP21" s="4" t="s">
        <v>241</v>
      </c>
      <c r="DQ21" s="4" t="s">
        <v>241</v>
      </c>
      <c r="DR21" s="4" t="s">
        <v>241</v>
      </c>
      <c r="DS21" s="4" t="s">
        <v>241</v>
      </c>
      <c r="DV21" s="4" t="s">
        <v>488</v>
      </c>
      <c r="DW21" s="4" t="s">
        <v>297</v>
      </c>
      <c r="GN21" s="4" t="s">
        <v>4102</v>
      </c>
      <c r="HO21" s="4" t="s">
        <v>300</v>
      </c>
      <c r="HR21" s="4" t="s">
        <v>278</v>
      </c>
      <c r="HS21" s="4" t="s">
        <v>278</v>
      </c>
      <c r="HT21" s="4" t="s">
        <v>241</v>
      </c>
      <c r="HU21" s="4" t="s">
        <v>241</v>
      </c>
      <c r="HV21" s="4" t="s">
        <v>241</v>
      </c>
      <c r="HW21" s="4" t="s">
        <v>241</v>
      </c>
      <c r="HX21" s="4" t="s">
        <v>241</v>
      </c>
      <c r="HY21" s="4" t="s">
        <v>241</v>
      </c>
      <c r="HZ21" s="4" t="s">
        <v>241</v>
      </c>
      <c r="IA21" s="4" t="s">
        <v>241</v>
      </c>
      <c r="IB21" s="4" t="s">
        <v>241</v>
      </c>
      <c r="IC21" s="4" t="s">
        <v>241</v>
      </c>
      <c r="ID21" s="4" t="s">
        <v>241</v>
      </c>
      <c r="IE21" s="4" t="s">
        <v>241</v>
      </c>
      <c r="IF21" s="4" t="s">
        <v>241</v>
      </c>
    </row>
    <row r="22" spans="1:240" x14ac:dyDescent="0.4">
      <c r="A22" s="4">
        <v>2</v>
      </c>
      <c r="B22" s="4" t="s">
        <v>239</v>
      </c>
      <c r="C22" s="4">
        <v>21</v>
      </c>
      <c r="D22" s="4">
        <v>1</v>
      </c>
      <c r="E22" s="4">
        <v>3</v>
      </c>
      <c r="F22" s="4" t="s">
        <v>240</v>
      </c>
      <c r="G22" s="4" t="s">
        <v>241</v>
      </c>
      <c r="H22" s="4" t="s">
        <v>241</v>
      </c>
      <c r="I22" s="4" t="s">
        <v>482</v>
      </c>
      <c r="J22" s="4" t="s">
        <v>483</v>
      </c>
      <c r="K22" s="4" t="s">
        <v>256</v>
      </c>
      <c r="L22" s="4" t="s">
        <v>1336</v>
      </c>
      <c r="M22" s="5" t="s">
        <v>486</v>
      </c>
      <c r="N22" s="4" t="s">
        <v>1336</v>
      </c>
      <c r="O22" s="6">
        <f>145.74</f>
        <v>145.74</v>
      </c>
      <c r="P22" s="4" t="s">
        <v>276</v>
      </c>
      <c r="Q22" s="6">
        <f>10137675</f>
        <v>10137675</v>
      </c>
      <c r="R22" s="6">
        <f>27399120</f>
        <v>27399120</v>
      </c>
      <c r="S22" s="5" t="s">
        <v>1362</v>
      </c>
      <c r="T22" s="4" t="s">
        <v>274</v>
      </c>
      <c r="U22" s="4" t="s">
        <v>349</v>
      </c>
      <c r="V22" s="6">
        <f>1150763</f>
        <v>1150763</v>
      </c>
      <c r="W22" s="6">
        <f>17261445</f>
        <v>17261445</v>
      </c>
      <c r="X22" s="4" t="s">
        <v>243</v>
      </c>
      <c r="Y22" s="4" t="s">
        <v>244</v>
      </c>
      <c r="Z22" s="4" t="s">
        <v>282</v>
      </c>
      <c r="AA22" s="4" t="s">
        <v>241</v>
      </c>
      <c r="AD22" s="4" t="s">
        <v>241</v>
      </c>
      <c r="AE22" s="5" t="s">
        <v>241</v>
      </c>
      <c r="AF22" s="5" t="s">
        <v>241</v>
      </c>
      <c r="AH22" s="5" t="s">
        <v>241</v>
      </c>
      <c r="AI22" s="5" t="s">
        <v>249</v>
      </c>
      <c r="AJ22" s="4" t="s">
        <v>251</v>
      </c>
      <c r="AK22" s="4" t="s">
        <v>252</v>
      </c>
      <c r="AQ22" s="4" t="s">
        <v>241</v>
      </c>
      <c r="AR22" s="4" t="s">
        <v>241</v>
      </c>
      <c r="AS22" s="4" t="s">
        <v>241</v>
      </c>
      <c r="AT22" s="5" t="s">
        <v>241</v>
      </c>
      <c r="AU22" s="5" t="s">
        <v>241</v>
      </c>
      <c r="AV22" s="5" t="s">
        <v>241</v>
      </c>
      <c r="AY22" s="4" t="s">
        <v>286</v>
      </c>
      <c r="AZ22" s="4" t="s">
        <v>286</v>
      </c>
      <c r="BA22" s="4" t="s">
        <v>254</v>
      </c>
      <c r="BB22" s="4" t="s">
        <v>287</v>
      </c>
      <c r="BC22" s="4" t="s">
        <v>255</v>
      </c>
      <c r="BD22" s="4" t="s">
        <v>241</v>
      </c>
      <c r="BE22" s="4" t="s">
        <v>257</v>
      </c>
      <c r="BF22" s="4" t="s">
        <v>241</v>
      </c>
      <c r="BJ22" s="4" t="s">
        <v>288</v>
      </c>
      <c r="BK22" s="5" t="s">
        <v>289</v>
      </c>
      <c r="BL22" s="4" t="s">
        <v>290</v>
      </c>
      <c r="BM22" s="4" t="s">
        <v>290</v>
      </c>
      <c r="BN22" s="4" t="s">
        <v>241</v>
      </c>
      <c r="BO22" s="6">
        <f>0</f>
        <v>0</v>
      </c>
      <c r="BP22" s="6">
        <f>-1150763</f>
        <v>-1150763</v>
      </c>
      <c r="BQ22" s="4" t="s">
        <v>263</v>
      </c>
      <c r="BR22" s="4" t="s">
        <v>264</v>
      </c>
      <c r="BS22" s="4" t="s">
        <v>241</v>
      </c>
      <c r="BT22" s="4" t="s">
        <v>241</v>
      </c>
      <c r="BU22" s="4" t="s">
        <v>241</v>
      </c>
      <c r="BV22" s="4" t="s">
        <v>241</v>
      </c>
      <c r="CE22" s="4" t="s">
        <v>264</v>
      </c>
      <c r="CF22" s="4" t="s">
        <v>241</v>
      </c>
      <c r="CG22" s="4" t="s">
        <v>241</v>
      </c>
      <c r="CK22" s="4" t="s">
        <v>291</v>
      </c>
      <c r="CL22" s="4" t="s">
        <v>266</v>
      </c>
      <c r="CM22" s="4" t="s">
        <v>241</v>
      </c>
      <c r="CO22" s="4" t="s">
        <v>346</v>
      </c>
      <c r="CP22" s="5" t="s">
        <v>268</v>
      </c>
      <c r="CQ22" s="4" t="s">
        <v>269</v>
      </c>
      <c r="CR22" s="4" t="s">
        <v>270</v>
      </c>
      <c r="CS22" s="4" t="s">
        <v>293</v>
      </c>
      <c r="CT22" s="4" t="s">
        <v>241</v>
      </c>
      <c r="CU22" s="4">
        <v>4.2000000000000003E-2</v>
      </c>
      <c r="CV22" s="4" t="s">
        <v>271</v>
      </c>
      <c r="CW22" s="4" t="s">
        <v>1329</v>
      </c>
      <c r="CX22" s="4" t="s">
        <v>347</v>
      </c>
      <c r="CY22" s="6">
        <f>0</f>
        <v>0</v>
      </c>
      <c r="CZ22" s="6">
        <f>27399120</f>
        <v>27399120</v>
      </c>
      <c r="DA22" s="6">
        <f>10137675</f>
        <v>10137675</v>
      </c>
      <c r="DC22" s="4" t="s">
        <v>241</v>
      </c>
      <c r="DD22" s="4" t="s">
        <v>241</v>
      </c>
      <c r="DF22" s="4" t="s">
        <v>241</v>
      </c>
      <c r="DG22" s="6">
        <f>0</f>
        <v>0</v>
      </c>
      <c r="DI22" s="4" t="s">
        <v>241</v>
      </c>
      <c r="DJ22" s="4" t="s">
        <v>241</v>
      </c>
      <c r="DK22" s="4" t="s">
        <v>241</v>
      </c>
      <c r="DL22" s="4" t="s">
        <v>241</v>
      </c>
      <c r="DM22" s="4" t="s">
        <v>277</v>
      </c>
      <c r="DN22" s="4" t="s">
        <v>278</v>
      </c>
      <c r="DO22" s="6">
        <f>145.74</f>
        <v>145.74</v>
      </c>
      <c r="DP22" s="4" t="s">
        <v>241</v>
      </c>
      <c r="DQ22" s="4" t="s">
        <v>241</v>
      </c>
      <c r="DR22" s="4" t="s">
        <v>241</v>
      </c>
      <c r="DS22" s="4" t="s">
        <v>241</v>
      </c>
      <c r="DV22" s="4" t="s">
        <v>488</v>
      </c>
      <c r="DW22" s="4" t="s">
        <v>336</v>
      </c>
      <c r="GN22" s="4" t="s">
        <v>1489</v>
      </c>
      <c r="HO22" s="4" t="s">
        <v>300</v>
      </c>
      <c r="HR22" s="4" t="s">
        <v>278</v>
      </c>
      <c r="HS22" s="4" t="s">
        <v>278</v>
      </c>
      <c r="HT22" s="4" t="s">
        <v>241</v>
      </c>
      <c r="HU22" s="4" t="s">
        <v>241</v>
      </c>
      <c r="HV22" s="4" t="s">
        <v>241</v>
      </c>
      <c r="HW22" s="4" t="s">
        <v>241</v>
      </c>
      <c r="HX22" s="4" t="s">
        <v>241</v>
      </c>
      <c r="HY22" s="4" t="s">
        <v>241</v>
      </c>
      <c r="HZ22" s="4" t="s">
        <v>241</v>
      </c>
      <c r="IA22" s="4" t="s">
        <v>241</v>
      </c>
      <c r="IB22" s="4" t="s">
        <v>241</v>
      </c>
      <c r="IC22" s="4" t="s">
        <v>241</v>
      </c>
      <c r="ID22" s="4" t="s">
        <v>241</v>
      </c>
      <c r="IE22" s="4" t="s">
        <v>241</v>
      </c>
      <c r="IF22" s="4" t="s">
        <v>241</v>
      </c>
    </row>
    <row r="23" spans="1:240" x14ac:dyDescent="0.4">
      <c r="A23" s="4">
        <v>2</v>
      </c>
      <c r="B23" s="4" t="s">
        <v>239</v>
      </c>
      <c r="C23" s="4">
        <v>22</v>
      </c>
      <c r="D23" s="4">
        <v>1</v>
      </c>
      <c r="E23" s="4">
        <v>3</v>
      </c>
      <c r="F23" s="4" t="s">
        <v>240</v>
      </c>
      <c r="G23" s="4" t="s">
        <v>241</v>
      </c>
      <c r="H23" s="4" t="s">
        <v>241</v>
      </c>
      <c r="I23" s="4" t="s">
        <v>482</v>
      </c>
      <c r="J23" s="4" t="s">
        <v>483</v>
      </c>
      <c r="K23" s="4" t="s">
        <v>256</v>
      </c>
      <c r="L23" s="4" t="s">
        <v>340</v>
      </c>
      <c r="M23" s="5" t="s">
        <v>486</v>
      </c>
      <c r="N23" s="4" t="s">
        <v>340</v>
      </c>
      <c r="O23" s="6">
        <f>31.15</f>
        <v>31.15</v>
      </c>
      <c r="P23" s="4" t="s">
        <v>276</v>
      </c>
      <c r="Q23" s="6">
        <f>6316486</f>
        <v>6316486</v>
      </c>
      <c r="R23" s="6">
        <f>11120550</f>
        <v>11120550</v>
      </c>
      <c r="S23" s="5" t="s">
        <v>1771</v>
      </c>
      <c r="T23" s="4" t="s">
        <v>333</v>
      </c>
      <c r="U23" s="4" t="s">
        <v>348</v>
      </c>
      <c r="V23" s="6">
        <f>300254</f>
        <v>300254</v>
      </c>
      <c r="W23" s="6">
        <f>4804064</f>
        <v>4804064</v>
      </c>
      <c r="X23" s="4" t="s">
        <v>243</v>
      </c>
      <c r="Y23" s="4" t="s">
        <v>244</v>
      </c>
      <c r="Z23" s="4" t="s">
        <v>282</v>
      </c>
      <c r="AA23" s="4" t="s">
        <v>241</v>
      </c>
      <c r="AD23" s="4" t="s">
        <v>241</v>
      </c>
      <c r="AE23" s="5" t="s">
        <v>241</v>
      </c>
      <c r="AF23" s="5" t="s">
        <v>241</v>
      </c>
      <c r="AH23" s="5" t="s">
        <v>241</v>
      </c>
      <c r="AI23" s="5" t="s">
        <v>249</v>
      </c>
      <c r="AJ23" s="4" t="s">
        <v>251</v>
      </c>
      <c r="AK23" s="4" t="s">
        <v>252</v>
      </c>
      <c r="AQ23" s="4" t="s">
        <v>241</v>
      </c>
      <c r="AR23" s="4" t="s">
        <v>241</v>
      </c>
      <c r="AS23" s="4" t="s">
        <v>241</v>
      </c>
      <c r="AT23" s="5" t="s">
        <v>241</v>
      </c>
      <c r="AU23" s="5" t="s">
        <v>241</v>
      </c>
      <c r="AV23" s="5" t="s">
        <v>241</v>
      </c>
      <c r="AY23" s="4" t="s">
        <v>286</v>
      </c>
      <c r="AZ23" s="4" t="s">
        <v>286</v>
      </c>
      <c r="BA23" s="4" t="s">
        <v>254</v>
      </c>
      <c r="BB23" s="4" t="s">
        <v>287</v>
      </c>
      <c r="BC23" s="4" t="s">
        <v>255</v>
      </c>
      <c r="BD23" s="4" t="s">
        <v>241</v>
      </c>
      <c r="BE23" s="4" t="s">
        <v>257</v>
      </c>
      <c r="BF23" s="4" t="s">
        <v>241</v>
      </c>
      <c r="BJ23" s="4" t="s">
        <v>288</v>
      </c>
      <c r="BK23" s="5" t="s">
        <v>289</v>
      </c>
      <c r="BL23" s="4" t="s">
        <v>290</v>
      </c>
      <c r="BM23" s="4" t="s">
        <v>290</v>
      </c>
      <c r="BN23" s="4" t="s">
        <v>241</v>
      </c>
      <c r="BO23" s="6">
        <f>0</f>
        <v>0</v>
      </c>
      <c r="BP23" s="6">
        <f>-300254</f>
        <v>-300254</v>
      </c>
      <c r="BQ23" s="4" t="s">
        <v>263</v>
      </c>
      <c r="BR23" s="4" t="s">
        <v>264</v>
      </c>
      <c r="BS23" s="4" t="s">
        <v>241</v>
      </c>
      <c r="BT23" s="4" t="s">
        <v>241</v>
      </c>
      <c r="BU23" s="4" t="s">
        <v>241</v>
      </c>
      <c r="BV23" s="4" t="s">
        <v>241</v>
      </c>
      <c r="CE23" s="4" t="s">
        <v>264</v>
      </c>
      <c r="CF23" s="4" t="s">
        <v>241</v>
      </c>
      <c r="CG23" s="4" t="s">
        <v>241</v>
      </c>
      <c r="CK23" s="4" t="s">
        <v>291</v>
      </c>
      <c r="CL23" s="4" t="s">
        <v>266</v>
      </c>
      <c r="CM23" s="4" t="s">
        <v>241</v>
      </c>
      <c r="CO23" s="4" t="s">
        <v>1444</v>
      </c>
      <c r="CP23" s="5" t="s">
        <v>268</v>
      </c>
      <c r="CQ23" s="4" t="s">
        <v>269</v>
      </c>
      <c r="CR23" s="4" t="s">
        <v>270</v>
      </c>
      <c r="CS23" s="4" t="s">
        <v>293</v>
      </c>
      <c r="CT23" s="4" t="s">
        <v>241</v>
      </c>
      <c r="CU23" s="4">
        <v>2.7E-2</v>
      </c>
      <c r="CV23" s="4" t="s">
        <v>271</v>
      </c>
      <c r="CW23" s="4" t="s">
        <v>332</v>
      </c>
      <c r="CX23" s="4" t="s">
        <v>295</v>
      </c>
      <c r="CY23" s="6">
        <f>0</f>
        <v>0</v>
      </c>
      <c r="CZ23" s="6">
        <f>11120550</f>
        <v>11120550</v>
      </c>
      <c r="DA23" s="6">
        <f>6316486</f>
        <v>6316486</v>
      </c>
      <c r="DC23" s="4" t="s">
        <v>241</v>
      </c>
      <c r="DD23" s="4" t="s">
        <v>241</v>
      </c>
      <c r="DF23" s="4" t="s">
        <v>241</v>
      </c>
      <c r="DG23" s="6">
        <f>0</f>
        <v>0</v>
      </c>
      <c r="DI23" s="4" t="s">
        <v>241</v>
      </c>
      <c r="DJ23" s="4" t="s">
        <v>241</v>
      </c>
      <c r="DK23" s="4" t="s">
        <v>241</v>
      </c>
      <c r="DL23" s="4" t="s">
        <v>241</v>
      </c>
      <c r="DM23" s="4" t="s">
        <v>277</v>
      </c>
      <c r="DN23" s="4" t="s">
        <v>278</v>
      </c>
      <c r="DO23" s="6">
        <f>31.15</f>
        <v>31.15</v>
      </c>
      <c r="DP23" s="4" t="s">
        <v>241</v>
      </c>
      <c r="DQ23" s="4" t="s">
        <v>241</v>
      </c>
      <c r="DR23" s="4" t="s">
        <v>241</v>
      </c>
      <c r="DS23" s="4" t="s">
        <v>241</v>
      </c>
      <c r="DV23" s="4" t="s">
        <v>488</v>
      </c>
      <c r="DW23" s="4" t="s">
        <v>351</v>
      </c>
      <c r="GN23" s="4" t="s">
        <v>1772</v>
      </c>
      <c r="HO23" s="4" t="s">
        <v>300</v>
      </c>
      <c r="HR23" s="4" t="s">
        <v>278</v>
      </c>
      <c r="HS23" s="4" t="s">
        <v>278</v>
      </c>
      <c r="HT23" s="4" t="s">
        <v>241</v>
      </c>
      <c r="HU23" s="4" t="s">
        <v>241</v>
      </c>
      <c r="HV23" s="4" t="s">
        <v>241</v>
      </c>
      <c r="HW23" s="4" t="s">
        <v>241</v>
      </c>
      <c r="HX23" s="4" t="s">
        <v>241</v>
      </c>
      <c r="HY23" s="4" t="s">
        <v>241</v>
      </c>
      <c r="HZ23" s="4" t="s">
        <v>241</v>
      </c>
      <c r="IA23" s="4" t="s">
        <v>241</v>
      </c>
      <c r="IB23" s="4" t="s">
        <v>241</v>
      </c>
      <c r="IC23" s="4" t="s">
        <v>241</v>
      </c>
      <c r="ID23" s="4" t="s">
        <v>241</v>
      </c>
      <c r="IE23" s="4" t="s">
        <v>241</v>
      </c>
      <c r="IF23" s="4" t="s">
        <v>241</v>
      </c>
    </row>
    <row r="24" spans="1:240" x14ac:dyDescent="0.4">
      <c r="A24" s="4">
        <v>2</v>
      </c>
      <c r="B24" s="4" t="s">
        <v>239</v>
      </c>
      <c r="C24" s="4">
        <v>23</v>
      </c>
      <c r="D24" s="4">
        <v>1</v>
      </c>
      <c r="E24" s="4">
        <v>3</v>
      </c>
      <c r="F24" s="4" t="s">
        <v>240</v>
      </c>
      <c r="G24" s="4" t="s">
        <v>241</v>
      </c>
      <c r="H24" s="4" t="s">
        <v>241</v>
      </c>
      <c r="I24" s="4" t="s">
        <v>1448</v>
      </c>
      <c r="J24" s="4" t="s">
        <v>1378</v>
      </c>
      <c r="K24" s="4" t="s">
        <v>256</v>
      </c>
      <c r="L24" s="4" t="s">
        <v>1380</v>
      </c>
      <c r="M24" s="5" t="s">
        <v>1450</v>
      </c>
      <c r="N24" s="4" t="s">
        <v>1447</v>
      </c>
      <c r="O24" s="6">
        <f>4120.56</f>
        <v>4120.5600000000004</v>
      </c>
      <c r="P24" s="4" t="s">
        <v>276</v>
      </c>
      <c r="Q24" s="6">
        <f>815870880</f>
        <v>815870880</v>
      </c>
      <c r="R24" s="6">
        <f>1133154000</f>
        <v>1133154000</v>
      </c>
      <c r="S24" s="5" t="s">
        <v>1449</v>
      </c>
      <c r="T24" s="4" t="s">
        <v>296</v>
      </c>
      <c r="U24" s="4" t="s">
        <v>322</v>
      </c>
      <c r="V24" s="6">
        <f>22663080</f>
        <v>22663080</v>
      </c>
      <c r="W24" s="6">
        <f>317283120</f>
        <v>317283120</v>
      </c>
      <c r="X24" s="4" t="s">
        <v>243</v>
      </c>
      <c r="Y24" s="4" t="s">
        <v>244</v>
      </c>
      <c r="Z24" s="4" t="s">
        <v>246</v>
      </c>
      <c r="AA24" s="4" t="s">
        <v>241</v>
      </c>
      <c r="AD24" s="4" t="s">
        <v>241</v>
      </c>
      <c r="AE24" s="5" t="s">
        <v>241</v>
      </c>
      <c r="AF24" s="5" t="s">
        <v>241</v>
      </c>
      <c r="AH24" s="5" t="s">
        <v>241</v>
      </c>
      <c r="AI24" s="5" t="s">
        <v>249</v>
      </c>
      <c r="AJ24" s="4" t="s">
        <v>251</v>
      </c>
      <c r="AK24" s="4" t="s">
        <v>252</v>
      </c>
      <c r="AQ24" s="4" t="s">
        <v>241</v>
      </c>
      <c r="AR24" s="4" t="s">
        <v>241</v>
      </c>
      <c r="AS24" s="4" t="s">
        <v>241</v>
      </c>
      <c r="AT24" s="5" t="s">
        <v>241</v>
      </c>
      <c r="AU24" s="5" t="s">
        <v>241</v>
      </c>
      <c r="AV24" s="5" t="s">
        <v>241</v>
      </c>
      <c r="AY24" s="4" t="s">
        <v>286</v>
      </c>
      <c r="AZ24" s="4" t="s">
        <v>286</v>
      </c>
      <c r="BA24" s="4" t="s">
        <v>254</v>
      </c>
      <c r="BB24" s="4" t="s">
        <v>287</v>
      </c>
      <c r="BC24" s="4" t="s">
        <v>255</v>
      </c>
      <c r="BD24" s="4" t="s">
        <v>241</v>
      </c>
      <c r="BE24" s="4" t="s">
        <v>257</v>
      </c>
      <c r="BF24" s="4" t="s">
        <v>241</v>
      </c>
      <c r="BJ24" s="4" t="s">
        <v>288</v>
      </c>
      <c r="BK24" s="5" t="s">
        <v>289</v>
      </c>
      <c r="BL24" s="4" t="s">
        <v>290</v>
      </c>
      <c r="BM24" s="4" t="s">
        <v>290</v>
      </c>
      <c r="BN24" s="4" t="s">
        <v>241</v>
      </c>
      <c r="BO24" s="6">
        <f>0</f>
        <v>0</v>
      </c>
      <c r="BP24" s="6">
        <f>-22663080</f>
        <v>-22663080</v>
      </c>
      <c r="BQ24" s="4" t="s">
        <v>263</v>
      </c>
      <c r="BR24" s="4" t="s">
        <v>264</v>
      </c>
      <c r="BS24" s="4" t="s">
        <v>241</v>
      </c>
      <c r="BT24" s="4" t="s">
        <v>241</v>
      </c>
      <c r="BU24" s="4" t="s">
        <v>241</v>
      </c>
      <c r="BV24" s="4" t="s">
        <v>241</v>
      </c>
      <c r="CE24" s="4" t="s">
        <v>264</v>
      </c>
      <c r="CF24" s="4" t="s">
        <v>241</v>
      </c>
      <c r="CG24" s="4" t="s">
        <v>241</v>
      </c>
      <c r="CK24" s="4" t="s">
        <v>291</v>
      </c>
      <c r="CL24" s="4" t="s">
        <v>266</v>
      </c>
      <c r="CM24" s="4" t="s">
        <v>241</v>
      </c>
      <c r="CO24" s="4" t="s">
        <v>321</v>
      </c>
      <c r="CP24" s="5" t="s">
        <v>268</v>
      </c>
      <c r="CQ24" s="4" t="s">
        <v>269</v>
      </c>
      <c r="CR24" s="4" t="s">
        <v>270</v>
      </c>
      <c r="CS24" s="4" t="s">
        <v>293</v>
      </c>
      <c r="CT24" s="4" t="s">
        <v>241</v>
      </c>
      <c r="CU24" s="4">
        <v>0.02</v>
      </c>
      <c r="CV24" s="4" t="s">
        <v>271</v>
      </c>
      <c r="CW24" s="4" t="s">
        <v>1329</v>
      </c>
      <c r="CX24" s="4" t="s">
        <v>295</v>
      </c>
      <c r="CY24" s="6">
        <f>0</f>
        <v>0</v>
      </c>
      <c r="CZ24" s="6">
        <f>1133154000</f>
        <v>1133154000</v>
      </c>
      <c r="DA24" s="6">
        <f>815870880</f>
        <v>815870880</v>
      </c>
      <c r="DC24" s="4" t="s">
        <v>241</v>
      </c>
      <c r="DD24" s="4" t="s">
        <v>241</v>
      </c>
      <c r="DF24" s="4" t="s">
        <v>241</v>
      </c>
      <c r="DG24" s="6">
        <f>0</f>
        <v>0</v>
      </c>
      <c r="DI24" s="4" t="s">
        <v>241</v>
      </c>
      <c r="DJ24" s="4" t="s">
        <v>241</v>
      </c>
      <c r="DK24" s="4" t="s">
        <v>241</v>
      </c>
      <c r="DL24" s="4" t="s">
        <v>241</v>
      </c>
      <c r="DM24" s="4" t="s">
        <v>297</v>
      </c>
      <c r="DN24" s="4" t="s">
        <v>278</v>
      </c>
      <c r="DO24" s="6">
        <f>4120.56</f>
        <v>4120.5600000000004</v>
      </c>
      <c r="DP24" s="4" t="s">
        <v>241</v>
      </c>
      <c r="DQ24" s="4" t="s">
        <v>241</v>
      </c>
      <c r="DR24" s="4" t="s">
        <v>241</v>
      </c>
      <c r="DS24" s="4" t="s">
        <v>241</v>
      </c>
      <c r="DV24" s="4" t="s">
        <v>1451</v>
      </c>
      <c r="DW24" s="4" t="s">
        <v>277</v>
      </c>
      <c r="GN24" s="4" t="s">
        <v>1452</v>
      </c>
      <c r="HO24" s="4" t="s">
        <v>300</v>
      </c>
      <c r="HR24" s="4" t="s">
        <v>278</v>
      </c>
      <c r="HS24" s="4" t="s">
        <v>278</v>
      </c>
      <c r="HT24" s="4" t="s">
        <v>241</v>
      </c>
      <c r="HU24" s="4" t="s">
        <v>241</v>
      </c>
      <c r="HV24" s="4" t="s">
        <v>241</v>
      </c>
      <c r="HW24" s="4" t="s">
        <v>241</v>
      </c>
      <c r="HX24" s="4" t="s">
        <v>241</v>
      </c>
      <c r="HY24" s="4" t="s">
        <v>241</v>
      </c>
      <c r="HZ24" s="4" t="s">
        <v>241</v>
      </c>
      <c r="IA24" s="4" t="s">
        <v>241</v>
      </c>
      <c r="IB24" s="4" t="s">
        <v>241</v>
      </c>
      <c r="IC24" s="4" t="s">
        <v>241</v>
      </c>
      <c r="ID24" s="4" t="s">
        <v>241</v>
      </c>
      <c r="IE24" s="4" t="s">
        <v>241</v>
      </c>
      <c r="IF24" s="4" t="s">
        <v>241</v>
      </c>
    </row>
    <row r="25" spans="1:240" x14ac:dyDescent="0.4">
      <c r="A25" s="4">
        <v>2</v>
      </c>
      <c r="B25" s="4" t="s">
        <v>239</v>
      </c>
      <c r="C25" s="4">
        <v>24</v>
      </c>
      <c r="D25" s="4">
        <v>1</v>
      </c>
      <c r="E25" s="4">
        <v>3</v>
      </c>
      <c r="F25" s="4" t="s">
        <v>240</v>
      </c>
      <c r="G25" s="4" t="s">
        <v>241</v>
      </c>
      <c r="H25" s="4" t="s">
        <v>241</v>
      </c>
      <c r="I25" s="4" t="s">
        <v>1448</v>
      </c>
      <c r="J25" s="4" t="s">
        <v>1378</v>
      </c>
      <c r="K25" s="4" t="s">
        <v>256</v>
      </c>
      <c r="L25" s="4" t="s">
        <v>1380</v>
      </c>
      <c r="M25" s="5" t="s">
        <v>1450</v>
      </c>
      <c r="N25" s="4" t="s">
        <v>3054</v>
      </c>
      <c r="O25" s="6">
        <f>207.73</f>
        <v>207.73</v>
      </c>
      <c r="P25" s="4" t="s">
        <v>276</v>
      </c>
      <c r="Q25" s="6">
        <f>35532220</f>
        <v>35532220</v>
      </c>
      <c r="R25" s="6">
        <f>57125750</f>
        <v>57125750</v>
      </c>
      <c r="S25" s="5" t="s">
        <v>1449</v>
      </c>
      <c r="T25" s="4" t="s">
        <v>333</v>
      </c>
      <c r="U25" s="4" t="s">
        <v>322</v>
      </c>
      <c r="V25" s="6">
        <f>1542395</f>
        <v>1542395</v>
      </c>
      <c r="W25" s="6">
        <f>21593530</f>
        <v>21593530</v>
      </c>
      <c r="X25" s="4" t="s">
        <v>243</v>
      </c>
      <c r="Y25" s="4" t="s">
        <v>244</v>
      </c>
      <c r="Z25" s="4" t="s">
        <v>246</v>
      </c>
      <c r="AA25" s="4" t="s">
        <v>241</v>
      </c>
      <c r="AD25" s="4" t="s">
        <v>241</v>
      </c>
      <c r="AE25" s="5" t="s">
        <v>241</v>
      </c>
      <c r="AF25" s="5" t="s">
        <v>241</v>
      </c>
      <c r="AH25" s="5" t="s">
        <v>241</v>
      </c>
      <c r="AI25" s="5" t="s">
        <v>249</v>
      </c>
      <c r="AJ25" s="4" t="s">
        <v>251</v>
      </c>
      <c r="AK25" s="4" t="s">
        <v>252</v>
      </c>
      <c r="AQ25" s="4" t="s">
        <v>241</v>
      </c>
      <c r="AR25" s="4" t="s">
        <v>241</v>
      </c>
      <c r="AS25" s="4" t="s">
        <v>241</v>
      </c>
      <c r="AT25" s="5" t="s">
        <v>241</v>
      </c>
      <c r="AU25" s="5" t="s">
        <v>241</v>
      </c>
      <c r="AV25" s="5" t="s">
        <v>241</v>
      </c>
      <c r="AY25" s="4" t="s">
        <v>286</v>
      </c>
      <c r="AZ25" s="4" t="s">
        <v>286</v>
      </c>
      <c r="BA25" s="4" t="s">
        <v>254</v>
      </c>
      <c r="BB25" s="4" t="s">
        <v>287</v>
      </c>
      <c r="BC25" s="4" t="s">
        <v>255</v>
      </c>
      <c r="BD25" s="4" t="s">
        <v>241</v>
      </c>
      <c r="BE25" s="4" t="s">
        <v>257</v>
      </c>
      <c r="BF25" s="4" t="s">
        <v>241</v>
      </c>
      <c r="BJ25" s="4" t="s">
        <v>288</v>
      </c>
      <c r="BK25" s="5" t="s">
        <v>289</v>
      </c>
      <c r="BL25" s="4" t="s">
        <v>290</v>
      </c>
      <c r="BM25" s="4" t="s">
        <v>290</v>
      </c>
      <c r="BN25" s="4" t="s">
        <v>241</v>
      </c>
      <c r="BO25" s="6">
        <f>0</f>
        <v>0</v>
      </c>
      <c r="BP25" s="6">
        <f>-1542395</f>
        <v>-1542395</v>
      </c>
      <c r="BQ25" s="4" t="s">
        <v>263</v>
      </c>
      <c r="BR25" s="4" t="s">
        <v>264</v>
      </c>
      <c r="BS25" s="4" t="s">
        <v>241</v>
      </c>
      <c r="BT25" s="4" t="s">
        <v>241</v>
      </c>
      <c r="BU25" s="4" t="s">
        <v>241</v>
      </c>
      <c r="BV25" s="4" t="s">
        <v>241</v>
      </c>
      <c r="CE25" s="4" t="s">
        <v>264</v>
      </c>
      <c r="CF25" s="4" t="s">
        <v>241</v>
      </c>
      <c r="CG25" s="4" t="s">
        <v>241</v>
      </c>
      <c r="CK25" s="4" t="s">
        <v>291</v>
      </c>
      <c r="CL25" s="4" t="s">
        <v>266</v>
      </c>
      <c r="CM25" s="4" t="s">
        <v>241</v>
      </c>
      <c r="CO25" s="4" t="s">
        <v>321</v>
      </c>
      <c r="CP25" s="5" t="s">
        <v>268</v>
      </c>
      <c r="CQ25" s="4" t="s">
        <v>269</v>
      </c>
      <c r="CR25" s="4" t="s">
        <v>270</v>
      </c>
      <c r="CS25" s="4" t="s">
        <v>293</v>
      </c>
      <c r="CT25" s="4" t="s">
        <v>241</v>
      </c>
      <c r="CU25" s="4">
        <v>2.7E-2</v>
      </c>
      <c r="CV25" s="4" t="s">
        <v>271</v>
      </c>
      <c r="CW25" s="4" t="s">
        <v>272</v>
      </c>
      <c r="CX25" s="4" t="s">
        <v>295</v>
      </c>
      <c r="CY25" s="6">
        <f>0</f>
        <v>0</v>
      </c>
      <c r="CZ25" s="6">
        <f>57125750</f>
        <v>57125750</v>
      </c>
      <c r="DA25" s="6">
        <f>35532220</f>
        <v>35532220</v>
      </c>
      <c r="DC25" s="4" t="s">
        <v>241</v>
      </c>
      <c r="DD25" s="4" t="s">
        <v>241</v>
      </c>
      <c r="DF25" s="4" t="s">
        <v>241</v>
      </c>
      <c r="DG25" s="6">
        <f>0</f>
        <v>0</v>
      </c>
      <c r="DI25" s="4" t="s">
        <v>241</v>
      </c>
      <c r="DJ25" s="4" t="s">
        <v>241</v>
      </c>
      <c r="DK25" s="4" t="s">
        <v>241</v>
      </c>
      <c r="DL25" s="4" t="s">
        <v>241</v>
      </c>
      <c r="DM25" s="4" t="s">
        <v>351</v>
      </c>
      <c r="DN25" s="4" t="s">
        <v>278</v>
      </c>
      <c r="DO25" s="6">
        <f>207.73</f>
        <v>207.73</v>
      </c>
      <c r="DP25" s="4" t="s">
        <v>241</v>
      </c>
      <c r="DQ25" s="4" t="s">
        <v>241</v>
      </c>
      <c r="DR25" s="4" t="s">
        <v>241</v>
      </c>
      <c r="DS25" s="4" t="s">
        <v>241</v>
      </c>
      <c r="DV25" s="4" t="s">
        <v>1451</v>
      </c>
      <c r="DW25" s="4" t="s">
        <v>323</v>
      </c>
      <c r="GN25" s="4" t="s">
        <v>3055</v>
      </c>
      <c r="HO25" s="4" t="s">
        <v>341</v>
      </c>
      <c r="HR25" s="4" t="s">
        <v>278</v>
      </c>
      <c r="HS25" s="4" t="s">
        <v>278</v>
      </c>
      <c r="HT25" s="4" t="s">
        <v>241</v>
      </c>
      <c r="HU25" s="4" t="s">
        <v>241</v>
      </c>
      <c r="HV25" s="4" t="s">
        <v>241</v>
      </c>
      <c r="HW25" s="4" t="s">
        <v>241</v>
      </c>
      <c r="HX25" s="4" t="s">
        <v>241</v>
      </c>
      <c r="HY25" s="4" t="s">
        <v>241</v>
      </c>
      <c r="HZ25" s="4" t="s">
        <v>241</v>
      </c>
      <c r="IA25" s="4" t="s">
        <v>241</v>
      </c>
      <c r="IB25" s="4" t="s">
        <v>241</v>
      </c>
      <c r="IC25" s="4" t="s">
        <v>241</v>
      </c>
      <c r="ID25" s="4" t="s">
        <v>241</v>
      </c>
      <c r="IE25" s="4" t="s">
        <v>241</v>
      </c>
      <c r="IF25" s="4" t="s">
        <v>241</v>
      </c>
    </row>
    <row r="26" spans="1:240" x14ac:dyDescent="0.4">
      <c r="A26" s="4">
        <v>2</v>
      </c>
      <c r="B26" s="4" t="s">
        <v>239</v>
      </c>
      <c r="C26" s="4">
        <v>25</v>
      </c>
      <c r="D26" s="4">
        <v>1</v>
      </c>
      <c r="E26" s="4">
        <v>3</v>
      </c>
      <c r="F26" s="4" t="s">
        <v>240</v>
      </c>
      <c r="G26" s="4" t="s">
        <v>241</v>
      </c>
      <c r="H26" s="4" t="s">
        <v>241</v>
      </c>
      <c r="I26" s="4" t="s">
        <v>1448</v>
      </c>
      <c r="J26" s="4" t="s">
        <v>1378</v>
      </c>
      <c r="K26" s="4" t="s">
        <v>256</v>
      </c>
      <c r="L26" s="4" t="s">
        <v>1380</v>
      </c>
      <c r="M26" s="5" t="s">
        <v>1450</v>
      </c>
      <c r="N26" s="4" t="s">
        <v>3056</v>
      </c>
      <c r="O26" s="6">
        <f>339.38</f>
        <v>339.38</v>
      </c>
      <c r="P26" s="4" t="s">
        <v>276</v>
      </c>
      <c r="Q26" s="6">
        <f>58050956</f>
        <v>58050956</v>
      </c>
      <c r="R26" s="6">
        <f>93329500</f>
        <v>93329500</v>
      </c>
      <c r="S26" s="5" t="s">
        <v>1449</v>
      </c>
      <c r="T26" s="4" t="s">
        <v>333</v>
      </c>
      <c r="U26" s="4" t="s">
        <v>322</v>
      </c>
      <c r="V26" s="6">
        <f>2519896</f>
        <v>2519896</v>
      </c>
      <c r="W26" s="6">
        <f>35278544</f>
        <v>35278544</v>
      </c>
      <c r="X26" s="4" t="s">
        <v>243</v>
      </c>
      <c r="Y26" s="4" t="s">
        <v>244</v>
      </c>
      <c r="Z26" s="4" t="s">
        <v>246</v>
      </c>
      <c r="AA26" s="4" t="s">
        <v>241</v>
      </c>
      <c r="AD26" s="4" t="s">
        <v>241</v>
      </c>
      <c r="AE26" s="5" t="s">
        <v>241</v>
      </c>
      <c r="AF26" s="5" t="s">
        <v>241</v>
      </c>
      <c r="AH26" s="5" t="s">
        <v>241</v>
      </c>
      <c r="AI26" s="5" t="s">
        <v>249</v>
      </c>
      <c r="AJ26" s="4" t="s">
        <v>251</v>
      </c>
      <c r="AK26" s="4" t="s">
        <v>252</v>
      </c>
      <c r="AQ26" s="4" t="s">
        <v>241</v>
      </c>
      <c r="AR26" s="4" t="s">
        <v>241</v>
      </c>
      <c r="AS26" s="4" t="s">
        <v>241</v>
      </c>
      <c r="AT26" s="5" t="s">
        <v>241</v>
      </c>
      <c r="AU26" s="5" t="s">
        <v>241</v>
      </c>
      <c r="AV26" s="5" t="s">
        <v>241</v>
      </c>
      <c r="AY26" s="4" t="s">
        <v>286</v>
      </c>
      <c r="AZ26" s="4" t="s">
        <v>286</v>
      </c>
      <c r="BA26" s="4" t="s">
        <v>254</v>
      </c>
      <c r="BB26" s="4" t="s">
        <v>287</v>
      </c>
      <c r="BC26" s="4" t="s">
        <v>255</v>
      </c>
      <c r="BD26" s="4" t="s">
        <v>241</v>
      </c>
      <c r="BE26" s="4" t="s">
        <v>257</v>
      </c>
      <c r="BF26" s="4" t="s">
        <v>241</v>
      </c>
      <c r="BJ26" s="4" t="s">
        <v>288</v>
      </c>
      <c r="BK26" s="5" t="s">
        <v>289</v>
      </c>
      <c r="BL26" s="4" t="s">
        <v>290</v>
      </c>
      <c r="BM26" s="4" t="s">
        <v>290</v>
      </c>
      <c r="BN26" s="4" t="s">
        <v>241</v>
      </c>
      <c r="BO26" s="6">
        <f>0</f>
        <v>0</v>
      </c>
      <c r="BP26" s="6">
        <f>-2519896</f>
        <v>-2519896</v>
      </c>
      <c r="BQ26" s="4" t="s">
        <v>263</v>
      </c>
      <c r="BR26" s="4" t="s">
        <v>264</v>
      </c>
      <c r="BS26" s="4" t="s">
        <v>241</v>
      </c>
      <c r="BT26" s="4" t="s">
        <v>241</v>
      </c>
      <c r="BU26" s="4" t="s">
        <v>241</v>
      </c>
      <c r="BV26" s="4" t="s">
        <v>241</v>
      </c>
      <c r="CE26" s="4" t="s">
        <v>264</v>
      </c>
      <c r="CF26" s="4" t="s">
        <v>241</v>
      </c>
      <c r="CG26" s="4" t="s">
        <v>241</v>
      </c>
      <c r="CK26" s="4" t="s">
        <v>291</v>
      </c>
      <c r="CL26" s="4" t="s">
        <v>266</v>
      </c>
      <c r="CM26" s="4" t="s">
        <v>241</v>
      </c>
      <c r="CO26" s="4" t="s">
        <v>321</v>
      </c>
      <c r="CP26" s="5" t="s">
        <v>268</v>
      </c>
      <c r="CQ26" s="4" t="s">
        <v>269</v>
      </c>
      <c r="CR26" s="4" t="s">
        <v>270</v>
      </c>
      <c r="CS26" s="4" t="s">
        <v>293</v>
      </c>
      <c r="CT26" s="4" t="s">
        <v>241</v>
      </c>
      <c r="CU26" s="4">
        <v>2.7E-2</v>
      </c>
      <c r="CV26" s="4" t="s">
        <v>271</v>
      </c>
      <c r="CW26" s="4" t="s">
        <v>272</v>
      </c>
      <c r="CX26" s="4" t="s">
        <v>295</v>
      </c>
      <c r="CY26" s="6">
        <f>0</f>
        <v>0</v>
      </c>
      <c r="CZ26" s="6">
        <f>93329500</f>
        <v>93329500</v>
      </c>
      <c r="DA26" s="6">
        <f>58050956</f>
        <v>58050956</v>
      </c>
      <c r="DC26" s="4" t="s">
        <v>241</v>
      </c>
      <c r="DD26" s="4" t="s">
        <v>241</v>
      </c>
      <c r="DF26" s="4" t="s">
        <v>241</v>
      </c>
      <c r="DG26" s="6">
        <f>0</f>
        <v>0</v>
      </c>
      <c r="DI26" s="4" t="s">
        <v>241</v>
      </c>
      <c r="DJ26" s="4" t="s">
        <v>241</v>
      </c>
      <c r="DK26" s="4" t="s">
        <v>241</v>
      </c>
      <c r="DL26" s="4" t="s">
        <v>241</v>
      </c>
      <c r="DM26" s="4" t="s">
        <v>297</v>
      </c>
      <c r="DN26" s="4" t="s">
        <v>278</v>
      </c>
      <c r="DO26" s="6">
        <f>339.38</f>
        <v>339.38</v>
      </c>
      <c r="DP26" s="4" t="s">
        <v>241</v>
      </c>
      <c r="DQ26" s="4" t="s">
        <v>241</v>
      </c>
      <c r="DR26" s="4" t="s">
        <v>241</v>
      </c>
      <c r="DS26" s="4" t="s">
        <v>241</v>
      </c>
      <c r="DV26" s="4" t="s">
        <v>1451</v>
      </c>
      <c r="DW26" s="4" t="s">
        <v>297</v>
      </c>
      <c r="GN26" s="4" t="s">
        <v>3057</v>
      </c>
      <c r="HO26" s="4" t="s">
        <v>341</v>
      </c>
      <c r="HR26" s="4" t="s">
        <v>278</v>
      </c>
      <c r="HS26" s="4" t="s">
        <v>278</v>
      </c>
      <c r="HT26" s="4" t="s">
        <v>241</v>
      </c>
      <c r="HU26" s="4" t="s">
        <v>241</v>
      </c>
      <c r="HV26" s="4" t="s">
        <v>241</v>
      </c>
      <c r="HW26" s="4" t="s">
        <v>241</v>
      </c>
      <c r="HX26" s="4" t="s">
        <v>241</v>
      </c>
      <c r="HY26" s="4" t="s">
        <v>241</v>
      </c>
      <c r="HZ26" s="4" t="s">
        <v>241</v>
      </c>
      <c r="IA26" s="4" t="s">
        <v>241</v>
      </c>
      <c r="IB26" s="4" t="s">
        <v>241</v>
      </c>
      <c r="IC26" s="4" t="s">
        <v>241</v>
      </c>
      <c r="ID26" s="4" t="s">
        <v>241</v>
      </c>
      <c r="IE26" s="4" t="s">
        <v>241</v>
      </c>
      <c r="IF26" s="4" t="s">
        <v>241</v>
      </c>
    </row>
    <row r="27" spans="1:240" x14ac:dyDescent="0.4">
      <c r="A27" s="4">
        <v>2</v>
      </c>
      <c r="B27" s="4" t="s">
        <v>239</v>
      </c>
      <c r="C27" s="4">
        <v>26</v>
      </c>
      <c r="D27" s="4">
        <v>1</v>
      </c>
      <c r="E27" s="4">
        <v>3</v>
      </c>
      <c r="F27" s="4" t="s">
        <v>240</v>
      </c>
      <c r="G27" s="4" t="s">
        <v>241</v>
      </c>
      <c r="H27" s="4" t="s">
        <v>241</v>
      </c>
      <c r="I27" s="4" t="s">
        <v>1448</v>
      </c>
      <c r="J27" s="4" t="s">
        <v>1378</v>
      </c>
      <c r="K27" s="4" t="s">
        <v>256</v>
      </c>
      <c r="L27" s="4" t="s">
        <v>1380</v>
      </c>
      <c r="M27" s="5" t="s">
        <v>1450</v>
      </c>
      <c r="N27" s="4" t="s">
        <v>3058</v>
      </c>
      <c r="O27" s="6">
        <f>126</f>
        <v>126</v>
      </c>
      <c r="P27" s="4" t="s">
        <v>276</v>
      </c>
      <c r="Q27" s="6">
        <f>21552300</f>
        <v>21552300</v>
      </c>
      <c r="R27" s="6">
        <f>34650000</f>
        <v>34650000</v>
      </c>
      <c r="S27" s="5" t="s">
        <v>1449</v>
      </c>
      <c r="T27" s="4" t="s">
        <v>333</v>
      </c>
      <c r="U27" s="4" t="s">
        <v>322</v>
      </c>
      <c r="V27" s="6">
        <f>935550</f>
        <v>935550</v>
      </c>
      <c r="W27" s="6">
        <f>13097700</f>
        <v>13097700</v>
      </c>
      <c r="X27" s="4" t="s">
        <v>243</v>
      </c>
      <c r="Y27" s="4" t="s">
        <v>244</v>
      </c>
      <c r="Z27" s="4" t="s">
        <v>246</v>
      </c>
      <c r="AA27" s="4" t="s">
        <v>241</v>
      </c>
      <c r="AD27" s="4" t="s">
        <v>241</v>
      </c>
      <c r="AE27" s="5" t="s">
        <v>241</v>
      </c>
      <c r="AF27" s="5" t="s">
        <v>241</v>
      </c>
      <c r="AH27" s="5" t="s">
        <v>241</v>
      </c>
      <c r="AI27" s="5" t="s">
        <v>249</v>
      </c>
      <c r="AJ27" s="4" t="s">
        <v>251</v>
      </c>
      <c r="AK27" s="4" t="s">
        <v>252</v>
      </c>
      <c r="AQ27" s="4" t="s">
        <v>241</v>
      </c>
      <c r="AR27" s="4" t="s">
        <v>241</v>
      </c>
      <c r="AS27" s="4" t="s">
        <v>241</v>
      </c>
      <c r="AT27" s="5" t="s">
        <v>241</v>
      </c>
      <c r="AU27" s="5" t="s">
        <v>241</v>
      </c>
      <c r="AV27" s="5" t="s">
        <v>241</v>
      </c>
      <c r="AY27" s="4" t="s">
        <v>286</v>
      </c>
      <c r="AZ27" s="4" t="s">
        <v>286</v>
      </c>
      <c r="BA27" s="4" t="s">
        <v>254</v>
      </c>
      <c r="BB27" s="4" t="s">
        <v>287</v>
      </c>
      <c r="BC27" s="4" t="s">
        <v>255</v>
      </c>
      <c r="BD27" s="4" t="s">
        <v>241</v>
      </c>
      <c r="BE27" s="4" t="s">
        <v>257</v>
      </c>
      <c r="BF27" s="4" t="s">
        <v>241</v>
      </c>
      <c r="BJ27" s="4" t="s">
        <v>288</v>
      </c>
      <c r="BK27" s="5" t="s">
        <v>289</v>
      </c>
      <c r="BL27" s="4" t="s">
        <v>290</v>
      </c>
      <c r="BM27" s="4" t="s">
        <v>290</v>
      </c>
      <c r="BN27" s="4" t="s">
        <v>241</v>
      </c>
      <c r="BO27" s="6">
        <f>0</f>
        <v>0</v>
      </c>
      <c r="BP27" s="6">
        <f>-935550</f>
        <v>-935550</v>
      </c>
      <c r="BQ27" s="4" t="s">
        <v>263</v>
      </c>
      <c r="BR27" s="4" t="s">
        <v>264</v>
      </c>
      <c r="BS27" s="4" t="s">
        <v>241</v>
      </c>
      <c r="BT27" s="4" t="s">
        <v>241</v>
      </c>
      <c r="BU27" s="4" t="s">
        <v>241</v>
      </c>
      <c r="BV27" s="4" t="s">
        <v>241</v>
      </c>
      <c r="CE27" s="4" t="s">
        <v>264</v>
      </c>
      <c r="CF27" s="4" t="s">
        <v>241</v>
      </c>
      <c r="CG27" s="4" t="s">
        <v>241</v>
      </c>
      <c r="CK27" s="4" t="s">
        <v>291</v>
      </c>
      <c r="CL27" s="4" t="s">
        <v>266</v>
      </c>
      <c r="CM27" s="4" t="s">
        <v>241</v>
      </c>
      <c r="CO27" s="4" t="s">
        <v>321</v>
      </c>
      <c r="CP27" s="5" t="s">
        <v>268</v>
      </c>
      <c r="CQ27" s="4" t="s">
        <v>269</v>
      </c>
      <c r="CR27" s="4" t="s">
        <v>270</v>
      </c>
      <c r="CS27" s="4" t="s">
        <v>293</v>
      </c>
      <c r="CT27" s="4" t="s">
        <v>241</v>
      </c>
      <c r="CU27" s="4">
        <v>2.7E-2</v>
      </c>
      <c r="CV27" s="4" t="s">
        <v>271</v>
      </c>
      <c r="CW27" s="4" t="s">
        <v>272</v>
      </c>
      <c r="CX27" s="4" t="s">
        <v>295</v>
      </c>
      <c r="CY27" s="6">
        <f>0</f>
        <v>0</v>
      </c>
      <c r="CZ27" s="6">
        <f>34650000</f>
        <v>34650000</v>
      </c>
      <c r="DA27" s="6">
        <f>21552300</f>
        <v>21552300</v>
      </c>
      <c r="DC27" s="4" t="s">
        <v>241</v>
      </c>
      <c r="DD27" s="4" t="s">
        <v>241</v>
      </c>
      <c r="DF27" s="4" t="s">
        <v>241</v>
      </c>
      <c r="DG27" s="6">
        <f>0</f>
        <v>0</v>
      </c>
      <c r="DI27" s="4" t="s">
        <v>241</v>
      </c>
      <c r="DJ27" s="4" t="s">
        <v>241</v>
      </c>
      <c r="DK27" s="4" t="s">
        <v>241</v>
      </c>
      <c r="DL27" s="4" t="s">
        <v>241</v>
      </c>
      <c r="DM27" s="4" t="s">
        <v>297</v>
      </c>
      <c r="DN27" s="4" t="s">
        <v>278</v>
      </c>
      <c r="DO27" s="6">
        <f>126</f>
        <v>126</v>
      </c>
      <c r="DP27" s="4" t="s">
        <v>241</v>
      </c>
      <c r="DQ27" s="4" t="s">
        <v>241</v>
      </c>
      <c r="DR27" s="4" t="s">
        <v>241</v>
      </c>
      <c r="DS27" s="4" t="s">
        <v>241</v>
      </c>
      <c r="DV27" s="4" t="s">
        <v>1451</v>
      </c>
      <c r="DW27" s="4" t="s">
        <v>336</v>
      </c>
      <c r="GN27" s="4" t="s">
        <v>3059</v>
      </c>
      <c r="HO27" s="4" t="s">
        <v>300</v>
      </c>
      <c r="HR27" s="4" t="s">
        <v>278</v>
      </c>
      <c r="HS27" s="4" t="s">
        <v>278</v>
      </c>
      <c r="HT27" s="4" t="s">
        <v>241</v>
      </c>
      <c r="HU27" s="4" t="s">
        <v>241</v>
      </c>
      <c r="HV27" s="4" t="s">
        <v>241</v>
      </c>
      <c r="HW27" s="4" t="s">
        <v>241</v>
      </c>
      <c r="HX27" s="4" t="s">
        <v>241</v>
      </c>
      <c r="HY27" s="4" t="s">
        <v>241</v>
      </c>
      <c r="HZ27" s="4" t="s">
        <v>241</v>
      </c>
      <c r="IA27" s="4" t="s">
        <v>241</v>
      </c>
      <c r="IB27" s="4" t="s">
        <v>241</v>
      </c>
      <c r="IC27" s="4" t="s">
        <v>241</v>
      </c>
      <c r="ID27" s="4" t="s">
        <v>241</v>
      </c>
      <c r="IE27" s="4" t="s">
        <v>241</v>
      </c>
      <c r="IF27" s="4" t="s">
        <v>241</v>
      </c>
    </row>
    <row r="28" spans="1:240" x14ac:dyDescent="0.4">
      <c r="A28" s="4">
        <v>2</v>
      </c>
      <c r="B28" s="4" t="s">
        <v>239</v>
      </c>
      <c r="C28" s="4">
        <v>27</v>
      </c>
      <c r="D28" s="4">
        <v>1</v>
      </c>
      <c r="E28" s="4">
        <v>3</v>
      </c>
      <c r="F28" s="4" t="s">
        <v>240</v>
      </c>
      <c r="G28" s="4" t="s">
        <v>241</v>
      </c>
      <c r="H28" s="4" t="s">
        <v>241</v>
      </c>
      <c r="I28" s="4" t="s">
        <v>1539</v>
      </c>
      <c r="J28" s="4" t="s">
        <v>1378</v>
      </c>
      <c r="K28" s="4" t="s">
        <v>256</v>
      </c>
      <c r="L28" s="4" t="s">
        <v>1380</v>
      </c>
      <c r="M28" s="5" t="s">
        <v>1541</v>
      </c>
      <c r="N28" s="4" t="s">
        <v>1376</v>
      </c>
      <c r="O28" s="6">
        <f>497.2</f>
        <v>497.2</v>
      </c>
      <c r="P28" s="4" t="s">
        <v>276</v>
      </c>
      <c r="Q28" s="6">
        <f>159033045</f>
        <v>159033045</v>
      </c>
      <c r="R28" s="6">
        <f>196095000</f>
        <v>196095000</v>
      </c>
      <c r="S28" s="5" t="s">
        <v>1540</v>
      </c>
      <c r="T28" s="4" t="s">
        <v>333</v>
      </c>
      <c r="U28" s="4" t="s">
        <v>300</v>
      </c>
      <c r="V28" s="6">
        <f>5294565</f>
        <v>5294565</v>
      </c>
      <c r="W28" s="6">
        <f>37061955</f>
        <v>37061955</v>
      </c>
      <c r="X28" s="4" t="s">
        <v>243</v>
      </c>
      <c r="Y28" s="4" t="s">
        <v>244</v>
      </c>
      <c r="Z28" s="4" t="s">
        <v>246</v>
      </c>
      <c r="AA28" s="4" t="s">
        <v>241</v>
      </c>
      <c r="AD28" s="4" t="s">
        <v>241</v>
      </c>
      <c r="AE28" s="5" t="s">
        <v>241</v>
      </c>
      <c r="AF28" s="5" t="s">
        <v>241</v>
      </c>
      <c r="AH28" s="5" t="s">
        <v>241</v>
      </c>
      <c r="AI28" s="5" t="s">
        <v>249</v>
      </c>
      <c r="AJ28" s="4" t="s">
        <v>251</v>
      </c>
      <c r="AK28" s="4" t="s">
        <v>252</v>
      </c>
      <c r="AQ28" s="4" t="s">
        <v>241</v>
      </c>
      <c r="AR28" s="4" t="s">
        <v>241</v>
      </c>
      <c r="AS28" s="4" t="s">
        <v>241</v>
      </c>
      <c r="AT28" s="5" t="s">
        <v>241</v>
      </c>
      <c r="AU28" s="5" t="s">
        <v>241</v>
      </c>
      <c r="AV28" s="5" t="s">
        <v>241</v>
      </c>
      <c r="AY28" s="4" t="s">
        <v>286</v>
      </c>
      <c r="AZ28" s="4" t="s">
        <v>286</v>
      </c>
      <c r="BA28" s="4" t="s">
        <v>254</v>
      </c>
      <c r="BB28" s="4" t="s">
        <v>287</v>
      </c>
      <c r="BC28" s="4" t="s">
        <v>255</v>
      </c>
      <c r="BD28" s="4" t="s">
        <v>241</v>
      </c>
      <c r="BE28" s="4" t="s">
        <v>257</v>
      </c>
      <c r="BF28" s="4" t="s">
        <v>241</v>
      </c>
      <c r="BH28" s="4" t="s">
        <v>258</v>
      </c>
      <c r="BJ28" s="4" t="s">
        <v>288</v>
      </c>
      <c r="BK28" s="5" t="s">
        <v>289</v>
      </c>
      <c r="BL28" s="4" t="s">
        <v>290</v>
      </c>
      <c r="BM28" s="4" t="s">
        <v>290</v>
      </c>
      <c r="BN28" s="4" t="s">
        <v>241</v>
      </c>
      <c r="BO28" s="6">
        <f>0</f>
        <v>0</v>
      </c>
      <c r="BP28" s="6">
        <f>-5294565</f>
        <v>-5294565</v>
      </c>
      <c r="BQ28" s="4" t="s">
        <v>263</v>
      </c>
      <c r="BR28" s="4" t="s">
        <v>264</v>
      </c>
      <c r="BS28" s="4" t="s">
        <v>241</v>
      </c>
      <c r="BT28" s="4" t="s">
        <v>241</v>
      </c>
      <c r="BU28" s="4" t="s">
        <v>241</v>
      </c>
      <c r="BV28" s="4" t="s">
        <v>241</v>
      </c>
      <c r="CE28" s="4" t="s">
        <v>264</v>
      </c>
      <c r="CF28" s="4" t="s">
        <v>241</v>
      </c>
      <c r="CG28" s="4" t="s">
        <v>241</v>
      </c>
      <c r="CK28" s="4" t="s">
        <v>291</v>
      </c>
      <c r="CL28" s="4" t="s">
        <v>266</v>
      </c>
      <c r="CM28" s="4" t="s">
        <v>241</v>
      </c>
      <c r="CO28" s="4" t="s">
        <v>1542</v>
      </c>
      <c r="CP28" s="5" t="s">
        <v>268</v>
      </c>
      <c r="CQ28" s="4" t="s">
        <v>269</v>
      </c>
      <c r="CR28" s="4" t="s">
        <v>270</v>
      </c>
      <c r="CS28" s="4" t="s">
        <v>293</v>
      </c>
      <c r="CT28" s="4" t="s">
        <v>241</v>
      </c>
      <c r="CU28" s="4">
        <v>2.7E-2</v>
      </c>
      <c r="CV28" s="4" t="s">
        <v>271</v>
      </c>
      <c r="CW28" s="4" t="s">
        <v>1329</v>
      </c>
      <c r="CX28" s="4" t="s">
        <v>487</v>
      </c>
      <c r="CY28" s="6">
        <f>0</f>
        <v>0</v>
      </c>
      <c r="CZ28" s="6">
        <f>196095000</f>
        <v>196095000</v>
      </c>
      <c r="DA28" s="6">
        <f>159033045</f>
        <v>159033045</v>
      </c>
      <c r="DC28" s="4" t="s">
        <v>241</v>
      </c>
      <c r="DD28" s="4" t="s">
        <v>241</v>
      </c>
      <c r="DF28" s="4" t="s">
        <v>241</v>
      </c>
      <c r="DG28" s="6">
        <f>0</f>
        <v>0</v>
      </c>
      <c r="DI28" s="4" t="s">
        <v>241</v>
      </c>
      <c r="DJ28" s="4" t="s">
        <v>241</v>
      </c>
      <c r="DK28" s="4" t="s">
        <v>241</v>
      </c>
      <c r="DL28" s="4" t="s">
        <v>241</v>
      </c>
      <c r="DM28" s="4" t="s">
        <v>277</v>
      </c>
      <c r="DN28" s="4" t="s">
        <v>278</v>
      </c>
      <c r="DO28" s="6">
        <f>497.2</f>
        <v>497.2</v>
      </c>
      <c r="DP28" s="4" t="s">
        <v>241</v>
      </c>
      <c r="DQ28" s="4" t="s">
        <v>241</v>
      </c>
      <c r="DR28" s="4" t="s">
        <v>241</v>
      </c>
      <c r="DS28" s="4" t="s">
        <v>241</v>
      </c>
      <c r="DV28" s="4" t="s">
        <v>1543</v>
      </c>
      <c r="DW28" s="4" t="s">
        <v>277</v>
      </c>
      <c r="GN28" s="4" t="s">
        <v>1544</v>
      </c>
      <c r="HO28" s="4" t="s">
        <v>300</v>
      </c>
      <c r="HR28" s="4" t="s">
        <v>278</v>
      </c>
      <c r="HS28" s="4" t="s">
        <v>278</v>
      </c>
      <c r="HT28" s="4" t="s">
        <v>241</v>
      </c>
      <c r="HU28" s="4" t="s">
        <v>241</v>
      </c>
      <c r="HV28" s="4" t="s">
        <v>241</v>
      </c>
      <c r="HW28" s="4" t="s">
        <v>241</v>
      </c>
      <c r="HX28" s="4" t="s">
        <v>241</v>
      </c>
      <c r="HY28" s="4" t="s">
        <v>241</v>
      </c>
      <c r="HZ28" s="4" t="s">
        <v>241</v>
      </c>
      <c r="IA28" s="4" t="s">
        <v>241</v>
      </c>
      <c r="IB28" s="4" t="s">
        <v>241</v>
      </c>
      <c r="IC28" s="4" t="s">
        <v>241</v>
      </c>
      <c r="ID28" s="4" t="s">
        <v>241</v>
      </c>
      <c r="IE28" s="4" t="s">
        <v>241</v>
      </c>
      <c r="IF28" s="4" t="s">
        <v>241</v>
      </c>
    </row>
    <row r="29" spans="1:240" x14ac:dyDescent="0.4">
      <c r="A29" s="4">
        <v>2</v>
      </c>
      <c r="B29" s="4" t="s">
        <v>239</v>
      </c>
      <c r="C29" s="4">
        <v>28</v>
      </c>
      <c r="D29" s="4">
        <v>1</v>
      </c>
      <c r="E29" s="4">
        <v>3</v>
      </c>
      <c r="F29" s="4" t="s">
        <v>240</v>
      </c>
      <c r="G29" s="4" t="s">
        <v>241</v>
      </c>
      <c r="H29" s="4" t="s">
        <v>241</v>
      </c>
      <c r="I29" s="4" t="s">
        <v>1539</v>
      </c>
      <c r="J29" s="4" t="s">
        <v>1378</v>
      </c>
      <c r="K29" s="4" t="s">
        <v>256</v>
      </c>
      <c r="L29" s="4" t="s">
        <v>1380</v>
      </c>
      <c r="M29" s="5" t="s">
        <v>1541</v>
      </c>
      <c r="N29" s="4" t="s">
        <v>3064</v>
      </c>
      <c r="O29" s="6">
        <f>9.9</f>
        <v>9.9</v>
      </c>
      <c r="P29" s="4" t="s">
        <v>276</v>
      </c>
      <c r="Q29" s="6">
        <f>3179931</f>
        <v>3179931</v>
      </c>
      <c r="R29" s="6">
        <f>3921000</f>
        <v>3921000</v>
      </c>
      <c r="S29" s="5" t="s">
        <v>1540</v>
      </c>
      <c r="T29" s="4" t="s">
        <v>333</v>
      </c>
      <c r="U29" s="4" t="s">
        <v>300</v>
      </c>
      <c r="V29" s="6">
        <f>105867</f>
        <v>105867</v>
      </c>
      <c r="W29" s="6">
        <f>741069</f>
        <v>741069</v>
      </c>
      <c r="X29" s="4" t="s">
        <v>243</v>
      </c>
      <c r="Y29" s="4" t="s">
        <v>244</v>
      </c>
      <c r="Z29" s="4" t="s">
        <v>246</v>
      </c>
      <c r="AA29" s="4" t="s">
        <v>241</v>
      </c>
      <c r="AD29" s="4" t="s">
        <v>241</v>
      </c>
      <c r="AE29" s="5" t="s">
        <v>241</v>
      </c>
      <c r="AF29" s="5" t="s">
        <v>241</v>
      </c>
      <c r="AH29" s="5" t="s">
        <v>241</v>
      </c>
      <c r="AI29" s="5" t="s">
        <v>249</v>
      </c>
      <c r="AJ29" s="4" t="s">
        <v>251</v>
      </c>
      <c r="AK29" s="4" t="s">
        <v>252</v>
      </c>
      <c r="AQ29" s="4" t="s">
        <v>241</v>
      </c>
      <c r="AR29" s="4" t="s">
        <v>241</v>
      </c>
      <c r="AS29" s="4" t="s">
        <v>241</v>
      </c>
      <c r="AT29" s="5" t="s">
        <v>241</v>
      </c>
      <c r="AU29" s="5" t="s">
        <v>241</v>
      </c>
      <c r="AV29" s="5" t="s">
        <v>241</v>
      </c>
      <c r="AY29" s="4" t="s">
        <v>286</v>
      </c>
      <c r="AZ29" s="4" t="s">
        <v>286</v>
      </c>
      <c r="BA29" s="4" t="s">
        <v>254</v>
      </c>
      <c r="BB29" s="4" t="s">
        <v>287</v>
      </c>
      <c r="BC29" s="4" t="s">
        <v>255</v>
      </c>
      <c r="BD29" s="4" t="s">
        <v>241</v>
      </c>
      <c r="BE29" s="4" t="s">
        <v>257</v>
      </c>
      <c r="BF29" s="4" t="s">
        <v>241</v>
      </c>
      <c r="BJ29" s="4" t="s">
        <v>288</v>
      </c>
      <c r="BK29" s="5" t="s">
        <v>289</v>
      </c>
      <c r="BL29" s="4" t="s">
        <v>290</v>
      </c>
      <c r="BM29" s="4" t="s">
        <v>290</v>
      </c>
      <c r="BN29" s="4" t="s">
        <v>241</v>
      </c>
      <c r="BO29" s="6">
        <f>0</f>
        <v>0</v>
      </c>
      <c r="BP29" s="6">
        <f>-105867</f>
        <v>-105867</v>
      </c>
      <c r="BQ29" s="4" t="s">
        <v>263</v>
      </c>
      <c r="BR29" s="4" t="s">
        <v>264</v>
      </c>
      <c r="BS29" s="4" t="s">
        <v>241</v>
      </c>
      <c r="BT29" s="4" t="s">
        <v>241</v>
      </c>
      <c r="BU29" s="4" t="s">
        <v>241</v>
      </c>
      <c r="BV29" s="4" t="s">
        <v>241</v>
      </c>
      <c r="CE29" s="4" t="s">
        <v>264</v>
      </c>
      <c r="CF29" s="4" t="s">
        <v>241</v>
      </c>
      <c r="CG29" s="4" t="s">
        <v>241</v>
      </c>
      <c r="CK29" s="4" t="s">
        <v>291</v>
      </c>
      <c r="CL29" s="4" t="s">
        <v>266</v>
      </c>
      <c r="CM29" s="4" t="s">
        <v>241</v>
      </c>
      <c r="CO29" s="4" t="s">
        <v>1542</v>
      </c>
      <c r="CP29" s="5" t="s">
        <v>268</v>
      </c>
      <c r="CQ29" s="4" t="s">
        <v>269</v>
      </c>
      <c r="CR29" s="4" t="s">
        <v>270</v>
      </c>
      <c r="CS29" s="4" t="s">
        <v>293</v>
      </c>
      <c r="CT29" s="4" t="s">
        <v>241</v>
      </c>
      <c r="CU29" s="4">
        <v>2.7E-2</v>
      </c>
      <c r="CV29" s="4" t="s">
        <v>271</v>
      </c>
      <c r="CW29" s="4" t="s">
        <v>272</v>
      </c>
      <c r="CX29" s="4" t="s">
        <v>295</v>
      </c>
      <c r="CY29" s="6">
        <f>0</f>
        <v>0</v>
      </c>
      <c r="CZ29" s="6">
        <f>3921000</f>
        <v>3921000</v>
      </c>
      <c r="DA29" s="6">
        <f>3179931</f>
        <v>3179931</v>
      </c>
      <c r="DC29" s="4" t="s">
        <v>241</v>
      </c>
      <c r="DD29" s="4" t="s">
        <v>241</v>
      </c>
      <c r="DF29" s="4" t="s">
        <v>241</v>
      </c>
      <c r="DG29" s="6">
        <f>0</f>
        <v>0</v>
      </c>
      <c r="DI29" s="4" t="s">
        <v>241</v>
      </c>
      <c r="DJ29" s="4" t="s">
        <v>241</v>
      </c>
      <c r="DK29" s="4" t="s">
        <v>241</v>
      </c>
      <c r="DL29" s="4" t="s">
        <v>241</v>
      </c>
      <c r="DM29" s="4" t="s">
        <v>277</v>
      </c>
      <c r="DN29" s="4" t="s">
        <v>278</v>
      </c>
      <c r="DO29" s="6">
        <f>9.9</f>
        <v>9.9</v>
      </c>
      <c r="DP29" s="4" t="s">
        <v>241</v>
      </c>
      <c r="DQ29" s="4" t="s">
        <v>241</v>
      </c>
      <c r="DR29" s="4" t="s">
        <v>241</v>
      </c>
      <c r="DS29" s="4" t="s">
        <v>241</v>
      </c>
      <c r="DV29" s="4" t="s">
        <v>1543</v>
      </c>
      <c r="DW29" s="4" t="s">
        <v>323</v>
      </c>
      <c r="GN29" s="4" t="s">
        <v>3065</v>
      </c>
      <c r="HO29" s="4" t="s">
        <v>300</v>
      </c>
      <c r="HR29" s="4" t="s">
        <v>278</v>
      </c>
      <c r="HS29" s="4" t="s">
        <v>278</v>
      </c>
      <c r="HT29" s="4" t="s">
        <v>241</v>
      </c>
      <c r="HU29" s="4" t="s">
        <v>241</v>
      </c>
      <c r="HV29" s="4" t="s">
        <v>241</v>
      </c>
      <c r="HW29" s="4" t="s">
        <v>241</v>
      </c>
      <c r="HX29" s="4" t="s">
        <v>241</v>
      </c>
      <c r="HY29" s="4" t="s">
        <v>241</v>
      </c>
      <c r="HZ29" s="4" t="s">
        <v>241</v>
      </c>
      <c r="IA29" s="4" t="s">
        <v>241</v>
      </c>
      <c r="IB29" s="4" t="s">
        <v>241</v>
      </c>
      <c r="IC29" s="4" t="s">
        <v>241</v>
      </c>
      <c r="ID29" s="4" t="s">
        <v>241</v>
      </c>
      <c r="IE29" s="4" t="s">
        <v>241</v>
      </c>
      <c r="IF29" s="4" t="s">
        <v>241</v>
      </c>
    </row>
    <row r="30" spans="1:240" x14ac:dyDescent="0.4">
      <c r="A30" s="4">
        <v>2</v>
      </c>
      <c r="B30" s="4" t="s">
        <v>239</v>
      </c>
      <c r="C30" s="4">
        <v>29</v>
      </c>
      <c r="D30" s="4">
        <v>1</v>
      </c>
      <c r="E30" s="4">
        <v>3</v>
      </c>
      <c r="F30" s="4" t="s">
        <v>240</v>
      </c>
      <c r="G30" s="4" t="s">
        <v>241</v>
      </c>
      <c r="H30" s="4" t="s">
        <v>241</v>
      </c>
      <c r="I30" s="4" t="s">
        <v>1527</v>
      </c>
      <c r="J30" s="4" t="s">
        <v>1378</v>
      </c>
      <c r="K30" s="4" t="s">
        <v>256</v>
      </c>
      <c r="L30" s="4" t="s">
        <v>1380</v>
      </c>
      <c r="M30" s="5" t="s">
        <v>1089</v>
      </c>
      <c r="N30" s="4" t="s">
        <v>1376</v>
      </c>
      <c r="O30" s="6">
        <f>480.7</f>
        <v>480.7</v>
      </c>
      <c r="P30" s="4" t="s">
        <v>276</v>
      </c>
      <c r="Q30" s="6">
        <f>96728690</f>
        <v>96728690</v>
      </c>
      <c r="R30" s="6">
        <f>166773600</f>
        <v>166773600</v>
      </c>
      <c r="S30" s="5" t="s">
        <v>1528</v>
      </c>
      <c r="T30" s="4" t="s">
        <v>274</v>
      </c>
      <c r="U30" s="4" t="s">
        <v>417</v>
      </c>
      <c r="V30" s="6">
        <f>7004491</f>
        <v>7004491</v>
      </c>
      <c r="W30" s="6">
        <f>70044910</f>
        <v>70044910</v>
      </c>
      <c r="X30" s="4" t="s">
        <v>243</v>
      </c>
      <c r="Y30" s="4" t="s">
        <v>244</v>
      </c>
      <c r="Z30" s="4" t="s">
        <v>246</v>
      </c>
      <c r="AA30" s="4" t="s">
        <v>241</v>
      </c>
      <c r="AD30" s="4" t="s">
        <v>241</v>
      </c>
      <c r="AE30" s="5" t="s">
        <v>241</v>
      </c>
      <c r="AF30" s="5" t="s">
        <v>241</v>
      </c>
      <c r="AH30" s="5" t="s">
        <v>241</v>
      </c>
      <c r="AI30" s="5" t="s">
        <v>249</v>
      </c>
      <c r="AJ30" s="4" t="s">
        <v>251</v>
      </c>
      <c r="AK30" s="4" t="s">
        <v>252</v>
      </c>
      <c r="AQ30" s="4" t="s">
        <v>241</v>
      </c>
      <c r="AR30" s="4" t="s">
        <v>241</v>
      </c>
      <c r="AS30" s="4" t="s">
        <v>241</v>
      </c>
      <c r="AT30" s="5" t="s">
        <v>241</v>
      </c>
      <c r="AU30" s="5" t="s">
        <v>241</v>
      </c>
      <c r="AV30" s="5" t="s">
        <v>241</v>
      </c>
      <c r="AY30" s="4" t="s">
        <v>286</v>
      </c>
      <c r="AZ30" s="4" t="s">
        <v>286</v>
      </c>
      <c r="BA30" s="4" t="s">
        <v>254</v>
      </c>
      <c r="BB30" s="4" t="s">
        <v>287</v>
      </c>
      <c r="BC30" s="4" t="s">
        <v>255</v>
      </c>
      <c r="BD30" s="4" t="s">
        <v>241</v>
      </c>
      <c r="BE30" s="4" t="s">
        <v>257</v>
      </c>
      <c r="BF30" s="4" t="s">
        <v>241</v>
      </c>
      <c r="BJ30" s="4" t="s">
        <v>288</v>
      </c>
      <c r="BK30" s="5" t="s">
        <v>289</v>
      </c>
      <c r="BL30" s="4" t="s">
        <v>290</v>
      </c>
      <c r="BM30" s="4" t="s">
        <v>290</v>
      </c>
      <c r="BN30" s="4" t="s">
        <v>241</v>
      </c>
      <c r="BO30" s="6">
        <f>0</f>
        <v>0</v>
      </c>
      <c r="BP30" s="6">
        <f>-7004491</f>
        <v>-7004491</v>
      </c>
      <c r="BQ30" s="4" t="s">
        <v>263</v>
      </c>
      <c r="BR30" s="4" t="s">
        <v>264</v>
      </c>
      <c r="BS30" s="4" t="s">
        <v>241</v>
      </c>
      <c r="BT30" s="4" t="s">
        <v>241</v>
      </c>
      <c r="BU30" s="4" t="s">
        <v>241</v>
      </c>
      <c r="BV30" s="4" t="s">
        <v>241</v>
      </c>
      <c r="CE30" s="4" t="s">
        <v>264</v>
      </c>
      <c r="CF30" s="4" t="s">
        <v>241</v>
      </c>
      <c r="CG30" s="4" t="s">
        <v>241</v>
      </c>
      <c r="CK30" s="4" t="s">
        <v>291</v>
      </c>
      <c r="CL30" s="4" t="s">
        <v>266</v>
      </c>
      <c r="CM30" s="4" t="s">
        <v>241</v>
      </c>
      <c r="CO30" s="4" t="s">
        <v>1497</v>
      </c>
      <c r="CP30" s="5" t="s">
        <v>268</v>
      </c>
      <c r="CQ30" s="4" t="s">
        <v>269</v>
      </c>
      <c r="CR30" s="4" t="s">
        <v>270</v>
      </c>
      <c r="CS30" s="4" t="s">
        <v>293</v>
      </c>
      <c r="CT30" s="4" t="s">
        <v>241</v>
      </c>
      <c r="CU30" s="4">
        <v>4.2000000000000003E-2</v>
      </c>
      <c r="CV30" s="4" t="s">
        <v>271</v>
      </c>
      <c r="CW30" s="4" t="s">
        <v>1329</v>
      </c>
      <c r="CX30" s="4" t="s">
        <v>347</v>
      </c>
      <c r="CY30" s="6">
        <f>0</f>
        <v>0</v>
      </c>
      <c r="CZ30" s="6">
        <f>166773600</f>
        <v>166773600</v>
      </c>
      <c r="DA30" s="6">
        <f>96728690</f>
        <v>96728690</v>
      </c>
      <c r="DC30" s="4" t="s">
        <v>241</v>
      </c>
      <c r="DD30" s="4" t="s">
        <v>241</v>
      </c>
      <c r="DF30" s="4" t="s">
        <v>241</v>
      </c>
      <c r="DG30" s="6">
        <f>0</f>
        <v>0</v>
      </c>
      <c r="DI30" s="4" t="s">
        <v>241</v>
      </c>
      <c r="DJ30" s="4" t="s">
        <v>241</v>
      </c>
      <c r="DK30" s="4" t="s">
        <v>241</v>
      </c>
      <c r="DL30" s="4" t="s">
        <v>241</v>
      </c>
      <c r="DM30" s="4" t="s">
        <v>277</v>
      </c>
      <c r="DN30" s="4" t="s">
        <v>278</v>
      </c>
      <c r="DO30" s="6">
        <f>480.7</f>
        <v>480.7</v>
      </c>
      <c r="DP30" s="4" t="s">
        <v>241</v>
      </c>
      <c r="DQ30" s="4" t="s">
        <v>241</v>
      </c>
      <c r="DR30" s="4" t="s">
        <v>241</v>
      </c>
      <c r="DS30" s="4" t="s">
        <v>241</v>
      </c>
      <c r="DV30" s="4" t="s">
        <v>1529</v>
      </c>
      <c r="DW30" s="4" t="s">
        <v>277</v>
      </c>
      <c r="GN30" s="4" t="s">
        <v>1530</v>
      </c>
      <c r="HO30" s="4" t="s">
        <v>300</v>
      </c>
      <c r="HR30" s="4" t="s">
        <v>278</v>
      </c>
      <c r="HS30" s="4" t="s">
        <v>278</v>
      </c>
      <c r="HT30" s="4" t="s">
        <v>241</v>
      </c>
      <c r="HU30" s="4" t="s">
        <v>241</v>
      </c>
      <c r="HV30" s="4" t="s">
        <v>241</v>
      </c>
      <c r="HW30" s="4" t="s">
        <v>241</v>
      </c>
      <c r="HX30" s="4" t="s">
        <v>241</v>
      </c>
      <c r="HY30" s="4" t="s">
        <v>241</v>
      </c>
      <c r="HZ30" s="4" t="s">
        <v>241</v>
      </c>
      <c r="IA30" s="4" t="s">
        <v>241</v>
      </c>
      <c r="IB30" s="4" t="s">
        <v>241</v>
      </c>
      <c r="IC30" s="4" t="s">
        <v>241</v>
      </c>
      <c r="ID30" s="4" t="s">
        <v>241</v>
      </c>
      <c r="IE30" s="4" t="s">
        <v>241</v>
      </c>
      <c r="IF30" s="4" t="s">
        <v>241</v>
      </c>
    </row>
    <row r="31" spans="1:240" x14ac:dyDescent="0.4">
      <c r="A31" s="4">
        <v>2</v>
      </c>
      <c r="B31" s="4" t="s">
        <v>239</v>
      </c>
      <c r="C31" s="4">
        <v>30</v>
      </c>
      <c r="D31" s="4">
        <v>1</v>
      </c>
      <c r="E31" s="4">
        <v>3</v>
      </c>
      <c r="F31" s="4" t="s">
        <v>240</v>
      </c>
      <c r="G31" s="4" t="s">
        <v>241</v>
      </c>
      <c r="H31" s="4" t="s">
        <v>241</v>
      </c>
      <c r="I31" s="4" t="s">
        <v>1377</v>
      </c>
      <c r="J31" s="4" t="s">
        <v>1378</v>
      </c>
      <c r="K31" s="4" t="s">
        <v>256</v>
      </c>
      <c r="L31" s="4" t="s">
        <v>1380</v>
      </c>
      <c r="M31" s="5" t="s">
        <v>1381</v>
      </c>
      <c r="N31" s="4" t="s">
        <v>1376</v>
      </c>
      <c r="O31" s="6">
        <f>496.38</f>
        <v>496.38</v>
      </c>
      <c r="P31" s="4" t="s">
        <v>276</v>
      </c>
      <c r="Q31" s="6">
        <f>146858880</f>
        <v>146858880</v>
      </c>
      <c r="R31" s="6">
        <f>187320000</f>
        <v>187320000</v>
      </c>
      <c r="S31" s="5" t="s">
        <v>1379</v>
      </c>
      <c r="T31" s="4" t="s">
        <v>333</v>
      </c>
      <c r="U31" s="4" t="s">
        <v>341</v>
      </c>
      <c r="V31" s="6">
        <f>5057640</f>
        <v>5057640</v>
      </c>
      <c r="W31" s="6">
        <f>40461120</f>
        <v>40461120</v>
      </c>
      <c r="X31" s="4" t="s">
        <v>243</v>
      </c>
      <c r="Y31" s="4" t="s">
        <v>244</v>
      </c>
      <c r="Z31" s="4" t="s">
        <v>246</v>
      </c>
      <c r="AA31" s="4" t="s">
        <v>241</v>
      </c>
      <c r="AD31" s="4" t="s">
        <v>241</v>
      </c>
      <c r="AE31" s="5" t="s">
        <v>241</v>
      </c>
      <c r="AF31" s="5" t="s">
        <v>241</v>
      </c>
      <c r="AH31" s="5" t="s">
        <v>241</v>
      </c>
      <c r="AI31" s="5" t="s">
        <v>249</v>
      </c>
      <c r="AJ31" s="4" t="s">
        <v>251</v>
      </c>
      <c r="AK31" s="4" t="s">
        <v>252</v>
      </c>
      <c r="AQ31" s="4" t="s">
        <v>241</v>
      </c>
      <c r="AR31" s="4" t="s">
        <v>241</v>
      </c>
      <c r="AS31" s="4" t="s">
        <v>241</v>
      </c>
      <c r="AT31" s="5" t="s">
        <v>241</v>
      </c>
      <c r="AU31" s="5" t="s">
        <v>241</v>
      </c>
      <c r="AV31" s="5" t="s">
        <v>241</v>
      </c>
      <c r="AY31" s="4" t="s">
        <v>286</v>
      </c>
      <c r="AZ31" s="4" t="s">
        <v>286</v>
      </c>
      <c r="BA31" s="4" t="s">
        <v>254</v>
      </c>
      <c r="BB31" s="4" t="s">
        <v>287</v>
      </c>
      <c r="BC31" s="4" t="s">
        <v>255</v>
      </c>
      <c r="BD31" s="4" t="s">
        <v>241</v>
      </c>
      <c r="BE31" s="4" t="s">
        <v>257</v>
      </c>
      <c r="BF31" s="4" t="s">
        <v>241</v>
      </c>
      <c r="BJ31" s="4" t="s">
        <v>288</v>
      </c>
      <c r="BK31" s="5" t="s">
        <v>289</v>
      </c>
      <c r="BL31" s="4" t="s">
        <v>290</v>
      </c>
      <c r="BM31" s="4" t="s">
        <v>290</v>
      </c>
      <c r="BN31" s="4" t="s">
        <v>241</v>
      </c>
      <c r="BO31" s="6">
        <f>0</f>
        <v>0</v>
      </c>
      <c r="BP31" s="6">
        <f>-5057640</f>
        <v>-5057640</v>
      </c>
      <c r="BQ31" s="4" t="s">
        <v>263</v>
      </c>
      <c r="BR31" s="4" t="s">
        <v>264</v>
      </c>
      <c r="BS31" s="4" t="s">
        <v>241</v>
      </c>
      <c r="BT31" s="4" t="s">
        <v>241</v>
      </c>
      <c r="BU31" s="4" t="s">
        <v>241</v>
      </c>
      <c r="BV31" s="4" t="s">
        <v>241</v>
      </c>
      <c r="CE31" s="4" t="s">
        <v>264</v>
      </c>
      <c r="CF31" s="4" t="s">
        <v>241</v>
      </c>
      <c r="CG31" s="4" t="s">
        <v>241</v>
      </c>
      <c r="CK31" s="4" t="s">
        <v>291</v>
      </c>
      <c r="CL31" s="4" t="s">
        <v>266</v>
      </c>
      <c r="CM31" s="4" t="s">
        <v>241</v>
      </c>
      <c r="CO31" s="4" t="s">
        <v>693</v>
      </c>
      <c r="CP31" s="5" t="s">
        <v>268</v>
      </c>
      <c r="CQ31" s="4" t="s">
        <v>269</v>
      </c>
      <c r="CR31" s="4" t="s">
        <v>270</v>
      </c>
      <c r="CS31" s="4" t="s">
        <v>293</v>
      </c>
      <c r="CT31" s="4" t="s">
        <v>241</v>
      </c>
      <c r="CU31" s="4">
        <v>2.7E-2</v>
      </c>
      <c r="CV31" s="4" t="s">
        <v>271</v>
      </c>
      <c r="CW31" s="4" t="s">
        <v>1329</v>
      </c>
      <c r="CX31" s="4" t="s">
        <v>487</v>
      </c>
      <c r="CY31" s="6">
        <f>0</f>
        <v>0</v>
      </c>
      <c r="CZ31" s="6">
        <f>187320000</f>
        <v>187320000</v>
      </c>
      <c r="DA31" s="6">
        <f>146858880</f>
        <v>146858880</v>
      </c>
      <c r="DC31" s="4" t="s">
        <v>241</v>
      </c>
      <c r="DD31" s="4" t="s">
        <v>241</v>
      </c>
      <c r="DF31" s="4" t="s">
        <v>241</v>
      </c>
      <c r="DG31" s="6">
        <f>0</f>
        <v>0</v>
      </c>
      <c r="DI31" s="4" t="s">
        <v>241</v>
      </c>
      <c r="DJ31" s="4" t="s">
        <v>241</v>
      </c>
      <c r="DK31" s="4" t="s">
        <v>241</v>
      </c>
      <c r="DL31" s="4" t="s">
        <v>241</v>
      </c>
      <c r="DM31" s="4" t="s">
        <v>277</v>
      </c>
      <c r="DN31" s="4" t="s">
        <v>278</v>
      </c>
      <c r="DO31" s="6">
        <f>496.38</f>
        <v>496.38</v>
      </c>
      <c r="DP31" s="4" t="s">
        <v>241</v>
      </c>
      <c r="DQ31" s="4" t="s">
        <v>241</v>
      </c>
      <c r="DR31" s="4" t="s">
        <v>241</v>
      </c>
      <c r="DS31" s="4" t="s">
        <v>241</v>
      </c>
      <c r="DV31" s="4" t="s">
        <v>1382</v>
      </c>
      <c r="DW31" s="4" t="s">
        <v>277</v>
      </c>
      <c r="GN31" s="4" t="s">
        <v>1383</v>
      </c>
      <c r="HO31" s="4" t="s">
        <v>300</v>
      </c>
      <c r="HR31" s="4" t="s">
        <v>278</v>
      </c>
      <c r="HS31" s="4" t="s">
        <v>278</v>
      </c>
      <c r="HT31" s="4" t="s">
        <v>241</v>
      </c>
      <c r="HU31" s="4" t="s">
        <v>241</v>
      </c>
      <c r="HV31" s="4" t="s">
        <v>241</v>
      </c>
      <c r="HW31" s="4" t="s">
        <v>241</v>
      </c>
      <c r="HX31" s="4" t="s">
        <v>241</v>
      </c>
      <c r="HY31" s="4" t="s">
        <v>241</v>
      </c>
      <c r="HZ31" s="4" t="s">
        <v>241</v>
      </c>
      <c r="IA31" s="4" t="s">
        <v>241</v>
      </c>
      <c r="IB31" s="4" t="s">
        <v>241</v>
      </c>
      <c r="IC31" s="4" t="s">
        <v>241</v>
      </c>
      <c r="ID31" s="4" t="s">
        <v>241</v>
      </c>
      <c r="IE31" s="4" t="s">
        <v>241</v>
      </c>
      <c r="IF31" s="4" t="s">
        <v>241</v>
      </c>
    </row>
    <row r="32" spans="1:240" x14ac:dyDescent="0.4">
      <c r="A32" s="4">
        <v>2</v>
      </c>
      <c r="B32" s="4" t="s">
        <v>239</v>
      </c>
      <c r="C32" s="4">
        <v>31</v>
      </c>
      <c r="D32" s="4">
        <v>1</v>
      </c>
      <c r="E32" s="4">
        <v>3</v>
      </c>
      <c r="F32" s="4" t="s">
        <v>240</v>
      </c>
      <c r="G32" s="4" t="s">
        <v>241</v>
      </c>
      <c r="H32" s="4" t="s">
        <v>241</v>
      </c>
      <c r="I32" s="4" t="s">
        <v>1425</v>
      </c>
      <c r="J32" s="4" t="s">
        <v>1378</v>
      </c>
      <c r="K32" s="4" t="s">
        <v>256</v>
      </c>
      <c r="L32" s="4" t="s">
        <v>1380</v>
      </c>
      <c r="M32" s="5" t="s">
        <v>312</v>
      </c>
      <c r="N32" s="4" t="s">
        <v>1376</v>
      </c>
      <c r="O32" s="6">
        <f>208.36</f>
        <v>208.36</v>
      </c>
      <c r="P32" s="4" t="s">
        <v>276</v>
      </c>
      <c r="Q32" s="6">
        <f>12007485</f>
        <v>12007485</v>
      </c>
      <c r="R32" s="6">
        <f>32452650</f>
        <v>32452650</v>
      </c>
      <c r="S32" s="5" t="s">
        <v>1426</v>
      </c>
      <c r="T32" s="4" t="s">
        <v>274</v>
      </c>
      <c r="U32" s="4" t="s">
        <v>349</v>
      </c>
      <c r="V32" s="6">
        <f>1363011</f>
        <v>1363011</v>
      </c>
      <c r="W32" s="6">
        <f>20445165</f>
        <v>20445165</v>
      </c>
      <c r="X32" s="4" t="s">
        <v>243</v>
      </c>
      <c r="Y32" s="4" t="s">
        <v>244</v>
      </c>
      <c r="Z32" s="4" t="s">
        <v>246</v>
      </c>
      <c r="AA32" s="4" t="s">
        <v>241</v>
      </c>
      <c r="AD32" s="4" t="s">
        <v>241</v>
      </c>
      <c r="AE32" s="5" t="s">
        <v>241</v>
      </c>
      <c r="AF32" s="5" t="s">
        <v>241</v>
      </c>
      <c r="AH32" s="5" t="s">
        <v>241</v>
      </c>
      <c r="AI32" s="5" t="s">
        <v>249</v>
      </c>
      <c r="AJ32" s="4" t="s">
        <v>251</v>
      </c>
      <c r="AK32" s="4" t="s">
        <v>252</v>
      </c>
      <c r="AQ32" s="4" t="s">
        <v>241</v>
      </c>
      <c r="AR32" s="4" t="s">
        <v>241</v>
      </c>
      <c r="AS32" s="4" t="s">
        <v>241</v>
      </c>
      <c r="AT32" s="5" t="s">
        <v>241</v>
      </c>
      <c r="AU32" s="5" t="s">
        <v>241</v>
      </c>
      <c r="AV32" s="5" t="s">
        <v>241</v>
      </c>
      <c r="AY32" s="4" t="s">
        <v>286</v>
      </c>
      <c r="AZ32" s="4" t="s">
        <v>286</v>
      </c>
      <c r="BA32" s="4" t="s">
        <v>254</v>
      </c>
      <c r="BB32" s="4" t="s">
        <v>287</v>
      </c>
      <c r="BC32" s="4" t="s">
        <v>255</v>
      </c>
      <c r="BD32" s="4" t="s">
        <v>241</v>
      </c>
      <c r="BE32" s="4" t="s">
        <v>257</v>
      </c>
      <c r="BF32" s="4" t="s">
        <v>241</v>
      </c>
      <c r="BH32" s="4" t="s">
        <v>258</v>
      </c>
      <c r="BJ32" s="4" t="s">
        <v>288</v>
      </c>
      <c r="BK32" s="5" t="s">
        <v>289</v>
      </c>
      <c r="BL32" s="4" t="s">
        <v>290</v>
      </c>
      <c r="BM32" s="4" t="s">
        <v>290</v>
      </c>
      <c r="BN32" s="4" t="s">
        <v>241</v>
      </c>
      <c r="BO32" s="6">
        <f>0</f>
        <v>0</v>
      </c>
      <c r="BP32" s="6">
        <f>-1363011</f>
        <v>-1363011</v>
      </c>
      <c r="BQ32" s="4" t="s">
        <v>263</v>
      </c>
      <c r="BR32" s="4" t="s">
        <v>264</v>
      </c>
      <c r="BS32" s="4" t="s">
        <v>241</v>
      </c>
      <c r="BT32" s="4" t="s">
        <v>241</v>
      </c>
      <c r="BU32" s="4" t="s">
        <v>241</v>
      </c>
      <c r="BV32" s="4" t="s">
        <v>241</v>
      </c>
      <c r="CE32" s="4" t="s">
        <v>264</v>
      </c>
      <c r="CF32" s="4" t="s">
        <v>241</v>
      </c>
      <c r="CG32" s="4" t="s">
        <v>241</v>
      </c>
      <c r="CK32" s="4" t="s">
        <v>291</v>
      </c>
      <c r="CL32" s="4" t="s">
        <v>266</v>
      </c>
      <c r="CM32" s="4" t="s">
        <v>241</v>
      </c>
      <c r="CO32" s="4" t="s">
        <v>346</v>
      </c>
      <c r="CP32" s="5" t="s">
        <v>268</v>
      </c>
      <c r="CQ32" s="4" t="s">
        <v>269</v>
      </c>
      <c r="CR32" s="4" t="s">
        <v>270</v>
      </c>
      <c r="CS32" s="4" t="s">
        <v>293</v>
      </c>
      <c r="CT32" s="4" t="s">
        <v>241</v>
      </c>
      <c r="CU32" s="4">
        <v>4.2000000000000003E-2</v>
      </c>
      <c r="CV32" s="4" t="s">
        <v>271</v>
      </c>
      <c r="CW32" s="4" t="s">
        <v>1329</v>
      </c>
      <c r="CX32" s="4" t="s">
        <v>347</v>
      </c>
      <c r="CY32" s="6">
        <f>0</f>
        <v>0</v>
      </c>
      <c r="CZ32" s="6">
        <f>32452650</f>
        <v>32452650</v>
      </c>
      <c r="DA32" s="6">
        <f>12007485</f>
        <v>12007485</v>
      </c>
      <c r="DC32" s="4" t="s">
        <v>241</v>
      </c>
      <c r="DD32" s="4" t="s">
        <v>241</v>
      </c>
      <c r="DF32" s="4" t="s">
        <v>241</v>
      </c>
      <c r="DG32" s="6">
        <f>0</f>
        <v>0</v>
      </c>
      <c r="DI32" s="4" t="s">
        <v>241</v>
      </c>
      <c r="DJ32" s="4" t="s">
        <v>241</v>
      </c>
      <c r="DK32" s="4" t="s">
        <v>241</v>
      </c>
      <c r="DL32" s="4" t="s">
        <v>241</v>
      </c>
      <c r="DM32" s="4" t="s">
        <v>277</v>
      </c>
      <c r="DN32" s="4" t="s">
        <v>278</v>
      </c>
      <c r="DO32" s="6">
        <f>208.36</f>
        <v>208.36</v>
      </c>
      <c r="DP32" s="4" t="s">
        <v>241</v>
      </c>
      <c r="DQ32" s="4" t="s">
        <v>241</v>
      </c>
      <c r="DR32" s="4" t="s">
        <v>241</v>
      </c>
      <c r="DS32" s="4" t="s">
        <v>241</v>
      </c>
      <c r="DV32" s="4" t="s">
        <v>1427</v>
      </c>
      <c r="DW32" s="4" t="s">
        <v>277</v>
      </c>
      <c r="GN32" s="4" t="s">
        <v>1428</v>
      </c>
      <c r="HO32" s="4" t="s">
        <v>300</v>
      </c>
      <c r="HR32" s="4" t="s">
        <v>278</v>
      </c>
      <c r="HS32" s="4" t="s">
        <v>278</v>
      </c>
      <c r="HT32" s="4" t="s">
        <v>241</v>
      </c>
      <c r="HU32" s="4" t="s">
        <v>241</v>
      </c>
      <c r="HV32" s="4" t="s">
        <v>241</v>
      </c>
      <c r="HW32" s="4" t="s">
        <v>241</v>
      </c>
      <c r="HX32" s="4" t="s">
        <v>241</v>
      </c>
      <c r="HY32" s="4" t="s">
        <v>241</v>
      </c>
      <c r="HZ32" s="4" t="s">
        <v>241</v>
      </c>
      <c r="IA32" s="4" t="s">
        <v>241</v>
      </c>
      <c r="IB32" s="4" t="s">
        <v>241</v>
      </c>
      <c r="IC32" s="4" t="s">
        <v>241</v>
      </c>
      <c r="ID32" s="4" t="s">
        <v>241</v>
      </c>
      <c r="IE32" s="4" t="s">
        <v>241</v>
      </c>
      <c r="IF32" s="4" t="s">
        <v>241</v>
      </c>
    </row>
    <row r="33" spans="1:240" x14ac:dyDescent="0.4">
      <c r="A33" s="4">
        <v>2</v>
      </c>
      <c r="B33" s="4" t="s">
        <v>239</v>
      </c>
      <c r="C33" s="4">
        <v>32</v>
      </c>
      <c r="D33" s="4">
        <v>1</v>
      </c>
      <c r="E33" s="4">
        <v>3</v>
      </c>
      <c r="F33" s="4" t="s">
        <v>240</v>
      </c>
      <c r="G33" s="4" t="s">
        <v>241</v>
      </c>
      <c r="H33" s="4" t="s">
        <v>241</v>
      </c>
      <c r="I33" s="4" t="s">
        <v>1425</v>
      </c>
      <c r="J33" s="4" t="s">
        <v>1378</v>
      </c>
      <c r="K33" s="4" t="s">
        <v>256</v>
      </c>
      <c r="L33" s="4" t="s">
        <v>1380</v>
      </c>
      <c r="M33" s="5" t="s">
        <v>312</v>
      </c>
      <c r="N33" s="4" t="s">
        <v>1376</v>
      </c>
      <c r="O33" s="6">
        <f>13.8</f>
        <v>13.8</v>
      </c>
      <c r="P33" s="4" t="s">
        <v>276</v>
      </c>
      <c r="Q33" s="6">
        <f>1733024</f>
        <v>1733024</v>
      </c>
      <c r="R33" s="6">
        <f>3494000</f>
        <v>3494000</v>
      </c>
      <c r="S33" s="5" t="s">
        <v>1433</v>
      </c>
      <c r="T33" s="4" t="s">
        <v>274</v>
      </c>
      <c r="U33" s="4" t="s">
        <v>353</v>
      </c>
      <c r="V33" s="6">
        <f>146748</f>
        <v>146748</v>
      </c>
      <c r="W33" s="6">
        <f>1760976</f>
        <v>1760976</v>
      </c>
      <c r="X33" s="4" t="s">
        <v>243</v>
      </c>
      <c r="Y33" s="4" t="s">
        <v>244</v>
      </c>
      <c r="Z33" s="4" t="s">
        <v>246</v>
      </c>
      <c r="AA33" s="4" t="s">
        <v>241</v>
      </c>
      <c r="AD33" s="4" t="s">
        <v>241</v>
      </c>
      <c r="AE33" s="5" t="s">
        <v>241</v>
      </c>
      <c r="AF33" s="5" t="s">
        <v>241</v>
      </c>
      <c r="AH33" s="5" t="s">
        <v>241</v>
      </c>
      <c r="AI33" s="5" t="s">
        <v>249</v>
      </c>
      <c r="AJ33" s="4" t="s">
        <v>251</v>
      </c>
      <c r="AK33" s="4" t="s">
        <v>252</v>
      </c>
      <c r="AQ33" s="4" t="s">
        <v>241</v>
      </c>
      <c r="AR33" s="4" t="s">
        <v>241</v>
      </c>
      <c r="AS33" s="4" t="s">
        <v>241</v>
      </c>
      <c r="AT33" s="5" t="s">
        <v>241</v>
      </c>
      <c r="AU33" s="5" t="s">
        <v>241</v>
      </c>
      <c r="AV33" s="5" t="s">
        <v>241</v>
      </c>
      <c r="AY33" s="4" t="s">
        <v>286</v>
      </c>
      <c r="AZ33" s="4" t="s">
        <v>286</v>
      </c>
      <c r="BA33" s="4" t="s">
        <v>254</v>
      </c>
      <c r="BB33" s="4" t="s">
        <v>287</v>
      </c>
      <c r="BC33" s="4" t="s">
        <v>255</v>
      </c>
      <c r="BD33" s="4" t="s">
        <v>241</v>
      </c>
      <c r="BE33" s="4" t="s">
        <v>257</v>
      </c>
      <c r="BF33" s="4" t="s">
        <v>241</v>
      </c>
      <c r="BJ33" s="4" t="s">
        <v>288</v>
      </c>
      <c r="BK33" s="5" t="s">
        <v>289</v>
      </c>
      <c r="BL33" s="4" t="s">
        <v>290</v>
      </c>
      <c r="BM33" s="4" t="s">
        <v>290</v>
      </c>
      <c r="BN33" s="4" t="s">
        <v>241</v>
      </c>
      <c r="BO33" s="6">
        <f>0</f>
        <v>0</v>
      </c>
      <c r="BP33" s="6">
        <f>-146748</f>
        <v>-146748</v>
      </c>
      <c r="BQ33" s="4" t="s">
        <v>263</v>
      </c>
      <c r="BR33" s="4" t="s">
        <v>264</v>
      </c>
      <c r="BS33" s="4" t="s">
        <v>241</v>
      </c>
      <c r="BT33" s="4" t="s">
        <v>241</v>
      </c>
      <c r="BU33" s="4" t="s">
        <v>241</v>
      </c>
      <c r="BV33" s="4" t="s">
        <v>241</v>
      </c>
      <c r="CE33" s="4" t="s">
        <v>264</v>
      </c>
      <c r="CF33" s="4" t="s">
        <v>241</v>
      </c>
      <c r="CG33" s="4" t="s">
        <v>241</v>
      </c>
      <c r="CK33" s="4" t="s">
        <v>291</v>
      </c>
      <c r="CL33" s="4" t="s">
        <v>266</v>
      </c>
      <c r="CM33" s="4" t="s">
        <v>241</v>
      </c>
      <c r="CO33" s="4" t="s">
        <v>352</v>
      </c>
      <c r="CP33" s="5" t="s">
        <v>268</v>
      </c>
      <c r="CQ33" s="4" t="s">
        <v>269</v>
      </c>
      <c r="CR33" s="4" t="s">
        <v>270</v>
      </c>
      <c r="CS33" s="4" t="s">
        <v>293</v>
      </c>
      <c r="CT33" s="4" t="s">
        <v>241</v>
      </c>
      <c r="CU33" s="4">
        <v>4.2000000000000003E-2</v>
      </c>
      <c r="CV33" s="4" t="s">
        <v>271</v>
      </c>
      <c r="CW33" s="4" t="s">
        <v>1329</v>
      </c>
      <c r="CX33" s="4" t="s">
        <v>347</v>
      </c>
      <c r="CY33" s="6">
        <f>0</f>
        <v>0</v>
      </c>
      <c r="CZ33" s="6">
        <f>3494000</f>
        <v>3494000</v>
      </c>
      <c r="DA33" s="6">
        <f>1733024</f>
        <v>1733024</v>
      </c>
      <c r="DC33" s="4" t="s">
        <v>241</v>
      </c>
      <c r="DD33" s="4" t="s">
        <v>241</v>
      </c>
      <c r="DF33" s="4" t="s">
        <v>241</v>
      </c>
      <c r="DG33" s="6">
        <f>0</f>
        <v>0</v>
      </c>
      <c r="DI33" s="4" t="s">
        <v>241</v>
      </c>
      <c r="DJ33" s="4" t="s">
        <v>241</v>
      </c>
      <c r="DK33" s="4" t="s">
        <v>241</v>
      </c>
      <c r="DL33" s="4" t="s">
        <v>241</v>
      </c>
      <c r="DM33" s="4" t="s">
        <v>277</v>
      </c>
      <c r="DN33" s="4" t="s">
        <v>278</v>
      </c>
      <c r="DO33" s="6">
        <f>13.8</f>
        <v>13.8</v>
      </c>
      <c r="DP33" s="4" t="s">
        <v>241</v>
      </c>
      <c r="DQ33" s="4" t="s">
        <v>241</v>
      </c>
      <c r="DR33" s="4" t="s">
        <v>241</v>
      </c>
      <c r="DS33" s="4" t="s">
        <v>241</v>
      </c>
      <c r="DV33" s="4" t="s">
        <v>1427</v>
      </c>
      <c r="DW33" s="4" t="s">
        <v>323</v>
      </c>
      <c r="GN33" s="4" t="s">
        <v>1434</v>
      </c>
      <c r="HO33" s="4" t="s">
        <v>300</v>
      </c>
      <c r="HR33" s="4" t="s">
        <v>278</v>
      </c>
      <c r="HS33" s="4" t="s">
        <v>278</v>
      </c>
      <c r="HT33" s="4" t="s">
        <v>241</v>
      </c>
      <c r="HU33" s="4" t="s">
        <v>241</v>
      </c>
      <c r="HV33" s="4" t="s">
        <v>241</v>
      </c>
      <c r="HW33" s="4" t="s">
        <v>241</v>
      </c>
      <c r="HX33" s="4" t="s">
        <v>241</v>
      </c>
      <c r="HY33" s="4" t="s">
        <v>241</v>
      </c>
      <c r="HZ33" s="4" t="s">
        <v>241</v>
      </c>
      <c r="IA33" s="4" t="s">
        <v>241</v>
      </c>
      <c r="IB33" s="4" t="s">
        <v>241</v>
      </c>
      <c r="IC33" s="4" t="s">
        <v>241</v>
      </c>
      <c r="ID33" s="4" t="s">
        <v>241</v>
      </c>
      <c r="IE33" s="4" t="s">
        <v>241</v>
      </c>
      <c r="IF33" s="4" t="s">
        <v>241</v>
      </c>
    </row>
    <row r="34" spans="1:240" x14ac:dyDescent="0.4">
      <c r="A34" s="4">
        <v>2</v>
      </c>
      <c r="B34" s="4" t="s">
        <v>239</v>
      </c>
      <c r="C34" s="4">
        <v>33</v>
      </c>
      <c r="D34" s="4">
        <v>1</v>
      </c>
      <c r="E34" s="4">
        <v>3</v>
      </c>
      <c r="F34" s="4" t="s">
        <v>240</v>
      </c>
      <c r="G34" s="4" t="s">
        <v>241</v>
      </c>
      <c r="H34" s="4" t="s">
        <v>241</v>
      </c>
      <c r="I34" s="4" t="s">
        <v>1408</v>
      </c>
      <c r="J34" s="4" t="s">
        <v>1378</v>
      </c>
      <c r="K34" s="4" t="s">
        <v>256</v>
      </c>
      <c r="L34" s="4" t="s">
        <v>1380</v>
      </c>
      <c r="M34" s="5" t="s">
        <v>1411</v>
      </c>
      <c r="N34" s="4" t="s">
        <v>1376</v>
      </c>
      <c r="O34" s="6">
        <f>497.48</f>
        <v>497.48</v>
      </c>
      <c r="P34" s="4" t="s">
        <v>276</v>
      </c>
      <c r="Q34" s="6">
        <f>187234340</f>
        <v>187234340</v>
      </c>
      <c r="R34" s="6">
        <f>223430000</f>
        <v>223430000</v>
      </c>
      <c r="S34" s="5" t="s">
        <v>1409</v>
      </c>
      <c r="T34" s="4" t="s">
        <v>333</v>
      </c>
      <c r="U34" s="4" t="s">
        <v>351</v>
      </c>
      <c r="V34" s="6">
        <f>6032610</f>
        <v>6032610</v>
      </c>
      <c r="W34" s="6">
        <f>36195660</f>
        <v>36195660</v>
      </c>
      <c r="X34" s="4" t="s">
        <v>243</v>
      </c>
      <c r="Y34" s="4" t="s">
        <v>244</v>
      </c>
      <c r="Z34" s="4" t="s">
        <v>246</v>
      </c>
      <c r="AA34" s="4" t="s">
        <v>241</v>
      </c>
      <c r="AD34" s="4" t="s">
        <v>241</v>
      </c>
      <c r="AE34" s="5" t="s">
        <v>241</v>
      </c>
      <c r="AF34" s="5" t="s">
        <v>241</v>
      </c>
      <c r="AH34" s="5" t="s">
        <v>241</v>
      </c>
      <c r="AI34" s="5" t="s">
        <v>1410</v>
      </c>
      <c r="AJ34" s="4" t="s">
        <v>251</v>
      </c>
      <c r="AK34" s="4" t="s">
        <v>252</v>
      </c>
      <c r="AQ34" s="4" t="s">
        <v>241</v>
      </c>
      <c r="AR34" s="4" t="s">
        <v>241</v>
      </c>
      <c r="AS34" s="4" t="s">
        <v>241</v>
      </c>
      <c r="AT34" s="5" t="s">
        <v>241</v>
      </c>
      <c r="AU34" s="5" t="s">
        <v>241</v>
      </c>
      <c r="AV34" s="5" t="s">
        <v>241</v>
      </c>
      <c r="AY34" s="4" t="s">
        <v>286</v>
      </c>
      <c r="AZ34" s="4" t="s">
        <v>286</v>
      </c>
      <c r="BA34" s="4" t="s">
        <v>254</v>
      </c>
      <c r="BB34" s="4" t="s">
        <v>287</v>
      </c>
      <c r="BC34" s="4" t="s">
        <v>255</v>
      </c>
      <c r="BD34" s="4" t="s">
        <v>241</v>
      </c>
      <c r="BE34" s="4" t="s">
        <v>257</v>
      </c>
      <c r="BF34" s="4" t="s">
        <v>241</v>
      </c>
      <c r="BJ34" s="4" t="s">
        <v>288</v>
      </c>
      <c r="BK34" s="5" t="s">
        <v>289</v>
      </c>
      <c r="BL34" s="4" t="s">
        <v>290</v>
      </c>
      <c r="BM34" s="4" t="s">
        <v>290</v>
      </c>
      <c r="BN34" s="4" t="s">
        <v>241</v>
      </c>
      <c r="BO34" s="6">
        <f>0</f>
        <v>0</v>
      </c>
      <c r="BP34" s="6">
        <f>-6032610</f>
        <v>-6032610</v>
      </c>
      <c r="BQ34" s="4" t="s">
        <v>263</v>
      </c>
      <c r="BR34" s="4" t="s">
        <v>264</v>
      </c>
      <c r="BS34" s="4" t="s">
        <v>241</v>
      </c>
      <c r="BT34" s="4" t="s">
        <v>241</v>
      </c>
      <c r="BU34" s="4" t="s">
        <v>241</v>
      </c>
      <c r="BV34" s="4" t="s">
        <v>241</v>
      </c>
      <c r="CE34" s="4" t="s">
        <v>264</v>
      </c>
      <c r="CF34" s="4" t="s">
        <v>241</v>
      </c>
      <c r="CG34" s="4" t="s">
        <v>241</v>
      </c>
      <c r="CK34" s="4" t="s">
        <v>291</v>
      </c>
      <c r="CL34" s="4" t="s">
        <v>266</v>
      </c>
      <c r="CM34" s="4" t="s">
        <v>241</v>
      </c>
      <c r="CO34" s="4" t="s">
        <v>350</v>
      </c>
      <c r="CP34" s="5" t="s">
        <v>268</v>
      </c>
      <c r="CQ34" s="4" t="s">
        <v>269</v>
      </c>
      <c r="CR34" s="4" t="s">
        <v>270</v>
      </c>
      <c r="CS34" s="4" t="s">
        <v>293</v>
      </c>
      <c r="CT34" s="4" t="s">
        <v>241</v>
      </c>
      <c r="CU34" s="4">
        <v>2.7E-2</v>
      </c>
      <c r="CV34" s="4" t="s">
        <v>271</v>
      </c>
      <c r="CW34" s="4" t="s">
        <v>1329</v>
      </c>
      <c r="CX34" s="4" t="s">
        <v>487</v>
      </c>
      <c r="CY34" s="6">
        <f>0</f>
        <v>0</v>
      </c>
      <c r="CZ34" s="6">
        <f>223430000</f>
        <v>223430000</v>
      </c>
      <c r="DA34" s="6">
        <f>187234340</f>
        <v>187234340</v>
      </c>
      <c r="DC34" s="4" t="s">
        <v>241</v>
      </c>
      <c r="DD34" s="4" t="s">
        <v>241</v>
      </c>
      <c r="DF34" s="4" t="s">
        <v>241</v>
      </c>
      <c r="DG34" s="6">
        <f>0</f>
        <v>0</v>
      </c>
      <c r="DI34" s="4" t="s">
        <v>241</v>
      </c>
      <c r="DJ34" s="4" t="s">
        <v>241</v>
      </c>
      <c r="DK34" s="4" t="s">
        <v>241</v>
      </c>
      <c r="DL34" s="4" t="s">
        <v>241</v>
      </c>
      <c r="DM34" s="4" t="s">
        <v>323</v>
      </c>
      <c r="DN34" s="4" t="s">
        <v>278</v>
      </c>
      <c r="DO34" s="6">
        <f>497.48</f>
        <v>497.48</v>
      </c>
      <c r="DP34" s="4" t="s">
        <v>241</v>
      </c>
      <c r="DQ34" s="4" t="s">
        <v>241</v>
      </c>
      <c r="DR34" s="4" t="s">
        <v>241</v>
      </c>
      <c r="DS34" s="4" t="s">
        <v>241</v>
      </c>
      <c r="DV34" s="4" t="s">
        <v>1412</v>
      </c>
      <c r="DW34" s="4" t="s">
        <v>277</v>
      </c>
      <c r="GN34" s="4" t="s">
        <v>1413</v>
      </c>
      <c r="HO34" s="4" t="s">
        <v>300</v>
      </c>
      <c r="HR34" s="4" t="s">
        <v>278</v>
      </c>
      <c r="HS34" s="4" t="s">
        <v>278</v>
      </c>
      <c r="HT34" s="4" t="s">
        <v>241</v>
      </c>
      <c r="HU34" s="4" t="s">
        <v>241</v>
      </c>
      <c r="HV34" s="4" t="s">
        <v>241</v>
      </c>
      <c r="HW34" s="4" t="s">
        <v>241</v>
      </c>
      <c r="HX34" s="4" t="s">
        <v>241</v>
      </c>
      <c r="HY34" s="4" t="s">
        <v>241</v>
      </c>
      <c r="HZ34" s="4" t="s">
        <v>241</v>
      </c>
      <c r="IA34" s="4" t="s">
        <v>241</v>
      </c>
      <c r="IB34" s="4" t="s">
        <v>241</v>
      </c>
      <c r="IC34" s="4" t="s">
        <v>241</v>
      </c>
      <c r="ID34" s="4" t="s">
        <v>241</v>
      </c>
      <c r="IE34" s="4" t="s">
        <v>241</v>
      </c>
      <c r="IF34" s="4" t="s">
        <v>241</v>
      </c>
    </row>
    <row r="35" spans="1:240" x14ac:dyDescent="0.4">
      <c r="A35" s="4">
        <v>2</v>
      </c>
      <c r="B35" s="4" t="s">
        <v>239</v>
      </c>
      <c r="C35" s="4">
        <v>34</v>
      </c>
      <c r="D35" s="4">
        <v>1</v>
      </c>
      <c r="E35" s="4">
        <v>3</v>
      </c>
      <c r="F35" s="4" t="s">
        <v>326</v>
      </c>
      <c r="G35" s="4" t="s">
        <v>241</v>
      </c>
      <c r="H35" s="4" t="s">
        <v>241</v>
      </c>
      <c r="I35" s="4" t="s">
        <v>1448</v>
      </c>
      <c r="J35" s="4" t="s">
        <v>2894</v>
      </c>
      <c r="K35" s="4" t="s">
        <v>256</v>
      </c>
      <c r="L35" s="4" t="s">
        <v>241</v>
      </c>
      <c r="M35" s="5" t="s">
        <v>1450</v>
      </c>
      <c r="N35" s="4" t="s">
        <v>2898</v>
      </c>
      <c r="O35" s="6">
        <f>0</f>
        <v>0</v>
      </c>
      <c r="P35" s="4" t="s">
        <v>276</v>
      </c>
      <c r="Q35" s="6">
        <f>8633499</f>
        <v>8633499</v>
      </c>
      <c r="R35" s="6">
        <f>17301600</f>
        <v>17301600</v>
      </c>
      <c r="S35" s="5" t="s">
        <v>2899</v>
      </c>
      <c r="T35" s="4" t="s">
        <v>300</v>
      </c>
      <c r="U35" s="4" t="s">
        <v>323</v>
      </c>
      <c r="V35" s="6">
        <f>2889367</f>
        <v>2889367</v>
      </c>
      <c r="W35" s="6">
        <f>8668101</f>
        <v>8668101</v>
      </c>
      <c r="X35" s="4" t="s">
        <v>243</v>
      </c>
      <c r="Y35" s="4" t="s">
        <v>244</v>
      </c>
      <c r="Z35" s="4" t="s">
        <v>241</v>
      </c>
      <c r="AA35" s="4" t="s">
        <v>241</v>
      </c>
      <c r="AD35" s="4" t="s">
        <v>241</v>
      </c>
      <c r="AE35" s="5" t="s">
        <v>241</v>
      </c>
      <c r="AF35" s="5" t="s">
        <v>241</v>
      </c>
      <c r="AH35" s="5" t="s">
        <v>241</v>
      </c>
      <c r="AI35" s="5" t="s">
        <v>1410</v>
      </c>
      <c r="AJ35" s="4" t="s">
        <v>251</v>
      </c>
      <c r="AK35" s="4" t="s">
        <v>252</v>
      </c>
      <c r="AQ35" s="4" t="s">
        <v>241</v>
      </c>
      <c r="AR35" s="4" t="s">
        <v>241</v>
      </c>
      <c r="AS35" s="4" t="s">
        <v>241</v>
      </c>
      <c r="AT35" s="5" t="s">
        <v>241</v>
      </c>
      <c r="AU35" s="5" t="s">
        <v>241</v>
      </c>
      <c r="AV35" s="5" t="s">
        <v>241</v>
      </c>
      <c r="AY35" s="4" t="s">
        <v>286</v>
      </c>
      <c r="AZ35" s="4" t="s">
        <v>286</v>
      </c>
      <c r="BA35" s="4" t="s">
        <v>254</v>
      </c>
      <c r="BB35" s="4" t="s">
        <v>287</v>
      </c>
      <c r="BC35" s="4" t="s">
        <v>255</v>
      </c>
      <c r="BD35" s="4" t="s">
        <v>241</v>
      </c>
      <c r="BE35" s="4" t="s">
        <v>257</v>
      </c>
      <c r="BF35" s="4" t="s">
        <v>241</v>
      </c>
      <c r="BJ35" s="4" t="s">
        <v>288</v>
      </c>
      <c r="BK35" s="5" t="s">
        <v>289</v>
      </c>
      <c r="BL35" s="4" t="s">
        <v>290</v>
      </c>
      <c r="BM35" s="4" t="s">
        <v>290</v>
      </c>
      <c r="BN35" s="4" t="s">
        <v>241</v>
      </c>
      <c r="BP35" s="6">
        <f>-2889367</f>
        <v>-2889367</v>
      </c>
      <c r="BQ35" s="4" t="s">
        <v>263</v>
      </c>
      <c r="BR35" s="4" t="s">
        <v>264</v>
      </c>
      <c r="BS35" s="4" t="s">
        <v>241</v>
      </c>
      <c r="BT35" s="4" t="s">
        <v>241</v>
      </c>
      <c r="BU35" s="4" t="s">
        <v>241</v>
      </c>
      <c r="BV35" s="4" t="s">
        <v>241</v>
      </c>
      <c r="CE35" s="4" t="s">
        <v>264</v>
      </c>
      <c r="CF35" s="4" t="s">
        <v>241</v>
      </c>
      <c r="CG35" s="4" t="s">
        <v>241</v>
      </c>
      <c r="CK35" s="4" t="s">
        <v>291</v>
      </c>
      <c r="CL35" s="4" t="s">
        <v>266</v>
      </c>
      <c r="CM35" s="4" t="s">
        <v>241</v>
      </c>
      <c r="CO35" s="4" t="s">
        <v>421</v>
      </c>
      <c r="CP35" s="5" t="s">
        <v>268</v>
      </c>
      <c r="CQ35" s="4" t="s">
        <v>269</v>
      </c>
      <c r="CR35" s="4" t="s">
        <v>270</v>
      </c>
      <c r="CS35" s="4" t="s">
        <v>293</v>
      </c>
      <c r="CT35" s="4" t="s">
        <v>241</v>
      </c>
      <c r="CU35" s="4">
        <v>0.16700000000000001</v>
      </c>
      <c r="CV35" s="4" t="s">
        <v>271</v>
      </c>
      <c r="CW35" s="4" t="s">
        <v>415</v>
      </c>
      <c r="CX35" s="4" t="s">
        <v>2900</v>
      </c>
      <c r="CY35" s="6">
        <f>0</f>
        <v>0</v>
      </c>
      <c r="CZ35" s="6">
        <f>17301600</f>
        <v>17301600</v>
      </c>
      <c r="DA35" s="6">
        <f>8633499</f>
        <v>8633499</v>
      </c>
      <c r="DC35" s="4" t="s">
        <v>241</v>
      </c>
      <c r="DD35" s="4" t="s">
        <v>241</v>
      </c>
      <c r="DF35" s="4" t="s">
        <v>241</v>
      </c>
      <c r="DG35" s="6">
        <f>0</f>
        <v>0</v>
      </c>
      <c r="DI35" s="4" t="s">
        <v>241</v>
      </c>
      <c r="DJ35" s="4" t="s">
        <v>241</v>
      </c>
      <c r="DK35" s="4" t="s">
        <v>241</v>
      </c>
      <c r="DL35" s="4" t="s">
        <v>241</v>
      </c>
      <c r="DM35" s="4" t="s">
        <v>278</v>
      </c>
      <c r="DN35" s="4" t="s">
        <v>278</v>
      </c>
      <c r="DO35" s="6" t="s">
        <v>241</v>
      </c>
      <c r="DP35" s="4" t="s">
        <v>241</v>
      </c>
      <c r="DQ35" s="4" t="s">
        <v>241</v>
      </c>
      <c r="DR35" s="4" t="s">
        <v>241</v>
      </c>
      <c r="DS35" s="4" t="s">
        <v>241</v>
      </c>
      <c r="DV35" s="4" t="s">
        <v>2896</v>
      </c>
      <c r="DW35" s="4" t="s">
        <v>277</v>
      </c>
      <c r="GN35" s="4" t="s">
        <v>2901</v>
      </c>
      <c r="HO35" s="4" t="s">
        <v>336</v>
      </c>
      <c r="HR35" s="4" t="s">
        <v>278</v>
      </c>
      <c r="HS35" s="4" t="s">
        <v>278</v>
      </c>
      <c r="HT35" s="4" t="s">
        <v>241</v>
      </c>
      <c r="HU35" s="4" t="s">
        <v>241</v>
      </c>
      <c r="HV35" s="4" t="s">
        <v>241</v>
      </c>
      <c r="HW35" s="4" t="s">
        <v>241</v>
      </c>
      <c r="HX35" s="4" t="s">
        <v>241</v>
      </c>
      <c r="HY35" s="4" t="s">
        <v>241</v>
      </c>
      <c r="HZ35" s="4" t="s">
        <v>241</v>
      </c>
      <c r="IA35" s="4" t="s">
        <v>241</v>
      </c>
      <c r="IB35" s="4" t="s">
        <v>241</v>
      </c>
      <c r="IC35" s="4" t="s">
        <v>241</v>
      </c>
      <c r="ID35" s="4" t="s">
        <v>241</v>
      </c>
      <c r="IE35" s="4" t="s">
        <v>241</v>
      </c>
      <c r="IF35" s="4" t="s">
        <v>241</v>
      </c>
    </row>
    <row r="36" spans="1:240" x14ac:dyDescent="0.4">
      <c r="A36" s="4">
        <v>2</v>
      </c>
      <c r="B36" s="4" t="s">
        <v>239</v>
      </c>
      <c r="C36" s="4">
        <v>35</v>
      </c>
      <c r="D36" s="4">
        <v>1</v>
      </c>
      <c r="E36" s="4">
        <v>3</v>
      </c>
      <c r="F36" s="4" t="s">
        <v>326</v>
      </c>
      <c r="G36" s="4" t="s">
        <v>241</v>
      </c>
      <c r="H36" s="4" t="s">
        <v>241</v>
      </c>
      <c r="I36" s="4" t="s">
        <v>1448</v>
      </c>
      <c r="J36" s="4" t="s">
        <v>2894</v>
      </c>
      <c r="K36" s="4" t="s">
        <v>256</v>
      </c>
      <c r="L36" s="4" t="s">
        <v>241</v>
      </c>
      <c r="M36" s="5" t="s">
        <v>1450</v>
      </c>
      <c r="N36" s="4" t="s">
        <v>2893</v>
      </c>
      <c r="O36" s="6">
        <f>0</f>
        <v>0</v>
      </c>
      <c r="P36" s="4" t="s">
        <v>276</v>
      </c>
      <c r="Q36" s="6">
        <f>74800000</f>
        <v>74800000</v>
      </c>
      <c r="R36" s="6">
        <f>93500000</f>
        <v>93500000</v>
      </c>
      <c r="S36" s="5" t="s">
        <v>2895</v>
      </c>
      <c r="T36" s="4" t="s">
        <v>427</v>
      </c>
      <c r="U36" s="4" t="s">
        <v>277</v>
      </c>
      <c r="V36" s="6">
        <f>9350000</f>
        <v>9350000</v>
      </c>
      <c r="W36" s="6">
        <f>18700000</f>
        <v>18700000</v>
      </c>
      <c r="X36" s="4" t="s">
        <v>243</v>
      </c>
      <c r="Y36" s="4" t="s">
        <v>244</v>
      </c>
      <c r="Z36" s="4" t="s">
        <v>241</v>
      </c>
      <c r="AA36" s="4" t="s">
        <v>241</v>
      </c>
      <c r="AD36" s="4" t="s">
        <v>241</v>
      </c>
      <c r="AE36" s="5" t="s">
        <v>241</v>
      </c>
      <c r="AF36" s="5" t="s">
        <v>241</v>
      </c>
      <c r="AH36" s="5" t="s">
        <v>241</v>
      </c>
      <c r="AI36" s="5" t="s">
        <v>1410</v>
      </c>
      <c r="AJ36" s="4" t="s">
        <v>251</v>
      </c>
      <c r="AK36" s="4" t="s">
        <v>252</v>
      </c>
      <c r="AQ36" s="4" t="s">
        <v>241</v>
      </c>
      <c r="AR36" s="4" t="s">
        <v>241</v>
      </c>
      <c r="AS36" s="4" t="s">
        <v>241</v>
      </c>
      <c r="AT36" s="5" t="s">
        <v>241</v>
      </c>
      <c r="AU36" s="5" t="s">
        <v>241</v>
      </c>
      <c r="AV36" s="5" t="s">
        <v>241</v>
      </c>
      <c r="AY36" s="4" t="s">
        <v>286</v>
      </c>
      <c r="AZ36" s="4" t="s">
        <v>286</v>
      </c>
      <c r="BA36" s="4" t="s">
        <v>254</v>
      </c>
      <c r="BB36" s="4" t="s">
        <v>287</v>
      </c>
      <c r="BC36" s="4" t="s">
        <v>255</v>
      </c>
      <c r="BD36" s="4" t="s">
        <v>241</v>
      </c>
      <c r="BE36" s="4" t="s">
        <v>257</v>
      </c>
      <c r="BF36" s="4" t="s">
        <v>241</v>
      </c>
      <c r="BJ36" s="4" t="s">
        <v>288</v>
      </c>
      <c r="BK36" s="5" t="s">
        <v>289</v>
      </c>
      <c r="BL36" s="4" t="s">
        <v>290</v>
      </c>
      <c r="BM36" s="4" t="s">
        <v>290</v>
      </c>
      <c r="BN36" s="4" t="s">
        <v>241</v>
      </c>
      <c r="BP36" s="6">
        <f>-9350000</f>
        <v>-9350000</v>
      </c>
      <c r="BQ36" s="4" t="s">
        <v>263</v>
      </c>
      <c r="BR36" s="4" t="s">
        <v>264</v>
      </c>
      <c r="BS36" s="4" t="s">
        <v>241</v>
      </c>
      <c r="BT36" s="4" t="s">
        <v>241</v>
      </c>
      <c r="BU36" s="4" t="s">
        <v>241</v>
      </c>
      <c r="BV36" s="4" t="s">
        <v>241</v>
      </c>
      <c r="CE36" s="4" t="s">
        <v>264</v>
      </c>
      <c r="CF36" s="4" t="s">
        <v>241</v>
      </c>
      <c r="CG36" s="4" t="s">
        <v>241</v>
      </c>
      <c r="CK36" s="4" t="s">
        <v>291</v>
      </c>
      <c r="CL36" s="4" t="s">
        <v>266</v>
      </c>
      <c r="CM36" s="4" t="s">
        <v>241</v>
      </c>
      <c r="CO36" s="4" t="s">
        <v>331</v>
      </c>
      <c r="CP36" s="5" t="s">
        <v>268</v>
      </c>
      <c r="CQ36" s="4" t="s">
        <v>269</v>
      </c>
      <c r="CR36" s="4" t="s">
        <v>270</v>
      </c>
      <c r="CS36" s="4" t="s">
        <v>293</v>
      </c>
      <c r="CT36" s="4" t="s">
        <v>241</v>
      </c>
      <c r="CU36" s="4">
        <v>0.1</v>
      </c>
      <c r="CV36" s="4" t="s">
        <v>271</v>
      </c>
      <c r="CW36" s="4" t="s">
        <v>415</v>
      </c>
      <c r="CX36" s="4" t="s">
        <v>2714</v>
      </c>
      <c r="CY36" s="6">
        <f>0</f>
        <v>0</v>
      </c>
      <c r="CZ36" s="6">
        <f>93500000</f>
        <v>93500000</v>
      </c>
      <c r="DA36" s="6">
        <f>74800000</f>
        <v>74800000</v>
      </c>
      <c r="DC36" s="4" t="s">
        <v>241</v>
      </c>
      <c r="DD36" s="4" t="s">
        <v>241</v>
      </c>
      <c r="DF36" s="4" t="s">
        <v>241</v>
      </c>
      <c r="DG36" s="6">
        <f>0</f>
        <v>0</v>
      </c>
      <c r="DI36" s="4" t="s">
        <v>241</v>
      </c>
      <c r="DJ36" s="4" t="s">
        <v>241</v>
      </c>
      <c r="DK36" s="4" t="s">
        <v>241</v>
      </c>
      <c r="DL36" s="4" t="s">
        <v>241</v>
      </c>
      <c r="DM36" s="4" t="s">
        <v>278</v>
      </c>
      <c r="DN36" s="4" t="s">
        <v>278</v>
      </c>
      <c r="DO36" s="6" t="s">
        <v>241</v>
      </c>
      <c r="DP36" s="4" t="s">
        <v>241</v>
      </c>
      <c r="DQ36" s="4" t="s">
        <v>241</v>
      </c>
      <c r="DR36" s="4" t="s">
        <v>241</v>
      </c>
      <c r="DS36" s="4" t="s">
        <v>241</v>
      </c>
      <c r="DV36" s="4" t="s">
        <v>2896</v>
      </c>
      <c r="DW36" s="4" t="s">
        <v>323</v>
      </c>
      <c r="GN36" s="4" t="s">
        <v>2897</v>
      </c>
      <c r="HO36" s="4" t="s">
        <v>297</v>
      </c>
      <c r="HR36" s="4" t="s">
        <v>278</v>
      </c>
      <c r="HS36" s="4" t="s">
        <v>278</v>
      </c>
      <c r="HT36" s="4" t="s">
        <v>241</v>
      </c>
      <c r="HU36" s="4" t="s">
        <v>241</v>
      </c>
      <c r="HV36" s="4" t="s">
        <v>241</v>
      </c>
      <c r="HW36" s="4" t="s">
        <v>241</v>
      </c>
      <c r="HX36" s="4" t="s">
        <v>241</v>
      </c>
      <c r="HY36" s="4" t="s">
        <v>241</v>
      </c>
      <c r="HZ36" s="4" t="s">
        <v>241</v>
      </c>
      <c r="IA36" s="4" t="s">
        <v>241</v>
      </c>
      <c r="IB36" s="4" t="s">
        <v>241</v>
      </c>
      <c r="IC36" s="4" t="s">
        <v>241</v>
      </c>
      <c r="ID36" s="4" t="s">
        <v>241</v>
      </c>
      <c r="IE36" s="4" t="s">
        <v>241</v>
      </c>
      <c r="IF36" s="4" t="s">
        <v>241</v>
      </c>
    </row>
    <row r="37" spans="1:240" x14ac:dyDescent="0.4">
      <c r="A37" s="4">
        <v>2</v>
      </c>
      <c r="B37" s="4" t="s">
        <v>239</v>
      </c>
      <c r="C37" s="4">
        <v>36</v>
      </c>
      <c r="D37" s="4">
        <v>1</v>
      </c>
      <c r="E37" s="4">
        <v>3</v>
      </c>
      <c r="F37" s="4" t="s">
        <v>240</v>
      </c>
      <c r="G37" s="4" t="s">
        <v>241</v>
      </c>
      <c r="H37" s="4" t="s">
        <v>241</v>
      </c>
      <c r="I37" s="4" t="s">
        <v>3068</v>
      </c>
      <c r="J37" s="4" t="s">
        <v>247</v>
      </c>
      <c r="K37" s="4" t="s">
        <v>256</v>
      </c>
      <c r="L37" s="4" t="s">
        <v>250</v>
      </c>
      <c r="M37" s="5" t="s">
        <v>3070</v>
      </c>
      <c r="N37" s="4" t="s">
        <v>242</v>
      </c>
      <c r="O37" s="6">
        <f>19.87</f>
        <v>19.87</v>
      </c>
      <c r="P37" s="4" t="s">
        <v>276</v>
      </c>
      <c r="Q37" s="6">
        <f>1169280</f>
        <v>1169280</v>
      </c>
      <c r="R37" s="6">
        <f>2520000</f>
        <v>2520000</v>
      </c>
      <c r="S37" s="5" t="s">
        <v>3069</v>
      </c>
      <c r="T37" s="4" t="s">
        <v>348</v>
      </c>
      <c r="U37" s="4" t="s">
        <v>341</v>
      </c>
      <c r="V37" s="6">
        <f>168840</f>
        <v>168840</v>
      </c>
      <c r="W37" s="6">
        <f>1350720</f>
        <v>1350720</v>
      </c>
      <c r="X37" s="4" t="s">
        <v>243</v>
      </c>
      <c r="Y37" s="4" t="s">
        <v>244</v>
      </c>
      <c r="Z37" s="4" t="s">
        <v>246</v>
      </c>
      <c r="AA37" s="4" t="s">
        <v>241</v>
      </c>
      <c r="AD37" s="4" t="s">
        <v>241</v>
      </c>
      <c r="AE37" s="5" t="s">
        <v>241</v>
      </c>
      <c r="AF37" s="5" t="s">
        <v>241</v>
      </c>
      <c r="AH37" s="5" t="s">
        <v>241</v>
      </c>
      <c r="AI37" s="5" t="s">
        <v>2639</v>
      </c>
      <c r="AJ37" s="4" t="s">
        <v>251</v>
      </c>
      <c r="AK37" s="4" t="s">
        <v>252</v>
      </c>
      <c r="AQ37" s="4" t="s">
        <v>241</v>
      </c>
      <c r="AR37" s="4" t="s">
        <v>241</v>
      </c>
      <c r="AS37" s="4" t="s">
        <v>241</v>
      </c>
      <c r="AT37" s="5" t="s">
        <v>241</v>
      </c>
      <c r="AU37" s="5" t="s">
        <v>241</v>
      </c>
      <c r="AV37" s="5" t="s">
        <v>241</v>
      </c>
      <c r="AY37" s="4" t="s">
        <v>286</v>
      </c>
      <c r="AZ37" s="4" t="s">
        <v>286</v>
      </c>
      <c r="BA37" s="4" t="s">
        <v>254</v>
      </c>
      <c r="BB37" s="4" t="s">
        <v>287</v>
      </c>
      <c r="BC37" s="4" t="s">
        <v>255</v>
      </c>
      <c r="BD37" s="4" t="s">
        <v>241</v>
      </c>
      <c r="BE37" s="4" t="s">
        <v>257</v>
      </c>
      <c r="BF37" s="4" t="s">
        <v>241</v>
      </c>
      <c r="BJ37" s="4" t="s">
        <v>288</v>
      </c>
      <c r="BK37" s="5" t="s">
        <v>289</v>
      </c>
      <c r="BL37" s="4" t="s">
        <v>290</v>
      </c>
      <c r="BM37" s="4" t="s">
        <v>290</v>
      </c>
      <c r="BN37" s="4" t="s">
        <v>241</v>
      </c>
      <c r="BO37" s="6">
        <f>0</f>
        <v>0</v>
      </c>
      <c r="BP37" s="6">
        <f>-168840</f>
        <v>-168840</v>
      </c>
      <c r="BQ37" s="4" t="s">
        <v>263</v>
      </c>
      <c r="BR37" s="4" t="s">
        <v>264</v>
      </c>
      <c r="BS37" s="4" t="s">
        <v>241</v>
      </c>
      <c r="BT37" s="4" t="s">
        <v>241</v>
      </c>
      <c r="BU37" s="4" t="s">
        <v>241</v>
      </c>
      <c r="BV37" s="4" t="s">
        <v>241</v>
      </c>
      <c r="CE37" s="4" t="s">
        <v>264</v>
      </c>
      <c r="CF37" s="4" t="s">
        <v>241</v>
      </c>
      <c r="CG37" s="4" t="s">
        <v>241</v>
      </c>
      <c r="CK37" s="4" t="s">
        <v>291</v>
      </c>
      <c r="CL37" s="4" t="s">
        <v>266</v>
      </c>
      <c r="CM37" s="4" t="s">
        <v>241</v>
      </c>
      <c r="CO37" s="4" t="s">
        <v>693</v>
      </c>
      <c r="CP37" s="5" t="s">
        <v>268</v>
      </c>
      <c r="CQ37" s="4" t="s">
        <v>269</v>
      </c>
      <c r="CR37" s="4" t="s">
        <v>270</v>
      </c>
      <c r="CS37" s="4" t="s">
        <v>293</v>
      </c>
      <c r="CT37" s="4" t="s">
        <v>241</v>
      </c>
      <c r="CU37" s="4">
        <v>6.7000000000000004E-2</v>
      </c>
      <c r="CV37" s="4" t="s">
        <v>271</v>
      </c>
      <c r="CW37" s="4" t="s">
        <v>272</v>
      </c>
      <c r="CX37" s="4" t="s">
        <v>347</v>
      </c>
      <c r="CY37" s="6">
        <f>0</f>
        <v>0</v>
      </c>
      <c r="CZ37" s="6">
        <f>2520000</f>
        <v>2520000</v>
      </c>
      <c r="DA37" s="6">
        <f>1169280</f>
        <v>1169280</v>
      </c>
      <c r="DC37" s="4" t="s">
        <v>241</v>
      </c>
      <c r="DD37" s="4" t="s">
        <v>241</v>
      </c>
      <c r="DF37" s="4" t="s">
        <v>241</v>
      </c>
      <c r="DG37" s="6">
        <f>0</f>
        <v>0</v>
      </c>
      <c r="DI37" s="4" t="s">
        <v>241</v>
      </c>
      <c r="DJ37" s="4" t="s">
        <v>241</v>
      </c>
      <c r="DK37" s="4" t="s">
        <v>241</v>
      </c>
      <c r="DL37" s="4" t="s">
        <v>241</v>
      </c>
      <c r="DM37" s="4" t="s">
        <v>277</v>
      </c>
      <c r="DN37" s="4" t="s">
        <v>278</v>
      </c>
      <c r="DO37" s="6">
        <f>19.87</f>
        <v>19.87</v>
      </c>
      <c r="DP37" s="4" t="s">
        <v>241</v>
      </c>
      <c r="DQ37" s="4" t="s">
        <v>241</v>
      </c>
      <c r="DR37" s="4" t="s">
        <v>241</v>
      </c>
      <c r="DS37" s="4" t="s">
        <v>241</v>
      </c>
      <c r="DV37" s="4" t="s">
        <v>3071</v>
      </c>
      <c r="DW37" s="4" t="s">
        <v>277</v>
      </c>
      <c r="GN37" s="4" t="s">
        <v>3072</v>
      </c>
      <c r="HO37" s="4" t="s">
        <v>300</v>
      </c>
      <c r="HR37" s="4" t="s">
        <v>278</v>
      </c>
      <c r="HS37" s="4" t="s">
        <v>278</v>
      </c>
      <c r="HT37" s="4" t="s">
        <v>241</v>
      </c>
      <c r="HU37" s="4" t="s">
        <v>241</v>
      </c>
      <c r="HV37" s="4" t="s">
        <v>241</v>
      </c>
      <c r="HW37" s="4" t="s">
        <v>241</v>
      </c>
      <c r="HX37" s="4" t="s">
        <v>241</v>
      </c>
      <c r="HY37" s="4" t="s">
        <v>241</v>
      </c>
      <c r="HZ37" s="4" t="s">
        <v>241</v>
      </c>
      <c r="IA37" s="4" t="s">
        <v>241</v>
      </c>
      <c r="IB37" s="4" t="s">
        <v>241</v>
      </c>
      <c r="IC37" s="4" t="s">
        <v>241</v>
      </c>
      <c r="ID37" s="4" t="s">
        <v>241</v>
      </c>
      <c r="IE37" s="4" t="s">
        <v>241</v>
      </c>
      <c r="IF37" s="4" t="s">
        <v>241</v>
      </c>
    </row>
    <row r="38" spans="1:240" x14ac:dyDescent="0.4">
      <c r="A38" s="4">
        <v>2</v>
      </c>
      <c r="B38" s="4" t="s">
        <v>239</v>
      </c>
      <c r="C38" s="4">
        <v>37</v>
      </c>
      <c r="D38" s="4">
        <v>1</v>
      </c>
      <c r="E38" s="4">
        <v>1</v>
      </c>
      <c r="F38" s="4" t="s">
        <v>240</v>
      </c>
      <c r="G38" s="4" t="s">
        <v>241</v>
      </c>
      <c r="H38" s="4" t="s">
        <v>241</v>
      </c>
      <c r="I38" s="4" t="s">
        <v>3045</v>
      </c>
      <c r="J38" s="4" t="s">
        <v>247</v>
      </c>
      <c r="K38" s="4" t="s">
        <v>256</v>
      </c>
      <c r="L38" s="4" t="s">
        <v>250</v>
      </c>
      <c r="M38" s="5" t="s">
        <v>3046</v>
      </c>
      <c r="N38" s="4" t="s">
        <v>3044</v>
      </c>
      <c r="O38" s="6">
        <f>12.39</f>
        <v>12.39</v>
      </c>
      <c r="P38" s="4" t="s">
        <v>276</v>
      </c>
      <c r="Q38" s="6">
        <f>1</f>
        <v>1</v>
      </c>
      <c r="R38" s="6">
        <f>743400</f>
        <v>743400</v>
      </c>
      <c r="S38" s="5" t="s">
        <v>248</v>
      </c>
      <c r="T38" s="4" t="s">
        <v>348</v>
      </c>
      <c r="U38" s="4" t="s">
        <v>275</v>
      </c>
      <c r="W38" s="6">
        <f>743399</f>
        <v>743399</v>
      </c>
      <c r="X38" s="4" t="s">
        <v>243</v>
      </c>
      <c r="Y38" s="4" t="s">
        <v>244</v>
      </c>
      <c r="Z38" s="4" t="s">
        <v>246</v>
      </c>
      <c r="AA38" s="4" t="s">
        <v>241</v>
      </c>
      <c r="AD38" s="4" t="s">
        <v>241</v>
      </c>
      <c r="AF38" s="5" t="s">
        <v>241</v>
      </c>
      <c r="AI38" s="5" t="s">
        <v>2639</v>
      </c>
      <c r="AJ38" s="4" t="s">
        <v>251</v>
      </c>
      <c r="AK38" s="4" t="s">
        <v>252</v>
      </c>
      <c r="BA38" s="4" t="s">
        <v>254</v>
      </c>
      <c r="BB38" s="4" t="s">
        <v>241</v>
      </c>
      <c r="BC38" s="4" t="s">
        <v>255</v>
      </c>
      <c r="BD38" s="4" t="s">
        <v>241</v>
      </c>
      <c r="BE38" s="4" t="s">
        <v>257</v>
      </c>
      <c r="BF38" s="4" t="s">
        <v>241</v>
      </c>
      <c r="BJ38" s="4" t="s">
        <v>377</v>
      </c>
      <c r="BK38" s="5" t="s">
        <v>378</v>
      </c>
      <c r="BL38" s="4" t="s">
        <v>261</v>
      </c>
      <c r="BM38" s="4" t="s">
        <v>262</v>
      </c>
      <c r="BN38" s="4" t="s">
        <v>241</v>
      </c>
      <c r="BO38" s="6">
        <f>0</f>
        <v>0</v>
      </c>
      <c r="BP38" s="6">
        <f>0</f>
        <v>0</v>
      </c>
      <c r="BQ38" s="4" t="s">
        <v>263</v>
      </c>
      <c r="BR38" s="4" t="s">
        <v>264</v>
      </c>
      <c r="CF38" s="4" t="s">
        <v>241</v>
      </c>
      <c r="CG38" s="4" t="s">
        <v>241</v>
      </c>
      <c r="CK38" s="4" t="s">
        <v>265</v>
      </c>
      <c r="CL38" s="4" t="s">
        <v>266</v>
      </c>
      <c r="CM38" s="4" t="s">
        <v>241</v>
      </c>
      <c r="CO38" s="4" t="s">
        <v>267</v>
      </c>
      <c r="CP38" s="5" t="s">
        <v>268</v>
      </c>
      <c r="CQ38" s="4" t="s">
        <v>269</v>
      </c>
      <c r="CR38" s="4" t="s">
        <v>270</v>
      </c>
      <c r="CS38" s="4" t="s">
        <v>241</v>
      </c>
      <c r="CT38" s="4" t="s">
        <v>241</v>
      </c>
      <c r="CU38" s="4">
        <v>0</v>
      </c>
      <c r="CV38" s="4" t="s">
        <v>271</v>
      </c>
      <c r="CW38" s="4" t="s">
        <v>272</v>
      </c>
      <c r="CX38" s="4" t="s">
        <v>347</v>
      </c>
      <c r="CZ38" s="6">
        <f>743400</f>
        <v>743400</v>
      </c>
      <c r="DA38" s="6">
        <f>0</f>
        <v>0</v>
      </c>
      <c r="DC38" s="4" t="s">
        <v>241</v>
      </c>
      <c r="DD38" s="4" t="s">
        <v>241</v>
      </c>
      <c r="DF38" s="4" t="s">
        <v>241</v>
      </c>
      <c r="DI38" s="4" t="s">
        <v>241</v>
      </c>
      <c r="DJ38" s="4" t="s">
        <v>241</v>
      </c>
      <c r="DK38" s="4" t="s">
        <v>241</v>
      </c>
      <c r="DL38" s="4" t="s">
        <v>241</v>
      </c>
      <c r="DM38" s="4" t="s">
        <v>277</v>
      </c>
      <c r="DN38" s="4" t="s">
        <v>278</v>
      </c>
      <c r="DO38" s="6">
        <f>12.39</f>
        <v>12.39</v>
      </c>
      <c r="DP38" s="4" t="s">
        <v>241</v>
      </c>
      <c r="DQ38" s="4" t="s">
        <v>241</v>
      </c>
      <c r="DR38" s="4" t="s">
        <v>241</v>
      </c>
      <c r="DS38" s="4" t="s">
        <v>241</v>
      </c>
      <c r="DV38" s="4" t="s">
        <v>3047</v>
      </c>
      <c r="DW38" s="4" t="s">
        <v>277</v>
      </c>
      <c r="HO38" s="4" t="s">
        <v>277</v>
      </c>
      <c r="HR38" s="4" t="s">
        <v>278</v>
      </c>
      <c r="HS38" s="4" t="s">
        <v>278</v>
      </c>
    </row>
    <row r="39" spans="1:240" x14ac:dyDescent="0.4">
      <c r="A39" s="4">
        <v>2</v>
      </c>
      <c r="B39" s="4" t="s">
        <v>239</v>
      </c>
      <c r="C39" s="4">
        <v>38</v>
      </c>
      <c r="D39" s="4">
        <v>1</v>
      </c>
      <c r="E39" s="4">
        <v>1</v>
      </c>
      <c r="F39" s="4" t="s">
        <v>240</v>
      </c>
      <c r="G39" s="4" t="s">
        <v>241</v>
      </c>
      <c r="H39" s="4" t="s">
        <v>241</v>
      </c>
      <c r="I39" s="4" t="s">
        <v>3045</v>
      </c>
      <c r="J39" s="4" t="s">
        <v>247</v>
      </c>
      <c r="K39" s="4" t="s">
        <v>256</v>
      </c>
      <c r="L39" s="4" t="s">
        <v>250</v>
      </c>
      <c r="M39" s="5" t="s">
        <v>3046</v>
      </c>
      <c r="N39" s="4" t="s">
        <v>3753</v>
      </c>
      <c r="O39" s="6">
        <f>19.87</f>
        <v>19.87</v>
      </c>
      <c r="P39" s="4" t="s">
        <v>276</v>
      </c>
      <c r="Q39" s="6">
        <f>1</f>
        <v>1</v>
      </c>
      <c r="R39" s="6">
        <f>2424140</f>
        <v>2424140</v>
      </c>
      <c r="S39" s="5" t="s">
        <v>1937</v>
      </c>
      <c r="T39" s="4" t="s">
        <v>348</v>
      </c>
      <c r="U39" s="4" t="s">
        <v>348</v>
      </c>
      <c r="W39" s="6">
        <f>2424139</f>
        <v>2424139</v>
      </c>
      <c r="X39" s="4" t="s">
        <v>243</v>
      </c>
      <c r="Y39" s="4" t="s">
        <v>244</v>
      </c>
      <c r="Z39" s="4" t="s">
        <v>246</v>
      </c>
      <c r="AA39" s="4" t="s">
        <v>241</v>
      </c>
      <c r="AD39" s="4" t="s">
        <v>241</v>
      </c>
      <c r="AF39" s="5" t="s">
        <v>241</v>
      </c>
      <c r="AI39" s="5" t="s">
        <v>2639</v>
      </c>
      <c r="AJ39" s="4" t="s">
        <v>251</v>
      </c>
      <c r="AK39" s="4" t="s">
        <v>252</v>
      </c>
      <c r="BA39" s="4" t="s">
        <v>254</v>
      </c>
      <c r="BB39" s="4" t="s">
        <v>241</v>
      </c>
      <c r="BC39" s="4" t="s">
        <v>255</v>
      </c>
      <c r="BD39" s="4" t="s">
        <v>241</v>
      </c>
      <c r="BE39" s="4" t="s">
        <v>257</v>
      </c>
      <c r="BF39" s="4" t="s">
        <v>241</v>
      </c>
      <c r="BJ39" s="4" t="s">
        <v>259</v>
      </c>
      <c r="BK39" s="5" t="s">
        <v>260</v>
      </c>
      <c r="BL39" s="4" t="s">
        <v>261</v>
      </c>
      <c r="BM39" s="4" t="s">
        <v>290</v>
      </c>
      <c r="BN39" s="4" t="s">
        <v>241</v>
      </c>
      <c r="BO39" s="6">
        <f>0</f>
        <v>0</v>
      </c>
      <c r="BP39" s="6">
        <f>0</f>
        <v>0</v>
      </c>
      <c r="BQ39" s="4" t="s">
        <v>263</v>
      </c>
      <c r="BR39" s="4" t="s">
        <v>264</v>
      </c>
      <c r="CF39" s="4" t="s">
        <v>241</v>
      </c>
      <c r="CG39" s="4" t="s">
        <v>241</v>
      </c>
      <c r="CK39" s="4" t="s">
        <v>291</v>
      </c>
      <c r="CL39" s="4" t="s">
        <v>266</v>
      </c>
      <c r="CM39" s="4" t="s">
        <v>241</v>
      </c>
      <c r="CO39" s="4" t="s">
        <v>407</v>
      </c>
      <c r="CP39" s="5" t="s">
        <v>268</v>
      </c>
      <c r="CQ39" s="4" t="s">
        <v>269</v>
      </c>
      <c r="CR39" s="4" t="s">
        <v>270</v>
      </c>
      <c r="CS39" s="4" t="s">
        <v>241</v>
      </c>
      <c r="CT39" s="4" t="s">
        <v>241</v>
      </c>
      <c r="CU39" s="4">
        <v>0</v>
      </c>
      <c r="CV39" s="4" t="s">
        <v>271</v>
      </c>
      <c r="CW39" s="4" t="s">
        <v>272</v>
      </c>
      <c r="CX39" s="4" t="s">
        <v>347</v>
      </c>
      <c r="CZ39" s="6">
        <f>2424140</f>
        <v>2424140</v>
      </c>
      <c r="DA39" s="6">
        <f>0</f>
        <v>0</v>
      </c>
      <c r="DC39" s="4" t="s">
        <v>241</v>
      </c>
      <c r="DD39" s="4" t="s">
        <v>241</v>
      </c>
      <c r="DF39" s="4" t="s">
        <v>241</v>
      </c>
      <c r="DI39" s="4" t="s">
        <v>241</v>
      </c>
      <c r="DJ39" s="4" t="s">
        <v>241</v>
      </c>
      <c r="DK39" s="4" t="s">
        <v>241</v>
      </c>
      <c r="DL39" s="4" t="s">
        <v>241</v>
      </c>
      <c r="DM39" s="4" t="s">
        <v>277</v>
      </c>
      <c r="DN39" s="4" t="s">
        <v>278</v>
      </c>
      <c r="DO39" s="6">
        <f>19.87</f>
        <v>19.87</v>
      </c>
      <c r="DP39" s="4" t="s">
        <v>241</v>
      </c>
      <c r="DQ39" s="4" t="s">
        <v>241</v>
      </c>
      <c r="DR39" s="4" t="s">
        <v>241</v>
      </c>
      <c r="DS39" s="4" t="s">
        <v>241</v>
      </c>
      <c r="DV39" s="4" t="s">
        <v>3047</v>
      </c>
      <c r="DW39" s="4" t="s">
        <v>323</v>
      </c>
      <c r="HO39" s="4" t="s">
        <v>351</v>
      </c>
      <c r="HR39" s="4" t="s">
        <v>278</v>
      </c>
      <c r="HS39" s="4" t="s">
        <v>278</v>
      </c>
    </row>
    <row r="40" spans="1:240" x14ac:dyDescent="0.4">
      <c r="A40" s="4">
        <v>2</v>
      </c>
      <c r="B40" s="4" t="s">
        <v>239</v>
      </c>
      <c r="C40" s="4">
        <v>39</v>
      </c>
      <c r="D40" s="4">
        <v>1</v>
      </c>
      <c r="E40" s="4">
        <v>3</v>
      </c>
      <c r="F40" s="4" t="s">
        <v>240</v>
      </c>
      <c r="G40" s="4" t="s">
        <v>241</v>
      </c>
      <c r="H40" s="4" t="s">
        <v>241</v>
      </c>
      <c r="I40" s="4" t="s">
        <v>3045</v>
      </c>
      <c r="J40" s="4" t="s">
        <v>247</v>
      </c>
      <c r="K40" s="4" t="s">
        <v>256</v>
      </c>
      <c r="L40" s="4" t="s">
        <v>250</v>
      </c>
      <c r="M40" s="5" t="s">
        <v>3046</v>
      </c>
      <c r="N40" s="4" t="s">
        <v>242</v>
      </c>
      <c r="O40" s="6">
        <f>19.87</f>
        <v>19.87</v>
      </c>
      <c r="P40" s="4" t="s">
        <v>276</v>
      </c>
      <c r="Q40" s="6">
        <f>1214752</f>
        <v>1214752</v>
      </c>
      <c r="R40" s="6">
        <f>2618000</f>
        <v>2618000</v>
      </c>
      <c r="S40" s="5" t="s">
        <v>3073</v>
      </c>
      <c r="T40" s="4" t="s">
        <v>348</v>
      </c>
      <c r="U40" s="4" t="s">
        <v>341</v>
      </c>
      <c r="V40" s="6">
        <f>175406</f>
        <v>175406</v>
      </c>
      <c r="W40" s="6">
        <f>1403248</f>
        <v>1403248</v>
      </c>
      <c r="X40" s="4" t="s">
        <v>243</v>
      </c>
      <c r="Y40" s="4" t="s">
        <v>244</v>
      </c>
      <c r="Z40" s="4" t="s">
        <v>246</v>
      </c>
      <c r="AA40" s="4" t="s">
        <v>241</v>
      </c>
      <c r="AD40" s="4" t="s">
        <v>241</v>
      </c>
      <c r="AE40" s="5" t="s">
        <v>241</v>
      </c>
      <c r="AF40" s="5" t="s">
        <v>241</v>
      </c>
      <c r="AH40" s="5" t="s">
        <v>241</v>
      </c>
      <c r="AI40" s="5" t="s">
        <v>583</v>
      </c>
      <c r="AJ40" s="4" t="s">
        <v>251</v>
      </c>
      <c r="AK40" s="4" t="s">
        <v>252</v>
      </c>
      <c r="AQ40" s="4" t="s">
        <v>241</v>
      </c>
      <c r="AR40" s="4" t="s">
        <v>241</v>
      </c>
      <c r="AS40" s="4" t="s">
        <v>241</v>
      </c>
      <c r="AT40" s="5" t="s">
        <v>241</v>
      </c>
      <c r="AU40" s="5" t="s">
        <v>241</v>
      </c>
      <c r="AV40" s="5" t="s">
        <v>241</v>
      </c>
      <c r="AY40" s="4" t="s">
        <v>286</v>
      </c>
      <c r="AZ40" s="4" t="s">
        <v>286</v>
      </c>
      <c r="BA40" s="4" t="s">
        <v>254</v>
      </c>
      <c r="BB40" s="4" t="s">
        <v>287</v>
      </c>
      <c r="BC40" s="4" t="s">
        <v>255</v>
      </c>
      <c r="BD40" s="4" t="s">
        <v>241</v>
      </c>
      <c r="BE40" s="4" t="s">
        <v>257</v>
      </c>
      <c r="BF40" s="4" t="s">
        <v>241</v>
      </c>
      <c r="BJ40" s="4" t="s">
        <v>288</v>
      </c>
      <c r="BK40" s="5" t="s">
        <v>289</v>
      </c>
      <c r="BL40" s="4" t="s">
        <v>290</v>
      </c>
      <c r="BM40" s="4" t="s">
        <v>290</v>
      </c>
      <c r="BN40" s="4" t="s">
        <v>241</v>
      </c>
      <c r="BO40" s="6">
        <f>0</f>
        <v>0</v>
      </c>
      <c r="BP40" s="6">
        <f>-175406</f>
        <v>-175406</v>
      </c>
      <c r="BQ40" s="4" t="s">
        <v>263</v>
      </c>
      <c r="BR40" s="4" t="s">
        <v>264</v>
      </c>
      <c r="BS40" s="4" t="s">
        <v>241</v>
      </c>
      <c r="BT40" s="4" t="s">
        <v>241</v>
      </c>
      <c r="BU40" s="4" t="s">
        <v>241</v>
      </c>
      <c r="BV40" s="4" t="s">
        <v>241</v>
      </c>
      <c r="CE40" s="4" t="s">
        <v>264</v>
      </c>
      <c r="CF40" s="4" t="s">
        <v>241</v>
      </c>
      <c r="CG40" s="4" t="s">
        <v>241</v>
      </c>
      <c r="CK40" s="4" t="s">
        <v>291</v>
      </c>
      <c r="CL40" s="4" t="s">
        <v>266</v>
      </c>
      <c r="CM40" s="4" t="s">
        <v>241</v>
      </c>
      <c r="CO40" s="4" t="s">
        <v>693</v>
      </c>
      <c r="CP40" s="5" t="s">
        <v>268</v>
      </c>
      <c r="CQ40" s="4" t="s">
        <v>269</v>
      </c>
      <c r="CR40" s="4" t="s">
        <v>270</v>
      </c>
      <c r="CS40" s="4" t="s">
        <v>293</v>
      </c>
      <c r="CT40" s="4" t="s">
        <v>241</v>
      </c>
      <c r="CU40" s="4">
        <v>6.7000000000000004E-2</v>
      </c>
      <c r="CV40" s="4" t="s">
        <v>271</v>
      </c>
      <c r="CW40" s="4" t="s">
        <v>272</v>
      </c>
      <c r="CX40" s="4" t="s">
        <v>347</v>
      </c>
      <c r="CY40" s="6">
        <f>0</f>
        <v>0</v>
      </c>
      <c r="CZ40" s="6">
        <f>2618000</f>
        <v>2618000</v>
      </c>
      <c r="DA40" s="6">
        <f>1214752</f>
        <v>1214752</v>
      </c>
      <c r="DC40" s="4" t="s">
        <v>241</v>
      </c>
      <c r="DD40" s="4" t="s">
        <v>241</v>
      </c>
      <c r="DF40" s="4" t="s">
        <v>241</v>
      </c>
      <c r="DG40" s="6">
        <f>0</f>
        <v>0</v>
      </c>
      <c r="DI40" s="4" t="s">
        <v>241</v>
      </c>
      <c r="DJ40" s="4" t="s">
        <v>241</v>
      </c>
      <c r="DK40" s="4" t="s">
        <v>241</v>
      </c>
      <c r="DL40" s="4" t="s">
        <v>241</v>
      </c>
      <c r="DM40" s="4" t="s">
        <v>277</v>
      </c>
      <c r="DN40" s="4" t="s">
        <v>278</v>
      </c>
      <c r="DO40" s="6">
        <f>19.87</f>
        <v>19.87</v>
      </c>
      <c r="DP40" s="4" t="s">
        <v>241</v>
      </c>
      <c r="DQ40" s="4" t="s">
        <v>241</v>
      </c>
      <c r="DR40" s="4" t="s">
        <v>241</v>
      </c>
      <c r="DS40" s="4" t="s">
        <v>241</v>
      </c>
      <c r="DV40" s="4" t="s">
        <v>3047</v>
      </c>
      <c r="DW40" s="4" t="s">
        <v>297</v>
      </c>
      <c r="GN40" s="4" t="s">
        <v>3074</v>
      </c>
      <c r="HO40" s="4" t="s">
        <v>300</v>
      </c>
      <c r="HR40" s="4" t="s">
        <v>278</v>
      </c>
      <c r="HS40" s="4" t="s">
        <v>278</v>
      </c>
      <c r="HT40" s="4" t="s">
        <v>241</v>
      </c>
      <c r="HU40" s="4" t="s">
        <v>241</v>
      </c>
      <c r="HV40" s="4" t="s">
        <v>241</v>
      </c>
      <c r="HW40" s="4" t="s">
        <v>241</v>
      </c>
      <c r="HX40" s="4" t="s">
        <v>241</v>
      </c>
      <c r="HY40" s="4" t="s">
        <v>241</v>
      </c>
      <c r="HZ40" s="4" t="s">
        <v>241</v>
      </c>
      <c r="IA40" s="4" t="s">
        <v>241</v>
      </c>
      <c r="IB40" s="4" t="s">
        <v>241</v>
      </c>
      <c r="IC40" s="4" t="s">
        <v>241</v>
      </c>
      <c r="ID40" s="4" t="s">
        <v>241</v>
      </c>
      <c r="IE40" s="4" t="s">
        <v>241</v>
      </c>
      <c r="IF40" s="4" t="s">
        <v>241</v>
      </c>
    </row>
    <row r="41" spans="1:240" x14ac:dyDescent="0.4">
      <c r="A41" s="4">
        <v>2</v>
      </c>
      <c r="B41" s="4" t="s">
        <v>239</v>
      </c>
      <c r="C41" s="4">
        <v>40</v>
      </c>
      <c r="D41" s="4">
        <v>1</v>
      </c>
      <c r="E41" s="4">
        <v>3</v>
      </c>
      <c r="F41" s="4" t="s">
        <v>240</v>
      </c>
      <c r="G41" s="4" t="s">
        <v>241</v>
      </c>
      <c r="H41" s="4" t="s">
        <v>241</v>
      </c>
      <c r="I41" s="4" t="s">
        <v>3084</v>
      </c>
      <c r="J41" s="4" t="s">
        <v>247</v>
      </c>
      <c r="K41" s="4" t="s">
        <v>256</v>
      </c>
      <c r="L41" s="4" t="s">
        <v>250</v>
      </c>
      <c r="M41" s="5" t="s">
        <v>3085</v>
      </c>
      <c r="N41" s="4" t="s">
        <v>242</v>
      </c>
      <c r="O41" s="6">
        <f>19.87</f>
        <v>19.87</v>
      </c>
      <c r="P41" s="4" t="s">
        <v>276</v>
      </c>
      <c r="Q41" s="6">
        <f>1214752</f>
        <v>1214752</v>
      </c>
      <c r="R41" s="6">
        <f>2618000</f>
        <v>2618000</v>
      </c>
      <c r="S41" s="5" t="s">
        <v>3073</v>
      </c>
      <c r="T41" s="4" t="s">
        <v>348</v>
      </c>
      <c r="U41" s="4" t="s">
        <v>341</v>
      </c>
      <c r="V41" s="6">
        <f>175406</f>
        <v>175406</v>
      </c>
      <c r="W41" s="6">
        <f>1403248</f>
        <v>1403248</v>
      </c>
      <c r="X41" s="4" t="s">
        <v>243</v>
      </c>
      <c r="Y41" s="4" t="s">
        <v>244</v>
      </c>
      <c r="Z41" s="4" t="s">
        <v>246</v>
      </c>
      <c r="AA41" s="4" t="s">
        <v>241</v>
      </c>
      <c r="AD41" s="4" t="s">
        <v>241</v>
      </c>
      <c r="AE41" s="5" t="s">
        <v>241</v>
      </c>
      <c r="AF41" s="5" t="s">
        <v>241</v>
      </c>
      <c r="AH41" s="5" t="s">
        <v>241</v>
      </c>
      <c r="AI41" s="5" t="s">
        <v>583</v>
      </c>
      <c r="AJ41" s="4" t="s">
        <v>251</v>
      </c>
      <c r="AK41" s="4" t="s">
        <v>252</v>
      </c>
      <c r="AQ41" s="4" t="s">
        <v>241</v>
      </c>
      <c r="AR41" s="4" t="s">
        <v>241</v>
      </c>
      <c r="AS41" s="4" t="s">
        <v>241</v>
      </c>
      <c r="AT41" s="5" t="s">
        <v>241</v>
      </c>
      <c r="AU41" s="5" t="s">
        <v>241</v>
      </c>
      <c r="AV41" s="5" t="s">
        <v>241</v>
      </c>
      <c r="AY41" s="4" t="s">
        <v>286</v>
      </c>
      <c r="AZ41" s="4" t="s">
        <v>286</v>
      </c>
      <c r="BA41" s="4" t="s">
        <v>254</v>
      </c>
      <c r="BB41" s="4" t="s">
        <v>287</v>
      </c>
      <c r="BC41" s="4" t="s">
        <v>255</v>
      </c>
      <c r="BD41" s="4" t="s">
        <v>241</v>
      </c>
      <c r="BE41" s="4" t="s">
        <v>257</v>
      </c>
      <c r="BF41" s="4" t="s">
        <v>241</v>
      </c>
      <c r="BJ41" s="4" t="s">
        <v>288</v>
      </c>
      <c r="BK41" s="5" t="s">
        <v>289</v>
      </c>
      <c r="BL41" s="4" t="s">
        <v>290</v>
      </c>
      <c r="BM41" s="4" t="s">
        <v>290</v>
      </c>
      <c r="BN41" s="4" t="s">
        <v>241</v>
      </c>
      <c r="BO41" s="6">
        <f>0</f>
        <v>0</v>
      </c>
      <c r="BP41" s="6">
        <f>-175406</f>
        <v>-175406</v>
      </c>
      <c r="BQ41" s="4" t="s">
        <v>263</v>
      </c>
      <c r="BR41" s="4" t="s">
        <v>264</v>
      </c>
      <c r="BS41" s="4" t="s">
        <v>241</v>
      </c>
      <c r="BT41" s="4" t="s">
        <v>241</v>
      </c>
      <c r="BU41" s="4" t="s">
        <v>241</v>
      </c>
      <c r="BV41" s="4" t="s">
        <v>241</v>
      </c>
      <c r="CE41" s="4" t="s">
        <v>264</v>
      </c>
      <c r="CF41" s="4" t="s">
        <v>241</v>
      </c>
      <c r="CG41" s="4" t="s">
        <v>241</v>
      </c>
      <c r="CK41" s="4" t="s">
        <v>291</v>
      </c>
      <c r="CL41" s="4" t="s">
        <v>266</v>
      </c>
      <c r="CM41" s="4" t="s">
        <v>241</v>
      </c>
      <c r="CO41" s="4" t="s">
        <v>693</v>
      </c>
      <c r="CP41" s="5" t="s">
        <v>268</v>
      </c>
      <c r="CQ41" s="4" t="s">
        <v>269</v>
      </c>
      <c r="CR41" s="4" t="s">
        <v>270</v>
      </c>
      <c r="CS41" s="4" t="s">
        <v>293</v>
      </c>
      <c r="CT41" s="4" t="s">
        <v>241</v>
      </c>
      <c r="CU41" s="4">
        <v>6.7000000000000004E-2</v>
      </c>
      <c r="CV41" s="4" t="s">
        <v>271</v>
      </c>
      <c r="CW41" s="4" t="s">
        <v>272</v>
      </c>
      <c r="CX41" s="4" t="s">
        <v>347</v>
      </c>
      <c r="CY41" s="6">
        <f>0</f>
        <v>0</v>
      </c>
      <c r="CZ41" s="6">
        <f>2618000</f>
        <v>2618000</v>
      </c>
      <c r="DA41" s="6">
        <f>1214752</f>
        <v>1214752</v>
      </c>
      <c r="DC41" s="4" t="s">
        <v>241</v>
      </c>
      <c r="DD41" s="4" t="s">
        <v>241</v>
      </c>
      <c r="DF41" s="4" t="s">
        <v>241</v>
      </c>
      <c r="DG41" s="6">
        <f>0</f>
        <v>0</v>
      </c>
      <c r="DI41" s="4" t="s">
        <v>241</v>
      </c>
      <c r="DJ41" s="4" t="s">
        <v>241</v>
      </c>
      <c r="DK41" s="4" t="s">
        <v>241</v>
      </c>
      <c r="DL41" s="4" t="s">
        <v>241</v>
      </c>
      <c r="DM41" s="4" t="s">
        <v>277</v>
      </c>
      <c r="DN41" s="4" t="s">
        <v>278</v>
      </c>
      <c r="DO41" s="6">
        <f>19.87</f>
        <v>19.87</v>
      </c>
      <c r="DP41" s="4" t="s">
        <v>241</v>
      </c>
      <c r="DQ41" s="4" t="s">
        <v>241</v>
      </c>
      <c r="DR41" s="4" t="s">
        <v>241</v>
      </c>
      <c r="DS41" s="4" t="s">
        <v>241</v>
      </c>
      <c r="DV41" s="4" t="s">
        <v>3086</v>
      </c>
      <c r="DW41" s="4" t="s">
        <v>277</v>
      </c>
      <c r="GN41" s="4" t="s">
        <v>3087</v>
      </c>
      <c r="HO41" s="4" t="s">
        <v>300</v>
      </c>
      <c r="HR41" s="4" t="s">
        <v>278</v>
      </c>
      <c r="HS41" s="4" t="s">
        <v>278</v>
      </c>
      <c r="HT41" s="4" t="s">
        <v>241</v>
      </c>
      <c r="HU41" s="4" t="s">
        <v>241</v>
      </c>
      <c r="HV41" s="4" t="s">
        <v>241</v>
      </c>
      <c r="HW41" s="4" t="s">
        <v>241</v>
      </c>
      <c r="HX41" s="4" t="s">
        <v>241</v>
      </c>
      <c r="HY41" s="4" t="s">
        <v>241</v>
      </c>
      <c r="HZ41" s="4" t="s">
        <v>241</v>
      </c>
      <c r="IA41" s="4" t="s">
        <v>241</v>
      </c>
      <c r="IB41" s="4" t="s">
        <v>241</v>
      </c>
      <c r="IC41" s="4" t="s">
        <v>241</v>
      </c>
      <c r="ID41" s="4" t="s">
        <v>241</v>
      </c>
      <c r="IE41" s="4" t="s">
        <v>241</v>
      </c>
      <c r="IF41" s="4" t="s">
        <v>241</v>
      </c>
    </row>
    <row r="42" spans="1:240" x14ac:dyDescent="0.4">
      <c r="A42" s="4">
        <v>2</v>
      </c>
      <c r="B42" s="4" t="s">
        <v>239</v>
      </c>
      <c r="C42" s="4">
        <v>41</v>
      </c>
      <c r="D42" s="4">
        <v>1</v>
      </c>
      <c r="E42" s="4">
        <v>1</v>
      </c>
      <c r="F42" s="4" t="s">
        <v>240</v>
      </c>
      <c r="G42" s="4" t="s">
        <v>241</v>
      </c>
      <c r="H42" s="4" t="s">
        <v>241</v>
      </c>
      <c r="I42" s="4" t="s">
        <v>3413</v>
      </c>
      <c r="J42" s="4" t="s">
        <v>247</v>
      </c>
      <c r="K42" s="4" t="s">
        <v>256</v>
      </c>
      <c r="L42" s="4" t="s">
        <v>250</v>
      </c>
      <c r="M42" s="5" t="s">
        <v>3415</v>
      </c>
      <c r="N42" s="4" t="s">
        <v>3412</v>
      </c>
      <c r="O42" s="6">
        <f>55.68</f>
        <v>55.68</v>
      </c>
      <c r="P42" s="4" t="s">
        <v>276</v>
      </c>
      <c r="Q42" s="6">
        <f>1</f>
        <v>1</v>
      </c>
      <c r="R42" s="6">
        <f>6403200</f>
        <v>6403200</v>
      </c>
      <c r="S42" s="5" t="s">
        <v>3414</v>
      </c>
      <c r="T42" s="4" t="s">
        <v>348</v>
      </c>
      <c r="U42" s="4" t="s">
        <v>314</v>
      </c>
      <c r="W42" s="6">
        <f>6403199</f>
        <v>6403199</v>
      </c>
      <c r="X42" s="4" t="s">
        <v>243</v>
      </c>
      <c r="Y42" s="4" t="s">
        <v>244</v>
      </c>
      <c r="Z42" s="4" t="s">
        <v>246</v>
      </c>
      <c r="AA42" s="4" t="s">
        <v>241</v>
      </c>
      <c r="AD42" s="4" t="s">
        <v>241</v>
      </c>
      <c r="AF42" s="5" t="s">
        <v>241</v>
      </c>
      <c r="AI42" s="5" t="s">
        <v>583</v>
      </c>
      <c r="AJ42" s="4" t="s">
        <v>251</v>
      </c>
      <c r="AK42" s="4" t="s">
        <v>252</v>
      </c>
      <c r="BA42" s="4" t="s">
        <v>254</v>
      </c>
      <c r="BB42" s="4" t="s">
        <v>241</v>
      </c>
      <c r="BC42" s="4" t="s">
        <v>255</v>
      </c>
      <c r="BD42" s="4" t="s">
        <v>241</v>
      </c>
      <c r="BE42" s="4" t="s">
        <v>257</v>
      </c>
      <c r="BF42" s="4" t="s">
        <v>241</v>
      </c>
      <c r="BH42" s="4" t="s">
        <v>258</v>
      </c>
      <c r="BJ42" s="4" t="s">
        <v>259</v>
      </c>
      <c r="BK42" s="5" t="s">
        <v>260</v>
      </c>
      <c r="BL42" s="4" t="s">
        <v>261</v>
      </c>
      <c r="BM42" s="4" t="s">
        <v>262</v>
      </c>
      <c r="BN42" s="4" t="s">
        <v>241</v>
      </c>
      <c r="BO42" s="6">
        <f>0</f>
        <v>0</v>
      </c>
      <c r="BP42" s="6">
        <f>0</f>
        <v>0</v>
      </c>
      <c r="BQ42" s="4" t="s">
        <v>263</v>
      </c>
      <c r="BR42" s="4" t="s">
        <v>264</v>
      </c>
      <c r="CF42" s="4" t="s">
        <v>241</v>
      </c>
      <c r="CG42" s="4" t="s">
        <v>241</v>
      </c>
      <c r="CK42" s="4" t="s">
        <v>291</v>
      </c>
      <c r="CL42" s="4" t="s">
        <v>266</v>
      </c>
      <c r="CM42" s="4" t="s">
        <v>241</v>
      </c>
      <c r="CO42" s="4" t="s">
        <v>355</v>
      </c>
      <c r="CP42" s="5" t="s">
        <v>268</v>
      </c>
      <c r="CQ42" s="4" t="s">
        <v>269</v>
      </c>
      <c r="CR42" s="4" t="s">
        <v>270</v>
      </c>
      <c r="CS42" s="4" t="s">
        <v>241</v>
      </c>
      <c r="CT42" s="4" t="s">
        <v>241</v>
      </c>
      <c r="CU42" s="4">
        <v>0</v>
      </c>
      <c r="CV42" s="4" t="s">
        <v>271</v>
      </c>
      <c r="CW42" s="4" t="s">
        <v>272</v>
      </c>
      <c r="CX42" s="4" t="s">
        <v>347</v>
      </c>
      <c r="CZ42" s="6">
        <f>6403200</f>
        <v>6403200</v>
      </c>
      <c r="DA42" s="6">
        <f>0</f>
        <v>0</v>
      </c>
      <c r="DC42" s="4" t="s">
        <v>241</v>
      </c>
      <c r="DD42" s="4" t="s">
        <v>241</v>
      </c>
      <c r="DF42" s="4" t="s">
        <v>241</v>
      </c>
      <c r="DI42" s="4" t="s">
        <v>241</v>
      </c>
      <c r="DJ42" s="4" t="s">
        <v>241</v>
      </c>
      <c r="DK42" s="4" t="s">
        <v>241</v>
      </c>
      <c r="DL42" s="4" t="s">
        <v>241</v>
      </c>
      <c r="DM42" s="4" t="s">
        <v>277</v>
      </c>
      <c r="DN42" s="4" t="s">
        <v>278</v>
      </c>
      <c r="DO42" s="6">
        <f>55.68</f>
        <v>55.68</v>
      </c>
      <c r="DP42" s="4" t="s">
        <v>241</v>
      </c>
      <c r="DQ42" s="4" t="s">
        <v>241</v>
      </c>
      <c r="DR42" s="4" t="s">
        <v>241</v>
      </c>
      <c r="DS42" s="4" t="s">
        <v>241</v>
      </c>
      <c r="DV42" s="4" t="s">
        <v>3416</v>
      </c>
      <c r="DW42" s="4" t="s">
        <v>277</v>
      </c>
      <c r="HO42" s="4" t="s">
        <v>277</v>
      </c>
      <c r="HR42" s="4" t="s">
        <v>278</v>
      </c>
      <c r="HS42" s="4" t="s">
        <v>278</v>
      </c>
    </row>
    <row r="43" spans="1:240" x14ac:dyDescent="0.4">
      <c r="A43" s="4">
        <v>2</v>
      </c>
      <c r="B43" s="4" t="s">
        <v>239</v>
      </c>
      <c r="C43" s="4">
        <v>42</v>
      </c>
      <c r="D43" s="4">
        <v>1</v>
      </c>
      <c r="E43" s="4">
        <v>1</v>
      </c>
      <c r="F43" s="4" t="s">
        <v>240</v>
      </c>
      <c r="G43" s="4" t="s">
        <v>241</v>
      </c>
      <c r="H43" s="4" t="s">
        <v>241</v>
      </c>
      <c r="I43" s="4" t="s">
        <v>3418</v>
      </c>
      <c r="J43" s="4" t="s">
        <v>247</v>
      </c>
      <c r="K43" s="4" t="s">
        <v>256</v>
      </c>
      <c r="L43" s="4" t="s">
        <v>250</v>
      </c>
      <c r="M43" s="5" t="s">
        <v>3419</v>
      </c>
      <c r="N43" s="4" t="s">
        <v>3417</v>
      </c>
      <c r="O43" s="6">
        <f>12.43</f>
        <v>12.43</v>
      </c>
      <c r="P43" s="4" t="s">
        <v>276</v>
      </c>
      <c r="Q43" s="6">
        <f>1</f>
        <v>1</v>
      </c>
      <c r="R43" s="6">
        <f>1516460</f>
        <v>1516460</v>
      </c>
      <c r="S43" s="5" t="s">
        <v>385</v>
      </c>
      <c r="T43" s="4" t="s">
        <v>348</v>
      </c>
      <c r="U43" s="4" t="s">
        <v>379</v>
      </c>
      <c r="W43" s="6">
        <f>1516459</f>
        <v>1516459</v>
      </c>
      <c r="X43" s="4" t="s">
        <v>243</v>
      </c>
      <c r="Y43" s="4" t="s">
        <v>244</v>
      </c>
      <c r="Z43" s="4" t="s">
        <v>246</v>
      </c>
      <c r="AA43" s="4" t="s">
        <v>241</v>
      </c>
      <c r="AD43" s="4" t="s">
        <v>241</v>
      </c>
      <c r="AF43" s="5" t="s">
        <v>241</v>
      </c>
      <c r="AI43" s="5" t="s">
        <v>2905</v>
      </c>
      <c r="AJ43" s="4" t="s">
        <v>251</v>
      </c>
      <c r="AK43" s="4" t="s">
        <v>252</v>
      </c>
      <c r="BA43" s="4" t="s">
        <v>254</v>
      </c>
      <c r="BB43" s="4" t="s">
        <v>241</v>
      </c>
      <c r="BC43" s="4" t="s">
        <v>255</v>
      </c>
      <c r="BD43" s="4" t="s">
        <v>241</v>
      </c>
      <c r="BE43" s="4" t="s">
        <v>257</v>
      </c>
      <c r="BF43" s="4" t="s">
        <v>241</v>
      </c>
      <c r="BH43" s="4" t="s">
        <v>258</v>
      </c>
      <c r="BJ43" s="4" t="s">
        <v>259</v>
      </c>
      <c r="BK43" s="5" t="s">
        <v>2905</v>
      </c>
      <c r="BL43" s="4" t="s">
        <v>261</v>
      </c>
      <c r="BM43" s="4" t="s">
        <v>262</v>
      </c>
      <c r="BN43" s="4" t="s">
        <v>241</v>
      </c>
      <c r="BO43" s="6">
        <f>0</f>
        <v>0</v>
      </c>
      <c r="BP43" s="6">
        <f>0</f>
        <v>0</v>
      </c>
      <c r="BQ43" s="4" t="s">
        <v>263</v>
      </c>
      <c r="BR43" s="4" t="s">
        <v>264</v>
      </c>
      <c r="CF43" s="4" t="s">
        <v>241</v>
      </c>
      <c r="CG43" s="4" t="s">
        <v>241</v>
      </c>
      <c r="CK43" s="4" t="s">
        <v>291</v>
      </c>
      <c r="CL43" s="4" t="s">
        <v>266</v>
      </c>
      <c r="CM43" s="4" t="s">
        <v>241</v>
      </c>
      <c r="CO43" s="4" t="s">
        <v>292</v>
      </c>
      <c r="CP43" s="5" t="s">
        <v>268</v>
      </c>
      <c r="CQ43" s="4" t="s">
        <v>269</v>
      </c>
      <c r="CR43" s="4" t="s">
        <v>270</v>
      </c>
      <c r="CS43" s="4" t="s">
        <v>241</v>
      </c>
      <c r="CT43" s="4" t="s">
        <v>241</v>
      </c>
      <c r="CU43" s="4">
        <v>0</v>
      </c>
      <c r="CV43" s="4" t="s">
        <v>271</v>
      </c>
      <c r="CW43" s="4" t="s">
        <v>272</v>
      </c>
      <c r="CX43" s="4" t="s">
        <v>347</v>
      </c>
      <c r="CZ43" s="6">
        <f>1516460</f>
        <v>1516460</v>
      </c>
      <c r="DA43" s="6">
        <f>0</f>
        <v>0</v>
      </c>
      <c r="DC43" s="4" t="s">
        <v>241</v>
      </c>
      <c r="DD43" s="4" t="s">
        <v>241</v>
      </c>
      <c r="DF43" s="4" t="s">
        <v>241</v>
      </c>
      <c r="DI43" s="4" t="s">
        <v>241</v>
      </c>
      <c r="DJ43" s="4" t="s">
        <v>241</v>
      </c>
      <c r="DK43" s="4" t="s">
        <v>241</v>
      </c>
      <c r="DL43" s="4" t="s">
        <v>241</v>
      </c>
      <c r="DM43" s="4" t="s">
        <v>277</v>
      </c>
      <c r="DN43" s="4" t="s">
        <v>278</v>
      </c>
      <c r="DO43" s="6">
        <f>12.43</f>
        <v>12.43</v>
      </c>
      <c r="DP43" s="4" t="s">
        <v>241</v>
      </c>
      <c r="DQ43" s="4" t="s">
        <v>241</v>
      </c>
      <c r="DR43" s="4" t="s">
        <v>241</v>
      </c>
      <c r="DS43" s="4" t="s">
        <v>241</v>
      </c>
      <c r="DV43" s="4" t="s">
        <v>3420</v>
      </c>
      <c r="DW43" s="4" t="s">
        <v>277</v>
      </c>
      <c r="HO43" s="4" t="s">
        <v>277</v>
      </c>
      <c r="HR43" s="4" t="s">
        <v>278</v>
      </c>
      <c r="HS43" s="4" t="s">
        <v>278</v>
      </c>
    </row>
    <row r="44" spans="1:240" x14ac:dyDescent="0.4">
      <c r="A44" s="4">
        <v>2</v>
      </c>
      <c r="B44" s="4" t="s">
        <v>239</v>
      </c>
      <c r="C44" s="4">
        <v>43</v>
      </c>
      <c r="D44" s="4">
        <v>1</v>
      </c>
      <c r="E44" s="4">
        <v>1</v>
      </c>
      <c r="F44" s="4" t="s">
        <v>240</v>
      </c>
      <c r="G44" s="4" t="s">
        <v>241</v>
      </c>
      <c r="H44" s="4" t="s">
        <v>241</v>
      </c>
      <c r="I44" s="4" t="s">
        <v>3786</v>
      </c>
      <c r="J44" s="4" t="s">
        <v>247</v>
      </c>
      <c r="K44" s="4" t="s">
        <v>256</v>
      </c>
      <c r="L44" s="4" t="s">
        <v>250</v>
      </c>
      <c r="M44" s="5" t="s">
        <v>3787</v>
      </c>
      <c r="N44" s="4" t="s">
        <v>3785</v>
      </c>
      <c r="O44" s="6">
        <f>19.87</f>
        <v>19.87</v>
      </c>
      <c r="P44" s="4" t="s">
        <v>276</v>
      </c>
      <c r="Q44" s="6">
        <f>1</f>
        <v>1</v>
      </c>
      <c r="R44" s="6">
        <f>2424140</f>
        <v>2424140</v>
      </c>
      <c r="S44" s="5" t="s">
        <v>2984</v>
      </c>
      <c r="T44" s="4" t="s">
        <v>348</v>
      </c>
      <c r="U44" s="4" t="s">
        <v>348</v>
      </c>
      <c r="W44" s="6">
        <f>2424139</f>
        <v>2424139</v>
      </c>
      <c r="X44" s="4" t="s">
        <v>243</v>
      </c>
      <c r="Y44" s="4" t="s">
        <v>244</v>
      </c>
      <c r="Z44" s="4" t="s">
        <v>246</v>
      </c>
      <c r="AA44" s="4" t="s">
        <v>241</v>
      </c>
      <c r="AD44" s="4" t="s">
        <v>241</v>
      </c>
      <c r="AF44" s="5" t="s">
        <v>241</v>
      </c>
      <c r="AI44" s="5" t="s">
        <v>2905</v>
      </c>
      <c r="AJ44" s="4" t="s">
        <v>251</v>
      </c>
      <c r="AK44" s="4" t="s">
        <v>252</v>
      </c>
      <c r="BA44" s="4" t="s">
        <v>254</v>
      </c>
      <c r="BB44" s="4" t="s">
        <v>241</v>
      </c>
      <c r="BC44" s="4" t="s">
        <v>255</v>
      </c>
      <c r="BD44" s="4" t="s">
        <v>241</v>
      </c>
      <c r="BE44" s="4" t="s">
        <v>257</v>
      </c>
      <c r="BF44" s="4" t="s">
        <v>241</v>
      </c>
      <c r="BH44" s="4" t="s">
        <v>258</v>
      </c>
      <c r="BJ44" s="4" t="s">
        <v>259</v>
      </c>
      <c r="BK44" s="5" t="s">
        <v>260</v>
      </c>
      <c r="BL44" s="4" t="s">
        <v>261</v>
      </c>
      <c r="BM44" s="4" t="s">
        <v>290</v>
      </c>
      <c r="BN44" s="4" t="s">
        <v>241</v>
      </c>
      <c r="BO44" s="6">
        <f>0</f>
        <v>0</v>
      </c>
      <c r="BP44" s="6">
        <f>0</f>
        <v>0</v>
      </c>
      <c r="BQ44" s="4" t="s">
        <v>263</v>
      </c>
      <c r="BR44" s="4" t="s">
        <v>264</v>
      </c>
      <c r="CF44" s="4" t="s">
        <v>241</v>
      </c>
      <c r="CG44" s="4" t="s">
        <v>241</v>
      </c>
      <c r="CK44" s="4" t="s">
        <v>291</v>
      </c>
      <c r="CL44" s="4" t="s">
        <v>266</v>
      </c>
      <c r="CM44" s="4" t="s">
        <v>241</v>
      </c>
      <c r="CO44" s="4" t="s">
        <v>364</v>
      </c>
      <c r="CP44" s="5" t="s">
        <v>268</v>
      </c>
      <c r="CQ44" s="4" t="s">
        <v>269</v>
      </c>
      <c r="CR44" s="4" t="s">
        <v>270</v>
      </c>
      <c r="CS44" s="4" t="s">
        <v>241</v>
      </c>
      <c r="CT44" s="4" t="s">
        <v>241</v>
      </c>
      <c r="CU44" s="4">
        <v>0</v>
      </c>
      <c r="CV44" s="4" t="s">
        <v>271</v>
      </c>
      <c r="CW44" s="4" t="s">
        <v>272</v>
      </c>
      <c r="CX44" s="4" t="s">
        <v>347</v>
      </c>
      <c r="CZ44" s="6">
        <f>2424140</f>
        <v>2424140</v>
      </c>
      <c r="DA44" s="6">
        <f>0</f>
        <v>0</v>
      </c>
      <c r="DC44" s="4" t="s">
        <v>241</v>
      </c>
      <c r="DD44" s="4" t="s">
        <v>241</v>
      </c>
      <c r="DF44" s="4" t="s">
        <v>241</v>
      </c>
      <c r="DI44" s="4" t="s">
        <v>241</v>
      </c>
      <c r="DJ44" s="4" t="s">
        <v>241</v>
      </c>
      <c r="DK44" s="4" t="s">
        <v>241</v>
      </c>
      <c r="DL44" s="4" t="s">
        <v>241</v>
      </c>
      <c r="DM44" s="4" t="s">
        <v>277</v>
      </c>
      <c r="DN44" s="4" t="s">
        <v>278</v>
      </c>
      <c r="DO44" s="6">
        <f>19.87</f>
        <v>19.87</v>
      </c>
      <c r="DP44" s="4" t="s">
        <v>241</v>
      </c>
      <c r="DQ44" s="4" t="s">
        <v>241</v>
      </c>
      <c r="DR44" s="4" t="s">
        <v>241</v>
      </c>
      <c r="DS44" s="4" t="s">
        <v>241</v>
      </c>
      <c r="DV44" s="4" t="s">
        <v>3788</v>
      </c>
      <c r="DW44" s="4" t="s">
        <v>277</v>
      </c>
      <c r="HO44" s="4" t="s">
        <v>297</v>
      </c>
      <c r="HR44" s="4" t="s">
        <v>278</v>
      </c>
      <c r="HS44" s="4" t="s">
        <v>278</v>
      </c>
    </row>
    <row r="45" spans="1:240" x14ac:dyDescent="0.4">
      <c r="A45" s="4">
        <v>2</v>
      </c>
      <c r="B45" s="4" t="s">
        <v>239</v>
      </c>
      <c r="C45" s="4">
        <v>44</v>
      </c>
      <c r="D45" s="4">
        <v>1</v>
      </c>
      <c r="E45" s="4">
        <v>1</v>
      </c>
      <c r="F45" s="4" t="s">
        <v>240</v>
      </c>
      <c r="G45" s="4" t="s">
        <v>241</v>
      </c>
      <c r="H45" s="4" t="s">
        <v>241</v>
      </c>
      <c r="I45" s="4" t="s">
        <v>3790</v>
      </c>
      <c r="J45" s="4" t="s">
        <v>247</v>
      </c>
      <c r="K45" s="4" t="s">
        <v>256</v>
      </c>
      <c r="L45" s="4" t="s">
        <v>250</v>
      </c>
      <c r="M45" s="5" t="s">
        <v>3791</v>
      </c>
      <c r="N45" s="4" t="s">
        <v>3789</v>
      </c>
      <c r="O45" s="6">
        <f>19.87</f>
        <v>19.87</v>
      </c>
      <c r="P45" s="4" t="s">
        <v>276</v>
      </c>
      <c r="Q45" s="6">
        <f>1</f>
        <v>1</v>
      </c>
      <c r="R45" s="6">
        <f>2424140</f>
        <v>2424140</v>
      </c>
      <c r="S45" s="5" t="s">
        <v>1861</v>
      </c>
      <c r="T45" s="4" t="s">
        <v>348</v>
      </c>
      <c r="U45" s="4" t="s">
        <v>348</v>
      </c>
      <c r="W45" s="6">
        <f>2424139</f>
        <v>2424139</v>
      </c>
      <c r="X45" s="4" t="s">
        <v>243</v>
      </c>
      <c r="Y45" s="4" t="s">
        <v>244</v>
      </c>
      <c r="Z45" s="4" t="s">
        <v>246</v>
      </c>
      <c r="AA45" s="4" t="s">
        <v>241</v>
      </c>
      <c r="AD45" s="4" t="s">
        <v>241</v>
      </c>
      <c r="AF45" s="5" t="s">
        <v>241</v>
      </c>
      <c r="AI45" s="5" t="s">
        <v>249</v>
      </c>
      <c r="AJ45" s="4" t="s">
        <v>251</v>
      </c>
      <c r="AK45" s="4" t="s">
        <v>252</v>
      </c>
      <c r="BA45" s="4" t="s">
        <v>254</v>
      </c>
      <c r="BB45" s="4" t="s">
        <v>241</v>
      </c>
      <c r="BC45" s="4" t="s">
        <v>255</v>
      </c>
      <c r="BD45" s="4" t="s">
        <v>241</v>
      </c>
      <c r="BE45" s="4" t="s">
        <v>257</v>
      </c>
      <c r="BF45" s="4" t="s">
        <v>241</v>
      </c>
      <c r="BH45" s="4" t="s">
        <v>258</v>
      </c>
      <c r="BJ45" s="4" t="s">
        <v>367</v>
      </c>
      <c r="BK45" s="5" t="s">
        <v>249</v>
      </c>
      <c r="BL45" s="4" t="s">
        <v>261</v>
      </c>
      <c r="BM45" s="4" t="s">
        <v>290</v>
      </c>
      <c r="BN45" s="4" t="s">
        <v>241</v>
      </c>
      <c r="BO45" s="6">
        <f>0</f>
        <v>0</v>
      </c>
      <c r="BP45" s="6">
        <f>0</f>
        <v>0</v>
      </c>
      <c r="BQ45" s="4" t="s">
        <v>263</v>
      </c>
      <c r="BR45" s="4" t="s">
        <v>264</v>
      </c>
      <c r="CF45" s="4" t="s">
        <v>241</v>
      </c>
      <c r="CG45" s="4" t="s">
        <v>241</v>
      </c>
      <c r="CK45" s="4" t="s">
        <v>291</v>
      </c>
      <c r="CL45" s="4" t="s">
        <v>266</v>
      </c>
      <c r="CM45" s="4" t="s">
        <v>241</v>
      </c>
      <c r="CO45" s="4" t="s">
        <v>446</v>
      </c>
      <c r="CP45" s="5" t="s">
        <v>268</v>
      </c>
      <c r="CQ45" s="4" t="s">
        <v>269</v>
      </c>
      <c r="CR45" s="4" t="s">
        <v>270</v>
      </c>
      <c r="CS45" s="4" t="s">
        <v>241</v>
      </c>
      <c r="CT45" s="4" t="s">
        <v>241</v>
      </c>
      <c r="CU45" s="4">
        <v>0</v>
      </c>
      <c r="CV45" s="4" t="s">
        <v>271</v>
      </c>
      <c r="CW45" s="4" t="s">
        <v>272</v>
      </c>
      <c r="CX45" s="4" t="s">
        <v>347</v>
      </c>
      <c r="CZ45" s="6">
        <f>2424140</f>
        <v>2424140</v>
      </c>
      <c r="DA45" s="6">
        <f>0</f>
        <v>0</v>
      </c>
      <c r="DC45" s="4" t="s">
        <v>241</v>
      </c>
      <c r="DD45" s="4" t="s">
        <v>241</v>
      </c>
      <c r="DF45" s="4" t="s">
        <v>241</v>
      </c>
      <c r="DI45" s="4" t="s">
        <v>241</v>
      </c>
      <c r="DJ45" s="4" t="s">
        <v>241</v>
      </c>
      <c r="DK45" s="4" t="s">
        <v>241</v>
      </c>
      <c r="DL45" s="4" t="s">
        <v>241</v>
      </c>
      <c r="DM45" s="4" t="s">
        <v>277</v>
      </c>
      <c r="DN45" s="4" t="s">
        <v>278</v>
      </c>
      <c r="DO45" s="6">
        <f>19.87</f>
        <v>19.87</v>
      </c>
      <c r="DP45" s="4" t="s">
        <v>241</v>
      </c>
      <c r="DQ45" s="4" t="s">
        <v>241</v>
      </c>
      <c r="DR45" s="4" t="s">
        <v>241</v>
      </c>
      <c r="DS45" s="4" t="s">
        <v>241</v>
      </c>
      <c r="DV45" s="4" t="s">
        <v>3792</v>
      </c>
      <c r="DW45" s="4" t="s">
        <v>277</v>
      </c>
      <c r="HO45" s="4" t="s">
        <v>336</v>
      </c>
      <c r="HR45" s="4" t="s">
        <v>278</v>
      </c>
      <c r="HS45" s="4" t="s">
        <v>278</v>
      </c>
    </row>
    <row r="46" spans="1:240" x14ac:dyDescent="0.4">
      <c r="A46" s="4">
        <v>2</v>
      </c>
      <c r="B46" s="4" t="s">
        <v>239</v>
      </c>
      <c r="C46" s="4">
        <v>45</v>
      </c>
      <c r="D46" s="4">
        <v>1</v>
      </c>
      <c r="E46" s="4">
        <v>1</v>
      </c>
      <c r="F46" s="4" t="s">
        <v>240</v>
      </c>
      <c r="G46" s="4" t="s">
        <v>241</v>
      </c>
      <c r="H46" s="4" t="s">
        <v>241</v>
      </c>
      <c r="I46" s="4" t="s">
        <v>3794</v>
      </c>
      <c r="J46" s="4" t="s">
        <v>247</v>
      </c>
      <c r="K46" s="4" t="s">
        <v>256</v>
      </c>
      <c r="L46" s="4" t="s">
        <v>250</v>
      </c>
      <c r="M46" s="5" t="s">
        <v>3795</v>
      </c>
      <c r="N46" s="4" t="s">
        <v>3793</v>
      </c>
      <c r="O46" s="6">
        <f>19.87</f>
        <v>19.87</v>
      </c>
      <c r="P46" s="4" t="s">
        <v>276</v>
      </c>
      <c r="Q46" s="6">
        <f>1</f>
        <v>1</v>
      </c>
      <c r="R46" s="6">
        <f>2424140</f>
        <v>2424140</v>
      </c>
      <c r="S46" s="5" t="s">
        <v>1861</v>
      </c>
      <c r="T46" s="4" t="s">
        <v>348</v>
      </c>
      <c r="U46" s="4" t="s">
        <v>348</v>
      </c>
      <c r="W46" s="6">
        <f>2424139</f>
        <v>2424139</v>
      </c>
      <c r="X46" s="4" t="s">
        <v>243</v>
      </c>
      <c r="Y46" s="4" t="s">
        <v>244</v>
      </c>
      <c r="Z46" s="4" t="s">
        <v>246</v>
      </c>
      <c r="AA46" s="4" t="s">
        <v>241</v>
      </c>
      <c r="AD46" s="4" t="s">
        <v>241</v>
      </c>
      <c r="AF46" s="5" t="s">
        <v>241</v>
      </c>
      <c r="AI46" s="5" t="s">
        <v>249</v>
      </c>
      <c r="AJ46" s="4" t="s">
        <v>251</v>
      </c>
      <c r="AK46" s="4" t="s">
        <v>252</v>
      </c>
      <c r="BA46" s="4" t="s">
        <v>254</v>
      </c>
      <c r="BB46" s="4" t="s">
        <v>241</v>
      </c>
      <c r="BC46" s="4" t="s">
        <v>255</v>
      </c>
      <c r="BD46" s="4" t="s">
        <v>241</v>
      </c>
      <c r="BE46" s="4" t="s">
        <v>257</v>
      </c>
      <c r="BF46" s="4" t="s">
        <v>241</v>
      </c>
      <c r="BH46" s="4" t="s">
        <v>258</v>
      </c>
      <c r="BJ46" s="4" t="s">
        <v>374</v>
      </c>
      <c r="BK46" s="5" t="s">
        <v>375</v>
      </c>
      <c r="BL46" s="4" t="s">
        <v>261</v>
      </c>
      <c r="BM46" s="4" t="s">
        <v>290</v>
      </c>
      <c r="BN46" s="4" t="s">
        <v>241</v>
      </c>
      <c r="BO46" s="6">
        <f>0</f>
        <v>0</v>
      </c>
      <c r="BP46" s="6">
        <f>0</f>
        <v>0</v>
      </c>
      <c r="BQ46" s="4" t="s">
        <v>263</v>
      </c>
      <c r="BR46" s="4" t="s">
        <v>264</v>
      </c>
      <c r="CF46" s="4" t="s">
        <v>241</v>
      </c>
      <c r="CG46" s="4" t="s">
        <v>241</v>
      </c>
      <c r="CK46" s="4" t="s">
        <v>291</v>
      </c>
      <c r="CL46" s="4" t="s">
        <v>266</v>
      </c>
      <c r="CM46" s="4" t="s">
        <v>241</v>
      </c>
      <c r="CO46" s="4" t="s">
        <v>446</v>
      </c>
      <c r="CP46" s="5" t="s">
        <v>268</v>
      </c>
      <c r="CQ46" s="4" t="s">
        <v>269</v>
      </c>
      <c r="CR46" s="4" t="s">
        <v>270</v>
      </c>
      <c r="CS46" s="4" t="s">
        <v>241</v>
      </c>
      <c r="CT46" s="4" t="s">
        <v>241</v>
      </c>
      <c r="CU46" s="4">
        <v>0</v>
      </c>
      <c r="CV46" s="4" t="s">
        <v>271</v>
      </c>
      <c r="CW46" s="4" t="s">
        <v>272</v>
      </c>
      <c r="CX46" s="4" t="s">
        <v>347</v>
      </c>
      <c r="CZ46" s="6">
        <f>2424140</f>
        <v>2424140</v>
      </c>
      <c r="DA46" s="6">
        <f>0</f>
        <v>0</v>
      </c>
      <c r="DC46" s="4" t="s">
        <v>241</v>
      </c>
      <c r="DD46" s="4" t="s">
        <v>241</v>
      </c>
      <c r="DF46" s="4" t="s">
        <v>241</v>
      </c>
      <c r="DI46" s="4" t="s">
        <v>241</v>
      </c>
      <c r="DJ46" s="4" t="s">
        <v>241</v>
      </c>
      <c r="DK46" s="4" t="s">
        <v>241</v>
      </c>
      <c r="DL46" s="4" t="s">
        <v>241</v>
      </c>
      <c r="DM46" s="4" t="s">
        <v>277</v>
      </c>
      <c r="DN46" s="4" t="s">
        <v>278</v>
      </c>
      <c r="DO46" s="6">
        <f>19.87</f>
        <v>19.87</v>
      </c>
      <c r="DP46" s="4" t="s">
        <v>241</v>
      </c>
      <c r="DQ46" s="4" t="s">
        <v>241</v>
      </c>
      <c r="DR46" s="4" t="s">
        <v>241</v>
      </c>
      <c r="DS46" s="4" t="s">
        <v>241</v>
      </c>
      <c r="DV46" s="4" t="s">
        <v>3796</v>
      </c>
      <c r="DW46" s="4" t="s">
        <v>277</v>
      </c>
      <c r="HO46" s="4" t="s">
        <v>336</v>
      </c>
      <c r="HR46" s="4" t="s">
        <v>278</v>
      </c>
      <c r="HS46" s="4" t="s">
        <v>278</v>
      </c>
    </row>
    <row r="47" spans="1:240" x14ac:dyDescent="0.4">
      <c r="A47" s="4">
        <v>2</v>
      </c>
      <c r="B47" s="4" t="s">
        <v>239</v>
      </c>
      <c r="C47" s="4">
        <v>46</v>
      </c>
      <c r="D47" s="4">
        <v>1</v>
      </c>
      <c r="E47" s="4">
        <v>1</v>
      </c>
      <c r="F47" s="4" t="s">
        <v>240</v>
      </c>
      <c r="G47" s="4" t="s">
        <v>241</v>
      </c>
      <c r="H47" s="4" t="s">
        <v>241</v>
      </c>
      <c r="I47" s="4" t="s">
        <v>3798</v>
      </c>
      <c r="J47" s="4" t="s">
        <v>247</v>
      </c>
      <c r="K47" s="4" t="s">
        <v>256</v>
      </c>
      <c r="L47" s="4" t="s">
        <v>250</v>
      </c>
      <c r="M47" s="5" t="s">
        <v>3799</v>
      </c>
      <c r="N47" s="4" t="s">
        <v>3797</v>
      </c>
      <c r="O47" s="6">
        <f>19.87</f>
        <v>19.87</v>
      </c>
      <c r="P47" s="4" t="s">
        <v>276</v>
      </c>
      <c r="Q47" s="6">
        <f>1</f>
        <v>1</v>
      </c>
      <c r="R47" s="6">
        <f>2424140</f>
        <v>2424140</v>
      </c>
      <c r="S47" s="5" t="s">
        <v>1937</v>
      </c>
      <c r="T47" s="4" t="s">
        <v>348</v>
      </c>
      <c r="U47" s="4" t="s">
        <v>348</v>
      </c>
      <c r="W47" s="6">
        <f>2424139</f>
        <v>2424139</v>
      </c>
      <c r="X47" s="4" t="s">
        <v>243</v>
      </c>
      <c r="Y47" s="4" t="s">
        <v>244</v>
      </c>
      <c r="Z47" s="4" t="s">
        <v>246</v>
      </c>
      <c r="AA47" s="4" t="s">
        <v>241</v>
      </c>
      <c r="AD47" s="4" t="s">
        <v>241</v>
      </c>
      <c r="AF47" s="5" t="s">
        <v>241</v>
      </c>
      <c r="AI47" s="5" t="s">
        <v>249</v>
      </c>
      <c r="AJ47" s="4" t="s">
        <v>251</v>
      </c>
      <c r="AK47" s="4" t="s">
        <v>252</v>
      </c>
      <c r="BA47" s="4" t="s">
        <v>254</v>
      </c>
      <c r="BB47" s="4" t="s">
        <v>241</v>
      </c>
      <c r="BC47" s="4" t="s">
        <v>255</v>
      </c>
      <c r="BD47" s="4" t="s">
        <v>241</v>
      </c>
      <c r="BE47" s="4" t="s">
        <v>257</v>
      </c>
      <c r="BF47" s="4" t="s">
        <v>241</v>
      </c>
      <c r="BH47" s="4" t="s">
        <v>258</v>
      </c>
      <c r="BJ47" s="4" t="s">
        <v>377</v>
      </c>
      <c r="BK47" s="5" t="s">
        <v>378</v>
      </c>
      <c r="BL47" s="4" t="s">
        <v>261</v>
      </c>
      <c r="BM47" s="4" t="s">
        <v>290</v>
      </c>
      <c r="BN47" s="4" t="s">
        <v>241</v>
      </c>
      <c r="BO47" s="6">
        <f>0</f>
        <v>0</v>
      </c>
      <c r="BP47" s="6">
        <f>0</f>
        <v>0</v>
      </c>
      <c r="BQ47" s="4" t="s">
        <v>263</v>
      </c>
      <c r="BR47" s="4" t="s">
        <v>264</v>
      </c>
      <c r="CF47" s="4" t="s">
        <v>241</v>
      </c>
      <c r="CG47" s="4" t="s">
        <v>241</v>
      </c>
      <c r="CK47" s="4" t="s">
        <v>291</v>
      </c>
      <c r="CL47" s="4" t="s">
        <v>266</v>
      </c>
      <c r="CM47" s="4" t="s">
        <v>241</v>
      </c>
      <c r="CO47" s="4" t="s">
        <v>407</v>
      </c>
      <c r="CP47" s="5" t="s">
        <v>268</v>
      </c>
      <c r="CQ47" s="4" t="s">
        <v>269</v>
      </c>
      <c r="CR47" s="4" t="s">
        <v>270</v>
      </c>
      <c r="CS47" s="4" t="s">
        <v>241</v>
      </c>
      <c r="CT47" s="4" t="s">
        <v>241</v>
      </c>
      <c r="CU47" s="4">
        <v>0</v>
      </c>
      <c r="CV47" s="4" t="s">
        <v>271</v>
      </c>
      <c r="CW47" s="4" t="s">
        <v>272</v>
      </c>
      <c r="CX47" s="4" t="s">
        <v>347</v>
      </c>
      <c r="CZ47" s="6">
        <f>2424140</f>
        <v>2424140</v>
      </c>
      <c r="DA47" s="6">
        <f>0</f>
        <v>0</v>
      </c>
      <c r="DC47" s="4" t="s">
        <v>241</v>
      </c>
      <c r="DD47" s="4" t="s">
        <v>241</v>
      </c>
      <c r="DF47" s="4" t="s">
        <v>241</v>
      </c>
      <c r="DI47" s="4" t="s">
        <v>241</v>
      </c>
      <c r="DJ47" s="4" t="s">
        <v>241</v>
      </c>
      <c r="DK47" s="4" t="s">
        <v>241</v>
      </c>
      <c r="DL47" s="4" t="s">
        <v>241</v>
      </c>
      <c r="DM47" s="4" t="s">
        <v>277</v>
      </c>
      <c r="DN47" s="4" t="s">
        <v>278</v>
      </c>
      <c r="DO47" s="6">
        <f>19.87</f>
        <v>19.87</v>
      </c>
      <c r="DP47" s="4" t="s">
        <v>241</v>
      </c>
      <c r="DQ47" s="4" t="s">
        <v>241</v>
      </c>
      <c r="DR47" s="4" t="s">
        <v>241</v>
      </c>
      <c r="DS47" s="4" t="s">
        <v>241</v>
      </c>
      <c r="DV47" s="4" t="s">
        <v>3800</v>
      </c>
      <c r="DW47" s="4" t="s">
        <v>277</v>
      </c>
      <c r="HO47" s="4" t="s">
        <v>351</v>
      </c>
      <c r="HR47" s="4" t="s">
        <v>278</v>
      </c>
      <c r="HS47" s="4" t="s">
        <v>278</v>
      </c>
    </row>
    <row r="48" spans="1:240" x14ac:dyDescent="0.4">
      <c r="A48" s="4">
        <v>2</v>
      </c>
      <c r="B48" s="4" t="s">
        <v>239</v>
      </c>
      <c r="C48" s="4">
        <v>47</v>
      </c>
      <c r="D48" s="4">
        <v>1</v>
      </c>
      <c r="E48" s="4">
        <v>1</v>
      </c>
      <c r="F48" s="4" t="s">
        <v>240</v>
      </c>
      <c r="G48" s="4" t="s">
        <v>241</v>
      </c>
      <c r="H48" s="4" t="s">
        <v>241</v>
      </c>
      <c r="I48" s="4" t="s">
        <v>3802</v>
      </c>
      <c r="J48" s="4" t="s">
        <v>247</v>
      </c>
      <c r="K48" s="4" t="s">
        <v>256</v>
      </c>
      <c r="L48" s="4" t="s">
        <v>250</v>
      </c>
      <c r="M48" s="5" t="s">
        <v>3803</v>
      </c>
      <c r="N48" s="4" t="s">
        <v>3801</v>
      </c>
      <c r="O48" s="6">
        <f>19.87</f>
        <v>19.87</v>
      </c>
      <c r="P48" s="4" t="s">
        <v>276</v>
      </c>
      <c r="Q48" s="6">
        <f>1</f>
        <v>1</v>
      </c>
      <c r="R48" s="6">
        <f>2424140</f>
        <v>2424140</v>
      </c>
      <c r="S48" s="5" t="s">
        <v>1937</v>
      </c>
      <c r="T48" s="4" t="s">
        <v>348</v>
      </c>
      <c r="U48" s="4" t="s">
        <v>348</v>
      </c>
      <c r="W48" s="6">
        <f>2424139</f>
        <v>2424139</v>
      </c>
      <c r="X48" s="4" t="s">
        <v>243</v>
      </c>
      <c r="Y48" s="4" t="s">
        <v>244</v>
      </c>
      <c r="Z48" s="4" t="s">
        <v>246</v>
      </c>
      <c r="AA48" s="4" t="s">
        <v>241</v>
      </c>
      <c r="AD48" s="4" t="s">
        <v>241</v>
      </c>
      <c r="AF48" s="5" t="s">
        <v>241</v>
      </c>
      <c r="AI48" s="5" t="s">
        <v>249</v>
      </c>
      <c r="AJ48" s="4" t="s">
        <v>251</v>
      </c>
      <c r="AK48" s="4" t="s">
        <v>252</v>
      </c>
      <c r="BA48" s="4" t="s">
        <v>254</v>
      </c>
      <c r="BB48" s="4" t="s">
        <v>241</v>
      </c>
      <c r="BC48" s="4" t="s">
        <v>255</v>
      </c>
      <c r="BD48" s="4" t="s">
        <v>241</v>
      </c>
      <c r="BE48" s="4" t="s">
        <v>257</v>
      </c>
      <c r="BF48" s="4" t="s">
        <v>241</v>
      </c>
      <c r="BH48" s="4" t="s">
        <v>258</v>
      </c>
      <c r="BJ48" s="4" t="s">
        <v>259</v>
      </c>
      <c r="BK48" s="5" t="s">
        <v>260</v>
      </c>
      <c r="BL48" s="4" t="s">
        <v>261</v>
      </c>
      <c r="BM48" s="4" t="s">
        <v>290</v>
      </c>
      <c r="BN48" s="4" t="s">
        <v>241</v>
      </c>
      <c r="BO48" s="6">
        <f>0</f>
        <v>0</v>
      </c>
      <c r="BP48" s="6">
        <f>0</f>
        <v>0</v>
      </c>
      <c r="BQ48" s="4" t="s">
        <v>263</v>
      </c>
      <c r="BR48" s="4" t="s">
        <v>264</v>
      </c>
      <c r="CF48" s="4" t="s">
        <v>241</v>
      </c>
      <c r="CG48" s="4" t="s">
        <v>241</v>
      </c>
      <c r="CK48" s="4" t="s">
        <v>291</v>
      </c>
      <c r="CL48" s="4" t="s">
        <v>266</v>
      </c>
      <c r="CM48" s="4" t="s">
        <v>241</v>
      </c>
      <c r="CO48" s="4" t="s">
        <v>407</v>
      </c>
      <c r="CP48" s="5" t="s">
        <v>268</v>
      </c>
      <c r="CQ48" s="4" t="s">
        <v>269</v>
      </c>
      <c r="CR48" s="4" t="s">
        <v>270</v>
      </c>
      <c r="CS48" s="4" t="s">
        <v>241</v>
      </c>
      <c r="CT48" s="4" t="s">
        <v>241</v>
      </c>
      <c r="CU48" s="4">
        <v>0</v>
      </c>
      <c r="CV48" s="4" t="s">
        <v>271</v>
      </c>
      <c r="CW48" s="4" t="s">
        <v>272</v>
      </c>
      <c r="CX48" s="4" t="s">
        <v>347</v>
      </c>
      <c r="CZ48" s="6">
        <f>2424140</f>
        <v>2424140</v>
      </c>
      <c r="DA48" s="6">
        <f>0</f>
        <v>0</v>
      </c>
      <c r="DC48" s="4" t="s">
        <v>241</v>
      </c>
      <c r="DD48" s="4" t="s">
        <v>241</v>
      </c>
      <c r="DF48" s="4" t="s">
        <v>241</v>
      </c>
      <c r="DI48" s="4" t="s">
        <v>241</v>
      </c>
      <c r="DJ48" s="4" t="s">
        <v>241</v>
      </c>
      <c r="DK48" s="4" t="s">
        <v>241</v>
      </c>
      <c r="DL48" s="4" t="s">
        <v>241</v>
      </c>
      <c r="DM48" s="4" t="s">
        <v>277</v>
      </c>
      <c r="DN48" s="4" t="s">
        <v>278</v>
      </c>
      <c r="DO48" s="6">
        <f>19.87</f>
        <v>19.87</v>
      </c>
      <c r="DP48" s="4" t="s">
        <v>241</v>
      </c>
      <c r="DQ48" s="4" t="s">
        <v>241</v>
      </c>
      <c r="DR48" s="4" t="s">
        <v>241</v>
      </c>
      <c r="DS48" s="4" t="s">
        <v>241</v>
      </c>
      <c r="DV48" s="4" t="s">
        <v>3804</v>
      </c>
      <c r="DW48" s="4" t="s">
        <v>277</v>
      </c>
      <c r="HO48" s="4" t="s">
        <v>351</v>
      </c>
      <c r="HR48" s="4" t="s">
        <v>278</v>
      </c>
      <c r="HS48" s="4" t="s">
        <v>278</v>
      </c>
    </row>
    <row r="49" spans="1:227" x14ac:dyDescent="0.4">
      <c r="A49" s="4">
        <v>2</v>
      </c>
      <c r="B49" s="4" t="s">
        <v>239</v>
      </c>
      <c r="C49" s="4">
        <v>48</v>
      </c>
      <c r="D49" s="4">
        <v>1</v>
      </c>
      <c r="E49" s="4">
        <v>1</v>
      </c>
      <c r="F49" s="4" t="s">
        <v>240</v>
      </c>
      <c r="G49" s="4" t="s">
        <v>241</v>
      </c>
      <c r="H49" s="4" t="s">
        <v>241</v>
      </c>
      <c r="I49" s="4" t="s">
        <v>3806</v>
      </c>
      <c r="J49" s="4" t="s">
        <v>247</v>
      </c>
      <c r="K49" s="4" t="s">
        <v>256</v>
      </c>
      <c r="L49" s="4" t="s">
        <v>250</v>
      </c>
      <c r="M49" s="5" t="s">
        <v>3808</v>
      </c>
      <c r="N49" s="4" t="s">
        <v>3805</v>
      </c>
      <c r="O49" s="6">
        <f>19.88</f>
        <v>19.88</v>
      </c>
      <c r="P49" s="4" t="s">
        <v>276</v>
      </c>
      <c r="Q49" s="6">
        <f>1</f>
        <v>1</v>
      </c>
      <c r="R49" s="6">
        <f>2425360</f>
        <v>2425360</v>
      </c>
      <c r="S49" s="5" t="s">
        <v>3807</v>
      </c>
      <c r="T49" s="4" t="s">
        <v>348</v>
      </c>
      <c r="U49" s="4" t="s">
        <v>348</v>
      </c>
      <c r="W49" s="6">
        <f>2425359</f>
        <v>2425359</v>
      </c>
      <c r="X49" s="4" t="s">
        <v>243</v>
      </c>
      <c r="Y49" s="4" t="s">
        <v>244</v>
      </c>
      <c r="Z49" s="4" t="s">
        <v>246</v>
      </c>
      <c r="AA49" s="4" t="s">
        <v>241</v>
      </c>
      <c r="AD49" s="4" t="s">
        <v>241</v>
      </c>
      <c r="AF49" s="5" t="s">
        <v>241</v>
      </c>
      <c r="AI49" s="5" t="s">
        <v>249</v>
      </c>
      <c r="AJ49" s="4" t="s">
        <v>251</v>
      </c>
      <c r="AK49" s="4" t="s">
        <v>252</v>
      </c>
      <c r="BA49" s="4" t="s">
        <v>254</v>
      </c>
      <c r="BB49" s="4" t="s">
        <v>241</v>
      </c>
      <c r="BC49" s="4" t="s">
        <v>255</v>
      </c>
      <c r="BD49" s="4" t="s">
        <v>241</v>
      </c>
      <c r="BE49" s="4" t="s">
        <v>257</v>
      </c>
      <c r="BF49" s="4" t="s">
        <v>241</v>
      </c>
      <c r="BH49" s="4" t="s">
        <v>258</v>
      </c>
      <c r="BJ49" s="4" t="s">
        <v>367</v>
      </c>
      <c r="BK49" s="5" t="s">
        <v>249</v>
      </c>
      <c r="BL49" s="4" t="s">
        <v>261</v>
      </c>
      <c r="BM49" s="4" t="s">
        <v>290</v>
      </c>
      <c r="BN49" s="4" t="s">
        <v>241</v>
      </c>
      <c r="BO49" s="6">
        <f>0</f>
        <v>0</v>
      </c>
      <c r="BP49" s="6">
        <f>0</f>
        <v>0</v>
      </c>
      <c r="BQ49" s="4" t="s">
        <v>263</v>
      </c>
      <c r="BR49" s="4" t="s">
        <v>264</v>
      </c>
      <c r="CF49" s="4" t="s">
        <v>241</v>
      </c>
      <c r="CG49" s="4" t="s">
        <v>241</v>
      </c>
      <c r="CK49" s="4" t="s">
        <v>291</v>
      </c>
      <c r="CL49" s="4" t="s">
        <v>266</v>
      </c>
      <c r="CM49" s="4" t="s">
        <v>241</v>
      </c>
      <c r="CO49" s="4" t="s">
        <v>1127</v>
      </c>
      <c r="CP49" s="5" t="s">
        <v>268</v>
      </c>
      <c r="CQ49" s="4" t="s">
        <v>269</v>
      </c>
      <c r="CR49" s="4" t="s">
        <v>270</v>
      </c>
      <c r="CS49" s="4" t="s">
        <v>241</v>
      </c>
      <c r="CT49" s="4" t="s">
        <v>241</v>
      </c>
      <c r="CU49" s="4">
        <v>0</v>
      </c>
      <c r="CV49" s="4" t="s">
        <v>271</v>
      </c>
      <c r="CW49" s="4" t="s">
        <v>272</v>
      </c>
      <c r="CX49" s="4" t="s">
        <v>347</v>
      </c>
      <c r="CZ49" s="6">
        <f>2425360</f>
        <v>2425360</v>
      </c>
      <c r="DA49" s="6">
        <f>0</f>
        <v>0</v>
      </c>
      <c r="DC49" s="4" t="s">
        <v>241</v>
      </c>
      <c r="DD49" s="4" t="s">
        <v>241</v>
      </c>
      <c r="DF49" s="4" t="s">
        <v>241</v>
      </c>
      <c r="DI49" s="4" t="s">
        <v>241</v>
      </c>
      <c r="DJ49" s="4" t="s">
        <v>241</v>
      </c>
      <c r="DK49" s="4" t="s">
        <v>241</v>
      </c>
      <c r="DL49" s="4" t="s">
        <v>241</v>
      </c>
      <c r="DM49" s="4" t="s">
        <v>277</v>
      </c>
      <c r="DN49" s="4" t="s">
        <v>278</v>
      </c>
      <c r="DO49" s="6">
        <f>19.88</f>
        <v>19.88</v>
      </c>
      <c r="DP49" s="4" t="s">
        <v>241</v>
      </c>
      <c r="DQ49" s="4" t="s">
        <v>241</v>
      </c>
      <c r="DR49" s="4" t="s">
        <v>241</v>
      </c>
      <c r="DS49" s="4" t="s">
        <v>241</v>
      </c>
      <c r="DV49" s="4" t="s">
        <v>3809</v>
      </c>
      <c r="DW49" s="4" t="s">
        <v>277</v>
      </c>
      <c r="HO49" s="4" t="s">
        <v>323</v>
      </c>
      <c r="HR49" s="4" t="s">
        <v>278</v>
      </c>
      <c r="HS49" s="4" t="s">
        <v>278</v>
      </c>
    </row>
    <row r="50" spans="1:227" x14ac:dyDescent="0.4">
      <c r="A50" s="4">
        <v>2</v>
      </c>
      <c r="B50" s="4" t="s">
        <v>239</v>
      </c>
      <c r="C50" s="4">
        <v>49</v>
      </c>
      <c r="D50" s="4">
        <v>1</v>
      </c>
      <c r="E50" s="4">
        <v>1</v>
      </c>
      <c r="F50" s="4" t="s">
        <v>240</v>
      </c>
      <c r="G50" s="4" t="s">
        <v>241</v>
      </c>
      <c r="H50" s="4" t="s">
        <v>241</v>
      </c>
      <c r="I50" s="4" t="s">
        <v>3422</v>
      </c>
      <c r="J50" s="4" t="s">
        <v>247</v>
      </c>
      <c r="K50" s="4" t="s">
        <v>256</v>
      </c>
      <c r="L50" s="4" t="s">
        <v>250</v>
      </c>
      <c r="M50" s="5" t="s">
        <v>3423</v>
      </c>
      <c r="N50" s="4" t="s">
        <v>3421</v>
      </c>
      <c r="O50" s="6">
        <f>9.91</f>
        <v>9.91</v>
      </c>
      <c r="P50" s="4" t="s">
        <v>276</v>
      </c>
      <c r="Q50" s="6">
        <f>1</f>
        <v>1</v>
      </c>
      <c r="R50" s="6">
        <f>594600</f>
        <v>594600</v>
      </c>
      <c r="S50" s="5" t="s">
        <v>248</v>
      </c>
      <c r="T50" s="4" t="s">
        <v>348</v>
      </c>
      <c r="U50" s="4" t="s">
        <v>275</v>
      </c>
      <c r="W50" s="6">
        <f>594599</f>
        <v>594599</v>
      </c>
      <c r="X50" s="4" t="s">
        <v>243</v>
      </c>
      <c r="Y50" s="4" t="s">
        <v>244</v>
      </c>
      <c r="Z50" s="4" t="s">
        <v>246</v>
      </c>
      <c r="AA50" s="4" t="s">
        <v>241</v>
      </c>
      <c r="AD50" s="4" t="s">
        <v>241</v>
      </c>
      <c r="AF50" s="5" t="s">
        <v>241</v>
      </c>
      <c r="AI50" s="5" t="s">
        <v>249</v>
      </c>
      <c r="AJ50" s="4" t="s">
        <v>251</v>
      </c>
      <c r="AK50" s="4" t="s">
        <v>252</v>
      </c>
      <c r="BA50" s="4" t="s">
        <v>254</v>
      </c>
      <c r="BB50" s="4" t="s">
        <v>241</v>
      </c>
      <c r="BC50" s="4" t="s">
        <v>255</v>
      </c>
      <c r="BD50" s="4" t="s">
        <v>241</v>
      </c>
      <c r="BE50" s="4" t="s">
        <v>257</v>
      </c>
      <c r="BF50" s="4" t="s">
        <v>241</v>
      </c>
      <c r="BH50" s="4" t="s">
        <v>258</v>
      </c>
      <c r="BJ50" s="4" t="s">
        <v>374</v>
      </c>
      <c r="BK50" s="5" t="s">
        <v>375</v>
      </c>
      <c r="BL50" s="4" t="s">
        <v>261</v>
      </c>
      <c r="BM50" s="4" t="s">
        <v>262</v>
      </c>
      <c r="BN50" s="4" t="s">
        <v>241</v>
      </c>
      <c r="BO50" s="6">
        <f>0</f>
        <v>0</v>
      </c>
      <c r="BP50" s="6">
        <f>0</f>
        <v>0</v>
      </c>
      <c r="BQ50" s="4" t="s">
        <v>263</v>
      </c>
      <c r="BR50" s="4" t="s">
        <v>264</v>
      </c>
      <c r="CF50" s="4" t="s">
        <v>241</v>
      </c>
      <c r="CG50" s="4" t="s">
        <v>241</v>
      </c>
      <c r="CK50" s="4" t="s">
        <v>265</v>
      </c>
      <c r="CL50" s="4" t="s">
        <v>266</v>
      </c>
      <c r="CM50" s="4" t="s">
        <v>241</v>
      </c>
      <c r="CO50" s="4" t="s">
        <v>267</v>
      </c>
      <c r="CP50" s="5" t="s">
        <v>268</v>
      </c>
      <c r="CQ50" s="4" t="s">
        <v>269</v>
      </c>
      <c r="CR50" s="4" t="s">
        <v>270</v>
      </c>
      <c r="CS50" s="4" t="s">
        <v>241</v>
      </c>
      <c r="CT50" s="4" t="s">
        <v>241</v>
      </c>
      <c r="CU50" s="4">
        <v>0</v>
      </c>
      <c r="CV50" s="4" t="s">
        <v>271</v>
      </c>
      <c r="CW50" s="4" t="s">
        <v>272</v>
      </c>
      <c r="CX50" s="4" t="s">
        <v>347</v>
      </c>
      <c r="CZ50" s="6">
        <f>594600</f>
        <v>594600</v>
      </c>
      <c r="DA50" s="6">
        <f>0</f>
        <v>0</v>
      </c>
      <c r="DC50" s="4" t="s">
        <v>241</v>
      </c>
      <c r="DD50" s="4" t="s">
        <v>241</v>
      </c>
      <c r="DF50" s="4" t="s">
        <v>241</v>
      </c>
      <c r="DI50" s="4" t="s">
        <v>241</v>
      </c>
      <c r="DJ50" s="4" t="s">
        <v>241</v>
      </c>
      <c r="DK50" s="4" t="s">
        <v>241</v>
      </c>
      <c r="DL50" s="4" t="s">
        <v>241</v>
      </c>
      <c r="DM50" s="4" t="s">
        <v>277</v>
      </c>
      <c r="DN50" s="4" t="s">
        <v>278</v>
      </c>
      <c r="DO50" s="6">
        <f>9.91</f>
        <v>9.91</v>
      </c>
      <c r="DP50" s="4" t="s">
        <v>241</v>
      </c>
      <c r="DQ50" s="4" t="s">
        <v>241</v>
      </c>
      <c r="DR50" s="4" t="s">
        <v>241</v>
      </c>
      <c r="DS50" s="4" t="s">
        <v>241</v>
      </c>
      <c r="DV50" s="4" t="s">
        <v>3424</v>
      </c>
      <c r="DW50" s="4" t="s">
        <v>277</v>
      </c>
      <c r="HO50" s="4" t="s">
        <v>277</v>
      </c>
      <c r="HR50" s="4" t="s">
        <v>278</v>
      </c>
      <c r="HS50" s="4" t="s">
        <v>278</v>
      </c>
    </row>
    <row r="51" spans="1:227" x14ac:dyDescent="0.4">
      <c r="A51" s="4">
        <v>2</v>
      </c>
      <c r="B51" s="4" t="s">
        <v>239</v>
      </c>
      <c r="C51" s="4">
        <v>50</v>
      </c>
      <c r="D51" s="4">
        <v>1</v>
      </c>
      <c r="E51" s="4">
        <v>1</v>
      </c>
      <c r="F51" s="4" t="s">
        <v>240</v>
      </c>
      <c r="G51" s="4" t="s">
        <v>241</v>
      </c>
      <c r="H51" s="4" t="s">
        <v>241</v>
      </c>
      <c r="I51" s="4" t="s">
        <v>3426</v>
      </c>
      <c r="J51" s="4" t="s">
        <v>247</v>
      </c>
      <c r="K51" s="4" t="s">
        <v>256</v>
      </c>
      <c r="L51" s="4" t="s">
        <v>250</v>
      </c>
      <c r="M51" s="5" t="s">
        <v>3046</v>
      </c>
      <c r="N51" s="4" t="s">
        <v>3425</v>
      </c>
      <c r="O51" s="6">
        <f>9.72</f>
        <v>9.7200000000000006</v>
      </c>
      <c r="P51" s="4" t="s">
        <v>276</v>
      </c>
      <c r="Q51" s="6">
        <f>1</f>
        <v>1</v>
      </c>
      <c r="R51" s="6">
        <f>680400</f>
        <v>680400</v>
      </c>
      <c r="S51" s="5" t="s">
        <v>248</v>
      </c>
      <c r="T51" s="4" t="s">
        <v>357</v>
      </c>
      <c r="U51" s="4" t="s">
        <v>275</v>
      </c>
      <c r="W51" s="6">
        <f>680399</f>
        <v>680399</v>
      </c>
      <c r="X51" s="4" t="s">
        <v>243</v>
      </c>
      <c r="Y51" s="4" t="s">
        <v>244</v>
      </c>
      <c r="Z51" s="4" t="s">
        <v>246</v>
      </c>
      <c r="AA51" s="4" t="s">
        <v>241</v>
      </c>
      <c r="AD51" s="4" t="s">
        <v>241</v>
      </c>
      <c r="AF51" s="5" t="s">
        <v>241</v>
      </c>
      <c r="AI51" s="5" t="s">
        <v>249</v>
      </c>
      <c r="AJ51" s="4" t="s">
        <v>251</v>
      </c>
      <c r="AK51" s="4" t="s">
        <v>252</v>
      </c>
      <c r="BA51" s="4" t="s">
        <v>254</v>
      </c>
      <c r="BB51" s="4" t="s">
        <v>241</v>
      </c>
      <c r="BC51" s="4" t="s">
        <v>255</v>
      </c>
      <c r="BD51" s="4" t="s">
        <v>241</v>
      </c>
      <c r="BE51" s="4" t="s">
        <v>257</v>
      </c>
      <c r="BF51" s="4" t="s">
        <v>241</v>
      </c>
      <c r="BH51" s="4" t="s">
        <v>258</v>
      </c>
      <c r="BJ51" s="4" t="s">
        <v>377</v>
      </c>
      <c r="BK51" s="5" t="s">
        <v>378</v>
      </c>
      <c r="BL51" s="4" t="s">
        <v>261</v>
      </c>
      <c r="BM51" s="4" t="s">
        <v>262</v>
      </c>
      <c r="BN51" s="4" t="s">
        <v>241</v>
      </c>
      <c r="BO51" s="6">
        <f>0</f>
        <v>0</v>
      </c>
      <c r="BP51" s="6">
        <f>0</f>
        <v>0</v>
      </c>
      <c r="BQ51" s="4" t="s">
        <v>263</v>
      </c>
      <c r="BR51" s="4" t="s">
        <v>264</v>
      </c>
      <c r="CF51" s="4" t="s">
        <v>241</v>
      </c>
      <c r="CG51" s="4" t="s">
        <v>241</v>
      </c>
      <c r="CK51" s="4" t="s">
        <v>265</v>
      </c>
      <c r="CL51" s="4" t="s">
        <v>266</v>
      </c>
      <c r="CM51" s="4" t="s">
        <v>241</v>
      </c>
      <c r="CO51" s="4" t="s">
        <v>267</v>
      </c>
      <c r="CP51" s="5" t="s">
        <v>268</v>
      </c>
      <c r="CQ51" s="4" t="s">
        <v>269</v>
      </c>
      <c r="CR51" s="4" t="s">
        <v>270</v>
      </c>
      <c r="CS51" s="4" t="s">
        <v>241</v>
      </c>
      <c r="CT51" s="4" t="s">
        <v>241</v>
      </c>
      <c r="CU51" s="4">
        <v>0</v>
      </c>
      <c r="CV51" s="4" t="s">
        <v>271</v>
      </c>
      <c r="CW51" s="4" t="s">
        <v>272</v>
      </c>
      <c r="CX51" s="4" t="s">
        <v>356</v>
      </c>
      <c r="CZ51" s="6">
        <f>680400</f>
        <v>680400</v>
      </c>
      <c r="DA51" s="6">
        <f>0</f>
        <v>0</v>
      </c>
      <c r="DC51" s="4" t="s">
        <v>241</v>
      </c>
      <c r="DD51" s="4" t="s">
        <v>241</v>
      </c>
      <c r="DF51" s="4" t="s">
        <v>241</v>
      </c>
      <c r="DI51" s="4" t="s">
        <v>241</v>
      </c>
      <c r="DJ51" s="4" t="s">
        <v>241</v>
      </c>
      <c r="DK51" s="4" t="s">
        <v>241</v>
      </c>
      <c r="DL51" s="4" t="s">
        <v>241</v>
      </c>
      <c r="DM51" s="4" t="s">
        <v>277</v>
      </c>
      <c r="DN51" s="4" t="s">
        <v>278</v>
      </c>
      <c r="DO51" s="6">
        <f>9.72</f>
        <v>9.7200000000000006</v>
      </c>
      <c r="DP51" s="4" t="s">
        <v>241</v>
      </c>
      <c r="DQ51" s="4" t="s">
        <v>241</v>
      </c>
      <c r="DR51" s="4" t="s">
        <v>241</v>
      </c>
      <c r="DS51" s="4" t="s">
        <v>241</v>
      </c>
      <c r="DV51" s="4" t="s">
        <v>3427</v>
      </c>
      <c r="DW51" s="4" t="s">
        <v>277</v>
      </c>
      <c r="HO51" s="4" t="s">
        <v>277</v>
      </c>
      <c r="HR51" s="4" t="s">
        <v>278</v>
      </c>
      <c r="HS51" s="4" t="s">
        <v>278</v>
      </c>
    </row>
    <row r="52" spans="1:227" x14ac:dyDescent="0.4">
      <c r="A52" s="4">
        <v>2</v>
      </c>
      <c r="B52" s="4" t="s">
        <v>239</v>
      </c>
      <c r="C52" s="4">
        <v>51</v>
      </c>
      <c r="D52" s="4">
        <v>1</v>
      </c>
      <c r="E52" s="4">
        <v>1</v>
      </c>
      <c r="F52" s="4" t="s">
        <v>240</v>
      </c>
      <c r="G52" s="4" t="s">
        <v>241</v>
      </c>
      <c r="H52" s="4" t="s">
        <v>241</v>
      </c>
      <c r="I52" s="4" t="s">
        <v>3426</v>
      </c>
      <c r="J52" s="4" t="s">
        <v>247</v>
      </c>
      <c r="K52" s="4" t="s">
        <v>256</v>
      </c>
      <c r="L52" s="4" t="s">
        <v>250</v>
      </c>
      <c r="M52" s="5" t="s">
        <v>3046</v>
      </c>
      <c r="N52" s="4" t="s">
        <v>3810</v>
      </c>
      <c r="O52" s="6">
        <f t="shared" ref="O52:O57" si="0">19.87</f>
        <v>19.87</v>
      </c>
      <c r="P52" s="4" t="s">
        <v>276</v>
      </c>
      <c r="Q52" s="6">
        <f>1</f>
        <v>1</v>
      </c>
      <c r="R52" s="6">
        <f t="shared" ref="R52:R57" si="1">2424140</f>
        <v>2424140</v>
      </c>
      <c r="S52" s="5" t="s">
        <v>1937</v>
      </c>
      <c r="T52" s="4" t="s">
        <v>348</v>
      </c>
      <c r="U52" s="4" t="s">
        <v>348</v>
      </c>
      <c r="W52" s="6">
        <f t="shared" ref="W52:W57" si="2">2424139</f>
        <v>2424139</v>
      </c>
      <c r="X52" s="4" t="s">
        <v>243</v>
      </c>
      <c r="Y52" s="4" t="s">
        <v>244</v>
      </c>
      <c r="Z52" s="4" t="s">
        <v>246</v>
      </c>
      <c r="AA52" s="4" t="s">
        <v>241</v>
      </c>
      <c r="AD52" s="4" t="s">
        <v>241</v>
      </c>
      <c r="AF52" s="5" t="s">
        <v>241</v>
      </c>
      <c r="AI52" s="5" t="s">
        <v>249</v>
      </c>
      <c r="AJ52" s="4" t="s">
        <v>251</v>
      </c>
      <c r="AK52" s="4" t="s">
        <v>252</v>
      </c>
      <c r="BA52" s="4" t="s">
        <v>254</v>
      </c>
      <c r="BB52" s="4" t="s">
        <v>241</v>
      </c>
      <c r="BC52" s="4" t="s">
        <v>255</v>
      </c>
      <c r="BD52" s="4" t="s">
        <v>241</v>
      </c>
      <c r="BE52" s="4" t="s">
        <v>257</v>
      </c>
      <c r="BF52" s="4" t="s">
        <v>241</v>
      </c>
      <c r="BJ52" s="4" t="s">
        <v>259</v>
      </c>
      <c r="BK52" s="5" t="s">
        <v>260</v>
      </c>
      <c r="BL52" s="4" t="s">
        <v>261</v>
      </c>
      <c r="BM52" s="4" t="s">
        <v>290</v>
      </c>
      <c r="BN52" s="4" t="s">
        <v>241</v>
      </c>
      <c r="BO52" s="6">
        <f>0</f>
        <v>0</v>
      </c>
      <c r="BP52" s="6">
        <f>0</f>
        <v>0</v>
      </c>
      <c r="BQ52" s="4" t="s">
        <v>263</v>
      </c>
      <c r="BR52" s="4" t="s">
        <v>264</v>
      </c>
      <c r="CF52" s="4" t="s">
        <v>241</v>
      </c>
      <c r="CG52" s="4" t="s">
        <v>241</v>
      </c>
      <c r="CK52" s="4" t="s">
        <v>291</v>
      </c>
      <c r="CL52" s="4" t="s">
        <v>266</v>
      </c>
      <c r="CM52" s="4" t="s">
        <v>241</v>
      </c>
      <c r="CO52" s="4" t="s">
        <v>407</v>
      </c>
      <c r="CP52" s="5" t="s">
        <v>268</v>
      </c>
      <c r="CQ52" s="4" t="s">
        <v>269</v>
      </c>
      <c r="CR52" s="4" t="s">
        <v>270</v>
      </c>
      <c r="CS52" s="4" t="s">
        <v>241</v>
      </c>
      <c r="CT52" s="4" t="s">
        <v>241</v>
      </c>
      <c r="CU52" s="4">
        <v>0</v>
      </c>
      <c r="CV52" s="4" t="s">
        <v>271</v>
      </c>
      <c r="CW52" s="4" t="s">
        <v>272</v>
      </c>
      <c r="CX52" s="4" t="s">
        <v>347</v>
      </c>
      <c r="CZ52" s="6">
        <f t="shared" ref="CZ52:CZ57" si="3">2424140</f>
        <v>2424140</v>
      </c>
      <c r="DA52" s="6">
        <f>0</f>
        <v>0</v>
      </c>
      <c r="DC52" s="4" t="s">
        <v>241</v>
      </c>
      <c r="DD52" s="4" t="s">
        <v>241</v>
      </c>
      <c r="DF52" s="4" t="s">
        <v>241</v>
      </c>
      <c r="DI52" s="4" t="s">
        <v>241</v>
      </c>
      <c r="DJ52" s="4" t="s">
        <v>241</v>
      </c>
      <c r="DK52" s="4" t="s">
        <v>241</v>
      </c>
      <c r="DL52" s="4" t="s">
        <v>241</v>
      </c>
      <c r="DM52" s="4" t="s">
        <v>277</v>
      </c>
      <c r="DN52" s="4" t="s">
        <v>278</v>
      </c>
      <c r="DO52" s="6">
        <f t="shared" ref="DO52:DO57" si="4">19.87</f>
        <v>19.87</v>
      </c>
      <c r="DP52" s="4" t="s">
        <v>241</v>
      </c>
      <c r="DQ52" s="4" t="s">
        <v>241</v>
      </c>
      <c r="DR52" s="4" t="s">
        <v>241</v>
      </c>
      <c r="DS52" s="4" t="s">
        <v>241</v>
      </c>
      <c r="DV52" s="4" t="s">
        <v>3427</v>
      </c>
      <c r="DW52" s="4" t="s">
        <v>323</v>
      </c>
      <c r="HO52" s="4" t="s">
        <v>351</v>
      </c>
      <c r="HR52" s="4" t="s">
        <v>278</v>
      </c>
      <c r="HS52" s="4" t="s">
        <v>278</v>
      </c>
    </row>
    <row r="53" spans="1:227" x14ac:dyDescent="0.4">
      <c r="A53" s="4">
        <v>2</v>
      </c>
      <c r="B53" s="4" t="s">
        <v>239</v>
      </c>
      <c r="C53" s="4">
        <v>52</v>
      </c>
      <c r="D53" s="4">
        <v>1</v>
      </c>
      <c r="E53" s="4">
        <v>1</v>
      </c>
      <c r="F53" s="4" t="s">
        <v>240</v>
      </c>
      <c r="G53" s="4" t="s">
        <v>241</v>
      </c>
      <c r="H53" s="4" t="s">
        <v>241</v>
      </c>
      <c r="I53" s="4" t="s">
        <v>3812</v>
      </c>
      <c r="J53" s="4" t="s">
        <v>247</v>
      </c>
      <c r="K53" s="4" t="s">
        <v>256</v>
      </c>
      <c r="L53" s="4" t="s">
        <v>250</v>
      </c>
      <c r="M53" s="5" t="s">
        <v>1954</v>
      </c>
      <c r="N53" s="4" t="s">
        <v>3811</v>
      </c>
      <c r="O53" s="6">
        <f t="shared" si="0"/>
        <v>19.87</v>
      </c>
      <c r="P53" s="4" t="s">
        <v>276</v>
      </c>
      <c r="Q53" s="6">
        <f>1</f>
        <v>1</v>
      </c>
      <c r="R53" s="6">
        <f t="shared" si="1"/>
        <v>2424140</v>
      </c>
      <c r="S53" s="5" t="s">
        <v>2984</v>
      </c>
      <c r="T53" s="4" t="s">
        <v>348</v>
      </c>
      <c r="U53" s="4" t="s">
        <v>348</v>
      </c>
      <c r="W53" s="6">
        <f t="shared" si="2"/>
        <v>2424139</v>
      </c>
      <c r="X53" s="4" t="s">
        <v>243</v>
      </c>
      <c r="Y53" s="4" t="s">
        <v>244</v>
      </c>
      <c r="Z53" s="4" t="s">
        <v>246</v>
      </c>
      <c r="AA53" s="4" t="s">
        <v>241</v>
      </c>
      <c r="AD53" s="4" t="s">
        <v>241</v>
      </c>
      <c r="AF53" s="5" t="s">
        <v>241</v>
      </c>
      <c r="AI53" s="5" t="s">
        <v>249</v>
      </c>
      <c r="AJ53" s="4" t="s">
        <v>251</v>
      </c>
      <c r="AK53" s="4" t="s">
        <v>252</v>
      </c>
      <c r="BA53" s="4" t="s">
        <v>254</v>
      </c>
      <c r="BB53" s="4" t="s">
        <v>241</v>
      </c>
      <c r="BC53" s="4" t="s">
        <v>255</v>
      </c>
      <c r="BD53" s="4" t="s">
        <v>241</v>
      </c>
      <c r="BE53" s="4" t="s">
        <v>257</v>
      </c>
      <c r="BF53" s="4" t="s">
        <v>241</v>
      </c>
      <c r="BH53" s="4" t="s">
        <v>258</v>
      </c>
      <c r="BJ53" s="4" t="s">
        <v>367</v>
      </c>
      <c r="BK53" s="5" t="s">
        <v>249</v>
      </c>
      <c r="BL53" s="4" t="s">
        <v>261</v>
      </c>
      <c r="BM53" s="4" t="s">
        <v>290</v>
      </c>
      <c r="BN53" s="4" t="s">
        <v>241</v>
      </c>
      <c r="BO53" s="6">
        <f>0</f>
        <v>0</v>
      </c>
      <c r="BP53" s="6">
        <f>0</f>
        <v>0</v>
      </c>
      <c r="BQ53" s="4" t="s">
        <v>263</v>
      </c>
      <c r="BR53" s="4" t="s">
        <v>264</v>
      </c>
      <c r="CF53" s="4" t="s">
        <v>241</v>
      </c>
      <c r="CG53" s="4" t="s">
        <v>241</v>
      </c>
      <c r="CK53" s="4" t="s">
        <v>291</v>
      </c>
      <c r="CL53" s="4" t="s">
        <v>266</v>
      </c>
      <c r="CM53" s="4" t="s">
        <v>241</v>
      </c>
      <c r="CO53" s="4" t="s">
        <v>364</v>
      </c>
      <c r="CP53" s="5" t="s">
        <v>268</v>
      </c>
      <c r="CQ53" s="4" t="s">
        <v>269</v>
      </c>
      <c r="CR53" s="4" t="s">
        <v>270</v>
      </c>
      <c r="CS53" s="4" t="s">
        <v>241</v>
      </c>
      <c r="CT53" s="4" t="s">
        <v>241</v>
      </c>
      <c r="CU53" s="4">
        <v>0</v>
      </c>
      <c r="CV53" s="4" t="s">
        <v>271</v>
      </c>
      <c r="CW53" s="4" t="s">
        <v>272</v>
      </c>
      <c r="CX53" s="4" t="s">
        <v>347</v>
      </c>
      <c r="CZ53" s="6">
        <f t="shared" si="3"/>
        <v>2424140</v>
      </c>
      <c r="DA53" s="6">
        <f>0</f>
        <v>0</v>
      </c>
      <c r="DC53" s="4" t="s">
        <v>241</v>
      </c>
      <c r="DD53" s="4" t="s">
        <v>241</v>
      </c>
      <c r="DF53" s="4" t="s">
        <v>241</v>
      </c>
      <c r="DI53" s="4" t="s">
        <v>241</v>
      </c>
      <c r="DJ53" s="4" t="s">
        <v>241</v>
      </c>
      <c r="DK53" s="4" t="s">
        <v>241</v>
      </c>
      <c r="DL53" s="4" t="s">
        <v>241</v>
      </c>
      <c r="DM53" s="4" t="s">
        <v>277</v>
      </c>
      <c r="DN53" s="4" t="s">
        <v>278</v>
      </c>
      <c r="DO53" s="6">
        <f t="shared" si="4"/>
        <v>19.87</v>
      </c>
      <c r="DP53" s="4" t="s">
        <v>241</v>
      </c>
      <c r="DQ53" s="4" t="s">
        <v>241</v>
      </c>
      <c r="DR53" s="4" t="s">
        <v>241</v>
      </c>
      <c r="DS53" s="4" t="s">
        <v>241</v>
      </c>
      <c r="DV53" s="4" t="s">
        <v>3813</v>
      </c>
      <c r="DW53" s="4" t="s">
        <v>277</v>
      </c>
      <c r="HO53" s="4" t="s">
        <v>297</v>
      </c>
      <c r="HR53" s="4" t="s">
        <v>278</v>
      </c>
      <c r="HS53" s="4" t="s">
        <v>278</v>
      </c>
    </row>
    <row r="54" spans="1:227" x14ac:dyDescent="0.4">
      <c r="A54" s="4">
        <v>2</v>
      </c>
      <c r="B54" s="4" t="s">
        <v>239</v>
      </c>
      <c r="C54" s="4">
        <v>53</v>
      </c>
      <c r="D54" s="4">
        <v>1</v>
      </c>
      <c r="E54" s="4">
        <v>1</v>
      </c>
      <c r="F54" s="4" t="s">
        <v>240</v>
      </c>
      <c r="G54" s="4" t="s">
        <v>241</v>
      </c>
      <c r="H54" s="4" t="s">
        <v>241</v>
      </c>
      <c r="I54" s="4" t="s">
        <v>3815</v>
      </c>
      <c r="J54" s="4" t="s">
        <v>247</v>
      </c>
      <c r="K54" s="4" t="s">
        <v>256</v>
      </c>
      <c r="L54" s="4" t="s">
        <v>250</v>
      </c>
      <c r="M54" s="5" t="s">
        <v>3816</v>
      </c>
      <c r="N54" s="4" t="s">
        <v>3814</v>
      </c>
      <c r="O54" s="6">
        <f t="shared" si="0"/>
        <v>19.87</v>
      </c>
      <c r="P54" s="4" t="s">
        <v>276</v>
      </c>
      <c r="Q54" s="6">
        <f>1</f>
        <v>1</v>
      </c>
      <c r="R54" s="6">
        <f t="shared" si="1"/>
        <v>2424140</v>
      </c>
      <c r="S54" s="5" t="s">
        <v>1861</v>
      </c>
      <c r="T54" s="4" t="s">
        <v>348</v>
      </c>
      <c r="U54" s="4" t="s">
        <v>348</v>
      </c>
      <c r="W54" s="6">
        <f t="shared" si="2"/>
        <v>2424139</v>
      </c>
      <c r="X54" s="4" t="s">
        <v>243</v>
      </c>
      <c r="Y54" s="4" t="s">
        <v>244</v>
      </c>
      <c r="Z54" s="4" t="s">
        <v>246</v>
      </c>
      <c r="AA54" s="4" t="s">
        <v>241</v>
      </c>
      <c r="AD54" s="4" t="s">
        <v>241</v>
      </c>
      <c r="AF54" s="5" t="s">
        <v>241</v>
      </c>
      <c r="AI54" s="5" t="s">
        <v>249</v>
      </c>
      <c r="AJ54" s="4" t="s">
        <v>251</v>
      </c>
      <c r="AK54" s="4" t="s">
        <v>252</v>
      </c>
      <c r="BA54" s="4" t="s">
        <v>254</v>
      </c>
      <c r="BB54" s="4" t="s">
        <v>241</v>
      </c>
      <c r="BC54" s="4" t="s">
        <v>255</v>
      </c>
      <c r="BD54" s="4" t="s">
        <v>241</v>
      </c>
      <c r="BE54" s="4" t="s">
        <v>257</v>
      </c>
      <c r="BF54" s="4" t="s">
        <v>241</v>
      </c>
      <c r="BH54" s="4" t="s">
        <v>258</v>
      </c>
      <c r="BJ54" s="4" t="s">
        <v>374</v>
      </c>
      <c r="BK54" s="5" t="s">
        <v>375</v>
      </c>
      <c r="BL54" s="4" t="s">
        <v>261</v>
      </c>
      <c r="BM54" s="4" t="s">
        <v>290</v>
      </c>
      <c r="BN54" s="4" t="s">
        <v>241</v>
      </c>
      <c r="BO54" s="6">
        <f>0</f>
        <v>0</v>
      </c>
      <c r="BP54" s="6">
        <f>0</f>
        <v>0</v>
      </c>
      <c r="BQ54" s="4" t="s">
        <v>263</v>
      </c>
      <c r="BR54" s="4" t="s">
        <v>264</v>
      </c>
      <c r="CF54" s="4" t="s">
        <v>241</v>
      </c>
      <c r="CG54" s="4" t="s">
        <v>241</v>
      </c>
      <c r="CK54" s="4" t="s">
        <v>291</v>
      </c>
      <c r="CL54" s="4" t="s">
        <v>266</v>
      </c>
      <c r="CM54" s="4" t="s">
        <v>241</v>
      </c>
      <c r="CO54" s="4" t="s">
        <v>446</v>
      </c>
      <c r="CP54" s="5" t="s">
        <v>268</v>
      </c>
      <c r="CQ54" s="4" t="s">
        <v>269</v>
      </c>
      <c r="CR54" s="4" t="s">
        <v>270</v>
      </c>
      <c r="CS54" s="4" t="s">
        <v>241</v>
      </c>
      <c r="CT54" s="4" t="s">
        <v>241</v>
      </c>
      <c r="CU54" s="4">
        <v>0</v>
      </c>
      <c r="CV54" s="4" t="s">
        <v>271</v>
      </c>
      <c r="CW54" s="4" t="s">
        <v>272</v>
      </c>
      <c r="CX54" s="4" t="s">
        <v>347</v>
      </c>
      <c r="CZ54" s="6">
        <f t="shared" si="3"/>
        <v>2424140</v>
      </c>
      <c r="DA54" s="6">
        <f>0</f>
        <v>0</v>
      </c>
      <c r="DC54" s="4" t="s">
        <v>241</v>
      </c>
      <c r="DD54" s="4" t="s">
        <v>241</v>
      </c>
      <c r="DF54" s="4" t="s">
        <v>241</v>
      </c>
      <c r="DI54" s="4" t="s">
        <v>241</v>
      </c>
      <c r="DJ54" s="4" t="s">
        <v>241</v>
      </c>
      <c r="DK54" s="4" t="s">
        <v>241</v>
      </c>
      <c r="DL54" s="4" t="s">
        <v>241</v>
      </c>
      <c r="DM54" s="4" t="s">
        <v>277</v>
      </c>
      <c r="DN54" s="4" t="s">
        <v>278</v>
      </c>
      <c r="DO54" s="6">
        <f t="shared" si="4"/>
        <v>19.87</v>
      </c>
      <c r="DP54" s="4" t="s">
        <v>241</v>
      </c>
      <c r="DQ54" s="4" t="s">
        <v>241</v>
      </c>
      <c r="DR54" s="4" t="s">
        <v>241</v>
      </c>
      <c r="DS54" s="4" t="s">
        <v>241</v>
      </c>
      <c r="DV54" s="4" t="s">
        <v>3817</v>
      </c>
      <c r="DW54" s="4" t="s">
        <v>277</v>
      </c>
      <c r="HO54" s="4" t="s">
        <v>336</v>
      </c>
      <c r="HR54" s="4" t="s">
        <v>278</v>
      </c>
      <c r="HS54" s="4" t="s">
        <v>278</v>
      </c>
    </row>
    <row r="55" spans="1:227" x14ac:dyDescent="0.4">
      <c r="A55" s="4">
        <v>2</v>
      </c>
      <c r="B55" s="4" t="s">
        <v>239</v>
      </c>
      <c r="C55" s="4">
        <v>54</v>
      </c>
      <c r="D55" s="4">
        <v>1</v>
      </c>
      <c r="E55" s="4">
        <v>1</v>
      </c>
      <c r="F55" s="4" t="s">
        <v>240</v>
      </c>
      <c r="G55" s="4" t="s">
        <v>241</v>
      </c>
      <c r="H55" s="4" t="s">
        <v>241</v>
      </c>
      <c r="I55" s="4" t="s">
        <v>3819</v>
      </c>
      <c r="J55" s="4" t="s">
        <v>247</v>
      </c>
      <c r="K55" s="4" t="s">
        <v>256</v>
      </c>
      <c r="L55" s="4" t="s">
        <v>250</v>
      </c>
      <c r="M55" s="5" t="s">
        <v>3820</v>
      </c>
      <c r="N55" s="4" t="s">
        <v>3818</v>
      </c>
      <c r="O55" s="6">
        <f t="shared" si="0"/>
        <v>19.87</v>
      </c>
      <c r="P55" s="4" t="s">
        <v>276</v>
      </c>
      <c r="Q55" s="6">
        <f>1</f>
        <v>1</v>
      </c>
      <c r="R55" s="6">
        <f t="shared" si="1"/>
        <v>2424140</v>
      </c>
      <c r="S55" s="5" t="s">
        <v>1861</v>
      </c>
      <c r="T55" s="4" t="s">
        <v>348</v>
      </c>
      <c r="U55" s="4" t="s">
        <v>348</v>
      </c>
      <c r="W55" s="6">
        <f t="shared" si="2"/>
        <v>2424139</v>
      </c>
      <c r="X55" s="4" t="s">
        <v>243</v>
      </c>
      <c r="Y55" s="4" t="s">
        <v>244</v>
      </c>
      <c r="Z55" s="4" t="s">
        <v>246</v>
      </c>
      <c r="AA55" s="4" t="s">
        <v>241</v>
      </c>
      <c r="AD55" s="4" t="s">
        <v>241</v>
      </c>
      <c r="AF55" s="5" t="s">
        <v>241</v>
      </c>
      <c r="AI55" s="5" t="s">
        <v>249</v>
      </c>
      <c r="AJ55" s="4" t="s">
        <v>251</v>
      </c>
      <c r="AK55" s="4" t="s">
        <v>252</v>
      </c>
      <c r="BA55" s="4" t="s">
        <v>254</v>
      </c>
      <c r="BB55" s="4" t="s">
        <v>241</v>
      </c>
      <c r="BC55" s="4" t="s">
        <v>255</v>
      </c>
      <c r="BD55" s="4" t="s">
        <v>241</v>
      </c>
      <c r="BE55" s="4" t="s">
        <v>257</v>
      </c>
      <c r="BF55" s="4" t="s">
        <v>241</v>
      </c>
      <c r="BH55" s="4" t="s">
        <v>258</v>
      </c>
      <c r="BJ55" s="4" t="s">
        <v>377</v>
      </c>
      <c r="BK55" s="5" t="s">
        <v>378</v>
      </c>
      <c r="BL55" s="4" t="s">
        <v>261</v>
      </c>
      <c r="BM55" s="4" t="s">
        <v>290</v>
      </c>
      <c r="BN55" s="4" t="s">
        <v>241</v>
      </c>
      <c r="BO55" s="6">
        <f>0</f>
        <v>0</v>
      </c>
      <c r="BP55" s="6">
        <f>0</f>
        <v>0</v>
      </c>
      <c r="BQ55" s="4" t="s">
        <v>263</v>
      </c>
      <c r="BR55" s="4" t="s">
        <v>264</v>
      </c>
      <c r="CF55" s="4" t="s">
        <v>241</v>
      </c>
      <c r="CG55" s="4" t="s">
        <v>241</v>
      </c>
      <c r="CK55" s="4" t="s">
        <v>291</v>
      </c>
      <c r="CL55" s="4" t="s">
        <v>266</v>
      </c>
      <c r="CM55" s="4" t="s">
        <v>241</v>
      </c>
      <c r="CO55" s="4" t="s">
        <v>446</v>
      </c>
      <c r="CP55" s="5" t="s">
        <v>268</v>
      </c>
      <c r="CQ55" s="4" t="s">
        <v>269</v>
      </c>
      <c r="CR55" s="4" t="s">
        <v>270</v>
      </c>
      <c r="CS55" s="4" t="s">
        <v>241</v>
      </c>
      <c r="CT55" s="4" t="s">
        <v>241</v>
      </c>
      <c r="CU55" s="4">
        <v>0</v>
      </c>
      <c r="CV55" s="4" t="s">
        <v>271</v>
      </c>
      <c r="CW55" s="4" t="s">
        <v>272</v>
      </c>
      <c r="CX55" s="4" t="s">
        <v>347</v>
      </c>
      <c r="CZ55" s="6">
        <f t="shared" si="3"/>
        <v>2424140</v>
      </c>
      <c r="DA55" s="6">
        <f>0</f>
        <v>0</v>
      </c>
      <c r="DC55" s="4" t="s">
        <v>241</v>
      </c>
      <c r="DD55" s="4" t="s">
        <v>241</v>
      </c>
      <c r="DF55" s="4" t="s">
        <v>241</v>
      </c>
      <c r="DI55" s="4" t="s">
        <v>241</v>
      </c>
      <c r="DJ55" s="4" t="s">
        <v>241</v>
      </c>
      <c r="DK55" s="4" t="s">
        <v>241</v>
      </c>
      <c r="DL55" s="4" t="s">
        <v>241</v>
      </c>
      <c r="DM55" s="4" t="s">
        <v>277</v>
      </c>
      <c r="DN55" s="4" t="s">
        <v>278</v>
      </c>
      <c r="DO55" s="6">
        <f t="shared" si="4"/>
        <v>19.87</v>
      </c>
      <c r="DP55" s="4" t="s">
        <v>241</v>
      </c>
      <c r="DQ55" s="4" t="s">
        <v>241</v>
      </c>
      <c r="DR55" s="4" t="s">
        <v>241</v>
      </c>
      <c r="DS55" s="4" t="s">
        <v>241</v>
      </c>
      <c r="DV55" s="4" t="s">
        <v>3821</v>
      </c>
      <c r="DW55" s="4" t="s">
        <v>277</v>
      </c>
      <c r="HO55" s="4" t="s">
        <v>336</v>
      </c>
      <c r="HR55" s="4" t="s">
        <v>278</v>
      </c>
      <c r="HS55" s="4" t="s">
        <v>278</v>
      </c>
    </row>
    <row r="56" spans="1:227" x14ac:dyDescent="0.4">
      <c r="A56" s="4">
        <v>2</v>
      </c>
      <c r="B56" s="4" t="s">
        <v>239</v>
      </c>
      <c r="C56" s="4">
        <v>55</v>
      </c>
      <c r="D56" s="4">
        <v>1</v>
      </c>
      <c r="E56" s="4">
        <v>1</v>
      </c>
      <c r="F56" s="4" t="s">
        <v>240</v>
      </c>
      <c r="G56" s="4" t="s">
        <v>241</v>
      </c>
      <c r="H56" s="4" t="s">
        <v>241</v>
      </c>
      <c r="I56" s="4" t="s">
        <v>2954</v>
      </c>
      <c r="J56" s="4" t="s">
        <v>247</v>
      </c>
      <c r="K56" s="4" t="s">
        <v>256</v>
      </c>
      <c r="L56" s="4" t="s">
        <v>250</v>
      </c>
      <c r="M56" s="5" t="s">
        <v>2955</v>
      </c>
      <c r="N56" s="4" t="s">
        <v>2953</v>
      </c>
      <c r="O56" s="6">
        <f t="shared" si="0"/>
        <v>19.87</v>
      </c>
      <c r="P56" s="4" t="s">
        <v>276</v>
      </c>
      <c r="Q56" s="6">
        <f>1</f>
        <v>1</v>
      </c>
      <c r="R56" s="6">
        <f t="shared" si="1"/>
        <v>2424140</v>
      </c>
      <c r="S56" s="5" t="s">
        <v>1937</v>
      </c>
      <c r="T56" s="4" t="s">
        <v>348</v>
      </c>
      <c r="U56" s="4" t="s">
        <v>348</v>
      </c>
      <c r="W56" s="6">
        <f t="shared" si="2"/>
        <v>2424139</v>
      </c>
      <c r="X56" s="4" t="s">
        <v>243</v>
      </c>
      <c r="Y56" s="4" t="s">
        <v>244</v>
      </c>
      <c r="Z56" s="4" t="s">
        <v>246</v>
      </c>
      <c r="AA56" s="4" t="s">
        <v>241</v>
      </c>
      <c r="AD56" s="4" t="s">
        <v>241</v>
      </c>
      <c r="AF56" s="5" t="s">
        <v>241</v>
      </c>
      <c r="AI56" s="5" t="s">
        <v>249</v>
      </c>
      <c r="AJ56" s="4" t="s">
        <v>251</v>
      </c>
      <c r="AK56" s="4" t="s">
        <v>252</v>
      </c>
      <c r="BA56" s="4" t="s">
        <v>254</v>
      </c>
      <c r="BB56" s="4" t="s">
        <v>241</v>
      </c>
      <c r="BC56" s="4" t="s">
        <v>255</v>
      </c>
      <c r="BD56" s="4" t="s">
        <v>241</v>
      </c>
      <c r="BE56" s="4" t="s">
        <v>257</v>
      </c>
      <c r="BF56" s="4" t="s">
        <v>241</v>
      </c>
      <c r="BH56" s="4" t="s">
        <v>258</v>
      </c>
      <c r="BJ56" s="4" t="s">
        <v>259</v>
      </c>
      <c r="BK56" s="5" t="s">
        <v>260</v>
      </c>
      <c r="BL56" s="4" t="s">
        <v>261</v>
      </c>
      <c r="BM56" s="4" t="s">
        <v>290</v>
      </c>
      <c r="BN56" s="4" t="s">
        <v>241</v>
      </c>
      <c r="BO56" s="6">
        <f>0</f>
        <v>0</v>
      </c>
      <c r="BP56" s="6">
        <f>0</f>
        <v>0</v>
      </c>
      <c r="BQ56" s="4" t="s">
        <v>263</v>
      </c>
      <c r="BR56" s="4" t="s">
        <v>264</v>
      </c>
      <c r="CF56" s="4" t="s">
        <v>241</v>
      </c>
      <c r="CG56" s="4" t="s">
        <v>241</v>
      </c>
      <c r="CK56" s="4" t="s">
        <v>291</v>
      </c>
      <c r="CL56" s="4" t="s">
        <v>266</v>
      </c>
      <c r="CM56" s="4" t="s">
        <v>241</v>
      </c>
      <c r="CO56" s="4" t="s">
        <v>407</v>
      </c>
      <c r="CP56" s="5" t="s">
        <v>268</v>
      </c>
      <c r="CQ56" s="4" t="s">
        <v>269</v>
      </c>
      <c r="CR56" s="4" t="s">
        <v>270</v>
      </c>
      <c r="CS56" s="4" t="s">
        <v>241</v>
      </c>
      <c r="CT56" s="4" t="s">
        <v>241</v>
      </c>
      <c r="CU56" s="4">
        <v>0</v>
      </c>
      <c r="CV56" s="4" t="s">
        <v>271</v>
      </c>
      <c r="CW56" s="4" t="s">
        <v>272</v>
      </c>
      <c r="CX56" s="4" t="s">
        <v>347</v>
      </c>
      <c r="CZ56" s="6">
        <f t="shared" si="3"/>
        <v>2424140</v>
      </c>
      <c r="DA56" s="6">
        <f>0</f>
        <v>0</v>
      </c>
      <c r="DC56" s="4" t="s">
        <v>241</v>
      </c>
      <c r="DD56" s="4" t="s">
        <v>241</v>
      </c>
      <c r="DF56" s="4" t="s">
        <v>241</v>
      </c>
      <c r="DI56" s="4" t="s">
        <v>241</v>
      </c>
      <c r="DJ56" s="4" t="s">
        <v>241</v>
      </c>
      <c r="DK56" s="4" t="s">
        <v>241</v>
      </c>
      <c r="DL56" s="4" t="s">
        <v>241</v>
      </c>
      <c r="DM56" s="4" t="s">
        <v>277</v>
      </c>
      <c r="DN56" s="4" t="s">
        <v>278</v>
      </c>
      <c r="DO56" s="6">
        <f t="shared" si="4"/>
        <v>19.87</v>
      </c>
      <c r="DP56" s="4" t="s">
        <v>241</v>
      </c>
      <c r="DQ56" s="4" t="s">
        <v>241</v>
      </c>
      <c r="DR56" s="4" t="s">
        <v>241</v>
      </c>
      <c r="DS56" s="4" t="s">
        <v>241</v>
      </c>
      <c r="DV56" s="4" t="s">
        <v>2956</v>
      </c>
      <c r="DW56" s="4" t="s">
        <v>277</v>
      </c>
      <c r="HO56" s="4" t="s">
        <v>351</v>
      </c>
      <c r="HR56" s="4" t="s">
        <v>278</v>
      </c>
      <c r="HS56" s="4" t="s">
        <v>278</v>
      </c>
    </row>
    <row r="57" spans="1:227" x14ac:dyDescent="0.4">
      <c r="A57" s="4">
        <v>2</v>
      </c>
      <c r="B57" s="4" t="s">
        <v>239</v>
      </c>
      <c r="C57" s="4">
        <v>56</v>
      </c>
      <c r="D57" s="4">
        <v>1</v>
      </c>
      <c r="E57" s="4">
        <v>1</v>
      </c>
      <c r="F57" s="4" t="s">
        <v>240</v>
      </c>
      <c r="G57" s="4" t="s">
        <v>241</v>
      </c>
      <c r="H57" s="4" t="s">
        <v>241</v>
      </c>
      <c r="I57" s="4" t="s">
        <v>2958</v>
      </c>
      <c r="J57" s="4" t="s">
        <v>247</v>
      </c>
      <c r="K57" s="4" t="s">
        <v>256</v>
      </c>
      <c r="L57" s="4" t="s">
        <v>250</v>
      </c>
      <c r="M57" s="5" t="s">
        <v>2959</v>
      </c>
      <c r="N57" s="4" t="s">
        <v>2957</v>
      </c>
      <c r="O57" s="6">
        <f t="shared" si="0"/>
        <v>19.87</v>
      </c>
      <c r="P57" s="4" t="s">
        <v>276</v>
      </c>
      <c r="Q57" s="6">
        <f>1</f>
        <v>1</v>
      </c>
      <c r="R57" s="6">
        <f t="shared" si="1"/>
        <v>2424140</v>
      </c>
      <c r="S57" s="5" t="s">
        <v>1937</v>
      </c>
      <c r="T57" s="4" t="s">
        <v>348</v>
      </c>
      <c r="U57" s="4" t="s">
        <v>348</v>
      </c>
      <c r="W57" s="6">
        <f t="shared" si="2"/>
        <v>2424139</v>
      </c>
      <c r="X57" s="4" t="s">
        <v>243</v>
      </c>
      <c r="Y57" s="4" t="s">
        <v>244</v>
      </c>
      <c r="Z57" s="4" t="s">
        <v>246</v>
      </c>
      <c r="AA57" s="4" t="s">
        <v>241</v>
      </c>
      <c r="AD57" s="4" t="s">
        <v>241</v>
      </c>
      <c r="AF57" s="5" t="s">
        <v>241</v>
      </c>
      <c r="AI57" s="5" t="s">
        <v>249</v>
      </c>
      <c r="AJ57" s="4" t="s">
        <v>251</v>
      </c>
      <c r="AK57" s="4" t="s">
        <v>252</v>
      </c>
      <c r="BA57" s="4" t="s">
        <v>254</v>
      </c>
      <c r="BB57" s="4" t="s">
        <v>241</v>
      </c>
      <c r="BC57" s="4" t="s">
        <v>255</v>
      </c>
      <c r="BD57" s="4" t="s">
        <v>241</v>
      </c>
      <c r="BE57" s="4" t="s">
        <v>257</v>
      </c>
      <c r="BF57" s="4" t="s">
        <v>241</v>
      </c>
      <c r="BH57" s="4" t="s">
        <v>258</v>
      </c>
      <c r="BJ57" s="4" t="s">
        <v>367</v>
      </c>
      <c r="BK57" s="5" t="s">
        <v>249</v>
      </c>
      <c r="BL57" s="4" t="s">
        <v>261</v>
      </c>
      <c r="BM57" s="4" t="s">
        <v>290</v>
      </c>
      <c r="BN57" s="4" t="s">
        <v>241</v>
      </c>
      <c r="BO57" s="6">
        <f>0</f>
        <v>0</v>
      </c>
      <c r="BP57" s="6">
        <f>0</f>
        <v>0</v>
      </c>
      <c r="BQ57" s="4" t="s">
        <v>263</v>
      </c>
      <c r="BR57" s="4" t="s">
        <v>264</v>
      </c>
      <c r="CF57" s="4" t="s">
        <v>241</v>
      </c>
      <c r="CG57" s="4" t="s">
        <v>241</v>
      </c>
      <c r="CK57" s="4" t="s">
        <v>291</v>
      </c>
      <c r="CL57" s="4" t="s">
        <v>266</v>
      </c>
      <c r="CM57" s="4" t="s">
        <v>241</v>
      </c>
      <c r="CO57" s="4" t="s">
        <v>407</v>
      </c>
      <c r="CP57" s="5" t="s">
        <v>268</v>
      </c>
      <c r="CQ57" s="4" t="s">
        <v>269</v>
      </c>
      <c r="CR57" s="4" t="s">
        <v>270</v>
      </c>
      <c r="CS57" s="4" t="s">
        <v>241</v>
      </c>
      <c r="CT57" s="4" t="s">
        <v>241</v>
      </c>
      <c r="CU57" s="4">
        <v>0</v>
      </c>
      <c r="CV57" s="4" t="s">
        <v>271</v>
      </c>
      <c r="CW57" s="4" t="s">
        <v>272</v>
      </c>
      <c r="CX57" s="4" t="s">
        <v>347</v>
      </c>
      <c r="CZ57" s="6">
        <f t="shared" si="3"/>
        <v>2424140</v>
      </c>
      <c r="DA57" s="6">
        <f>0</f>
        <v>0</v>
      </c>
      <c r="DC57" s="4" t="s">
        <v>241</v>
      </c>
      <c r="DD57" s="4" t="s">
        <v>241</v>
      </c>
      <c r="DF57" s="4" t="s">
        <v>241</v>
      </c>
      <c r="DI57" s="4" t="s">
        <v>241</v>
      </c>
      <c r="DJ57" s="4" t="s">
        <v>241</v>
      </c>
      <c r="DK57" s="4" t="s">
        <v>241</v>
      </c>
      <c r="DL57" s="4" t="s">
        <v>241</v>
      </c>
      <c r="DM57" s="4" t="s">
        <v>277</v>
      </c>
      <c r="DN57" s="4" t="s">
        <v>278</v>
      </c>
      <c r="DO57" s="6">
        <f t="shared" si="4"/>
        <v>19.87</v>
      </c>
      <c r="DP57" s="4" t="s">
        <v>241</v>
      </c>
      <c r="DQ57" s="4" t="s">
        <v>241</v>
      </c>
      <c r="DR57" s="4" t="s">
        <v>241</v>
      </c>
      <c r="DS57" s="4" t="s">
        <v>241</v>
      </c>
      <c r="DV57" s="4" t="s">
        <v>2960</v>
      </c>
      <c r="DW57" s="4" t="s">
        <v>277</v>
      </c>
      <c r="HO57" s="4" t="s">
        <v>351</v>
      </c>
      <c r="HR57" s="4" t="s">
        <v>278</v>
      </c>
      <c r="HS57" s="4" t="s">
        <v>278</v>
      </c>
    </row>
    <row r="58" spans="1:227" x14ac:dyDescent="0.4">
      <c r="A58" s="4">
        <v>2</v>
      </c>
      <c r="B58" s="4" t="s">
        <v>239</v>
      </c>
      <c r="C58" s="4">
        <v>57</v>
      </c>
      <c r="D58" s="4">
        <v>1</v>
      </c>
      <c r="E58" s="4">
        <v>1</v>
      </c>
      <c r="F58" s="4" t="s">
        <v>240</v>
      </c>
      <c r="G58" s="4" t="s">
        <v>241</v>
      </c>
      <c r="H58" s="4" t="s">
        <v>241</v>
      </c>
      <c r="I58" s="4" t="s">
        <v>3434</v>
      </c>
      <c r="J58" s="4" t="s">
        <v>247</v>
      </c>
      <c r="K58" s="4" t="s">
        <v>256</v>
      </c>
      <c r="L58" s="4" t="s">
        <v>250</v>
      </c>
      <c r="M58" s="5" t="s">
        <v>3436</v>
      </c>
      <c r="N58" s="4" t="s">
        <v>3433</v>
      </c>
      <c r="O58" s="6">
        <f>58.72</f>
        <v>58.72</v>
      </c>
      <c r="P58" s="4" t="s">
        <v>276</v>
      </c>
      <c r="Q58" s="6">
        <f>1</f>
        <v>1</v>
      </c>
      <c r="R58" s="6">
        <f>7163840</f>
        <v>7163840</v>
      </c>
      <c r="S58" s="5" t="s">
        <v>3435</v>
      </c>
      <c r="T58" s="4" t="s">
        <v>348</v>
      </c>
      <c r="U58" s="4" t="s">
        <v>361</v>
      </c>
      <c r="W58" s="6">
        <f>7163839</f>
        <v>7163839</v>
      </c>
      <c r="X58" s="4" t="s">
        <v>243</v>
      </c>
      <c r="Y58" s="4" t="s">
        <v>244</v>
      </c>
      <c r="Z58" s="4" t="s">
        <v>246</v>
      </c>
      <c r="AA58" s="4" t="s">
        <v>241</v>
      </c>
      <c r="AD58" s="4" t="s">
        <v>241</v>
      </c>
      <c r="AF58" s="5" t="s">
        <v>241</v>
      </c>
      <c r="AI58" s="5" t="s">
        <v>249</v>
      </c>
      <c r="AJ58" s="4" t="s">
        <v>251</v>
      </c>
      <c r="AK58" s="4" t="s">
        <v>252</v>
      </c>
      <c r="BA58" s="4" t="s">
        <v>254</v>
      </c>
      <c r="BB58" s="4" t="s">
        <v>241</v>
      </c>
      <c r="BC58" s="4" t="s">
        <v>255</v>
      </c>
      <c r="BD58" s="4" t="s">
        <v>241</v>
      </c>
      <c r="BE58" s="4" t="s">
        <v>257</v>
      </c>
      <c r="BF58" s="4" t="s">
        <v>241</v>
      </c>
      <c r="BH58" s="4" t="s">
        <v>258</v>
      </c>
      <c r="BJ58" s="4" t="s">
        <v>374</v>
      </c>
      <c r="BK58" s="5" t="s">
        <v>375</v>
      </c>
      <c r="BL58" s="4" t="s">
        <v>261</v>
      </c>
      <c r="BM58" s="4" t="s">
        <v>262</v>
      </c>
      <c r="BN58" s="4" t="s">
        <v>241</v>
      </c>
      <c r="BO58" s="6">
        <f>0</f>
        <v>0</v>
      </c>
      <c r="BP58" s="6">
        <f>0</f>
        <v>0</v>
      </c>
      <c r="BQ58" s="4" t="s">
        <v>263</v>
      </c>
      <c r="BR58" s="4" t="s">
        <v>264</v>
      </c>
      <c r="CF58" s="4" t="s">
        <v>241</v>
      </c>
      <c r="CG58" s="4" t="s">
        <v>241</v>
      </c>
      <c r="CK58" s="4" t="s">
        <v>291</v>
      </c>
      <c r="CL58" s="4" t="s">
        <v>266</v>
      </c>
      <c r="CM58" s="4" t="s">
        <v>241</v>
      </c>
      <c r="CO58" s="4" t="s">
        <v>376</v>
      </c>
      <c r="CP58" s="5" t="s">
        <v>268</v>
      </c>
      <c r="CQ58" s="4" t="s">
        <v>269</v>
      </c>
      <c r="CR58" s="4" t="s">
        <v>270</v>
      </c>
      <c r="CS58" s="4" t="s">
        <v>241</v>
      </c>
      <c r="CT58" s="4" t="s">
        <v>241</v>
      </c>
      <c r="CU58" s="4">
        <v>0</v>
      </c>
      <c r="CV58" s="4" t="s">
        <v>271</v>
      </c>
      <c r="CW58" s="4" t="s">
        <v>272</v>
      </c>
      <c r="CX58" s="4" t="s">
        <v>347</v>
      </c>
      <c r="CZ58" s="6">
        <f>7163840</f>
        <v>7163840</v>
      </c>
      <c r="DA58" s="6">
        <f>0</f>
        <v>0</v>
      </c>
      <c r="DC58" s="4" t="s">
        <v>241</v>
      </c>
      <c r="DD58" s="4" t="s">
        <v>241</v>
      </c>
      <c r="DF58" s="4" t="s">
        <v>241</v>
      </c>
      <c r="DI58" s="4" t="s">
        <v>241</v>
      </c>
      <c r="DJ58" s="4" t="s">
        <v>241</v>
      </c>
      <c r="DK58" s="4" t="s">
        <v>241</v>
      </c>
      <c r="DL58" s="4" t="s">
        <v>241</v>
      </c>
      <c r="DM58" s="4" t="s">
        <v>277</v>
      </c>
      <c r="DN58" s="4" t="s">
        <v>278</v>
      </c>
      <c r="DO58" s="6">
        <f>58.72</f>
        <v>58.72</v>
      </c>
      <c r="DP58" s="4" t="s">
        <v>241</v>
      </c>
      <c r="DQ58" s="4" t="s">
        <v>241</v>
      </c>
      <c r="DR58" s="4" t="s">
        <v>241</v>
      </c>
      <c r="DS58" s="4" t="s">
        <v>241</v>
      </c>
      <c r="DV58" s="4" t="s">
        <v>3437</v>
      </c>
      <c r="DW58" s="4" t="s">
        <v>277</v>
      </c>
      <c r="HO58" s="4" t="s">
        <v>277</v>
      </c>
      <c r="HR58" s="4" t="s">
        <v>278</v>
      </c>
      <c r="HS58" s="4" t="s">
        <v>278</v>
      </c>
    </row>
    <row r="59" spans="1:227" x14ac:dyDescent="0.4">
      <c r="A59" s="4">
        <v>2</v>
      </c>
      <c r="B59" s="4" t="s">
        <v>239</v>
      </c>
      <c r="C59" s="4">
        <v>58</v>
      </c>
      <c r="D59" s="4">
        <v>1</v>
      </c>
      <c r="E59" s="4">
        <v>1</v>
      </c>
      <c r="F59" s="4" t="s">
        <v>240</v>
      </c>
      <c r="G59" s="4" t="s">
        <v>241</v>
      </c>
      <c r="H59" s="4" t="s">
        <v>241</v>
      </c>
      <c r="I59" s="4" t="s">
        <v>3439</v>
      </c>
      <c r="J59" s="4" t="s">
        <v>247</v>
      </c>
      <c r="K59" s="4" t="s">
        <v>256</v>
      </c>
      <c r="L59" s="4" t="s">
        <v>250</v>
      </c>
      <c r="M59" s="5" t="s">
        <v>3440</v>
      </c>
      <c r="N59" s="4" t="s">
        <v>3438</v>
      </c>
      <c r="O59" s="6">
        <f>36.29</f>
        <v>36.29</v>
      </c>
      <c r="P59" s="4" t="s">
        <v>276</v>
      </c>
      <c r="Q59" s="6">
        <f>1</f>
        <v>1</v>
      </c>
      <c r="R59" s="6">
        <f>2177400</f>
        <v>2177400</v>
      </c>
      <c r="S59" s="5" t="s">
        <v>1623</v>
      </c>
      <c r="T59" s="4" t="s">
        <v>274</v>
      </c>
      <c r="U59" s="4" t="s">
        <v>437</v>
      </c>
      <c r="W59" s="6">
        <f>2177399</f>
        <v>2177399</v>
      </c>
      <c r="X59" s="4" t="s">
        <v>243</v>
      </c>
      <c r="Y59" s="4" t="s">
        <v>244</v>
      </c>
      <c r="Z59" s="4" t="s">
        <v>246</v>
      </c>
      <c r="AA59" s="4" t="s">
        <v>241</v>
      </c>
      <c r="AD59" s="4" t="s">
        <v>241</v>
      </c>
      <c r="AF59" s="5" t="s">
        <v>241</v>
      </c>
      <c r="AI59" s="5" t="s">
        <v>249</v>
      </c>
      <c r="AJ59" s="4" t="s">
        <v>251</v>
      </c>
      <c r="AK59" s="4" t="s">
        <v>252</v>
      </c>
      <c r="BA59" s="4" t="s">
        <v>254</v>
      </c>
      <c r="BB59" s="4" t="s">
        <v>241</v>
      </c>
      <c r="BC59" s="4" t="s">
        <v>255</v>
      </c>
      <c r="BD59" s="4" t="s">
        <v>241</v>
      </c>
      <c r="BE59" s="4" t="s">
        <v>257</v>
      </c>
      <c r="BF59" s="4" t="s">
        <v>241</v>
      </c>
      <c r="BH59" s="4" t="s">
        <v>258</v>
      </c>
      <c r="BJ59" s="4" t="s">
        <v>377</v>
      </c>
      <c r="BK59" s="5" t="s">
        <v>378</v>
      </c>
      <c r="BL59" s="4" t="s">
        <v>261</v>
      </c>
      <c r="BM59" s="4" t="s">
        <v>262</v>
      </c>
      <c r="BN59" s="4" t="s">
        <v>241</v>
      </c>
      <c r="BO59" s="6">
        <f>0</f>
        <v>0</v>
      </c>
      <c r="BP59" s="6">
        <f>0</f>
        <v>0</v>
      </c>
      <c r="BQ59" s="4" t="s">
        <v>263</v>
      </c>
      <c r="BR59" s="4" t="s">
        <v>264</v>
      </c>
      <c r="CF59" s="4" t="s">
        <v>241</v>
      </c>
      <c r="CG59" s="4" t="s">
        <v>241</v>
      </c>
      <c r="CK59" s="4" t="s">
        <v>265</v>
      </c>
      <c r="CL59" s="4" t="s">
        <v>266</v>
      </c>
      <c r="CM59" s="4" t="s">
        <v>241</v>
      </c>
      <c r="CO59" s="4" t="s">
        <v>436</v>
      </c>
      <c r="CP59" s="5" t="s">
        <v>268</v>
      </c>
      <c r="CQ59" s="4" t="s">
        <v>269</v>
      </c>
      <c r="CR59" s="4" t="s">
        <v>270</v>
      </c>
      <c r="CS59" s="4" t="s">
        <v>241</v>
      </c>
      <c r="CT59" s="4" t="s">
        <v>241</v>
      </c>
      <c r="CU59" s="4">
        <v>0</v>
      </c>
      <c r="CV59" s="4" t="s">
        <v>271</v>
      </c>
      <c r="CW59" s="4" t="s">
        <v>272</v>
      </c>
      <c r="CX59" s="4" t="s">
        <v>273</v>
      </c>
      <c r="CZ59" s="6">
        <f>2177400</f>
        <v>2177400</v>
      </c>
      <c r="DA59" s="6">
        <f>0</f>
        <v>0</v>
      </c>
      <c r="DC59" s="4" t="s">
        <v>241</v>
      </c>
      <c r="DD59" s="4" t="s">
        <v>241</v>
      </c>
      <c r="DF59" s="4" t="s">
        <v>241</v>
      </c>
      <c r="DI59" s="4" t="s">
        <v>241</v>
      </c>
      <c r="DJ59" s="4" t="s">
        <v>241</v>
      </c>
      <c r="DK59" s="4" t="s">
        <v>241</v>
      </c>
      <c r="DL59" s="4" t="s">
        <v>241</v>
      </c>
      <c r="DM59" s="4" t="s">
        <v>277</v>
      </c>
      <c r="DN59" s="4" t="s">
        <v>278</v>
      </c>
      <c r="DO59" s="6">
        <f>36.29</f>
        <v>36.29</v>
      </c>
      <c r="DP59" s="4" t="s">
        <v>241</v>
      </c>
      <c r="DQ59" s="4" t="s">
        <v>241</v>
      </c>
      <c r="DR59" s="4" t="s">
        <v>241</v>
      </c>
      <c r="DS59" s="4" t="s">
        <v>241</v>
      </c>
      <c r="DV59" s="4" t="s">
        <v>3441</v>
      </c>
      <c r="DW59" s="4" t="s">
        <v>277</v>
      </c>
      <c r="HO59" s="4" t="s">
        <v>277</v>
      </c>
      <c r="HR59" s="4" t="s">
        <v>278</v>
      </c>
      <c r="HS59" s="4" t="s">
        <v>278</v>
      </c>
    </row>
    <row r="60" spans="1:227" x14ac:dyDescent="0.4">
      <c r="A60" s="4">
        <v>2</v>
      </c>
      <c r="B60" s="4" t="s">
        <v>239</v>
      </c>
      <c r="C60" s="4">
        <v>59</v>
      </c>
      <c r="D60" s="4">
        <v>1</v>
      </c>
      <c r="E60" s="4">
        <v>1</v>
      </c>
      <c r="F60" s="4" t="s">
        <v>240</v>
      </c>
      <c r="G60" s="4" t="s">
        <v>241</v>
      </c>
      <c r="H60" s="4" t="s">
        <v>241</v>
      </c>
      <c r="I60" s="4" t="s">
        <v>2962</v>
      </c>
      <c r="J60" s="4" t="s">
        <v>247</v>
      </c>
      <c r="K60" s="4" t="s">
        <v>256</v>
      </c>
      <c r="L60" s="4" t="s">
        <v>250</v>
      </c>
      <c r="M60" s="5" t="s">
        <v>2964</v>
      </c>
      <c r="N60" s="4" t="s">
        <v>2961</v>
      </c>
      <c r="O60" s="6">
        <f>19.87</f>
        <v>19.87</v>
      </c>
      <c r="P60" s="4" t="s">
        <v>276</v>
      </c>
      <c r="Q60" s="6">
        <f>1</f>
        <v>1</v>
      </c>
      <c r="R60" s="6">
        <f>2424140</f>
        <v>2424140</v>
      </c>
      <c r="S60" s="5" t="s">
        <v>2963</v>
      </c>
      <c r="T60" s="4" t="s">
        <v>348</v>
      </c>
      <c r="U60" s="4" t="s">
        <v>348</v>
      </c>
      <c r="W60" s="6">
        <f>2424139</f>
        <v>2424139</v>
      </c>
      <c r="X60" s="4" t="s">
        <v>243</v>
      </c>
      <c r="Y60" s="4" t="s">
        <v>244</v>
      </c>
      <c r="Z60" s="4" t="s">
        <v>246</v>
      </c>
      <c r="AA60" s="4" t="s">
        <v>241</v>
      </c>
      <c r="AD60" s="4" t="s">
        <v>241</v>
      </c>
      <c r="AF60" s="5" t="s">
        <v>241</v>
      </c>
      <c r="AI60" s="5" t="s">
        <v>249</v>
      </c>
      <c r="AJ60" s="4" t="s">
        <v>251</v>
      </c>
      <c r="AK60" s="4" t="s">
        <v>252</v>
      </c>
      <c r="BA60" s="4" t="s">
        <v>254</v>
      </c>
      <c r="BB60" s="4" t="s">
        <v>241</v>
      </c>
      <c r="BC60" s="4" t="s">
        <v>255</v>
      </c>
      <c r="BD60" s="4" t="s">
        <v>241</v>
      </c>
      <c r="BE60" s="4" t="s">
        <v>257</v>
      </c>
      <c r="BF60" s="4" t="s">
        <v>241</v>
      </c>
      <c r="BH60" s="4" t="s">
        <v>258</v>
      </c>
      <c r="BJ60" s="4" t="s">
        <v>259</v>
      </c>
      <c r="BK60" s="5" t="s">
        <v>260</v>
      </c>
      <c r="BL60" s="4" t="s">
        <v>261</v>
      </c>
      <c r="BM60" s="4" t="s">
        <v>290</v>
      </c>
      <c r="BN60" s="4" t="s">
        <v>241</v>
      </c>
      <c r="BO60" s="6">
        <f>0</f>
        <v>0</v>
      </c>
      <c r="BP60" s="6">
        <f>0</f>
        <v>0</v>
      </c>
      <c r="BQ60" s="4" t="s">
        <v>263</v>
      </c>
      <c r="BR60" s="4" t="s">
        <v>264</v>
      </c>
      <c r="CF60" s="4" t="s">
        <v>241</v>
      </c>
      <c r="CG60" s="4" t="s">
        <v>241</v>
      </c>
      <c r="CK60" s="4" t="s">
        <v>291</v>
      </c>
      <c r="CL60" s="4" t="s">
        <v>266</v>
      </c>
      <c r="CM60" s="4" t="s">
        <v>241</v>
      </c>
      <c r="CO60" s="4" t="s">
        <v>1444</v>
      </c>
      <c r="CP60" s="5" t="s">
        <v>268</v>
      </c>
      <c r="CQ60" s="4" t="s">
        <v>269</v>
      </c>
      <c r="CR60" s="4" t="s">
        <v>270</v>
      </c>
      <c r="CS60" s="4" t="s">
        <v>241</v>
      </c>
      <c r="CT60" s="4" t="s">
        <v>241</v>
      </c>
      <c r="CU60" s="4">
        <v>0</v>
      </c>
      <c r="CV60" s="4" t="s">
        <v>271</v>
      </c>
      <c r="CW60" s="4" t="s">
        <v>272</v>
      </c>
      <c r="CX60" s="4" t="s">
        <v>347</v>
      </c>
      <c r="CZ60" s="6">
        <f>2424140</f>
        <v>2424140</v>
      </c>
      <c r="DA60" s="6">
        <f>0</f>
        <v>0</v>
      </c>
      <c r="DC60" s="4" t="s">
        <v>241</v>
      </c>
      <c r="DD60" s="4" t="s">
        <v>241</v>
      </c>
      <c r="DF60" s="4" t="s">
        <v>241</v>
      </c>
      <c r="DI60" s="4" t="s">
        <v>241</v>
      </c>
      <c r="DJ60" s="4" t="s">
        <v>241</v>
      </c>
      <c r="DK60" s="4" t="s">
        <v>241</v>
      </c>
      <c r="DL60" s="4" t="s">
        <v>241</v>
      </c>
      <c r="DM60" s="4" t="s">
        <v>277</v>
      </c>
      <c r="DN60" s="4" t="s">
        <v>278</v>
      </c>
      <c r="DO60" s="6">
        <f>19.87</f>
        <v>19.87</v>
      </c>
      <c r="DP60" s="4" t="s">
        <v>241</v>
      </c>
      <c r="DQ60" s="4" t="s">
        <v>241</v>
      </c>
      <c r="DR60" s="4" t="s">
        <v>241</v>
      </c>
      <c r="DS60" s="4" t="s">
        <v>241</v>
      </c>
      <c r="DV60" s="4" t="s">
        <v>2965</v>
      </c>
      <c r="DW60" s="4" t="s">
        <v>277</v>
      </c>
      <c r="HO60" s="4" t="s">
        <v>300</v>
      </c>
      <c r="HR60" s="4" t="s">
        <v>278</v>
      </c>
      <c r="HS60" s="4" t="s">
        <v>278</v>
      </c>
    </row>
    <row r="61" spans="1:227" x14ac:dyDescent="0.4">
      <c r="A61" s="4">
        <v>2</v>
      </c>
      <c r="B61" s="4" t="s">
        <v>239</v>
      </c>
      <c r="C61" s="4">
        <v>60</v>
      </c>
      <c r="D61" s="4">
        <v>1</v>
      </c>
      <c r="E61" s="4">
        <v>1</v>
      </c>
      <c r="F61" s="4" t="s">
        <v>240</v>
      </c>
      <c r="G61" s="4" t="s">
        <v>241</v>
      </c>
      <c r="H61" s="4" t="s">
        <v>241</v>
      </c>
      <c r="I61" s="4" t="s">
        <v>3443</v>
      </c>
      <c r="J61" s="4" t="s">
        <v>247</v>
      </c>
      <c r="K61" s="4" t="s">
        <v>256</v>
      </c>
      <c r="L61" s="4" t="s">
        <v>250</v>
      </c>
      <c r="M61" s="5" t="s">
        <v>3444</v>
      </c>
      <c r="N61" s="4" t="s">
        <v>3442</v>
      </c>
      <c r="O61" s="6">
        <f>24.84</f>
        <v>24.84</v>
      </c>
      <c r="P61" s="4" t="s">
        <v>276</v>
      </c>
      <c r="Q61" s="6">
        <f>1</f>
        <v>1</v>
      </c>
      <c r="R61" s="6">
        <f>3030480</f>
        <v>3030480</v>
      </c>
      <c r="S61" s="5" t="s">
        <v>369</v>
      </c>
      <c r="T61" s="4" t="s">
        <v>348</v>
      </c>
      <c r="U61" s="4" t="s">
        <v>371</v>
      </c>
      <c r="W61" s="6">
        <f>3030479</f>
        <v>3030479</v>
      </c>
      <c r="X61" s="4" t="s">
        <v>243</v>
      </c>
      <c r="Y61" s="4" t="s">
        <v>244</v>
      </c>
      <c r="Z61" s="4" t="s">
        <v>246</v>
      </c>
      <c r="AA61" s="4" t="s">
        <v>241</v>
      </c>
      <c r="AD61" s="4" t="s">
        <v>241</v>
      </c>
      <c r="AF61" s="5" t="s">
        <v>241</v>
      </c>
      <c r="AI61" s="5" t="s">
        <v>249</v>
      </c>
      <c r="AJ61" s="4" t="s">
        <v>251</v>
      </c>
      <c r="AK61" s="4" t="s">
        <v>252</v>
      </c>
      <c r="BA61" s="4" t="s">
        <v>254</v>
      </c>
      <c r="BB61" s="4" t="s">
        <v>241</v>
      </c>
      <c r="BC61" s="4" t="s">
        <v>255</v>
      </c>
      <c r="BD61" s="4" t="s">
        <v>241</v>
      </c>
      <c r="BE61" s="4" t="s">
        <v>257</v>
      </c>
      <c r="BF61" s="4" t="s">
        <v>241</v>
      </c>
      <c r="BH61" s="4" t="s">
        <v>258</v>
      </c>
      <c r="BJ61" s="4" t="s">
        <v>367</v>
      </c>
      <c r="BK61" s="5" t="s">
        <v>249</v>
      </c>
      <c r="BL61" s="4" t="s">
        <v>261</v>
      </c>
      <c r="BM61" s="4" t="s">
        <v>262</v>
      </c>
      <c r="BN61" s="4" t="s">
        <v>241</v>
      </c>
      <c r="BO61" s="6">
        <f>0</f>
        <v>0</v>
      </c>
      <c r="BP61" s="6">
        <f>0</f>
        <v>0</v>
      </c>
      <c r="BQ61" s="4" t="s">
        <v>263</v>
      </c>
      <c r="BR61" s="4" t="s">
        <v>264</v>
      </c>
      <c r="CF61" s="4" t="s">
        <v>241</v>
      </c>
      <c r="CG61" s="4" t="s">
        <v>241</v>
      </c>
      <c r="CK61" s="4" t="s">
        <v>291</v>
      </c>
      <c r="CL61" s="4" t="s">
        <v>266</v>
      </c>
      <c r="CM61" s="4" t="s">
        <v>241</v>
      </c>
      <c r="CO61" s="4" t="s">
        <v>360</v>
      </c>
      <c r="CP61" s="5" t="s">
        <v>268</v>
      </c>
      <c r="CQ61" s="4" t="s">
        <v>269</v>
      </c>
      <c r="CR61" s="4" t="s">
        <v>270</v>
      </c>
      <c r="CS61" s="4" t="s">
        <v>241</v>
      </c>
      <c r="CT61" s="4" t="s">
        <v>241</v>
      </c>
      <c r="CU61" s="4">
        <v>0</v>
      </c>
      <c r="CV61" s="4" t="s">
        <v>271</v>
      </c>
      <c r="CW61" s="4" t="s">
        <v>272</v>
      </c>
      <c r="CX61" s="4" t="s">
        <v>347</v>
      </c>
      <c r="CZ61" s="6">
        <f>3030480</f>
        <v>3030480</v>
      </c>
      <c r="DA61" s="6">
        <f>0</f>
        <v>0</v>
      </c>
      <c r="DC61" s="4" t="s">
        <v>241</v>
      </c>
      <c r="DD61" s="4" t="s">
        <v>241</v>
      </c>
      <c r="DF61" s="4" t="s">
        <v>241</v>
      </c>
      <c r="DI61" s="4" t="s">
        <v>241</v>
      </c>
      <c r="DJ61" s="4" t="s">
        <v>241</v>
      </c>
      <c r="DK61" s="4" t="s">
        <v>241</v>
      </c>
      <c r="DL61" s="4" t="s">
        <v>241</v>
      </c>
      <c r="DM61" s="4" t="s">
        <v>277</v>
      </c>
      <c r="DN61" s="4" t="s">
        <v>278</v>
      </c>
      <c r="DO61" s="6">
        <f>24.84</f>
        <v>24.84</v>
      </c>
      <c r="DP61" s="4" t="s">
        <v>241</v>
      </c>
      <c r="DQ61" s="4" t="s">
        <v>241</v>
      </c>
      <c r="DR61" s="4" t="s">
        <v>241</v>
      </c>
      <c r="DS61" s="4" t="s">
        <v>241</v>
      </c>
      <c r="DV61" s="4" t="s">
        <v>3445</v>
      </c>
      <c r="DW61" s="4" t="s">
        <v>277</v>
      </c>
      <c r="HO61" s="4" t="s">
        <v>277</v>
      </c>
      <c r="HR61" s="4" t="s">
        <v>278</v>
      </c>
      <c r="HS61" s="4" t="s">
        <v>278</v>
      </c>
    </row>
    <row r="62" spans="1:227" x14ac:dyDescent="0.4">
      <c r="A62" s="4">
        <v>2</v>
      </c>
      <c r="B62" s="4" t="s">
        <v>239</v>
      </c>
      <c r="C62" s="4">
        <v>61</v>
      </c>
      <c r="D62" s="4">
        <v>1</v>
      </c>
      <c r="E62" s="4">
        <v>1</v>
      </c>
      <c r="F62" s="4" t="s">
        <v>240</v>
      </c>
      <c r="G62" s="4" t="s">
        <v>241</v>
      </c>
      <c r="H62" s="4" t="s">
        <v>241</v>
      </c>
      <c r="I62" s="4" t="s">
        <v>3447</v>
      </c>
      <c r="J62" s="4" t="s">
        <v>247</v>
      </c>
      <c r="K62" s="4" t="s">
        <v>256</v>
      </c>
      <c r="L62" s="4" t="s">
        <v>250</v>
      </c>
      <c r="M62" s="5" t="s">
        <v>3449</v>
      </c>
      <c r="N62" s="4" t="s">
        <v>3446</v>
      </c>
      <c r="O62" s="6">
        <f>12.43</f>
        <v>12.43</v>
      </c>
      <c r="P62" s="4" t="s">
        <v>276</v>
      </c>
      <c r="Q62" s="6">
        <f>1</f>
        <v>1</v>
      </c>
      <c r="R62" s="6">
        <f>1516460</f>
        <v>1516460</v>
      </c>
      <c r="S62" s="5" t="s">
        <v>3448</v>
      </c>
      <c r="T62" s="4" t="s">
        <v>348</v>
      </c>
      <c r="U62" s="4" t="s">
        <v>348</v>
      </c>
      <c r="W62" s="6">
        <f>1516459</f>
        <v>1516459</v>
      </c>
      <c r="X62" s="4" t="s">
        <v>243</v>
      </c>
      <c r="Y62" s="4" t="s">
        <v>244</v>
      </c>
      <c r="Z62" s="4" t="s">
        <v>246</v>
      </c>
      <c r="AA62" s="4" t="s">
        <v>241</v>
      </c>
      <c r="AD62" s="4" t="s">
        <v>241</v>
      </c>
      <c r="AF62" s="5" t="s">
        <v>241</v>
      </c>
      <c r="AI62" s="5" t="s">
        <v>249</v>
      </c>
      <c r="AJ62" s="4" t="s">
        <v>251</v>
      </c>
      <c r="AK62" s="4" t="s">
        <v>252</v>
      </c>
      <c r="BA62" s="4" t="s">
        <v>254</v>
      </c>
      <c r="BB62" s="4" t="s">
        <v>241</v>
      </c>
      <c r="BC62" s="4" t="s">
        <v>255</v>
      </c>
      <c r="BD62" s="4" t="s">
        <v>241</v>
      </c>
      <c r="BE62" s="4" t="s">
        <v>257</v>
      </c>
      <c r="BF62" s="4" t="s">
        <v>241</v>
      </c>
      <c r="BH62" s="4" t="s">
        <v>258</v>
      </c>
      <c r="BJ62" s="4" t="s">
        <v>374</v>
      </c>
      <c r="BK62" s="5" t="s">
        <v>375</v>
      </c>
      <c r="BL62" s="4" t="s">
        <v>261</v>
      </c>
      <c r="BM62" s="4" t="s">
        <v>262</v>
      </c>
      <c r="BN62" s="4" t="s">
        <v>241</v>
      </c>
      <c r="BO62" s="6">
        <f>0</f>
        <v>0</v>
      </c>
      <c r="BP62" s="6">
        <f>0</f>
        <v>0</v>
      </c>
      <c r="BQ62" s="4" t="s">
        <v>263</v>
      </c>
      <c r="BR62" s="4" t="s">
        <v>264</v>
      </c>
      <c r="CF62" s="4" t="s">
        <v>241</v>
      </c>
      <c r="CG62" s="4" t="s">
        <v>241</v>
      </c>
      <c r="CK62" s="4" t="s">
        <v>291</v>
      </c>
      <c r="CL62" s="4" t="s">
        <v>266</v>
      </c>
      <c r="CM62" s="4" t="s">
        <v>241</v>
      </c>
      <c r="CO62" s="4" t="s">
        <v>449</v>
      </c>
      <c r="CP62" s="5" t="s">
        <v>268</v>
      </c>
      <c r="CQ62" s="4" t="s">
        <v>269</v>
      </c>
      <c r="CR62" s="4" t="s">
        <v>270</v>
      </c>
      <c r="CS62" s="4" t="s">
        <v>241</v>
      </c>
      <c r="CT62" s="4" t="s">
        <v>241</v>
      </c>
      <c r="CU62" s="4">
        <v>0</v>
      </c>
      <c r="CV62" s="4" t="s">
        <v>271</v>
      </c>
      <c r="CW62" s="4" t="s">
        <v>272</v>
      </c>
      <c r="CX62" s="4" t="s">
        <v>347</v>
      </c>
      <c r="CZ62" s="6">
        <f>1516460</f>
        <v>1516460</v>
      </c>
      <c r="DA62" s="6">
        <f>0</f>
        <v>0</v>
      </c>
      <c r="DC62" s="4" t="s">
        <v>241</v>
      </c>
      <c r="DD62" s="4" t="s">
        <v>241</v>
      </c>
      <c r="DF62" s="4" t="s">
        <v>241</v>
      </c>
      <c r="DI62" s="4" t="s">
        <v>241</v>
      </c>
      <c r="DJ62" s="4" t="s">
        <v>241</v>
      </c>
      <c r="DK62" s="4" t="s">
        <v>241</v>
      </c>
      <c r="DL62" s="4" t="s">
        <v>241</v>
      </c>
      <c r="DM62" s="4" t="s">
        <v>277</v>
      </c>
      <c r="DN62" s="4" t="s">
        <v>278</v>
      </c>
      <c r="DO62" s="6">
        <f>12.43</f>
        <v>12.43</v>
      </c>
      <c r="DP62" s="4" t="s">
        <v>241</v>
      </c>
      <c r="DQ62" s="4" t="s">
        <v>241</v>
      </c>
      <c r="DR62" s="4" t="s">
        <v>241</v>
      </c>
      <c r="DS62" s="4" t="s">
        <v>241</v>
      </c>
      <c r="DV62" s="4" t="s">
        <v>3450</v>
      </c>
      <c r="DW62" s="4" t="s">
        <v>277</v>
      </c>
      <c r="HO62" s="4" t="s">
        <v>277</v>
      </c>
      <c r="HR62" s="4" t="s">
        <v>278</v>
      </c>
      <c r="HS62" s="4" t="s">
        <v>278</v>
      </c>
    </row>
    <row r="63" spans="1:227" x14ac:dyDescent="0.4">
      <c r="A63" s="4">
        <v>2</v>
      </c>
      <c r="B63" s="4" t="s">
        <v>239</v>
      </c>
      <c r="C63" s="4">
        <v>62</v>
      </c>
      <c r="D63" s="4">
        <v>1</v>
      </c>
      <c r="E63" s="4">
        <v>1</v>
      </c>
      <c r="F63" s="4" t="s">
        <v>240</v>
      </c>
      <c r="G63" s="4" t="s">
        <v>241</v>
      </c>
      <c r="H63" s="4" t="s">
        <v>241</v>
      </c>
      <c r="I63" s="4" t="s">
        <v>2967</v>
      </c>
      <c r="J63" s="4" t="s">
        <v>247</v>
      </c>
      <c r="K63" s="4" t="s">
        <v>256</v>
      </c>
      <c r="L63" s="4" t="s">
        <v>250</v>
      </c>
      <c r="M63" s="5" t="s">
        <v>2968</v>
      </c>
      <c r="N63" s="4" t="s">
        <v>2966</v>
      </c>
      <c r="O63" s="6">
        <f>19.87</f>
        <v>19.87</v>
      </c>
      <c r="P63" s="4" t="s">
        <v>276</v>
      </c>
      <c r="Q63" s="6">
        <f>1</f>
        <v>1</v>
      </c>
      <c r="R63" s="6">
        <f>2424140</f>
        <v>2424140</v>
      </c>
      <c r="S63" s="5" t="s">
        <v>2963</v>
      </c>
      <c r="T63" s="4" t="s">
        <v>348</v>
      </c>
      <c r="U63" s="4" t="s">
        <v>348</v>
      </c>
      <c r="W63" s="6">
        <f>2424139</f>
        <v>2424139</v>
      </c>
      <c r="X63" s="4" t="s">
        <v>243</v>
      </c>
      <c r="Y63" s="4" t="s">
        <v>244</v>
      </c>
      <c r="Z63" s="4" t="s">
        <v>246</v>
      </c>
      <c r="AA63" s="4" t="s">
        <v>241</v>
      </c>
      <c r="AD63" s="4" t="s">
        <v>241</v>
      </c>
      <c r="AF63" s="5" t="s">
        <v>241</v>
      </c>
      <c r="AI63" s="5" t="s">
        <v>249</v>
      </c>
      <c r="AJ63" s="4" t="s">
        <v>251</v>
      </c>
      <c r="AK63" s="4" t="s">
        <v>252</v>
      </c>
      <c r="BA63" s="4" t="s">
        <v>254</v>
      </c>
      <c r="BB63" s="4" t="s">
        <v>241</v>
      </c>
      <c r="BC63" s="4" t="s">
        <v>255</v>
      </c>
      <c r="BD63" s="4" t="s">
        <v>241</v>
      </c>
      <c r="BE63" s="4" t="s">
        <v>257</v>
      </c>
      <c r="BF63" s="4" t="s">
        <v>241</v>
      </c>
      <c r="BH63" s="4" t="s">
        <v>258</v>
      </c>
      <c r="BJ63" s="4" t="s">
        <v>377</v>
      </c>
      <c r="BK63" s="5" t="s">
        <v>378</v>
      </c>
      <c r="BL63" s="4" t="s">
        <v>261</v>
      </c>
      <c r="BM63" s="4" t="s">
        <v>290</v>
      </c>
      <c r="BN63" s="4" t="s">
        <v>241</v>
      </c>
      <c r="BO63" s="6">
        <f>0</f>
        <v>0</v>
      </c>
      <c r="BP63" s="6">
        <f>0</f>
        <v>0</v>
      </c>
      <c r="BQ63" s="4" t="s">
        <v>263</v>
      </c>
      <c r="BR63" s="4" t="s">
        <v>264</v>
      </c>
      <c r="CF63" s="4" t="s">
        <v>241</v>
      </c>
      <c r="CG63" s="4" t="s">
        <v>241</v>
      </c>
      <c r="CK63" s="4" t="s">
        <v>291</v>
      </c>
      <c r="CL63" s="4" t="s">
        <v>266</v>
      </c>
      <c r="CM63" s="4" t="s">
        <v>241</v>
      </c>
      <c r="CO63" s="4" t="s">
        <v>1444</v>
      </c>
      <c r="CP63" s="5" t="s">
        <v>268</v>
      </c>
      <c r="CQ63" s="4" t="s">
        <v>269</v>
      </c>
      <c r="CR63" s="4" t="s">
        <v>270</v>
      </c>
      <c r="CS63" s="4" t="s">
        <v>241</v>
      </c>
      <c r="CT63" s="4" t="s">
        <v>241</v>
      </c>
      <c r="CU63" s="4">
        <v>0</v>
      </c>
      <c r="CV63" s="4" t="s">
        <v>271</v>
      </c>
      <c r="CW63" s="4" t="s">
        <v>272</v>
      </c>
      <c r="CX63" s="4" t="s">
        <v>347</v>
      </c>
      <c r="CZ63" s="6">
        <f>2424140</f>
        <v>2424140</v>
      </c>
      <c r="DA63" s="6">
        <f>0</f>
        <v>0</v>
      </c>
      <c r="DC63" s="4" t="s">
        <v>241</v>
      </c>
      <c r="DD63" s="4" t="s">
        <v>241</v>
      </c>
      <c r="DF63" s="4" t="s">
        <v>241</v>
      </c>
      <c r="DI63" s="4" t="s">
        <v>241</v>
      </c>
      <c r="DJ63" s="4" t="s">
        <v>241</v>
      </c>
      <c r="DK63" s="4" t="s">
        <v>241</v>
      </c>
      <c r="DL63" s="4" t="s">
        <v>241</v>
      </c>
      <c r="DM63" s="4" t="s">
        <v>277</v>
      </c>
      <c r="DN63" s="4" t="s">
        <v>278</v>
      </c>
      <c r="DO63" s="6">
        <f>19.87</f>
        <v>19.87</v>
      </c>
      <c r="DP63" s="4" t="s">
        <v>241</v>
      </c>
      <c r="DQ63" s="4" t="s">
        <v>241</v>
      </c>
      <c r="DR63" s="4" t="s">
        <v>241</v>
      </c>
      <c r="DS63" s="4" t="s">
        <v>241</v>
      </c>
      <c r="DV63" s="4" t="s">
        <v>2969</v>
      </c>
      <c r="DW63" s="4" t="s">
        <v>277</v>
      </c>
      <c r="HO63" s="4" t="s">
        <v>300</v>
      </c>
      <c r="HR63" s="4" t="s">
        <v>278</v>
      </c>
      <c r="HS63" s="4" t="s">
        <v>278</v>
      </c>
    </row>
    <row r="64" spans="1:227" x14ac:dyDescent="0.4">
      <c r="A64" s="4">
        <v>2</v>
      </c>
      <c r="B64" s="4" t="s">
        <v>239</v>
      </c>
      <c r="C64" s="4">
        <v>63</v>
      </c>
      <c r="D64" s="4">
        <v>1</v>
      </c>
      <c r="E64" s="4">
        <v>1</v>
      </c>
      <c r="F64" s="4" t="s">
        <v>240</v>
      </c>
      <c r="G64" s="4" t="s">
        <v>241</v>
      </c>
      <c r="H64" s="4" t="s">
        <v>241</v>
      </c>
      <c r="I64" s="4" t="s">
        <v>2971</v>
      </c>
      <c r="J64" s="4" t="s">
        <v>247</v>
      </c>
      <c r="K64" s="4" t="s">
        <v>256</v>
      </c>
      <c r="L64" s="4" t="s">
        <v>250</v>
      </c>
      <c r="M64" s="5" t="s">
        <v>2972</v>
      </c>
      <c r="N64" s="4" t="s">
        <v>2970</v>
      </c>
      <c r="O64" s="6">
        <f>19.87</f>
        <v>19.87</v>
      </c>
      <c r="P64" s="4" t="s">
        <v>276</v>
      </c>
      <c r="Q64" s="6">
        <f>1</f>
        <v>1</v>
      </c>
      <c r="R64" s="6">
        <f>2424140</f>
        <v>2424140</v>
      </c>
      <c r="S64" s="5" t="s">
        <v>1861</v>
      </c>
      <c r="T64" s="4" t="s">
        <v>348</v>
      </c>
      <c r="U64" s="4" t="s">
        <v>348</v>
      </c>
      <c r="W64" s="6">
        <f>2424139</f>
        <v>2424139</v>
      </c>
      <c r="X64" s="4" t="s">
        <v>243</v>
      </c>
      <c r="Y64" s="4" t="s">
        <v>244</v>
      </c>
      <c r="Z64" s="4" t="s">
        <v>246</v>
      </c>
      <c r="AA64" s="4" t="s">
        <v>241</v>
      </c>
      <c r="AD64" s="4" t="s">
        <v>241</v>
      </c>
      <c r="AF64" s="5" t="s">
        <v>241</v>
      </c>
      <c r="AI64" s="5" t="s">
        <v>249</v>
      </c>
      <c r="AJ64" s="4" t="s">
        <v>251</v>
      </c>
      <c r="AK64" s="4" t="s">
        <v>252</v>
      </c>
      <c r="BA64" s="4" t="s">
        <v>254</v>
      </c>
      <c r="BB64" s="4" t="s">
        <v>241</v>
      </c>
      <c r="BC64" s="4" t="s">
        <v>255</v>
      </c>
      <c r="BD64" s="4" t="s">
        <v>241</v>
      </c>
      <c r="BE64" s="4" t="s">
        <v>257</v>
      </c>
      <c r="BF64" s="4" t="s">
        <v>241</v>
      </c>
      <c r="BH64" s="4" t="s">
        <v>258</v>
      </c>
      <c r="BJ64" s="4" t="s">
        <v>259</v>
      </c>
      <c r="BK64" s="5" t="s">
        <v>260</v>
      </c>
      <c r="BL64" s="4" t="s">
        <v>261</v>
      </c>
      <c r="BM64" s="4" t="s">
        <v>290</v>
      </c>
      <c r="BN64" s="4" t="s">
        <v>241</v>
      </c>
      <c r="BO64" s="6">
        <f>0</f>
        <v>0</v>
      </c>
      <c r="BP64" s="6">
        <f>0</f>
        <v>0</v>
      </c>
      <c r="BQ64" s="4" t="s">
        <v>263</v>
      </c>
      <c r="BR64" s="4" t="s">
        <v>264</v>
      </c>
      <c r="CF64" s="4" t="s">
        <v>241</v>
      </c>
      <c r="CG64" s="4" t="s">
        <v>241</v>
      </c>
      <c r="CK64" s="4" t="s">
        <v>291</v>
      </c>
      <c r="CL64" s="4" t="s">
        <v>266</v>
      </c>
      <c r="CM64" s="4" t="s">
        <v>241</v>
      </c>
      <c r="CO64" s="4" t="s">
        <v>446</v>
      </c>
      <c r="CP64" s="5" t="s">
        <v>268</v>
      </c>
      <c r="CQ64" s="4" t="s">
        <v>269</v>
      </c>
      <c r="CR64" s="4" t="s">
        <v>270</v>
      </c>
      <c r="CS64" s="4" t="s">
        <v>241</v>
      </c>
      <c r="CT64" s="4" t="s">
        <v>241</v>
      </c>
      <c r="CU64" s="4">
        <v>0</v>
      </c>
      <c r="CV64" s="4" t="s">
        <v>271</v>
      </c>
      <c r="CW64" s="4" t="s">
        <v>272</v>
      </c>
      <c r="CX64" s="4" t="s">
        <v>347</v>
      </c>
      <c r="CZ64" s="6">
        <f>2424140</f>
        <v>2424140</v>
      </c>
      <c r="DA64" s="6">
        <f>0</f>
        <v>0</v>
      </c>
      <c r="DC64" s="4" t="s">
        <v>241</v>
      </c>
      <c r="DD64" s="4" t="s">
        <v>241</v>
      </c>
      <c r="DF64" s="4" t="s">
        <v>241</v>
      </c>
      <c r="DI64" s="4" t="s">
        <v>241</v>
      </c>
      <c r="DJ64" s="4" t="s">
        <v>241</v>
      </c>
      <c r="DK64" s="4" t="s">
        <v>241</v>
      </c>
      <c r="DL64" s="4" t="s">
        <v>241</v>
      </c>
      <c r="DM64" s="4" t="s">
        <v>277</v>
      </c>
      <c r="DN64" s="4" t="s">
        <v>278</v>
      </c>
      <c r="DO64" s="6">
        <f>19.87</f>
        <v>19.87</v>
      </c>
      <c r="DP64" s="4" t="s">
        <v>241</v>
      </c>
      <c r="DQ64" s="4" t="s">
        <v>241</v>
      </c>
      <c r="DR64" s="4" t="s">
        <v>241</v>
      </c>
      <c r="DS64" s="4" t="s">
        <v>241</v>
      </c>
      <c r="DV64" s="4" t="s">
        <v>2973</v>
      </c>
      <c r="DW64" s="4" t="s">
        <v>277</v>
      </c>
      <c r="HO64" s="4" t="s">
        <v>336</v>
      </c>
      <c r="HR64" s="4" t="s">
        <v>278</v>
      </c>
      <c r="HS64" s="4" t="s">
        <v>278</v>
      </c>
    </row>
    <row r="65" spans="1:227" x14ac:dyDescent="0.4">
      <c r="A65" s="4">
        <v>2</v>
      </c>
      <c r="B65" s="4" t="s">
        <v>239</v>
      </c>
      <c r="C65" s="4">
        <v>64</v>
      </c>
      <c r="D65" s="4">
        <v>1</v>
      </c>
      <c r="E65" s="4">
        <v>1</v>
      </c>
      <c r="F65" s="4" t="s">
        <v>240</v>
      </c>
      <c r="G65" s="4" t="s">
        <v>241</v>
      </c>
      <c r="H65" s="4" t="s">
        <v>241</v>
      </c>
      <c r="I65" s="4" t="s">
        <v>2975</v>
      </c>
      <c r="J65" s="4" t="s">
        <v>247</v>
      </c>
      <c r="K65" s="4" t="s">
        <v>256</v>
      </c>
      <c r="L65" s="4" t="s">
        <v>250</v>
      </c>
      <c r="M65" s="5" t="s">
        <v>2976</v>
      </c>
      <c r="N65" s="4" t="s">
        <v>2974</v>
      </c>
      <c r="O65" s="6">
        <f>19.87</f>
        <v>19.87</v>
      </c>
      <c r="P65" s="4" t="s">
        <v>276</v>
      </c>
      <c r="Q65" s="6">
        <f>1</f>
        <v>1</v>
      </c>
      <c r="R65" s="6">
        <f>2424140</f>
        <v>2424140</v>
      </c>
      <c r="S65" s="5" t="s">
        <v>1861</v>
      </c>
      <c r="T65" s="4" t="s">
        <v>348</v>
      </c>
      <c r="U65" s="4" t="s">
        <v>348</v>
      </c>
      <c r="W65" s="6">
        <f>2424139</f>
        <v>2424139</v>
      </c>
      <c r="X65" s="4" t="s">
        <v>243</v>
      </c>
      <c r="Y65" s="4" t="s">
        <v>244</v>
      </c>
      <c r="Z65" s="4" t="s">
        <v>246</v>
      </c>
      <c r="AA65" s="4" t="s">
        <v>241</v>
      </c>
      <c r="AD65" s="4" t="s">
        <v>241</v>
      </c>
      <c r="AF65" s="5" t="s">
        <v>241</v>
      </c>
      <c r="AI65" s="5" t="s">
        <v>249</v>
      </c>
      <c r="AJ65" s="4" t="s">
        <v>251</v>
      </c>
      <c r="AK65" s="4" t="s">
        <v>252</v>
      </c>
      <c r="BA65" s="4" t="s">
        <v>254</v>
      </c>
      <c r="BB65" s="4" t="s">
        <v>241</v>
      </c>
      <c r="BC65" s="4" t="s">
        <v>255</v>
      </c>
      <c r="BD65" s="4" t="s">
        <v>241</v>
      </c>
      <c r="BE65" s="4" t="s">
        <v>257</v>
      </c>
      <c r="BF65" s="4" t="s">
        <v>241</v>
      </c>
      <c r="BH65" s="4" t="s">
        <v>258</v>
      </c>
      <c r="BJ65" s="4" t="s">
        <v>367</v>
      </c>
      <c r="BK65" s="5" t="s">
        <v>249</v>
      </c>
      <c r="BL65" s="4" t="s">
        <v>261</v>
      </c>
      <c r="BM65" s="4" t="s">
        <v>290</v>
      </c>
      <c r="BN65" s="4" t="s">
        <v>241</v>
      </c>
      <c r="BO65" s="6">
        <f>0</f>
        <v>0</v>
      </c>
      <c r="BP65" s="6">
        <f>0</f>
        <v>0</v>
      </c>
      <c r="BQ65" s="4" t="s">
        <v>263</v>
      </c>
      <c r="BR65" s="4" t="s">
        <v>264</v>
      </c>
      <c r="CF65" s="4" t="s">
        <v>241</v>
      </c>
      <c r="CG65" s="4" t="s">
        <v>241</v>
      </c>
      <c r="CK65" s="4" t="s">
        <v>291</v>
      </c>
      <c r="CL65" s="4" t="s">
        <v>266</v>
      </c>
      <c r="CM65" s="4" t="s">
        <v>241</v>
      </c>
      <c r="CO65" s="4" t="s">
        <v>446</v>
      </c>
      <c r="CP65" s="5" t="s">
        <v>268</v>
      </c>
      <c r="CQ65" s="4" t="s">
        <v>269</v>
      </c>
      <c r="CR65" s="4" t="s">
        <v>270</v>
      </c>
      <c r="CS65" s="4" t="s">
        <v>241</v>
      </c>
      <c r="CT65" s="4" t="s">
        <v>241</v>
      </c>
      <c r="CU65" s="4">
        <v>0</v>
      </c>
      <c r="CV65" s="4" t="s">
        <v>271</v>
      </c>
      <c r="CW65" s="4" t="s">
        <v>272</v>
      </c>
      <c r="CX65" s="4" t="s">
        <v>347</v>
      </c>
      <c r="CZ65" s="6">
        <f>2424140</f>
        <v>2424140</v>
      </c>
      <c r="DA65" s="6">
        <f>0</f>
        <v>0</v>
      </c>
      <c r="DC65" s="4" t="s">
        <v>241</v>
      </c>
      <c r="DD65" s="4" t="s">
        <v>241</v>
      </c>
      <c r="DF65" s="4" t="s">
        <v>241</v>
      </c>
      <c r="DI65" s="4" t="s">
        <v>241</v>
      </c>
      <c r="DJ65" s="4" t="s">
        <v>241</v>
      </c>
      <c r="DK65" s="4" t="s">
        <v>241</v>
      </c>
      <c r="DL65" s="4" t="s">
        <v>241</v>
      </c>
      <c r="DM65" s="4" t="s">
        <v>277</v>
      </c>
      <c r="DN65" s="4" t="s">
        <v>278</v>
      </c>
      <c r="DO65" s="6">
        <f>19.87</f>
        <v>19.87</v>
      </c>
      <c r="DP65" s="4" t="s">
        <v>241</v>
      </c>
      <c r="DQ65" s="4" t="s">
        <v>241</v>
      </c>
      <c r="DR65" s="4" t="s">
        <v>241</v>
      </c>
      <c r="DS65" s="4" t="s">
        <v>241</v>
      </c>
      <c r="DV65" s="4" t="s">
        <v>2977</v>
      </c>
      <c r="DW65" s="4" t="s">
        <v>277</v>
      </c>
      <c r="HO65" s="4" t="s">
        <v>336</v>
      </c>
      <c r="HR65" s="4" t="s">
        <v>278</v>
      </c>
      <c r="HS65" s="4" t="s">
        <v>278</v>
      </c>
    </row>
    <row r="66" spans="1:227" x14ac:dyDescent="0.4">
      <c r="A66" s="4">
        <v>2</v>
      </c>
      <c r="B66" s="4" t="s">
        <v>239</v>
      </c>
      <c r="C66" s="4">
        <v>65</v>
      </c>
      <c r="D66" s="4">
        <v>1</v>
      </c>
      <c r="E66" s="4">
        <v>1</v>
      </c>
      <c r="F66" s="4" t="s">
        <v>240</v>
      </c>
      <c r="G66" s="4" t="s">
        <v>241</v>
      </c>
      <c r="H66" s="4" t="s">
        <v>241</v>
      </c>
      <c r="I66" s="4" t="s">
        <v>2979</v>
      </c>
      <c r="J66" s="4" t="s">
        <v>247</v>
      </c>
      <c r="K66" s="4" t="s">
        <v>256</v>
      </c>
      <c r="L66" s="4" t="s">
        <v>250</v>
      </c>
      <c r="M66" s="5" t="s">
        <v>2980</v>
      </c>
      <c r="N66" s="4" t="s">
        <v>2978</v>
      </c>
      <c r="O66" s="6">
        <f>19.87</f>
        <v>19.87</v>
      </c>
      <c r="P66" s="4" t="s">
        <v>276</v>
      </c>
      <c r="Q66" s="6">
        <f>1</f>
        <v>1</v>
      </c>
      <c r="R66" s="6">
        <f>2424140</f>
        <v>2424140</v>
      </c>
      <c r="S66" s="5" t="s">
        <v>1937</v>
      </c>
      <c r="T66" s="4" t="s">
        <v>348</v>
      </c>
      <c r="U66" s="4" t="s">
        <v>348</v>
      </c>
      <c r="W66" s="6">
        <f>2424139</f>
        <v>2424139</v>
      </c>
      <c r="X66" s="4" t="s">
        <v>243</v>
      </c>
      <c r="Y66" s="4" t="s">
        <v>244</v>
      </c>
      <c r="Z66" s="4" t="s">
        <v>246</v>
      </c>
      <c r="AA66" s="4" t="s">
        <v>241</v>
      </c>
      <c r="AD66" s="4" t="s">
        <v>241</v>
      </c>
      <c r="AF66" s="5" t="s">
        <v>241</v>
      </c>
      <c r="AI66" s="5" t="s">
        <v>249</v>
      </c>
      <c r="AJ66" s="4" t="s">
        <v>251</v>
      </c>
      <c r="AK66" s="4" t="s">
        <v>252</v>
      </c>
      <c r="BA66" s="4" t="s">
        <v>254</v>
      </c>
      <c r="BB66" s="4" t="s">
        <v>241</v>
      </c>
      <c r="BC66" s="4" t="s">
        <v>255</v>
      </c>
      <c r="BD66" s="4" t="s">
        <v>241</v>
      </c>
      <c r="BE66" s="4" t="s">
        <v>257</v>
      </c>
      <c r="BF66" s="4" t="s">
        <v>241</v>
      </c>
      <c r="BH66" s="4" t="s">
        <v>258</v>
      </c>
      <c r="BJ66" s="4" t="s">
        <v>374</v>
      </c>
      <c r="BK66" s="5" t="s">
        <v>375</v>
      </c>
      <c r="BL66" s="4" t="s">
        <v>261</v>
      </c>
      <c r="BM66" s="4" t="s">
        <v>290</v>
      </c>
      <c r="BN66" s="4" t="s">
        <v>241</v>
      </c>
      <c r="BO66" s="6">
        <f>0</f>
        <v>0</v>
      </c>
      <c r="BP66" s="6">
        <f>0</f>
        <v>0</v>
      </c>
      <c r="BQ66" s="4" t="s">
        <v>263</v>
      </c>
      <c r="BR66" s="4" t="s">
        <v>264</v>
      </c>
      <c r="CF66" s="4" t="s">
        <v>241</v>
      </c>
      <c r="CG66" s="4" t="s">
        <v>241</v>
      </c>
      <c r="CK66" s="4" t="s">
        <v>291</v>
      </c>
      <c r="CL66" s="4" t="s">
        <v>266</v>
      </c>
      <c r="CM66" s="4" t="s">
        <v>241</v>
      </c>
      <c r="CO66" s="4" t="s">
        <v>407</v>
      </c>
      <c r="CP66" s="5" t="s">
        <v>268</v>
      </c>
      <c r="CQ66" s="4" t="s">
        <v>269</v>
      </c>
      <c r="CR66" s="4" t="s">
        <v>270</v>
      </c>
      <c r="CS66" s="4" t="s">
        <v>241</v>
      </c>
      <c r="CT66" s="4" t="s">
        <v>241</v>
      </c>
      <c r="CU66" s="4">
        <v>0</v>
      </c>
      <c r="CV66" s="4" t="s">
        <v>271</v>
      </c>
      <c r="CW66" s="4" t="s">
        <v>272</v>
      </c>
      <c r="CX66" s="4" t="s">
        <v>347</v>
      </c>
      <c r="CZ66" s="6">
        <f>2424140</f>
        <v>2424140</v>
      </c>
      <c r="DA66" s="6">
        <f>0</f>
        <v>0</v>
      </c>
      <c r="DC66" s="4" t="s">
        <v>241</v>
      </c>
      <c r="DD66" s="4" t="s">
        <v>241</v>
      </c>
      <c r="DF66" s="4" t="s">
        <v>241</v>
      </c>
      <c r="DI66" s="4" t="s">
        <v>241</v>
      </c>
      <c r="DJ66" s="4" t="s">
        <v>241</v>
      </c>
      <c r="DK66" s="4" t="s">
        <v>241</v>
      </c>
      <c r="DL66" s="4" t="s">
        <v>241</v>
      </c>
      <c r="DM66" s="4" t="s">
        <v>277</v>
      </c>
      <c r="DN66" s="4" t="s">
        <v>278</v>
      </c>
      <c r="DO66" s="6">
        <f>19.87</f>
        <v>19.87</v>
      </c>
      <c r="DP66" s="4" t="s">
        <v>241</v>
      </c>
      <c r="DQ66" s="4" t="s">
        <v>241</v>
      </c>
      <c r="DR66" s="4" t="s">
        <v>241</v>
      </c>
      <c r="DS66" s="4" t="s">
        <v>241</v>
      </c>
      <c r="DV66" s="4" t="s">
        <v>2981</v>
      </c>
      <c r="DW66" s="4" t="s">
        <v>277</v>
      </c>
      <c r="HO66" s="4" t="s">
        <v>351</v>
      </c>
      <c r="HR66" s="4" t="s">
        <v>278</v>
      </c>
      <c r="HS66" s="4" t="s">
        <v>278</v>
      </c>
    </row>
    <row r="67" spans="1:227" x14ac:dyDescent="0.4">
      <c r="A67" s="4">
        <v>2</v>
      </c>
      <c r="B67" s="4" t="s">
        <v>239</v>
      </c>
      <c r="C67" s="4">
        <v>66</v>
      </c>
      <c r="D67" s="4">
        <v>1</v>
      </c>
      <c r="E67" s="4">
        <v>1</v>
      </c>
      <c r="F67" s="4" t="s">
        <v>240</v>
      </c>
      <c r="G67" s="4" t="s">
        <v>241</v>
      </c>
      <c r="H67" s="4" t="s">
        <v>241</v>
      </c>
      <c r="I67" s="4" t="s">
        <v>3452</v>
      </c>
      <c r="J67" s="4" t="s">
        <v>247</v>
      </c>
      <c r="K67" s="4" t="s">
        <v>256</v>
      </c>
      <c r="L67" s="4" t="s">
        <v>250</v>
      </c>
      <c r="M67" s="5" t="s">
        <v>3453</v>
      </c>
      <c r="N67" s="4" t="s">
        <v>3451</v>
      </c>
      <c r="O67" s="6">
        <f>12.43</f>
        <v>12.43</v>
      </c>
      <c r="P67" s="4" t="s">
        <v>276</v>
      </c>
      <c r="Q67" s="6">
        <f>1</f>
        <v>1</v>
      </c>
      <c r="R67" s="6">
        <f>1516460</f>
        <v>1516460</v>
      </c>
      <c r="S67" s="5" t="s">
        <v>385</v>
      </c>
      <c r="T67" s="4" t="s">
        <v>348</v>
      </c>
      <c r="U67" s="4" t="s">
        <v>379</v>
      </c>
      <c r="W67" s="6">
        <f>1516459</f>
        <v>1516459</v>
      </c>
      <c r="X67" s="4" t="s">
        <v>243</v>
      </c>
      <c r="Y67" s="4" t="s">
        <v>244</v>
      </c>
      <c r="Z67" s="4" t="s">
        <v>246</v>
      </c>
      <c r="AA67" s="4" t="s">
        <v>241</v>
      </c>
      <c r="AD67" s="4" t="s">
        <v>241</v>
      </c>
      <c r="AF67" s="5" t="s">
        <v>241</v>
      </c>
      <c r="AI67" s="5" t="s">
        <v>249</v>
      </c>
      <c r="AJ67" s="4" t="s">
        <v>251</v>
      </c>
      <c r="AK67" s="4" t="s">
        <v>252</v>
      </c>
      <c r="BA67" s="4" t="s">
        <v>254</v>
      </c>
      <c r="BB67" s="4" t="s">
        <v>241</v>
      </c>
      <c r="BC67" s="4" t="s">
        <v>255</v>
      </c>
      <c r="BD67" s="4" t="s">
        <v>241</v>
      </c>
      <c r="BE67" s="4" t="s">
        <v>257</v>
      </c>
      <c r="BF67" s="4" t="s">
        <v>241</v>
      </c>
      <c r="BH67" s="4" t="s">
        <v>258</v>
      </c>
      <c r="BJ67" s="4" t="s">
        <v>377</v>
      </c>
      <c r="BK67" s="5" t="s">
        <v>378</v>
      </c>
      <c r="BL67" s="4" t="s">
        <v>261</v>
      </c>
      <c r="BM67" s="4" t="s">
        <v>262</v>
      </c>
      <c r="BN67" s="4" t="s">
        <v>241</v>
      </c>
      <c r="BO67" s="6">
        <f>0</f>
        <v>0</v>
      </c>
      <c r="BP67" s="6">
        <f>0</f>
        <v>0</v>
      </c>
      <c r="BQ67" s="4" t="s">
        <v>263</v>
      </c>
      <c r="BR67" s="4" t="s">
        <v>264</v>
      </c>
      <c r="CF67" s="4" t="s">
        <v>241</v>
      </c>
      <c r="CG67" s="4" t="s">
        <v>241</v>
      </c>
      <c r="CK67" s="4" t="s">
        <v>291</v>
      </c>
      <c r="CL67" s="4" t="s">
        <v>266</v>
      </c>
      <c r="CM67" s="4" t="s">
        <v>241</v>
      </c>
      <c r="CO67" s="4" t="s">
        <v>292</v>
      </c>
      <c r="CP67" s="5" t="s">
        <v>268</v>
      </c>
      <c r="CQ67" s="4" t="s">
        <v>269</v>
      </c>
      <c r="CR67" s="4" t="s">
        <v>270</v>
      </c>
      <c r="CS67" s="4" t="s">
        <v>241</v>
      </c>
      <c r="CT67" s="4" t="s">
        <v>241</v>
      </c>
      <c r="CU67" s="4">
        <v>0</v>
      </c>
      <c r="CV67" s="4" t="s">
        <v>271</v>
      </c>
      <c r="CW67" s="4" t="s">
        <v>272</v>
      </c>
      <c r="CX67" s="4" t="s">
        <v>347</v>
      </c>
      <c r="CZ67" s="6">
        <f>1516460</f>
        <v>1516460</v>
      </c>
      <c r="DA67" s="6">
        <f>0</f>
        <v>0</v>
      </c>
      <c r="DC67" s="4" t="s">
        <v>241</v>
      </c>
      <c r="DD67" s="4" t="s">
        <v>241</v>
      </c>
      <c r="DF67" s="4" t="s">
        <v>241</v>
      </c>
      <c r="DI67" s="4" t="s">
        <v>241</v>
      </c>
      <c r="DJ67" s="4" t="s">
        <v>241</v>
      </c>
      <c r="DK67" s="4" t="s">
        <v>241</v>
      </c>
      <c r="DL67" s="4" t="s">
        <v>241</v>
      </c>
      <c r="DM67" s="4" t="s">
        <v>277</v>
      </c>
      <c r="DN67" s="4" t="s">
        <v>278</v>
      </c>
      <c r="DO67" s="6">
        <f>12.43</f>
        <v>12.43</v>
      </c>
      <c r="DP67" s="4" t="s">
        <v>241</v>
      </c>
      <c r="DQ67" s="4" t="s">
        <v>241</v>
      </c>
      <c r="DR67" s="4" t="s">
        <v>241</v>
      </c>
      <c r="DS67" s="4" t="s">
        <v>241</v>
      </c>
      <c r="DV67" s="4" t="s">
        <v>3454</v>
      </c>
      <c r="DW67" s="4" t="s">
        <v>277</v>
      </c>
      <c r="HO67" s="4" t="s">
        <v>277</v>
      </c>
      <c r="HR67" s="4" t="s">
        <v>278</v>
      </c>
      <c r="HS67" s="4" t="s">
        <v>278</v>
      </c>
    </row>
    <row r="68" spans="1:227" x14ac:dyDescent="0.4">
      <c r="A68" s="4">
        <v>2</v>
      </c>
      <c r="B68" s="4" t="s">
        <v>239</v>
      </c>
      <c r="C68" s="4">
        <v>67</v>
      </c>
      <c r="D68" s="4">
        <v>1</v>
      </c>
      <c r="E68" s="4">
        <v>1</v>
      </c>
      <c r="F68" s="4" t="s">
        <v>240</v>
      </c>
      <c r="G68" s="4" t="s">
        <v>241</v>
      </c>
      <c r="H68" s="4" t="s">
        <v>241</v>
      </c>
      <c r="I68" s="4" t="s">
        <v>2983</v>
      </c>
      <c r="J68" s="4" t="s">
        <v>247</v>
      </c>
      <c r="K68" s="4" t="s">
        <v>256</v>
      </c>
      <c r="L68" s="4" t="s">
        <v>250</v>
      </c>
      <c r="M68" s="5" t="s">
        <v>2985</v>
      </c>
      <c r="N68" s="4" t="s">
        <v>2982</v>
      </c>
      <c r="O68" s="6">
        <f>19.87</f>
        <v>19.87</v>
      </c>
      <c r="P68" s="4" t="s">
        <v>276</v>
      </c>
      <c r="Q68" s="6">
        <f>1</f>
        <v>1</v>
      </c>
      <c r="R68" s="6">
        <f>2424140</f>
        <v>2424140</v>
      </c>
      <c r="S68" s="5" t="s">
        <v>2984</v>
      </c>
      <c r="T68" s="4" t="s">
        <v>348</v>
      </c>
      <c r="U68" s="4" t="s">
        <v>348</v>
      </c>
      <c r="W68" s="6">
        <f>2424139</f>
        <v>2424139</v>
      </c>
      <c r="X68" s="4" t="s">
        <v>243</v>
      </c>
      <c r="Y68" s="4" t="s">
        <v>244</v>
      </c>
      <c r="Z68" s="4" t="s">
        <v>246</v>
      </c>
      <c r="AA68" s="4" t="s">
        <v>241</v>
      </c>
      <c r="AD68" s="4" t="s">
        <v>241</v>
      </c>
      <c r="AF68" s="5" t="s">
        <v>241</v>
      </c>
      <c r="AI68" s="5" t="s">
        <v>249</v>
      </c>
      <c r="AJ68" s="4" t="s">
        <v>251</v>
      </c>
      <c r="AK68" s="4" t="s">
        <v>252</v>
      </c>
      <c r="BA68" s="4" t="s">
        <v>254</v>
      </c>
      <c r="BB68" s="4" t="s">
        <v>241</v>
      </c>
      <c r="BC68" s="4" t="s">
        <v>255</v>
      </c>
      <c r="BD68" s="4" t="s">
        <v>241</v>
      </c>
      <c r="BE68" s="4" t="s">
        <v>257</v>
      </c>
      <c r="BF68" s="4" t="s">
        <v>241</v>
      </c>
      <c r="BH68" s="4" t="s">
        <v>258</v>
      </c>
      <c r="BJ68" s="4" t="s">
        <v>259</v>
      </c>
      <c r="BK68" s="5" t="s">
        <v>260</v>
      </c>
      <c r="BL68" s="4" t="s">
        <v>261</v>
      </c>
      <c r="BM68" s="4" t="s">
        <v>290</v>
      </c>
      <c r="BN68" s="4" t="s">
        <v>241</v>
      </c>
      <c r="BO68" s="6">
        <f>0</f>
        <v>0</v>
      </c>
      <c r="BP68" s="6">
        <f>0</f>
        <v>0</v>
      </c>
      <c r="BQ68" s="4" t="s">
        <v>263</v>
      </c>
      <c r="BR68" s="4" t="s">
        <v>264</v>
      </c>
      <c r="CF68" s="4" t="s">
        <v>241</v>
      </c>
      <c r="CG68" s="4" t="s">
        <v>241</v>
      </c>
      <c r="CK68" s="4" t="s">
        <v>291</v>
      </c>
      <c r="CL68" s="4" t="s">
        <v>266</v>
      </c>
      <c r="CM68" s="4" t="s">
        <v>241</v>
      </c>
      <c r="CO68" s="4" t="s">
        <v>364</v>
      </c>
      <c r="CP68" s="5" t="s">
        <v>268</v>
      </c>
      <c r="CQ68" s="4" t="s">
        <v>269</v>
      </c>
      <c r="CR68" s="4" t="s">
        <v>270</v>
      </c>
      <c r="CS68" s="4" t="s">
        <v>241</v>
      </c>
      <c r="CT68" s="4" t="s">
        <v>241</v>
      </c>
      <c r="CU68" s="4">
        <v>0</v>
      </c>
      <c r="CV68" s="4" t="s">
        <v>271</v>
      </c>
      <c r="CW68" s="4" t="s">
        <v>272</v>
      </c>
      <c r="CX68" s="4" t="s">
        <v>347</v>
      </c>
      <c r="CZ68" s="6">
        <f>2424140</f>
        <v>2424140</v>
      </c>
      <c r="DA68" s="6">
        <f>0</f>
        <v>0</v>
      </c>
      <c r="DC68" s="4" t="s">
        <v>241</v>
      </c>
      <c r="DD68" s="4" t="s">
        <v>241</v>
      </c>
      <c r="DF68" s="4" t="s">
        <v>241</v>
      </c>
      <c r="DI68" s="4" t="s">
        <v>241</v>
      </c>
      <c r="DJ68" s="4" t="s">
        <v>241</v>
      </c>
      <c r="DK68" s="4" t="s">
        <v>241</v>
      </c>
      <c r="DL68" s="4" t="s">
        <v>241</v>
      </c>
      <c r="DM68" s="4" t="s">
        <v>277</v>
      </c>
      <c r="DN68" s="4" t="s">
        <v>278</v>
      </c>
      <c r="DO68" s="6">
        <f>19.87</f>
        <v>19.87</v>
      </c>
      <c r="DP68" s="4" t="s">
        <v>241</v>
      </c>
      <c r="DQ68" s="4" t="s">
        <v>241</v>
      </c>
      <c r="DR68" s="4" t="s">
        <v>241</v>
      </c>
      <c r="DS68" s="4" t="s">
        <v>241</v>
      </c>
      <c r="DV68" s="4" t="s">
        <v>2986</v>
      </c>
      <c r="DW68" s="4" t="s">
        <v>277</v>
      </c>
      <c r="HO68" s="4" t="s">
        <v>297</v>
      </c>
      <c r="HR68" s="4" t="s">
        <v>278</v>
      </c>
      <c r="HS68" s="4" t="s">
        <v>278</v>
      </c>
    </row>
    <row r="69" spans="1:227" x14ac:dyDescent="0.4">
      <c r="A69" s="4">
        <v>2</v>
      </c>
      <c r="B69" s="4" t="s">
        <v>239</v>
      </c>
      <c r="C69" s="4">
        <v>68</v>
      </c>
      <c r="D69" s="4">
        <v>1</v>
      </c>
      <c r="E69" s="4">
        <v>1</v>
      </c>
      <c r="F69" s="4" t="s">
        <v>240</v>
      </c>
      <c r="G69" s="4" t="s">
        <v>241</v>
      </c>
      <c r="H69" s="4" t="s">
        <v>241</v>
      </c>
      <c r="I69" s="4" t="s">
        <v>3456</v>
      </c>
      <c r="J69" s="4" t="s">
        <v>247</v>
      </c>
      <c r="K69" s="4" t="s">
        <v>256</v>
      </c>
      <c r="L69" s="4" t="s">
        <v>250</v>
      </c>
      <c r="M69" s="5" t="s">
        <v>3457</v>
      </c>
      <c r="N69" s="4" t="s">
        <v>3455</v>
      </c>
      <c r="O69" s="6">
        <f>12.43</f>
        <v>12.43</v>
      </c>
      <c r="P69" s="4" t="s">
        <v>276</v>
      </c>
      <c r="Q69" s="6">
        <f>1</f>
        <v>1</v>
      </c>
      <c r="R69" s="6">
        <f>1516460</f>
        <v>1516460</v>
      </c>
      <c r="S69" s="5" t="s">
        <v>369</v>
      </c>
      <c r="T69" s="4" t="s">
        <v>348</v>
      </c>
      <c r="U69" s="4" t="s">
        <v>371</v>
      </c>
      <c r="W69" s="6">
        <f>1516459</f>
        <v>1516459</v>
      </c>
      <c r="X69" s="4" t="s">
        <v>243</v>
      </c>
      <c r="Y69" s="4" t="s">
        <v>244</v>
      </c>
      <c r="Z69" s="4" t="s">
        <v>246</v>
      </c>
      <c r="AA69" s="4" t="s">
        <v>241</v>
      </c>
      <c r="AD69" s="4" t="s">
        <v>241</v>
      </c>
      <c r="AF69" s="5" t="s">
        <v>241</v>
      </c>
      <c r="AI69" s="5" t="s">
        <v>249</v>
      </c>
      <c r="AJ69" s="4" t="s">
        <v>251</v>
      </c>
      <c r="AK69" s="4" t="s">
        <v>252</v>
      </c>
      <c r="BA69" s="4" t="s">
        <v>254</v>
      </c>
      <c r="BB69" s="4" t="s">
        <v>241</v>
      </c>
      <c r="BC69" s="4" t="s">
        <v>255</v>
      </c>
      <c r="BD69" s="4" t="s">
        <v>241</v>
      </c>
      <c r="BE69" s="4" t="s">
        <v>257</v>
      </c>
      <c r="BF69" s="4" t="s">
        <v>241</v>
      </c>
      <c r="BH69" s="4" t="s">
        <v>258</v>
      </c>
      <c r="BJ69" s="4" t="s">
        <v>367</v>
      </c>
      <c r="BK69" s="5" t="s">
        <v>249</v>
      </c>
      <c r="BL69" s="4" t="s">
        <v>261</v>
      </c>
      <c r="BM69" s="4" t="s">
        <v>262</v>
      </c>
      <c r="BN69" s="4" t="s">
        <v>241</v>
      </c>
      <c r="BO69" s="6">
        <f>0</f>
        <v>0</v>
      </c>
      <c r="BP69" s="6">
        <f>0</f>
        <v>0</v>
      </c>
      <c r="BQ69" s="4" t="s">
        <v>263</v>
      </c>
      <c r="BR69" s="4" t="s">
        <v>264</v>
      </c>
      <c r="CF69" s="4" t="s">
        <v>241</v>
      </c>
      <c r="CG69" s="4" t="s">
        <v>241</v>
      </c>
      <c r="CK69" s="4" t="s">
        <v>291</v>
      </c>
      <c r="CL69" s="4" t="s">
        <v>266</v>
      </c>
      <c r="CM69" s="4" t="s">
        <v>241</v>
      </c>
      <c r="CO69" s="4" t="s">
        <v>360</v>
      </c>
      <c r="CP69" s="5" t="s">
        <v>268</v>
      </c>
      <c r="CQ69" s="4" t="s">
        <v>269</v>
      </c>
      <c r="CR69" s="4" t="s">
        <v>270</v>
      </c>
      <c r="CS69" s="4" t="s">
        <v>241</v>
      </c>
      <c r="CT69" s="4" t="s">
        <v>241</v>
      </c>
      <c r="CU69" s="4">
        <v>0</v>
      </c>
      <c r="CV69" s="4" t="s">
        <v>271</v>
      </c>
      <c r="CW69" s="4" t="s">
        <v>272</v>
      </c>
      <c r="CX69" s="4" t="s">
        <v>347</v>
      </c>
      <c r="CZ69" s="6">
        <f>1516460</f>
        <v>1516460</v>
      </c>
      <c r="DA69" s="6">
        <f>0</f>
        <v>0</v>
      </c>
      <c r="DC69" s="4" t="s">
        <v>241</v>
      </c>
      <c r="DD69" s="4" t="s">
        <v>241</v>
      </c>
      <c r="DF69" s="4" t="s">
        <v>241</v>
      </c>
      <c r="DI69" s="4" t="s">
        <v>241</v>
      </c>
      <c r="DJ69" s="4" t="s">
        <v>241</v>
      </c>
      <c r="DK69" s="4" t="s">
        <v>241</v>
      </c>
      <c r="DL69" s="4" t="s">
        <v>241</v>
      </c>
      <c r="DM69" s="4" t="s">
        <v>277</v>
      </c>
      <c r="DN69" s="4" t="s">
        <v>278</v>
      </c>
      <c r="DO69" s="6">
        <f>12.43</f>
        <v>12.43</v>
      </c>
      <c r="DP69" s="4" t="s">
        <v>241</v>
      </c>
      <c r="DQ69" s="4" t="s">
        <v>241</v>
      </c>
      <c r="DR69" s="4" t="s">
        <v>241</v>
      </c>
      <c r="DS69" s="4" t="s">
        <v>241</v>
      </c>
      <c r="DV69" s="4" t="s">
        <v>3458</v>
      </c>
      <c r="DW69" s="4" t="s">
        <v>277</v>
      </c>
      <c r="HO69" s="4" t="s">
        <v>277</v>
      </c>
      <c r="HR69" s="4" t="s">
        <v>278</v>
      </c>
      <c r="HS69" s="4" t="s">
        <v>278</v>
      </c>
    </row>
    <row r="70" spans="1:227" x14ac:dyDescent="0.4">
      <c r="A70" s="4">
        <v>2</v>
      </c>
      <c r="B70" s="4" t="s">
        <v>239</v>
      </c>
      <c r="C70" s="4">
        <v>69</v>
      </c>
      <c r="D70" s="4">
        <v>1</v>
      </c>
      <c r="E70" s="4">
        <v>1</v>
      </c>
      <c r="F70" s="4" t="s">
        <v>240</v>
      </c>
      <c r="G70" s="4" t="s">
        <v>241</v>
      </c>
      <c r="H70" s="4" t="s">
        <v>241</v>
      </c>
      <c r="I70" s="4" t="s">
        <v>2988</v>
      </c>
      <c r="J70" s="4" t="s">
        <v>247</v>
      </c>
      <c r="K70" s="4" t="s">
        <v>256</v>
      </c>
      <c r="L70" s="4" t="s">
        <v>250</v>
      </c>
      <c r="M70" s="5" t="s">
        <v>2989</v>
      </c>
      <c r="N70" s="4" t="s">
        <v>2987</v>
      </c>
      <c r="O70" s="6">
        <f>19.87</f>
        <v>19.87</v>
      </c>
      <c r="P70" s="4" t="s">
        <v>276</v>
      </c>
      <c r="Q70" s="6">
        <f>1</f>
        <v>1</v>
      </c>
      <c r="R70" s="6">
        <f>2424140</f>
        <v>2424140</v>
      </c>
      <c r="S70" s="5" t="s">
        <v>1861</v>
      </c>
      <c r="T70" s="4" t="s">
        <v>348</v>
      </c>
      <c r="U70" s="4" t="s">
        <v>348</v>
      </c>
      <c r="W70" s="6">
        <f>2424139</f>
        <v>2424139</v>
      </c>
      <c r="X70" s="4" t="s">
        <v>243</v>
      </c>
      <c r="Y70" s="4" t="s">
        <v>244</v>
      </c>
      <c r="Z70" s="4" t="s">
        <v>246</v>
      </c>
      <c r="AA70" s="4" t="s">
        <v>241</v>
      </c>
      <c r="AD70" s="4" t="s">
        <v>241</v>
      </c>
      <c r="AF70" s="5" t="s">
        <v>241</v>
      </c>
      <c r="AI70" s="5" t="s">
        <v>249</v>
      </c>
      <c r="AJ70" s="4" t="s">
        <v>251</v>
      </c>
      <c r="AK70" s="4" t="s">
        <v>252</v>
      </c>
      <c r="BA70" s="4" t="s">
        <v>254</v>
      </c>
      <c r="BB70" s="4" t="s">
        <v>241</v>
      </c>
      <c r="BC70" s="4" t="s">
        <v>255</v>
      </c>
      <c r="BD70" s="4" t="s">
        <v>241</v>
      </c>
      <c r="BE70" s="4" t="s">
        <v>257</v>
      </c>
      <c r="BF70" s="4" t="s">
        <v>241</v>
      </c>
      <c r="BH70" s="4" t="s">
        <v>258</v>
      </c>
      <c r="BJ70" s="4" t="s">
        <v>374</v>
      </c>
      <c r="BK70" s="5" t="s">
        <v>375</v>
      </c>
      <c r="BL70" s="4" t="s">
        <v>261</v>
      </c>
      <c r="BM70" s="4" t="s">
        <v>290</v>
      </c>
      <c r="BN70" s="4" t="s">
        <v>241</v>
      </c>
      <c r="BO70" s="6">
        <f>0</f>
        <v>0</v>
      </c>
      <c r="BP70" s="6">
        <f>0</f>
        <v>0</v>
      </c>
      <c r="BQ70" s="4" t="s">
        <v>263</v>
      </c>
      <c r="BR70" s="4" t="s">
        <v>264</v>
      </c>
      <c r="CF70" s="4" t="s">
        <v>241</v>
      </c>
      <c r="CG70" s="4" t="s">
        <v>241</v>
      </c>
      <c r="CK70" s="4" t="s">
        <v>291</v>
      </c>
      <c r="CL70" s="4" t="s">
        <v>266</v>
      </c>
      <c r="CM70" s="4" t="s">
        <v>241</v>
      </c>
      <c r="CO70" s="4" t="s">
        <v>446</v>
      </c>
      <c r="CP70" s="5" t="s">
        <v>268</v>
      </c>
      <c r="CQ70" s="4" t="s">
        <v>269</v>
      </c>
      <c r="CR70" s="4" t="s">
        <v>270</v>
      </c>
      <c r="CS70" s="4" t="s">
        <v>241</v>
      </c>
      <c r="CT70" s="4" t="s">
        <v>241</v>
      </c>
      <c r="CU70" s="4">
        <v>0</v>
      </c>
      <c r="CV70" s="4" t="s">
        <v>271</v>
      </c>
      <c r="CW70" s="4" t="s">
        <v>272</v>
      </c>
      <c r="CX70" s="4" t="s">
        <v>347</v>
      </c>
      <c r="CZ70" s="6">
        <f>2424140</f>
        <v>2424140</v>
      </c>
      <c r="DA70" s="6">
        <f>0</f>
        <v>0</v>
      </c>
      <c r="DC70" s="4" t="s">
        <v>241</v>
      </c>
      <c r="DD70" s="4" t="s">
        <v>241</v>
      </c>
      <c r="DF70" s="4" t="s">
        <v>241</v>
      </c>
      <c r="DI70" s="4" t="s">
        <v>241</v>
      </c>
      <c r="DJ70" s="4" t="s">
        <v>241</v>
      </c>
      <c r="DK70" s="4" t="s">
        <v>241</v>
      </c>
      <c r="DL70" s="4" t="s">
        <v>241</v>
      </c>
      <c r="DM70" s="4" t="s">
        <v>277</v>
      </c>
      <c r="DN70" s="4" t="s">
        <v>278</v>
      </c>
      <c r="DO70" s="6">
        <f>19.87</f>
        <v>19.87</v>
      </c>
      <c r="DP70" s="4" t="s">
        <v>241</v>
      </c>
      <c r="DQ70" s="4" t="s">
        <v>241</v>
      </c>
      <c r="DR70" s="4" t="s">
        <v>241</v>
      </c>
      <c r="DS70" s="4" t="s">
        <v>241</v>
      </c>
      <c r="DV70" s="4" t="s">
        <v>2990</v>
      </c>
      <c r="DW70" s="4" t="s">
        <v>277</v>
      </c>
      <c r="HO70" s="4" t="s">
        <v>336</v>
      </c>
      <c r="HR70" s="4" t="s">
        <v>278</v>
      </c>
      <c r="HS70" s="4" t="s">
        <v>278</v>
      </c>
    </row>
    <row r="71" spans="1:227" x14ac:dyDescent="0.4">
      <c r="A71" s="4">
        <v>2</v>
      </c>
      <c r="B71" s="4" t="s">
        <v>239</v>
      </c>
      <c r="C71" s="4">
        <v>70</v>
      </c>
      <c r="D71" s="4">
        <v>1</v>
      </c>
      <c r="E71" s="4">
        <v>1</v>
      </c>
      <c r="F71" s="4" t="s">
        <v>240</v>
      </c>
      <c r="G71" s="4" t="s">
        <v>241</v>
      </c>
      <c r="H71" s="4" t="s">
        <v>241</v>
      </c>
      <c r="I71" s="4" t="s">
        <v>2992</v>
      </c>
      <c r="J71" s="4" t="s">
        <v>247</v>
      </c>
      <c r="K71" s="4" t="s">
        <v>256</v>
      </c>
      <c r="L71" s="4" t="s">
        <v>250</v>
      </c>
      <c r="M71" s="5" t="s">
        <v>2993</v>
      </c>
      <c r="N71" s="4" t="s">
        <v>2991</v>
      </c>
      <c r="O71" s="6">
        <f>19.87</f>
        <v>19.87</v>
      </c>
      <c r="P71" s="4" t="s">
        <v>276</v>
      </c>
      <c r="Q71" s="6">
        <f>1</f>
        <v>1</v>
      </c>
      <c r="R71" s="6">
        <f>2424140</f>
        <v>2424140</v>
      </c>
      <c r="S71" s="5" t="s">
        <v>1937</v>
      </c>
      <c r="T71" s="4" t="s">
        <v>348</v>
      </c>
      <c r="U71" s="4" t="s">
        <v>348</v>
      </c>
      <c r="W71" s="6">
        <f>2424139</f>
        <v>2424139</v>
      </c>
      <c r="X71" s="4" t="s">
        <v>243</v>
      </c>
      <c r="Y71" s="4" t="s">
        <v>244</v>
      </c>
      <c r="Z71" s="4" t="s">
        <v>246</v>
      </c>
      <c r="AA71" s="4" t="s">
        <v>241</v>
      </c>
      <c r="AD71" s="4" t="s">
        <v>241</v>
      </c>
      <c r="AF71" s="5" t="s">
        <v>241</v>
      </c>
      <c r="AI71" s="5" t="s">
        <v>249</v>
      </c>
      <c r="AJ71" s="4" t="s">
        <v>251</v>
      </c>
      <c r="AK71" s="4" t="s">
        <v>252</v>
      </c>
      <c r="BA71" s="4" t="s">
        <v>254</v>
      </c>
      <c r="BB71" s="4" t="s">
        <v>241</v>
      </c>
      <c r="BC71" s="4" t="s">
        <v>255</v>
      </c>
      <c r="BD71" s="4" t="s">
        <v>241</v>
      </c>
      <c r="BE71" s="4" t="s">
        <v>257</v>
      </c>
      <c r="BF71" s="4" t="s">
        <v>241</v>
      </c>
      <c r="BH71" s="4" t="s">
        <v>258</v>
      </c>
      <c r="BJ71" s="4" t="s">
        <v>377</v>
      </c>
      <c r="BK71" s="5" t="s">
        <v>378</v>
      </c>
      <c r="BL71" s="4" t="s">
        <v>261</v>
      </c>
      <c r="BM71" s="4" t="s">
        <v>290</v>
      </c>
      <c r="BN71" s="4" t="s">
        <v>241</v>
      </c>
      <c r="BO71" s="6">
        <f>0</f>
        <v>0</v>
      </c>
      <c r="BP71" s="6">
        <f>0</f>
        <v>0</v>
      </c>
      <c r="BQ71" s="4" t="s">
        <v>263</v>
      </c>
      <c r="BR71" s="4" t="s">
        <v>264</v>
      </c>
      <c r="CF71" s="4" t="s">
        <v>241</v>
      </c>
      <c r="CG71" s="4" t="s">
        <v>241</v>
      </c>
      <c r="CK71" s="4" t="s">
        <v>291</v>
      </c>
      <c r="CL71" s="4" t="s">
        <v>266</v>
      </c>
      <c r="CM71" s="4" t="s">
        <v>241</v>
      </c>
      <c r="CO71" s="4" t="s">
        <v>407</v>
      </c>
      <c r="CP71" s="5" t="s">
        <v>268</v>
      </c>
      <c r="CQ71" s="4" t="s">
        <v>269</v>
      </c>
      <c r="CR71" s="4" t="s">
        <v>270</v>
      </c>
      <c r="CS71" s="4" t="s">
        <v>241</v>
      </c>
      <c r="CT71" s="4" t="s">
        <v>241</v>
      </c>
      <c r="CU71" s="4">
        <v>0</v>
      </c>
      <c r="CV71" s="4" t="s">
        <v>271</v>
      </c>
      <c r="CW71" s="4" t="s">
        <v>272</v>
      </c>
      <c r="CX71" s="4" t="s">
        <v>347</v>
      </c>
      <c r="CZ71" s="6">
        <f>2424140</f>
        <v>2424140</v>
      </c>
      <c r="DA71" s="6">
        <f>0</f>
        <v>0</v>
      </c>
      <c r="DC71" s="4" t="s">
        <v>241</v>
      </c>
      <c r="DD71" s="4" t="s">
        <v>241</v>
      </c>
      <c r="DF71" s="4" t="s">
        <v>241</v>
      </c>
      <c r="DI71" s="4" t="s">
        <v>241</v>
      </c>
      <c r="DJ71" s="4" t="s">
        <v>241</v>
      </c>
      <c r="DK71" s="4" t="s">
        <v>241</v>
      </c>
      <c r="DL71" s="4" t="s">
        <v>241</v>
      </c>
      <c r="DM71" s="4" t="s">
        <v>277</v>
      </c>
      <c r="DN71" s="4" t="s">
        <v>278</v>
      </c>
      <c r="DO71" s="6">
        <f>19.87</f>
        <v>19.87</v>
      </c>
      <c r="DP71" s="4" t="s">
        <v>241</v>
      </c>
      <c r="DQ71" s="4" t="s">
        <v>241</v>
      </c>
      <c r="DR71" s="4" t="s">
        <v>241</v>
      </c>
      <c r="DS71" s="4" t="s">
        <v>241</v>
      </c>
      <c r="DV71" s="4" t="s">
        <v>2994</v>
      </c>
      <c r="DW71" s="4" t="s">
        <v>277</v>
      </c>
      <c r="HO71" s="4" t="s">
        <v>351</v>
      </c>
      <c r="HR71" s="4" t="s">
        <v>278</v>
      </c>
      <c r="HS71" s="4" t="s">
        <v>278</v>
      </c>
    </row>
    <row r="72" spans="1:227" x14ac:dyDescent="0.4">
      <c r="A72" s="4">
        <v>2</v>
      </c>
      <c r="B72" s="4" t="s">
        <v>239</v>
      </c>
      <c r="C72" s="4">
        <v>71</v>
      </c>
      <c r="D72" s="4">
        <v>1</v>
      </c>
      <c r="E72" s="4">
        <v>1</v>
      </c>
      <c r="F72" s="4" t="s">
        <v>240</v>
      </c>
      <c r="G72" s="4" t="s">
        <v>241</v>
      </c>
      <c r="H72" s="4" t="s">
        <v>241</v>
      </c>
      <c r="I72" s="4" t="s">
        <v>2948</v>
      </c>
      <c r="J72" s="4" t="s">
        <v>247</v>
      </c>
      <c r="K72" s="4" t="s">
        <v>256</v>
      </c>
      <c r="L72" s="4" t="s">
        <v>250</v>
      </c>
      <c r="M72" s="5" t="s">
        <v>2949</v>
      </c>
      <c r="N72" s="4" t="s">
        <v>2947</v>
      </c>
      <c r="O72" s="6">
        <f>19.87</f>
        <v>19.87</v>
      </c>
      <c r="P72" s="4" t="s">
        <v>276</v>
      </c>
      <c r="Q72" s="6">
        <f>1</f>
        <v>1</v>
      </c>
      <c r="R72" s="6">
        <f>2424140</f>
        <v>2424140</v>
      </c>
      <c r="S72" s="5" t="s">
        <v>1937</v>
      </c>
      <c r="T72" s="4" t="s">
        <v>348</v>
      </c>
      <c r="U72" s="4" t="s">
        <v>348</v>
      </c>
      <c r="W72" s="6">
        <f>2424139</f>
        <v>2424139</v>
      </c>
      <c r="X72" s="4" t="s">
        <v>243</v>
      </c>
      <c r="Y72" s="4" t="s">
        <v>244</v>
      </c>
      <c r="Z72" s="4" t="s">
        <v>246</v>
      </c>
      <c r="AA72" s="4" t="s">
        <v>241</v>
      </c>
      <c r="AD72" s="4" t="s">
        <v>241</v>
      </c>
      <c r="AF72" s="5" t="s">
        <v>241</v>
      </c>
      <c r="AI72" s="5" t="s">
        <v>249</v>
      </c>
      <c r="AJ72" s="4" t="s">
        <v>251</v>
      </c>
      <c r="AK72" s="4" t="s">
        <v>252</v>
      </c>
      <c r="BA72" s="4" t="s">
        <v>254</v>
      </c>
      <c r="BB72" s="4" t="s">
        <v>241</v>
      </c>
      <c r="BC72" s="4" t="s">
        <v>255</v>
      </c>
      <c r="BD72" s="4" t="s">
        <v>241</v>
      </c>
      <c r="BE72" s="4" t="s">
        <v>257</v>
      </c>
      <c r="BF72" s="4" t="s">
        <v>241</v>
      </c>
      <c r="BH72" s="4" t="s">
        <v>258</v>
      </c>
      <c r="BJ72" s="4" t="s">
        <v>377</v>
      </c>
      <c r="BK72" s="5" t="s">
        <v>378</v>
      </c>
      <c r="BL72" s="4" t="s">
        <v>261</v>
      </c>
      <c r="BM72" s="4" t="s">
        <v>290</v>
      </c>
      <c r="BN72" s="4" t="s">
        <v>241</v>
      </c>
      <c r="BO72" s="6">
        <f>0</f>
        <v>0</v>
      </c>
      <c r="BP72" s="6">
        <f>0</f>
        <v>0</v>
      </c>
      <c r="BQ72" s="4" t="s">
        <v>263</v>
      </c>
      <c r="BR72" s="4" t="s">
        <v>264</v>
      </c>
      <c r="CF72" s="4" t="s">
        <v>241</v>
      </c>
      <c r="CG72" s="4" t="s">
        <v>241</v>
      </c>
      <c r="CK72" s="4" t="s">
        <v>291</v>
      </c>
      <c r="CL72" s="4" t="s">
        <v>266</v>
      </c>
      <c r="CM72" s="4" t="s">
        <v>241</v>
      </c>
      <c r="CO72" s="4" t="s">
        <v>407</v>
      </c>
      <c r="CP72" s="5" t="s">
        <v>268</v>
      </c>
      <c r="CQ72" s="4" t="s">
        <v>269</v>
      </c>
      <c r="CR72" s="4" t="s">
        <v>270</v>
      </c>
      <c r="CS72" s="4" t="s">
        <v>241</v>
      </c>
      <c r="CT72" s="4" t="s">
        <v>241</v>
      </c>
      <c r="CU72" s="4">
        <v>0</v>
      </c>
      <c r="CV72" s="4" t="s">
        <v>271</v>
      </c>
      <c r="CW72" s="4" t="s">
        <v>272</v>
      </c>
      <c r="CX72" s="4" t="s">
        <v>347</v>
      </c>
      <c r="CZ72" s="6">
        <f>2424140</f>
        <v>2424140</v>
      </c>
      <c r="DA72" s="6">
        <f>0</f>
        <v>0</v>
      </c>
      <c r="DC72" s="4" t="s">
        <v>241</v>
      </c>
      <c r="DD72" s="4" t="s">
        <v>241</v>
      </c>
      <c r="DF72" s="4" t="s">
        <v>241</v>
      </c>
      <c r="DI72" s="4" t="s">
        <v>241</v>
      </c>
      <c r="DJ72" s="4" t="s">
        <v>241</v>
      </c>
      <c r="DK72" s="4" t="s">
        <v>241</v>
      </c>
      <c r="DL72" s="4" t="s">
        <v>241</v>
      </c>
      <c r="DM72" s="4" t="s">
        <v>277</v>
      </c>
      <c r="DN72" s="4" t="s">
        <v>278</v>
      </c>
      <c r="DO72" s="6">
        <f>19.87</f>
        <v>19.87</v>
      </c>
      <c r="DP72" s="4" t="s">
        <v>241</v>
      </c>
      <c r="DQ72" s="4" t="s">
        <v>241</v>
      </c>
      <c r="DR72" s="4" t="s">
        <v>241</v>
      </c>
      <c r="DS72" s="4" t="s">
        <v>241</v>
      </c>
      <c r="DV72" s="4" t="s">
        <v>2950</v>
      </c>
      <c r="DW72" s="4" t="s">
        <v>277</v>
      </c>
      <c r="HO72" s="4" t="s">
        <v>351</v>
      </c>
      <c r="HR72" s="4" t="s">
        <v>278</v>
      </c>
      <c r="HS72" s="4" t="s">
        <v>278</v>
      </c>
    </row>
    <row r="73" spans="1:227" x14ac:dyDescent="0.4">
      <c r="A73" s="4">
        <v>2</v>
      </c>
      <c r="B73" s="4" t="s">
        <v>239</v>
      </c>
      <c r="C73" s="4">
        <v>72</v>
      </c>
      <c r="D73" s="4">
        <v>1</v>
      </c>
      <c r="E73" s="4">
        <v>1</v>
      </c>
      <c r="F73" s="4" t="s">
        <v>240</v>
      </c>
      <c r="G73" s="4" t="s">
        <v>241</v>
      </c>
      <c r="H73" s="4" t="s">
        <v>241</v>
      </c>
      <c r="I73" s="4" t="s">
        <v>3460</v>
      </c>
      <c r="J73" s="4" t="s">
        <v>247</v>
      </c>
      <c r="K73" s="4" t="s">
        <v>256</v>
      </c>
      <c r="L73" s="4" t="s">
        <v>250</v>
      </c>
      <c r="M73" s="5" t="s">
        <v>3462</v>
      </c>
      <c r="N73" s="4" t="s">
        <v>3459</v>
      </c>
      <c r="O73" s="6">
        <f>57.96</f>
        <v>57.96</v>
      </c>
      <c r="P73" s="4" t="s">
        <v>276</v>
      </c>
      <c r="Q73" s="6">
        <f>1</f>
        <v>1</v>
      </c>
      <c r="R73" s="6">
        <f>6259680</f>
        <v>6259680</v>
      </c>
      <c r="S73" s="5" t="s">
        <v>3461</v>
      </c>
      <c r="T73" s="4" t="s">
        <v>348</v>
      </c>
      <c r="U73" s="4" t="s">
        <v>453</v>
      </c>
      <c r="W73" s="6">
        <f>6259679</f>
        <v>6259679</v>
      </c>
      <c r="X73" s="4" t="s">
        <v>243</v>
      </c>
      <c r="Y73" s="4" t="s">
        <v>244</v>
      </c>
      <c r="Z73" s="4" t="s">
        <v>246</v>
      </c>
      <c r="AA73" s="4" t="s">
        <v>241</v>
      </c>
      <c r="AD73" s="4" t="s">
        <v>241</v>
      </c>
      <c r="AF73" s="5" t="s">
        <v>241</v>
      </c>
      <c r="AI73" s="5" t="s">
        <v>249</v>
      </c>
      <c r="AJ73" s="4" t="s">
        <v>251</v>
      </c>
      <c r="AK73" s="4" t="s">
        <v>252</v>
      </c>
      <c r="BA73" s="4" t="s">
        <v>254</v>
      </c>
      <c r="BB73" s="4" t="s">
        <v>241</v>
      </c>
      <c r="BC73" s="4" t="s">
        <v>255</v>
      </c>
      <c r="BD73" s="4" t="s">
        <v>241</v>
      </c>
      <c r="BE73" s="4" t="s">
        <v>257</v>
      </c>
      <c r="BF73" s="4" t="s">
        <v>241</v>
      </c>
      <c r="BH73" s="4" t="s">
        <v>258</v>
      </c>
      <c r="BJ73" s="4" t="s">
        <v>259</v>
      </c>
      <c r="BK73" s="5" t="s">
        <v>260</v>
      </c>
      <c r="BL73" s="4" t="s">
        <v>261</v>
      </c>
      <c r="BM73" s="4" t="s">
        <v>262</v>
      </c>
      <c r="BN73" s="4" t="s">
        <v>241</v>
      </c>
      <c r="BO73" s="6">
        <f>0</f>
        <v>0</v>
      </c>
      <c r="BP73" s="6">
        <f>0</f>
        <v>0</v>
      </c>
      <c r="BQ73" s="4" t="s">
        <v>263</v>
      </c>
      <c r="BR73" s="4" t="s">
        <v>264</v>
      </c>
      <c r="CF73" s="4" t="s">
        <v>241</v>
      </c>
      <c r="CG73" s="4" t="s">
        <v>241</v>
      </c>
      <c r="CK73" s="4" t="s">
        <v>291</v>
      </c>
      <c r="CL73" s="4" t="s">
        <v>266</v>
      </c>
      <c r="CM73" s="4" t="s">
        <v>241</v>
      </c>
      <c r="CO73" s="4" t="s">
        <v>452</v>
      </c>
      <c r="CP73" s="5" t="s">
        <v>268</v>
      </c>
      <c r="CQ73" s="4" t="s">
        <v>269</v>
      </c>
      <c r="CR73" s="4" t="s">
        <v>270</v>
      </c>
      <c r="CS73" s="4" t="s">
        <v>241</v>
      </c>
      <c r="CT73" s="4" t="s">
        <v>241</v>
      </c>
      <c r="CU73" s="4">
        <v>0</v>
      </c>
      <c r="CV73" s="4" t="s">
        <v>271</v>
      </c>
      <c r="CW73" s="4" t="s">
        <v>272</v>
      </c>
      <c r="CX73" s="4" t="s">
        <v>347</v>
      </c>
      <c r="CZ73" s="6">
        <f>6259680</f>
        <v>6259680</v>
      </c>
      <c r="DA73" s="6">
        <f>0</f>
        <v>0</v>
      </c>
      <c r="DC73" s="4" t="s">
        <v>241</v>
      </c>
      <c r="DD73" s="4" t="s">
        <v>241</v>
      </c>
      <c r="DF73" s="4" t="s">
        <v>241</v>
      </c>
      <c r="DI73" s="4" t="s">
        <v>241</v>
      </c>
      <c r="DJ73" s="4" t="s">
        <v>241</v>
      </c>
      <c r="DK73" s="4" t="s">
        <v>241</v>
      </c>
      <c r="DL73" s="4" t="s">
        <v>241</v>
      </c>
      <c r="DM73" s="4" t="s">
        <v>277</v>
      </c>
      <c r="DN73" s="4" t="s">
        <v>278</v>
      </c>
      <c r="DO73" s="6">
        <f>57.96</f>
        <v>57.96</v>
      </c>
      <c r="DP73" s="4" t="s">
        <v>241</v>
      </c>
      <c r="DQ73" s="4" t="s">
        <v>241</v>
      </c>
      <c r="DR73" s="4" t="s">
        <v>241</v>
      </c>
      <c r="DS73" s="4" t="s">
        <v>241</v>
      </c>
      <c r="DV73" s="4" t="s">
        <v>3463</v>
      </c>
      <c r="DW73" s="4" t="s">
        <v>277</v>
      </c>
      <c r="HO73" s="4" t="s">
        <v>277</v>
      </c>
      <c r="HR73" s="4" t="s">
        <v>278</v>
      </c>
      <c r="HS73" s="4" t="s">
        <v>278</v>
      </c>
    </row>
    <row r="74" spans="1:227" x14ac:dyDescent="0.4">
      <c r="A74" s="4">
        <v>2</v>
      </c>
      <c r="B74" s="4" t="s">
        <v>239</v>
      </c>
      <c r="C74" s="4">
        <v>73</v>
      </c>
      <c r="D74" s="4">
        <v>1</v>
      </c>
      <c r="E74" s="4">
        <v>1</v>
      </c>
      <c r="F74" s="4" t="s">
        <v>240</v>
      </c>
      <c r="G74" s="4" t="s">
        <v>241</v>
      </c>
      <c r="H74" s="4" t="s">
        <v>241</v>
      </c>
      <c r="I74" s="4" t="s">
        <v>3464</v>
      </c>
      <c r="J74" s="4" t="s">
        <v>247</v>
      </c>
      <c r="K74" s="4" t="s">
        <v>256</v>
      </c>
      <c r="L74" s="4" t="s">
        <v>250</v>
      </c>
      <c r="M74" s="5" t="s">
        <v>3465</v>
      </c>
      <c r="N74" s="4" t="s">
        <v>242</v>
      </c>
      <c r="O74" s="6">
        <f>19.87</f>
        <v>19.87</v>
      </c>
      <c r="P74" s="4" t="s">
        <v>276</v>
      </c>
      <c r="Q74" s="6">
        <f>1</f>
        <v>1</v>
      </c>
      <c r="R74" s="6">
        <f>1192200</f>
        <v>1192200</v>
      </c>
      <c r="S74" s="5" t="s">
        <v>248</v>
      </c>
      <c r="T74" s="4" t="s">
        <v>348</v>
      </c>
      <c r="U74" s="4" t="s">
        <v>275</v>
      </c>
      <c r="W74" s="6">
        <f>1192199</f>
        <v>1192199</v>
      </c>
      <c r="X74" s="4" t="s">
        <v>243</v>
      </c>
      <c r="Y74" s="4" t="s">
        <v>244</v>
      </c>
      <c r="Z74" s="4" t="s">
        <v>246</v>
      </c>
      <c r="AA74" s="4" t="s">
        <v>241</v>
      </c>
      <c r="AD74" s="4" t="s">
        <v>241</v>
      </c>
      <c r="AF74" s="5" t="s">
        <v>241</v>
      </c>
      <c r="AI74" s="5" t="s">
        <v>249</v>
      </c>
      <c r="AJ74" s="4" t="s">
        <v>251</v>
      </c>
      <c r="AK74" s="4" t="s">
        <v>252</v>
      </c>
      <c r="BA74" s="4" t="s">
        <v>254</v>
      </c>
      <c r="BB74" s="4" t="s">
        <v>241</v>
      </c>
      <c r="BC74" s="4" t="s">
        <v>255</v>
      </c>
      <c r="BD74" s="4" t="s">
        <v>241</v>
      </c>
      <c r="BE74" s="4" t="s">
        <v>257</v>
      </c>
      <c r="BF74" s="4" t="s">
        <v>241</v>
      </c>
      <c r="BH74" s="4" t="s">
        <v>258</v>
      </c>
      <c r="BJ74" s="4" t="s">
        <v>367</v>
      </c>
      <c r="BK74" s="5" t="s">
        <v>249</v>
      </c>
      <c r="BL74" s="4" t="s">
        <v>261</v>
      </c>
      <c r="BM74" s="4" t="s">
        <v>262</v>
      </c>
      <c r="BN74" s="4" t="s">
        <v>241</v>
      </c>
      <c r="BO74" s="6">
        <f>0</f>
        <v>0</v>
      </c>
      <c r="BP74" s="6">
        <f>0</f>
        <v>0</v>
      </c>
      <c r="BQ74" s="4" t="s">
        <v>263</v>
      </c>
      <c r="BR74" s="4" t="s">
        <v>264</v>
      </c>
      <c r="CF74" s="4" t="s">
        <v>241</v>
      </c>
      <c r="CG74" s="4" t="s">
        <v>241</v>
      </c>
      <c r="CK74" s="4" t="s">
        <v>265</v>
      </c>
      <c r="CL74" s="4" t="s">
        <v>266</v>
      </c>
      <c r="CM74" s="4" t="s">
        <v>241</v>
      </c>
      <c r="CO74" s="4" t="s">
        <v>267</v>
      </c>
      <c r="CP74" s="5" t="s">
        <v>268</v>
      </c>
      <c r="CQ74" s="4" t="s">
        <v>269</v>
      </c>
      <c r="CR74" s="4" t="s">
        <v>270</v>
      </c>
      <c r="CS74" s="4" t="s">
        <v>241</v>
      </c>
      <c r="CT74" s="4" t="s">
        <v>241</v>
      </c>
      <c r="CU74" s="4">
        <v>0</v>
      </c>
      <c r="CV74" s="4" t="s">
        <v>271</v>
      </c>
      <c r="CW74" s="4" t="s">
        <v>272</v>
      </c>
      <c r="CX74" s="4" t="s">
        <v>347</v>
      </c>
      <c r="CZ74" s="6">
        <f>1192200</f>
        <v>1192200</v>
      </c>
      <c r="DA74" s="6">
        <f>0</f>
        <v>0</v>
      </c>
      <c r="DC74" s="4" t="s">
        <v>241</v>
      </c>
      <c r="DD74" s="4" t="s">
        <v>241</v>
      </c>
      <c r="DF74" s="4" t="s">
        <v>241</v>
      </c>
      <c r="DI74" s="4" t="s">
        <v>241</v>
      </c>
      <c r="DJ74" s="4" t="s">
        <v>241</v>
      </c>
      <c r="DK74" s="4" t="s">
        <v>241</v>
      </c>
      <c r="DL74" s="4" t="s">
        <v>241</v>
      </c>
      <c r="DM74" s="4" t="s">
        <v>277</v>
      </c>
      <c r="DN74" s="4" t="s">
        <v>278</v>
      </c>
      <c r="DO74" s="6">
        <f>19.87</f>
        <v>19.87</v>
      </c>
      <c r="DP74" s="4" t="s">
        <v>241</v>
      </c>
      <c r="DQ74" s="4" t="s">
        <v>241</v>
      </c>
      <c r="DR74" s="4" t="s">
        <v>241</v>
      </c>
      <c r="DS74" s="4" t="s">
        <v>241</v>
      </c>
      <c r="DV74" s="4" t="s">
        <v>3466</v>
      </c>
      <c r="DW74" s="4" t="s">
        <v>277</v>
      </c>
      <c r="HO74" s="4" t="s">
        <v>277</v>
      </c>
      <c r="HR74" s="4" t="s">
        <v>278</v>
      </c>
      <c r="HS74" s="4" t="s">
        <v>278</v>
      </c>
    </row>
    <row r="75" spans="1:227" x14ac:dyDescent="0.4">
      <c r="A75" s="4">
        <v>2</v>
      </c>
      <c r="B75" s="4" t="s">
        <v>239</v>
      </c>
      <c r="C75" s="4">
        <v>74</v>
      </c>
      <c r="D75" s="4">
        <v>1</v>
      </c>
      <c r="E75" s="4">
        <v>1</v>
      </c>
      <c r="F75" s="4" t="s">
        <v>240</v>
      </c>
      <c r="G75" s="4" t="s">
        <v>241</v>
      </c>
      <c r="H75" s="4" t="s">
        <v>241</v>
      </c>
      <c r="I75" s="4" t="s">
        <v>3464</v>
      </c>
      <c r="J75" s="4" t="s">
        <v>247</v>
      </c>
      <c r="K75" s="4" t="s">
        <v>256</v>
      </c>
      <c r="L75" s="4" t="s">
        <v>250</v>
      </c>
      <c r="M75" s="5" t="s">
        <v>3465</v>
      </c>
      <c r="N75" s="4" t="s">
        <v>242</v>
      </c>
      <c r="O75" s="6">
        <f>9.99</f>
        <v>9.99</v>
      </c>
      <c r="P75" s="4" t="s">
        <v>276</v>
      </c>
      <c r="Q75" s="6">
        <f>1</f>
        <v>1</v>
      </c>
      <c r="R75" s="6">
        <f>699300</f>
        <v>699300</v>
      </c>
      <c r="S75" s="5" t="s">
        <v>248</v>
      </c>
      <c r="T75" s="4" t="s">
        <v>357</v>
      </c>
      <c r="U75" s="4" t="s">
        <v>275</v>
      </c>
      <c r="W75" s="6">
        <f>699299</f>
        <v>699299</v>
      </c>
      <c r="X75" s="4" t="s">
        <v>243</v>
      </c>
      <c r="Y75" s="4" t="s">
        <v>244</v>
      </c>
      <c r="Z75" s="4" t="s">
        <v>246</v>
      </c>
      <c r="AA75" s="4" t="s">
        <v>241</v>
      </c>
      <c r="AD75" s="4" t="s">
        <v>241</v>
      </c>
      <c r="AF75" s="5" t="s">
        <v>241</v>
      </c>
      <c r="AI75" s="5" t="s">
        <v>249</v>
      </c>
      <c r="AJ75" s="4" t="s">
        <v>251</v>
      </c>
      <c r="AK75" s="4" t="s">
        <v>252</v>
      </c>
      <c r="BA75" s="4" t="s">
        <v>254</v>
      </c>
      <c r="BB75" s="4" t="s">
        <v>241</v>
      </c>
      <c r="BC75" s="4" t="s">
        <v>255</v>
      </c>
      <c r="BD75" s="4" t="s">
        <v>241</v>
      </c>
      <c r="BE75" s="4" t="s">
        <v>257</v>
      </c>
      <c r="BF75" s="4" t="s">
        <v>241</v>
      </c>
      <c r="BJ75" s="4" t="s">
        <v>374</v>
      </c>
      <c r="BK75" s="5" t="s">
        <v>375</v>
      </c>
      <c r="BL75" s="4" t="s">
        <v>261</v>
      </c>
      <c r="BM75" s="4" t="s">
        <v>262</v>
      </c>
      <c r="BN75" s="4" t="s">
        <v>241</v>
      </c>
      <c r="BO75" s="6">
        <f>0</f>
        <v>0</v>
      </c>
      <c r="BP75" s="6">
        <f>0</f>
        <v>0</v>
      </c>
      <c r="BQ75" s="4" t="s">
        <v>263</v>
      </c>
      <c r="BR75" s="4" t="s">
        <v>264</v>
      </c>
      <c r="CF75" s="4" t="s">
        <v>241</v>
      </c>
      <c r="CG75" s="4" t="s">
        <v>241</v>
      </c>
      <c r="CK75" s="4" t="s">
        <v>265</v>
      </c>
      <c r="CL75" s="4" t="s">
        <v>266</v>
      </c>
      <c r="CM75" s="4" t="s">
        <v>241</v>
      </c>
      <c r="CO75" s="4" t="s">
        <v>267</v>
      </c>
      <c r="CP75" s="5" t="s">
        <v>268</v>
      </c>
      <c r="CQ75" s="4" t="s">
        <v>269</v>
      </c>
      <c r="CR75" s="4" t="s">
        <v>270</v>
      </c>
      <c r="CS75" s="4" t="s">
        <v>241</v>
      </c>
      <c r="CT75" s="4" t="s">
        <v>241</v>
      </c>
      <c r="CU75" s="4">
        <v>0</v>
      </c>
      <c r="CV75" s="4" t="s">
        <v>271</v>
      </c>
      <c r="CW75" s="4" t="s">
        <v>272</v>
      </c>
      <c r="CX75" s="4" t="s">
        <v>356</v>
      </c>
      <c r="CZ75" s="6">
        <f>699300</f>
        <v>699300</v>
      </c>
      <c r="DA75" s="6">
        <f>0</f>
        <v>0</v>
      </c>
      <c r="DC75" s="4" t="s">
        <v>241</v>
      </c>
      <c r="DD75" s="4" t="s">
        <v>241</v>
      </c>
      <c r="DF75" s="4" t="s">
        <v>241</v>
      </c>
      <c r="DI75" s="4" t="s">
        <v>241</v>
      </c>
      <c r="DJ75" s="4" t="s">
        <v>241</v>
      </c>
      <c r="DK75" s="4" t="s">
        <v>241</v>
      </c>
      <c r="DL75" s="4" t="s">
        <v>241</v>
      </c>
      <c r="DM75" s="4" t="s">
        <v>277</v>
      </c>
      <c r="DN75" s="4" t="s">
        <v>278</v>
      </c>
      <c r="DO75" s="6">
        <f>9.99</f>
        <v>9.99</v>
      </c>
      <c r="DP75" s="4" t="s">
        <v>241</v>
      </c>
      <c r="DQ75" s="4" t="s">
        <v>241</v>
      </c>
      <c r="DR75" s="4" t="s">
        <v>241</v>
      </c>
      <c r="DS75" s="4" t="s">
        <v>241</v>
      </c>
      <c r="DV75" s="4" t="s">
        <v>3466</v>
      </c>
      <c r="DW75" s="4" t="s">
        <v>323</v>
      </c>
      <c r="HO75" s="4" t="s">
        <v>277</v>
      </c>
      <c r="HR75" s="4" t="s">
        <v>278</v>
      </c>
      <c r="HS75" s="4" t="s">
        <v>278</v>
      </c>
    </row>
    <row r="76" spans="1:227" x14ac:dyDescent="0.4">
      <c r="A76" s="4">
        <v>2</v>
      </c>
      <c r="B76" s="4" t="s">
        <v>239</v>
      </c>
      <c r="C76" s="4">
        <v>75</v>
      </c>
      <c r="D76" s="4">
        <v>1</v>
      </c>
      <c r="E76" s="4">
        <v>1</v>
      </c>
      <c r="F76" s="4" t="s">
        <v>240</v>
      </c>
      <c r="G76" s="4" t="s">
        <v>241</v>
      </c>
      <c r="H76" s="4" t="s">
        <v>241</v>
      </c>
      <c r="I76" s="4" t="s">
        <v>3467</v>
      </c>
      <c r="J76" s="4" t="s">
        <v>247</v>
      </c>
      <c r="K76" s="4" t="s">
        <v>256</v>
      </c>
      <c r="L76" s="4" t="s">
        <v>250</v>
      </c>
      <c r="M76" s="5" t="s">
        <v>3468</v>
      </c>
      <c r="N76" s="4" t="s">
        <v>242</v>
      </c>
      <c r="O76" s="6">
        <f>41.4</f>
        <v>41.4</v>
      </c>
      <c r="P76" s="4" t="s">
        <v>276</v>
      </c>
      <c r="Q76" s="6">
        <f>1</f>
        <v>1</v>
      </c>
      <c r="R76" s="6">
        <f>2484000</f>
        <v>2484000</v>
      </c>
      <c r="S76" s="5" t="s">
        <v>248</v>
      </c>
      <c r="T76" s="4" t="s">
        <v>348</v>
      </c>
      <c r="U76" s="4" t="s">
        <v>275</v>
      </c>
      <c r="W76" s="6">
        <f>2483999</f>
        <v>2483999</v>
      </c>
      <c r="X76" s="4" t="s">
        <v>243</v>
      </c>
      <c r="Y76" s="4" t="s">
        <v>244</v>
      </c>
      <c r="Z76" s="4" t="s">
        <v>246</v>
      </c>
      <c r="AA76" s="4" t="s">
        <v>241</v>
      </c>
      <c r="AD76" s="4" t="s">
        <v>241</v>
      </c>
      <c r="AF76" s="5" t="s">
        <v>241</v>
      </c>
      <c r="AI76" s="5" t="s">
        <v>249</v>
      </c>
      <c r="AJ76" s="4" t="s">
        <v>251</v>
      </c>
      <c r="AK76" s="4" t="s">
        <v>252</v>
      </c>
      <c r="BA76" s="4" t="s">
        <v>254</v>
      </c>
      <c r="BB76" s="4" t="s">
        <v>241</v>
      </c>
      <c r="BC76" s="4" t="s">
        <v>255</v>
      </c>
      <c r="BD76" s="4" t="s">
        <v>241</v>
      </c>
      <c r="BE76" s="4" t="s">
        <v>257</v>
      </c>
      <c r="BF76" s="4" t="s">
        <v>241</v>
      </c>
      <c r="BH76" s="4" t="s">
        <v>258</v>
      </c>
      <c r="BJ76" s="4" t="s">
        <v>377</v>
      </c>
      <c r="BK76" s="5" t="s">
        <v>378</v>
      </c>
      <c r="BL76" s="4" t="s">
        <v>261</v>
      </c>
      <c r="BM76" s="4" t="s">
        <v>262</v>
      </c>
      <c r="BN76" s="4" t="s">
        <v>241</v>
      </c>
      <c r="BO76" s="6">
        <f>0</f>
        <v>0</v>
      </c>
      <c r="BP76" s="6">
        <f>0</f>
        <v>0</v>
      </c>
      <c r="BQ76" s="4" t="s">
        <v>263</v>
      </c>
      <c r="BR76" s="4" t="s">
        <v>264</v>
      </c>
      <c r="CF76" s="4" t="s">
        <v>241</v>
      </c>
      <c r="CG76" s="4" t="s">
        <v>241</v>
      </c>
      <c r="CK76" s="4" t="s">
        <v>265</v>
      </c>
      <c r="CL76" s="4" t="s">
        <v>266</v>
      </c>
      <c r="CM76" s="4" t="s">
        <v>241</v>
      </c>
      <c r="CO76" s="4" t="s">
        <v>267</v>
      </c>
      <c r="CP76" s="5" t="s">
        <v>268</v>
      </c>
      <c r="CQ76" s="4" t="s">
        <v>269</v>
      </c>
      <c r="CR76" s="4" t="s">
        <v>270</v>
      </c>
      <c r="CS76" s="4" t="s">
        <v>241</v>
      </c>
      <c r="CT76" s="4" t="s">
        <v>241</v>
      </c>
      <c r="CU76" s="4">
        <v>0</v>
      </c>
      <c r="CV76" s="4" t="s">
        <v>271</v>
      </c>
      <c r="CW76" s="4" t="s">
        <v>272</v>
      </c>
      <c r="CX76" s="4" t="s">
        <v>347</v>
      </c>
      <c r="CZ76" s="6">
        <f>2484000</f>
        <v>2484000</v>
      </c>
      <c r="DA76" s="6">
        <f>0</f>
        <v>0</v>
      </c>
      <c r="DC76" s="4" t="s">
        <v>241</v>
      </c>
      <c r="DD76" s="4" t="s">
        <v>241</v>
      </c>
      <c r="DF76" s="4" t="s">
        <v>241</v>
      </c>
      <c r="DI76" s="4" t="s">
        <v>241</v>
      </c>
      <c r="DJ76" s="4" t="s">
        <v>241</v>
      </c>
      <c r="DK76" s="4" t="s">
        <v>241</v>
      </c>
      <c r="DL76" s="4" t="s">
        <v>241</v>
      </c>
      <c r="DM76" s="4" t="s">
        <v>277</v>
      </c>
      <c r="DN76" s="4" t="s">
        <v>278</v>
      </c>
      <c r="DO76" s="6">
        <f>41.4</f>
        <v>41.4</v>
      </c>
      <c r="DP76" s="4" t="s">
        <v>241</v>
      </c>
      <c r="DQ76" s="4" t="s">
        <v>241</v>
      </c>
      <c r="DR76" s="4" t="s">
        <v>241</v>
      </c>
      <c r="DS76" s="4" t="s">
        <v>241</v>
      </c>
      <c r="DV76" s="4" t="s">
        <v>3469</v>
      </c>
      <c r="DW76" s="4" t="s">
        <v>277</v>
      </c>
      <c r="HO76" s="4" t="s">
        <v>277</v>
      </c>
      <c r="HR76" s="4" t="s">
        <v>278</v>
      </c>
      <c r="HS76" s="4" t="s">
        <v>278</v>
      </c>
    </row>
    <row r="77" spans="1:227" x14ac:dyDescent="0.4">
      <c r="A77" s="4">
        <v>2</v>
      </c>
      <c r="B77" s="4" t="s">
        <v>239</v>
      </c>
      <c r="C77" s="4">
        <v>76</v>
      </c>
      <c r="D77" s="4">
        <v>1</v>
      </c>
      <c r="E77" s="4">
        <v>1</v>
      </c>
      <c r="F77" s="4" t="s">
        <v>240</v>
      </c>
      <c r="G77" s="4" t="s">
        <v>241</v>
      </c>
      <c r="H77" s="4" t="s">
        <v>241</v>
      </c>
      <c r="I77" s="4" t="s">
        <v>3470</v>
      </c>
      <c r="J77" s="4" t="s">
        <v>247</v>
      </c>
      <c r="K77" s="4" t="s">
        <v>256</v>
      </c>
      <c r="L77" s="4" t="s">
        <v>250</v>
      </c>
      <c r="M77" s="5" t="s">
        <v>3471</v>
      </c>
      <c r="N77" s="4" t="s">
        <v>242</v>
      </c>
      <c r="O77" s="6">
        <f>23</f>
        <v>23</v>
      </c>
      <c r="P77" s="4" t="s">
        <v>276</v>
      </c>
      <c r="Q77" s="6">
        <f>1</f>
        <v>1</v>
      </c>
      <c r="R77" s="6">
        <f>1380000</f>
        <v>1380000</v>
      </c>
      <c r="S77" s="5" t="s">
        <v>248</v>
      </c>
      <c r="T77" s="4" t="s">
        <v>348</v>
      </c>
      <c r="U77" s="4" t="s">
        <v>275</v>
      </c>
      <c r="W77" s="6">
        <f>1379999</f>
        <v>1379999</v>
      </c>
      <c r="X77" s="4" t="s">
        <v>243</v>
      </c>
      <c r="Y77" s="4" t="s">
        <v>244</v>
      </c>
      <c r="Z77" s="4" t="s">
        <v>246</v>
      </c>
      <c r="AA77" s="4" t="s">
        <v>241</v>
      </c>
      <c r="AD77" s="4" t="s">
        <v>241</v>
      </c>
      <c r="AF77" s="5" t="s">
        <v>241</v>
      </c>
      <c r="AI77" s="5" t="s">
        <v>249</v>
      </c>
      <c r="AJ77" s="4" t="s">
        <v>251</v>
      </c>
      <c r="AK77" s="4" t="s">
        <v>252</v>
      </c>
      <c r="BA77" s="4" t="s">
        <v>254</v>
      </c>
      <c r="BB77" s="4" t="s">
        <v>241</v>
      </c>
      <c r="BC77" s="4" t="s">
        <v>255</v>
      </c>
      <c r="BD77" s="4" t="s">
        <v>241</v>
      </c>
      <c r="BE77" s="4" t="s">
        <v>257</v>
      </c>
      <c r="BF77" s="4" t="s">
        <v>241</v>
      </c>
      <c r="BH77" s="4" t="s">
        <v>258</v>
      </c>
      <c r="BJ77" s="4" t="s">
        <v>377</v>
      </c>
      <c r="BK77" s="5" t="s">
        <v>378</v>
      </c>
      <c r="BL77" s="4" t="s">
        <v>261</v>
      </c>
      <c r="BM77" s="4" t="s">
        <v>262</v>
      </c>
      <c r="BN77" s="4" t="s">
        <v>241</v>
      </c>
      <c r="BO77" s="6">
        <f>0</f>
        <v>0</v>
      </c>
      <c r="BP77" s="6">
        <f>0</f>
        <v>0</v>
      </c>
      <c r="BQ77" s="4" t="s">
        <v>263</v>
      </c>
      <c r="BR77" s="4" t="s">
        <v>264</v>
      </c>
      <c r="CF77" s="4" t="s">
        <v>241</v>
      </c>
      <c r="CG77" s="4" t="s">
        <v>241</v>
      </c>
      <c r="CK77" s="4" t="s">
        <v>265</v>
      </c>
      <c r="CL77" s="4" t="s">
        <v>266</v>
      </c>
      <c r="CM77" s="4" t="s">
        <v>241</v>
      </c>
      <c r="CO77" s="4" t="s">
        <v>267</v>
      </c>
      <c r="CP77" s="5" t="s">
        <v>268</v>
      </c>
      <c r="CQ77" s="4" t="s">
        <v>269</v>
      </c>
      <c r="CR77" s="4" t="s">
        <v>270</v>
      </c>
      <c r="CS77" s="4" t="s">
        <v>241</v>
      </c>
      <c r="CT77" s="4" t="s">
        <v>241</v>
      </c>
      <c r="CU77" s="4">
        <v>0</v>
      </c>
      <c r="CV77" s="4" t="s">
        <v>271</v>
      </c>
      <c r="CW77" s="4" t="s">
        <v>272</v>
      </c>
      <c r="CX77" s="4" t="s">
        <v>347</v>
      </c>
      <c r="CZ77" s="6">
        <f>1380000</f>
        <v>1380000</v>
      </c>
      <c r="DA77" s="6">
        <f>0</f>
        <v>0</v>
      </c>
      <c r="DC77" s="4" t="s">
        <v>241</v>
      </c>
      <c r="DD77" s="4" t="s">
        <v>241</v>
      </c>
      <c r="DF77" s="4" t="s">
        <v>241</v>
      </c>
      <c r="DI77" s="4" t="s">
        <v>241</v>
      </c>
      <c r="DJ77" s="4" t="s">
        <v>241</v>
      </c>
      <c r="DK77" s="4" t="s">
        <v>241</v>
      </c>
      <c r="DL77" s="4" t="s">
        <v>241</v>
      </c>
      <c r="DM77" s="4" t="s">
        <v>277</v>
      </c>
      <c r="DN77" s="4" t="s">
        <v>278</v>
      </c>
      <c r="DO77" s="6">
        <f>23</f>
        <v>23</v>
      </c>
      <c r="DP77" s="4" t="s">
        <v>241</v>
      </c>
      <c r="DQ77" s="4" t="s">
        <v>241</v>
      </c>
      <c r="DR77" s="4" t="s">
        <v>241</v>
      </c>
      <c r="DS77" s="4" t="s">
        <v>241</v>
      </c>
      <c r="DV77" s="4" t="s">
        <v>3472</v>
      </c>
      <c r="DW77" s="4" t="s">
        <v>277</v>
      </c>
      <c r="HO77" s="4" t="s">
        <v>277</v>
      </c>
      <c r="HR77" s="4" t="s">
        <v>278</v>
      </c>
      <c r="HS77" s="4" t="s">
        <v>278</v>
      </c>
    </row>
    <row r="78" spans="1:227" x14ac:dyDescent="0.4">
      <c r="A78" s="4">
        <v>2</v>
      </c>
      <c r="B78" s="4" t="s">
        <v>239</v>
      </c>
      <c r="C78" s="4">
        <v>77</v>
      </c>
      <c r="D78" s="4">
        <v>1</v>
      </c>
      <c r="E78" s="4">
        <v>1</v>
      </c>
      <c r="F78" s="4" t="s">
        <v>240</v>
      </c>
      <c r="G78" s="4" t="s">
        <v>241</v>
      </c>
      <c r="H78" s="4" t="s">
        <v>241</v>
      </c>
      <c r="I78" s="4" t="s">
        <v>3473</v>
      </c>
      <c r="J78" s="4" t="s">
        <v>247</v>
      </c>
      <c r="K78" s="4" t="s">
        <v>256</v>
      </c>
      <c r="L78" s="4" t="s">
        <v>250</v>
      </c>
      <c r="M78" s="5" t="s">
        <v>3474</v>
      </c>
      <c r="N78" s="4" t="s">
        <v>242</v>
      </c>
      <c r="O78" s="6">
        <f>30</f>
        <v>30</v>
      </c>
      <c r="P78" s="4" t="s">
        <v>276</v>
      </c>
      <c r="Q78" s="6">
        <f>1</f>
        <v>1</v>
      </c>
      <c r="R78" s="6">
        <f>1800000</f>
        <v>1800000</v>
      </c>
      <c r="S78" s="5" t="s">
        <v>248</v>
      </c>
      <c r="T78" s="4" t="s">
        <v>348</v>
      </c>
      <c r="U78" s="4" t="s">
        <v>275</v>
      </c>
      <c r="W78" s="6">
        <f>1799999</f>
        <v>1799999</v>
      </c>
      <c r="X78" s="4" t="s">
        <v>243</v>
      </c>
      <c r="Y78" s="4" t="s">
        <v>244</v>
      </c>
      <c r="Z78" s="4" t="s">
        <v>246</v>
      </c>
      <c r="AA78" s="4" t="s">
        <v>241</v>
      </c>
      <c r="AD78" s="4" t="s">
        <v>241</v>
      </c>
      <c r="AF78" s="5" t="s">
        <v>241</v>
      </c>
      <c r="AI78" s="5" t="s">
        <v>249</v>
      </c>
      <c r="AJ78" s="4" t="s">
        <v>251</v>
      </c>
      <c r="AK78" s="4" t="s">
        <v>252</v>
      </c>
      <c r="BA78" s="4" t="s">
        <v>254</v>
      </c>
      <c r="BB78" s="4" t="s">
        <v>241</v>
      </c>
      <c r="BC78" s="4" t="s">
        <v>255</v>
      </c>
      <c r="BD78" s="4" t="s">
        <v>241</v>
      </c>
      <c r="BE78" s="4" t="s">
        <v>257</v>
      </c>
      <c r="BF78" s="4" t="s">
        <v>241</v>
      </c>
      <c r="BH78" s="4" t="s">
        <v>258</v>
      </c>
      <c r="BJ78" s="4" t="s">
        <v>259</v>
      </c>
      <c r="BK78" s="5" t="s">
        <v>260</v>
      </c>
      <c r="BL78" s="4" t="s">
        <v>261</v>
      </c>
      <c r="BM78" s="4" t="s">
        <v>262</v>
      </c>
      <c r="BN78" s="4" t="s">
        <v>241</v>
      </c>
      <c r="BO78" s="6">
        <f>0</f>
        <v>0</v>
      </c>
      <c r="BP78" s="6">
        <f>0</f>
        <v>0</v>
      </c>
      <c r="BQ78" s="4" t="s">
        <v>263</v>
      </c>
      <c r="BR78" s="4" t="s">
        <v>264</v>
      </c>
      <c r="CF78" s="4" t="s">
        <v>241</v>
      </c>
      <c r="CG78" s="4" t="s">
        <v>241</v>
      </c>
      <c r="CK78" s="4" t="s">
        <v>265</v>
      </c>
      <c r="CL78" s="4" t="s">
        <v>266</v>
      </c>
      <c r="CM78" s="4" t="s">
        <v>241</v>
      </c>
      <c r="CO78" s="4" t="s">
        <v>267</v>
      </c>
      <c r="CP78" s="5" t="s">
        <v>268</v>
      </c>
      <c r="CQ78" s="4" t="s">
        <v>269</v>
      </c>
      <c r="CR78" s="4" t="s">
        <v>270</v>
      </c>
      <c r="CS78" s="4" t="s">
        <v>241</v>
      </c>
      <c r="CT78" s="4" t="s">
        <v>241</v>
      </c>
      <c r="CU78" s="4">
        <v>0</v>
      </c>
      <c r="CV78" s="4" t="s">
        <v>271</v>
      </c>
      <c r="CW78" s="4" t="s">
        <v>272</v>
      </c>
      <c r="CX78" s="4" t="s">
        <v>347</v>
      </c>
      <c r="CZ78" s="6">
        <f>1800000</f>
        <v>1800000</v>
      </c>
      <c r="DA78" s="6">
        <f>0</f>
        <v>0</v>
      </c>
      <c r="DC78" s="4" t="s">
        <v>241</v>
      </c>
      <c r="DD78" s="4" t="s">
        <v>241</v>
      </c>
      <c r="DF78" s="4" t="s">
        <v>241</v>
      </c>
      <c r="DI78" s="4" t="s">
        <v>241</v>
      </c>
      <c r="DJ78" s="4" t="s">
        <v>241</v>
      </c>
      <c r="DK78" s="4" t="s">
        <v>241</v>
      </c>
      <c r="DL78" s="4" t="s">
        <v>241</v>
      </c>
      <c r="DM78" s="4" t="s">
        <v>277</v>
      </c>
      <c r="DN78" s="4" t="s">
        <v>278</v>
      </c>
      <c r="DO78" s="6">
        <f>30</f>
        <v>30</v>
      </c>
      <c r="DP78" s="4" t="s">
        <v>241</v>
      </c>
      <c r="DQ78" s="4" t="s">
        <v>241</v>
      </c>
      <c r="DR78" s="4" t="s">
        <v>241</v>
      </c>
      <c r="DS78" s="4" t="s">
        <v>241</v>
      </c>
      <c r="DV78" s="4" t="s">
        <v>3475</v>
      </c>
      <c r="DW78" s="4" t="s">
        <v>277</v>
      </c>
      <c r="HO78" s="4" t="s">
        <v>277</v>
      </c>
      <c r="HR78" s="4" t="s">
        <v>278</v>
      </c>
      <c r="HS78" s="4" t="s">
        <v>278</v>
      </c>
    </row>
    <row r="79" spans="1:227" x14ac:dyDescent="0.4">
      <c r="A79" s="4">
        <v>2</v>
      </c>
      <c r="B79" s="4" t="s">
        <v>239</v>
      </c>
      <c r="C79" s="4">
        <v>78</v>
      </c>
      <c r="D79" s="4">
        <v>1</v>
      </c>
      <c r="E79" s="4">
        <v>1</v>
      </c>
      <c r="F79" s="4" t="s">
        <v>240</v>
      </c>
      <c r="G79" s="4" t="s">
        <v>241</v>
      </c>
      <c r="H79" s="4" t="s">
        <v>241</v>
      </c>
      <c r="I79" s="4" t="s">
        <v>3476</v>
      </c>
      <c r="J79" s="4" t="s">
        <v>247</v>
      </c>
      <c r="K79" s="4" t="s">
        <v>256</v>
      </c>
      <c r="L79" s="4" t="s">
        <v>250</v>
      </c>
      <c r="M79" s="5" t="s">
        <v>3477</v>
      </c>
      <c r="N79" s="4" t="s">
        <v>242</v>
      </c>
      <c r="O79" s="6">
        <f>9</f>
        <v>9</v>
      </c>
      <c r="P79" s="4" t="s">
        <v>276</v>
      </c>
      <c r="Q79" s="6">
        <f>1</f>
        <v>1</v>
      </c>
      <c r="R79" s="6">
        <f>540000</f>
        <v>540000</v>
      </c>
      <c r="S79" s="5" t="s">
        <v>248</v>
      </c>
      <c r="T79" s="4" t="s">
        <v>348</v>
      </c>
      <c r="U79" s="4" t="s">
        <v>275</v>
      </c>
      <c r="W79" s="6">
        <f>539999</f>
        <v>539999</v>
      </c>
      <c r="X79" s="4" t="s">
        <v>243</v>
      </c>
      <c r="Y79" s="4" t="s">
        <v>244</v>
      </c>
      <c r="Z79" s="4" t="s">
        <v>246</v>
      </c>
      <c r="AA79" s="4" t="s">
        <v>241</v>
      </c>
      <c r="AD79" s="4" t="s">
        <v>241</v>
      </c>
      <c r="AF79" s="5" t="s">
        <v>241</v>
      </c>
      <c r="AI79" s="5" t="s">
        <v>249</v>
      </c>
      <c r="AJ79" s="4" t="s">
        <v>251</v>
      </c>
      <c r="AK79" s="4" t="s">
        <v>252</v>
      </c>
      <c r="BA79" s="4" t="s">
        <v>254</v>
      </c>
      <c r="BB79" s="4" t="s">
        <v>241</v>
      </c>
      <c r="BC79" s="4" t="s">
        <v>255</v>
      </c>
      <c r="BD79" s="4" t="s">
        <v>241</v>
      </c>
      <c r="BE79" s="4" t="s">
        <v>257</v>
      </c>
      <c r="BF79" s="4" t="s">
        <v>241</v>
      </c>
      <c r="BH79" s="4" t="s">
        <v>258</v>
      </c>
      <c r="BJ79" s="4" t="s">
        <v>367</v>
      </c>
      <c r="BK79" s="5" t="s">
        <v>249</v>
      </c>
      <c r="BL79" s="4" t="s">
        <v>261</v>
      </c>
      <c r="BM79" s="4" t="s">
        <v>262</v>
      </c>
      <c r="BN79" s="4" t="s">
        <v>241</v>
      </c>
      <c r="BO79" s="6">
        <f>0</f>
        <v>0</v>
      </c>
      <c r="BP79" s="6">
        <f>0</f>
        <v>0</v>
      </c>
      <c r="BQ79" s="4" t="s">
        <v>263</v>
      </c>
      <c r="BR79" s="4" t="s">
        <v>264</v>
      </c>
      <c r="CF79" s="4" t="s">
        <v>241</v>
      </c>
      <c r="CG79" s="4" t="s">
        <v>241</v>
      </c>
      <c r="CK79" s="4" t="s">
        <v>265</v>
      </c>
      <c r="CL79" s="4" t="s">
        <v>266</v>
      </c>
      <c r="CM79" s="4" t="s">
        <v>241</v>
      </c>
      <c r="CO79" s="4" t="s">
        <v>267</v>
      </c>
      <c r="CP79" s="5" t="s">
        <v>268</v>
      </c>
      <c r="CQ79" s="4" t="s">
        <v>269</v>
      </c>
      <c r="CR79" s="4" t="s">
        <v>270</v>
      </c>
      <c r="CS79" s="4" t="s">
        <v>241</v>
      </c>
      <c r="CT79" s="4" t="s">
        <v>241</v>
      </c>
      <c r="CU79" s="4">
        <v>0</v>
      </c>
      <c r="CV79" s="4" t="s">
        <v>271</v>
      </c>
      <c r="CW79" s="4" t="s">
        <v>272</v>
      </c>
      <c r="CX79" s="4" t="s">
        <v>347</v>
      </c>
      <c r="CZ79" s="6">
        <f>540000</f>
        <v>540000</v>
      </c>
      <c r="DA79" s="6">
        <f>0</f>
        <v>0</v>
      </c>
      <c r="DC79" s="4" t="s">
        <v>241</v>
      </c>
      <c r="DD79" s="4" t="s">
        <v>241</v>
      </c>
      <c r="DF79" s="4" t="s">
        <v>241</v>
      </c>
      <c r="DI79" s="4" t="s">
        <v>241</v>
      </c>
      <c r="DJ79" s="4" t="s">
        <v>241</v>
      </c>
      <c r="DK79" s="4" t="s">
        <v>241</v>
      </c>
      <c r="DL79" s="4" t="s">
        <v>241</v>
      </c>
      <c r="DM79" s="4" t="s">
        <v>277</v>
      </c>
      <c r="DN79" s="4" t="s">
        <v>278</v>
      </c>
      <c r="DO79" s="6">
        <f>9</f>
        <v>9</v>
      </c>
      <c r="DP79" s="4" t="s">
        <v>241</v>
      </c>
      <c r="DQ79" s="4" t="s">
        <v>241</v>
      </c>
      <c r="DR79" s="4" t="s">
        <v>241</v>
      </c>
      <c r="DS79" s="4" t="s">
        <v>241</v>
      </c>
      <c r="DV79" s="4" t="s">
        <v>3478</v>
      </c>
      <c r="DW79" s="4" t="s">
        <v>277</v>
      </c>
      <c r="HO79" s="4" t="s">
        <v>277</v>
      </c>
      <c r="HR79" s="4" t="s">
        <v>278</v>
      </c>
      <c r="HS79" s="4" t="s">
        <v>278</v>
      </c>
    </row>
    <row r="80" spans="1:227" x14ac:dyDescent="0.4">
      <c r="A80" s="4">
        <v>2</v>
      </c>
      <c r="B80" s="4" t="s">
        <v>239</v>
      </c>
      <c r="C80" s="4">
        <v>79</v>
      </c>
      <c r="D80" s="4">
        <v>1</v>
      </c>
      <c r="E80" s="4">
        <v>1</v>
      </c>
      <c r="F80" s="4" t="s">
        <v>240</v>
      </c>
      <c r="G80" s="4" t="s">
        <v>241</v>
      </c>
      <c r="H80" s="4" t="s">
        <v>241</v>
      </c>
      <c r="I80" s="4" t="s">
        <v>3479</v>
      </c>
      <c r="J80" s="4" t="s">
        <v>247</v>
      </c>
      <c r="K80" s="4" t="s">
        <v>256</v>
      </c>
      <c r="L80" s="4" t="s">
        <v>250</v>
      </c>
      <c r="M80" s="5" t="s">
        <v>1422</v>
      </c>
      <c r="N80" s="4" t="s">
        <v>242</v>
      </c>
      <c r="O80" s="6">
        <f>9</f>
        <v>9</v>
      </c>
      <c r="P80" s="4" t="s">
        <v>276</v>
      </c>
      <c r="Q80" s="6">
        <f>1</f>
        <v>1</v>
      </c>
      <c r="R80" s="6">
        <f>540000</f>
        <v>540000</v>
      </c>
      <c r="S80" s="5" t="s">
        <v>248</v>
      </c>
      <c r="T80" s="4" t="s">
        <v>348</v>
      </c>
      <c r="U80" s="4" t="s">
        <v>275</v>
      </c>
      <c r="W80" s="6">
        <f>539999</f>
        <v>539999</v>
      </c>
      <c r="X80" s="4" t="s">
        <v>243</v>
      </c>
      <c r="Y80" s="4" t="s">
        <v>244</v>
      </c>
      <c r="Z80" s="4" t="s">
        <v>246</v>
      </c>
      <c r="AA80" s="4" t="s">
        <v>241</v>
      </c>
      <c r="AD80" s="4" t="s">
        <v>241</v>
      </c>
      <c r="AF80" s="5" t="s">
        <v>241</v>
      </c>
      <c r="AI80" s="5" t="s">
        <v>249</v>
      </c>
      <c r="AJ80" s="4" t="s">
        <v>251</v>
      </c>
      <c r="AK80" s="4" t="s">
        <v>252</v>
      </c>
      <c r="BA80" s="4" t="s">
        <v>254</v>
      </c>
      <c r="BB80" s="4" t="s">
        <v>241</v>
      </c>
      <c r="BC80" s="4" t="s">
        <v>255</v>
      </c>
      <c r="BD80" s="4" t="s">
        <v>241</v>
      </c>
      <c r="BE80" s="4" t="s">
        <v>257</v>
      </c>
      <c r="BF80" s="4" t="s">
        <v>241</v>
      </c>
      <c r="BH80" s="4" t="s">
        <v>258</v>
      </c>
      <c r="BJ80" s="4" t="s">
        <v>374</v>
      </c>
      <c r="BK80" s="5" t="s">
        <v>375</v>
      </c>
      <c r="BL80" s="4" t="s">
        <v>261</v>
      </c>
      <c r="BM80" s="4" t="s">
        <v>262</v>
      </c>
      <c r="BN80" s="4" t="s">
        <v>241</v>
      </c>
      <c r="BO80" s="6">
        <f>0</f>
        <v>0</v>
      </c>
      <c r="BP80" s="6">
        <f>0</f>
        <v>0</v>
      </c>
      <c r="BQ80" s="4" t="s">
        <v>263</v>
      </c>
      <c r="BR80" s="4" t="s">
        <v>264</v>
      </c>
      <c r="CF80" s="4" t="s">
        <v>241</v>
      </c>
      <c r="CG80" s="4" t="s">
        <v>241</v>
      </c>
      <c r="CK80" s="4" t="s">
        <v>265</v>
      </c>
      <c r="CL80" s="4" t="s">
        <v>266</v>
      </c>
      <c r="CM80" s="4" t="s">
        <v>241</v>
      </c>
      <c r="CO80" s="4" t="s">
        <v>267</v>
      </c>
      <c r="CP80" s="5" t="s">
        <v>268</v>
      </c>
      <c r="CQ80" s="4" t="s">
        <v>269</v>
      </c>
      <c r="CR80" s="4" t="s">
        <v>270</v>
      </c>
      <c r="CS80" s="4" t="s">
        <v>241</v>
      </c>
      <c r="CT80" s="4" t="s">
        <v>241</v>
      </c>
      <c r="CU80" s="4">
        <v>0</v>
      </c>
      <c r="CV80" s="4" t="s">
        <v>271</v>
      </c>
      <c r="CW80" s="4" t="s">
        <v>272</v>
      </c>
      <c r="CX80" s="4" t="s">
        <v>347</v>
      </c>
      <c r="CZ80" s="6">
        <f>540000</f>
        <v>540000</v>
      </c>
      <c r="DA80" s="6">
        <f>0</f>
        <v>0</v>
      </c>
      <c r="DC80" s="4" t="s">
        <v>241</v>
      </c>
      <c r="DD80" s="4" t="s">
        <v>241</v>
      </c>
      <c r="DF80" s="4" t="s">
        <v>241</v>
      </c>
      <c r="DI80" s="4" t="s">
        <v>241</v>
      </c>
      <c r="DJ80" s="4" t="s">
        <v>241</v>
      </c>
      <c r="DK80" s="4" t="s">
        <v>241</v>
      </c>
      <c r="DL80" s="4" t="s">
        <v>241</v>
      </c>
      <c r="DM80" s="4" t="s">
        <v>277</v>
      </c>
      <c r="DN80" s="4" t="s">
        <v>278</v>
      </c>
      <c r="DO80" s="6">
        <f>9</f>
        <v>9</v>
      </c>
      <c r="DP80" s="4" t="s">
        <v>241</v>
      </c>
      <c r="DQ80" s="4" t="s">
        <v>241</v>
      </c>
      <c r="DR80" s="4" t="s">
        <v>241</v>
      </c>
      <c r="DS80" s="4" t="s">
        <v>241</v>
      </c>
      <c r="DV80" s="4" t="s">
        <v>3480</v>
      </c>
      <c r="DW80" s="4" t="s">
        <v>277</v>
      </c>
      <c r="HO80" s="4" t="s">
        <v>277</v>
      </c>
      <c r="HR80" s="4" t="s">
        <v>278</v>
      </c>
      <c r="HS80" s="4" t="s">
        <v>278</v>
      </c>
    </row>
    <row r="81" spans="1:227" x14ac:dyDescent="0.4">
      <c r="A81" s="4">
        <v>2</v>
      </c>
      <c r="B81" s="4" t="s">
        <v>239</v>
      </c>
      <c r="C81" s="4">
        <v>80</v>
      </c>
      <c r="D81" s="4">
        <v>1</v>
      </c>
      <c r="E81" s="4">
        <v>1</v>
      </c>
      <c r="F81" s="4" t="s">
        <v>240</v>
      </c>
      <c r="G81" s="4" t="s">
        <v>241</v>
      </c>
      <c r="H81" s="4" t="s">
        <v>241</v>
      </c>
      <c r="I81" s="4" t="s">
        <v>3481</v>
      </c>
      <c r="J81" s="4" t="s">
        <v>247</v>
      </c>
      <c r="K81" s="4" t="s">
        <v>256</v>
      </c>
      <c r="L81" s="4" t="s">
        <v>250</v>
      </c>
      <c r="M81" s="5" t="s">
        <v>3482</v>
      </c>
      <c r="N81" s="4" t="s">
        <v>242</v>
      </c>
      <c r="O81" s="6">
        <f>82.8</f>
        <v>82.8</v>
      </c>
      <c r="P81" s="4" t="s">
        <v>276</v>
      </c>
      <c r="Q81" s="6">
        <f>1</f>
        <v>1</v>
      </c>
      <c r="R81" s="6">
        <f>4968000</f>
        <v>4968000</v>
      </c>
      <c r="S81" s="5" t="s">
        <v>248</v>
      </c>
      <c r="T81" s="4" t="s">
        <v>348</v>
      </c>
      <c r="U81" s="4" t="s">
        <v>275</v>
      </c>
      <c r="W81" s="6">
        <f>4967999</f>
        <v>4967999</v>
      </c>
      <c r="X81" s="4" t="s">
        <v>243</v>
      </c>
      <c r="Y81" s="4" t="s">
        <v>244</v>
      </c>
      <c r="Z81" s="4" t="s">
        <v>246</v>
      </c>
      <c r="AA81" s="4" t="s">
        <v>241</v>
      </c>
      <c r="AD81" s="4" t="s">
        <v>241</v>
      </c>
      <c r="AF81" s="5" t="s">
        <v>241</v>
      </c>
      <c r="AI81" s="5" t="s">
        <v>249</v>
      </c>
      <c r="AJ81" s="4" t="s">
        <v>251</v>
      </c>
      <c r="AK81" s="4" t="s">
        <v>252</v>
      </c>
      <c r="BA81" s="4" t="s">
        <v>254</v>
      </c>
      <c r="BB81" s="4" t="s">
        <v>241</v>
      </c>
      <c r="BC81" s="4" t="s">
        <v>255</v>
      </c>
      <c r="BD81" s="4" t="s">
        <v>241</v>
      </c>
      <c r="BE81" s="4" t="s">
        <v>257</v>
      </c>
      <c r="BF81" s="4" t="s">
        <v>241</v>
      </c>
      <c r="BH81" s="4" t="s">
        <v>258</v>
      </c>
      <c r="BJ81" s="4" t="s">
        <v>377</v>
      </c>
      <c r="BK81" s="5" t="s">
        <v>378</v>
      </c>
      <c r="BL81" s="4" t="s">
        <v>261</v>
      </c>
      <c r="BM81" s="4" t="s">
        <v>262</v>
      </c>
      <c r="BN81" s="4" t="s">
        <v>241</v>
      </c>
      <c r="BO81" s="6">
        <f>0</f>
        <v>0</v>
      </c>
      <c r="BP81" s="6">
        <f>0</f>
        <v>0</v>
      </c>
      <c r="BQ81" s="4" t="s">
        <v>263</v>
      </c>
      <c r="BR81" s="4" t="s">
        <v>264</v>
      </c>
      <c r="CF81" s="4" t="s">
        <v>241</v>
      </c>
      <c r="CG81" s="4" t="s">
        <v>241</v>
      </c>
      <c r="CK81" s="4" t="s">
        <v>265</v>
      </c>
      <c r="CL81" s="4" t="s">
        <v>266</v>
      </c>
      <c r="CM81" s="4" t="s">
        <v>241</v>
      </c>
      <c r="CO81" s="4" t="s">
        <v>267</v>
      </c>
      <c r="CP81" s="5" t="s">
        <v>268</v>
      </c>
      <c r="CQ81" s="4" t="s">
        <v>269</v>
      </c>
      <c r="CR81" s="4" t="s">
        <v>270</v>
      </c>
      <c r="CS81" s="4" t="s">
        <v>241</v>
      </c>
      <c r="CT81" s="4" t="s">
        <v>241</v>
      </c>
      <c r="CU81" s="4">
        <v>0</v>
      </c>
      <c r="CV81" s="4" t="s">
        <v>271</v>
      </c>
      <c r="CW81" s="4" t="s">
        <v>272</v>
      </c>
      <c r="CX81" s="4" t="s">
        <v>347</v>
      </c>
      <c r="CZ81" s="6">
        <f>4968000</f>
        <v>4968000</v>
      </c>
      <c r="DA81" s="6">
        <f>0</f>
        <v>0</v>
      </c>
      <c r="DC81" s="4" t="s">
        <v>241</v>
      </c>
      <c r="DD81" s="4" t="s">
        <v>241</v>
      </c>
      <c r="DF81" s="4" t="s">
        <v>241</v>
      </c>
      <c r="DI81" s="4" t="s">
        <v>241</v>
      </c>
      <c r="DJ81" s="4" t="s">
        <v>241</v>
      </c>
      <c r="DK81" s="4" t="s">
        <v>241</v>
      </c>
      <c r="DL81" s="4" t="s">
        <v>241</v>
      </c>
      <c r="DM81" s="4" t="s">
        <v>323</v>
      </c>
      <c r="DN81" s="4" t="s">
        <v>278</v>
      </c>
      <c r="DO81" s="6">
        <f>82.8</f>
        <v>82.8</v>
      </c>
      <c r="DP81" s="4" t="s">
        <v>241</v>
      </c>
      <c r="DQ81" s="4" t="s">
        <v>241</v>
      </c>
      <c r="DR81" s="4" t="s">
        <v>241</v>
      </c>
      <c r="DS81" s="4" t="s">
        <v>241</v>
      </c>
      <c r="DV81" s="4" t="s">
        <v>3483</v>
      </c>
      <c r="DW81" s="4" t="s">
        <v>277</v>
      </c>
      <c r="HO81" s="4" t="s">
        <v>277</v>
      </c>
      <c r="HR81" s="4" t="s">
        <v>278</v>
      </c>
      <c r="HS81" s="4" t="s">
        <v>278</v>
      </c>
    </row>
    <row r="82" spans="1:227" x14ac:dyDescent="0.4">
      <c r="A82" s="4">
        <v>2</v>
      </c>
      <c r="B82" s="4" t="s">
        <v>239</v>
      </c>
      <c r="C82" s="4">
        <v>81</v>
      </c>
      <c r="D82" s="4">
        <v>1</v>
      </c>
      <c r="E82" s="4">
        <v>1</v>
      </c>
      <c r="F82" s="4" t="s">
        <v>240</v>
      </c>
      <c r="G82" s="4" t="s">
        <v>241</v>
      </c>
      <c r="H82" s="4" t="s">
        <v>241</v>
      </c>
      <c r="I82" s="4" t="s">
        <v>3727</v>
      </c>
      <c r="J82" s="4" t="s">
        <v>247</v>
      </c>
      <c r="K82" s="4" t="s">
        <v>256</v>
      </c>
      <c r="L82" s="4" t="s">
        <v>250</v>
      </c>
      <c r="M82" s="5" t="s">
        <v>3728</v>
      </c>
      <c r="N82" s="4" t="s">
        <v>242</v>
      </c>
      <c r="O82" s="6">
        <f>33.12</f>
        <v>33.119999999999997</v>
      </c>
      <c r="P82" s="4" t="s">
        <v>276</v>
      </c>
      <c r="Q82" s="6">
        <f>1</f>
        <v>1</v>
      </c>
      <c r="R82" s="6">
        <f>1987200</f>
        <v>1987200</v>
      </c>
      <c r="S82" s="5" t="s">
        <v>248</v>
      </c>
      <c r="T82" s="4" t="s">
        <v>348</v>
      </c>
      <c r="U82" s="4" t="s">
        <v>275</v>
      </c>
      <c r="W82" s="6">
        <f>1987199</f>
        <v>1987199</v>
      </c>
      <c r="X82" s="4" t="s">
        <v>243</v>
      </c>
      <c r="Y82" s="4" t="s">
        <v>244</v>
      </c>
      <c r="Z82" s="4" t="s">
        <v>246</v>
      </c>
      <c r="AA82" s="4" t="s">
        <v>241</v>
      </c>
      <c r="AD82" s="4" t="s">
        <v>241</v>
      </c>
      <c r="AF82" s="5" t="s">
        <v>241</v>
      </c>
      <c r="AI82" s="5" t="s">
        <v>249</v>
      </c>
      <c r="AJ82" s="4" t="s">
        <v>251</v>
      </c>
      <c r="AK82" s="4" t="s">
        <v>252</v>
      </c>
      <c r="BA82" s="4" t="s">
        <v>254</v>
      </c>
      <c r="BB82" s="4" t="s">
        <v>241</v>
      </c>
      <c r="BC82" s="4" t="s">
        <v>255</v>
      </c>
      <c r="BD82" s="4" t="s">
        <v>241</v>
      </c>
      <c r="BE82" s="4" t="s">
        <v>257</v>
      </c>
      <c r="BF82" s="4" t="s">
        <v>241</v>
      </c>
      <c r="BH82" s="4" t="s">
        <v>258</v>
      </c>
      <c r="BJ82" s="4" t="s">
        <v>259</v>
      </c>
      <c r="BK82" s="5" t="s">
        <v>260</v>
      </c>
      <c r="BL82" s="4" t="s">
        <v>261</v>
      </c>
      <c r="BM82" s="4" t="s">
        <v>262</v>
      </c>
      <c r="BN82" s="4" t="s">
        <v>241</v>
      </c>
      <c r="BO82" s="6">
        <f>0</f>
        <v>0</v>
      </c>
      <c r="BP82" s="6">
        <f>0</f>
        <v>0</v>
      </c>
      <c r="BQ82" s="4" t="s">
        <v>263</v>
      </c>
      <c r="BR82" s="4" t="s">
        <v>264</v>
      </c>
      <c r="CF82" s="4" t="s">
        <v>241</v>
      </c>
      <c r="CG82" s="4" t="s">
        <v>241</v>
      </c>
      <c r="CK82" s="4" t="s">
        <v>265</v>
      </c>
      <c r="CL82" s="4" t="s">
        <v>266</v>
      </c>
      <c r="CM82" s="4" t="s">
        <v>241</v>
      </c>
      <c r="CO82" s="4" t="s">
        <v>267</v>
      </c>
      <c r="CP82" s="5" t="s">
        <v>268</v>
      </c>
      <c r="CQ82" s="4" t="s">
        <v>269</v>
      </c>
      <c r="CR82" s="4" t="s">
        <v>270</v>
      </c>
      <c r="CS82" s="4" t="s">
        <v>241</v>
      </c>
      <c r="CT82" s="4" t="s">
        <v>241</v>
      </c>
      <c r="CU82" s="4">
        <v>0</v>
      </c>
      <c r="CV82" s="4" t="s">
        <v>271</v>
      </c>
      <c r="CW82" s="4" t="s">
        <v>272</v>
      </c>
      <c r="CX82" s="4" t="s">
        <v>347</v>
      </c>
      <c r="CZ82" s="6">
        <f>1987200</f>
        <v>1987200</v>
      </c>
      <c r="DA82" s="6">
        <f>0</f>
        <v>0</v>
      </c>
      <c r="DC82" s="4" t="s">
        <v>241</v>
      </c>
      <c r="DD82" s="4" t="s">
        <v>241</v>
      </c>
      <c r="DF82" s="4" t="s">
        <v>241</v>
      </c>
      <c r="DI82" s="4" t="s">
        <v>241</v>
      </c>
      <c r="DJ82" s="4" t="s">
        <v>241</v>
      </c>
      <c r="DK82" s="4" t="s">
        <v>241</v>
      </c>
      <c r="DL82" s="4" t="s">
        <v>241</v>
      </c>
      <c r="DM82" s="4" t="s">
        <v>277</v>
      </c>
      <c r="DN82" s="4" t="s">
        <v>278</v>
      </c>
      <c r="DO82" s="6">
        <f>33.12</f>
        <v>33.119999999999997</v>
      </c>
      <c r="DP82" s="4" t="s">
        <v>241</v>
      </c>
      <c r="DQ82" s="4" t="s">
        <v>241</v>
      </c>
      <c r="DR82" s="4" t="s">
        <v>241</v>
      </c>
      <c r="DS82" s="4" t="s">
        <v>241</v>
      </c>
      <c r="DV82" s="4" t="s">
        <v>3729</v>
      </c>
      <c r="DW82" s="4" t="s">
        <v>277</v>
      </c>
      <c r="HO82" s="4" t="s">
        <v>277</v>
      </c>
      <c r="HR82" s="4" t="s">
        <v>278</v>
      </c>
      <c r="HS82" s="4" t="s">
        <v>278</v>
      </c>
    </row>
    <row r="83" spans="1:227" x14ac:dyDescent="0.4">
      <c r="A83" s="4">
        <v>2</v>
      </c>
      <c r="B83" s="4" t="s">
        <v>239</v>
      </c>
      <c r="C83" s="4">
        <v>82</v>
      </c>
      <c r="D83" s="4">
        <v>1</v>
      </c>
      <c r="E83" s="4">
        <v>1</v>
      </c>
      <c r="F83" s="4" t="s">
        <v>240</v>
      </c>
      <c r="G83" s="4" t="s">
        <v>241</v>
      </c>
      <c r="H83" s="4" t="s">
        <v>241</v>
      </c>
      <c r="I83" s="4" t="s">
        <v>3731</v>
      </c>
      <c r="J83" s="4" t="s">
        <v>247</v>
      </c>
      <c r="K83" s="4" t="s">
        <v>256</v>
      </c>
      <c r="L83" s="4" t="s">
        <v>250</v>
      </c>
      <c r="M83" s="5" t="s">
        <v>3732</v>
      </c>
      <c r="N83" s="4" t="s">
        <v>242</v>
      </c>
      <c r="O83" s="6">
        <f>23</f>
        <v>23</v>
      </c>
      <c r="P83" s="4" t="s">
        <v>276</v>
      </c>
      <c r="Q83" s="6">
        <f>1</f>
        <v>1</v>
      </c>
      <c r="R83" s="6">
        <f>1380000</f>
        <v>1380000</v>
      </c>
      <c r="S83" s="5" t="s">
        <v>248</v>
      </c>
      <c r="T83" s="4" t="s">
        <v>348</v>
      </c>
      <c r="U83" s="4" t="s">
        <v>275</v>
      </c>
      <c r="W83" s="6">
        <f>1379999</f>
        <v>1379999</v>
      </c>
      <c r="X83" s="4" t="s">
        <v>243</v>
      </c>
      <c r="Y83" s="4" t="s">
        <v>244</v>
      </c>
      <c r="Z83" s="4" t="s">
        <v>246</v>
      </c>
      <c r="AA83" s="4" t="s">
        <v>241</v>
      </c>
      <c r="AD83" s="4" t="s">
        <v>241</v>
      </c>
      <c r="AF83" s="5" t="s">
        <v>241</v>
      </c>
      <c r="AI83" s="5" t="s">
        <v>249</v>
      </c>
      <c r="AJ83" s="4" t="s">
        <v>251</v>
      </c>
      <c r="AK83" s="4" t="s">
        <v>252</v>
      </c>
      <c r="BA83" s="4" t="s">
        <v>254</v>
      </c>
      <c r="BB83" s="4" t="s">
        <v>241</v>
      </c>
      <c r="BC83" s="4" t="s">
        <v>255</v>
      </c>
      <c r="BD83" s="4" t="s">
        <v>241</v>
      </c>
      <c r="BE83" s="4" t="s">
        <v>257</v>
      </c>
      <c r="BF83" s="4" t="s">
        <v>241</v>
      </c>
      <c r="BH83" s="4" t="s">
        <v>258</v>
      </c>
      <c r="BJ83" s="4" t="s">
        <v>367</v>
      </c>
      <c r="BK83" s="5" t="s">
        <v>249</v>
      </c>
      <c r="BL83" s="4" t="s">
        <v>261</v>
      </c>
      <c r="BM83" s="4" t="s">
        <v>262</v>
      </c>
      <c r="BN83" s="4" t="s">
        <v>241</v>
      </c>
      <c r="BO83" s="6">
        <f>0</f>
        <v>0</v>
      </c>
      <c r="BP83" s="6">
        <f>0</f>
        <v>0</v>
      </c>
      <c r="BQ83" s="4" t="s">
        <v>263</v>
      </c>
      <c r="BR83" s="4" t="s">
        <v>264</v>
      </c>
      <c r="CF83" s="4" t="s">
        <v>241</v>
      </c>
      <c r="CG83" s="4" t="s">
        <v>241</v>
      </c>
      <c r="CK83" s="4" t="s">
        <v>265</v>
      </c>
      <c r="CL83" s="4" t="s">
        <v>266</v>
      </c>
      <c r="CM83" s="4" t="s">
        <v>241</v>
      </c>
      <c r="CO83" s="4" t="s">
        <v>267</v>
      </c>
      <c r="CP83" s="5" t="s">
        <v>268</v>
      </c>
      <c r="CQ83" s="4" t="s">
        <v>269</v>
      </c>
      <c r="CR83" s="4" t="s">
        <v>270</v>
      </c>
      <c r="CS83" s="4" t="s">
        <v>241</v>
      </c>
      <c r="CT83" s="4" t="s">
        <v>241</v>
      </c>
      <c r="CU83" s="4">
        <v>0</v>
      </c>
      <c r="CV83" s="4" t="s">
        <v>271</v>
      </c>
      <c r="CW83" s="4" t="s">
        <v>272</v>
      </c>
      <c r="CX83" s="4" t="s">
        <v>347</v>
      </c>
      <c r="CZ83" s="6">
        <f>1380000</f>
        <v>1380000</v>
      </c>
      <c r="DA83" s="6">
        <f>0</f>
        <v>0</v>
      </c>
      <c r="DC83" s="4" t="s">
        <v>241</v>
      </c>
      <c r="DD83" s="4" t="s">
        <v>241</v>
      </c>
      <c r="DF83" s="4" t="s">
        <v>241</v>
      </c>
      <c r="DI83" s="4" t="s">
        <v>241</v>
      </c>
      <c r="DJ83" s="4" t="s">
        <v>241</v>
      </c>
      <c r="DK83" s="4" t="s">
        <v>241</v>
      </c>
      <c r="DL83" s="4" t="s">
        <v>241</v>
      </c>
      <c r="DM83" s="4" t="s">
        <v>277</v>
      </c>
      <c r="DN83" s="4" t="s">
        <v>278</v>
      </c>
      <c r="DO83" s="6">
        <f>23</f>
        <v>23</v>
      </c>
      <c r="DP83" s="4" t="s">
        <v>241</v>
      </c>
      <c r="DQ83" s="4" t="s">
        <v>241</v>
      </c>
      <c r="DR83" s="4" t="s">
        <v>241</v>
      </c>
      <c r="DS83" s="4" t="s">
        <v>241</v>
      </c>
      <c r="DV83" s="4" t="s">
        <v>3733</v>
      </c>
      <c r="DW83" s="4" t="s">
        <v>277</v>
      </c>
      <c r="HO83" s="4" t="s">
        <v>277</v>
      </c>
      <c r="HR83" s="4" t="s">
        <v>278</v>
      </c>
      <c r="HS83" s="4" t="s">
        <v>278</v>
      </c>
    </row>
    <row r="84" spans="1:227" x14ac:dyDescent="0.4">
      <c r="A84" s="4">
        <v>2</v>
      </c>
      <c r="B84" s="4" t="s">
        <v>239</v>
      </c>
      <c r="C84" s="4">
        <v>83</v>
      </c>
      <c r="D84" s="4">
        <v>1</v>
      </c>
      <c r="E84" s="4">
        <v>1</v>
      </c>
      <c r="F84" s="4" t="s">
        <v>240</v>
      </c>
      <c r="G84" s="4" t="s">
        <v>241</v>
      </c>
      <c r="H84" s="4" t="s">
        <v>241</v>
      </c>
      <c r="I84" s="4" t="s">
        <v>3734</v>
      </c>
      <c r="J84" s="4" t="s">
        <v>247</v>
      </c>
      <c r="K84" s="4" t="s">
        <v>256</v>
      </c>
      <c r="L84" s="4" t="s">
        <v>250</v>
      </c>
      <c r="M84" s="5" t="s">
        <v>3735</v>
      </c>
      <c r="N84" s="4" t="s">
        <v>242</v>
      </c>
      <c r="O84" s="6">
        <f>23.38</f>
        <v>23.38</v>
      </c>
      <c r="P84" s="4" t="s">
        <v>276</v>
      </c>
      <c r="Q84" s="6">
        <f>1</f>
        <v>1</v>
      </c>
      <c r="R84" s="6">
        <f>1402800</f>
        <v>1402800</v>
      </c>
      <c r="S84" s="5" t="s">
        <v>248</v>
      </c>
      <c r="T84" s="4" t="s">
        <v>274</v>
      </c>
      <c r="U84" s="4" t="s">
        <v>275</v>
      </c>
      <c r="W84" s="6">
        <f>1402799</f>
        <v>1402799</v>
      </c>
      <c r="X84" s="4" t="s">
        <v>243</v>
      </c>
      <c r="Y84" s="4" t="s">
        <v>244</v>
      </c>
      <c r="Z84" s="4" t="s">
        <v>246</v>
      </c>
      <c r="AA84" s="4" t="s">
        <v>241</v>
      </c>
      <c r="AD84" s="4" t="s">
        <v>241</v>
      </c>
      <c r="AF84" s="5" t="s">
        <v>241</v>
      </c>
      <c r="AI84" s="5" t="s">
        <v>249</v>
      </c>
      <c r="AJ84" s="4" t="s">
        <v>251</v>
      </c>
      <c r="AK84" s="4" t="s">
        <v>252</v>
      </c>
      <c r="BA84" s="4" t="s">
        <v>254</v>
      </c>
      <c r="BB84" s="4" t="s">
        <v>241</v>
      </c>
      <c r="BC84" s="4" t="s">
        <v>255</v>
      </c>
      <c r="BD84" s="4" t="s">
        <v>241</v>
      </c>
      <c r="BE84" s="4" t="s">
        <v>257</v>
      </c>
      <c r="BF84" s="4" t="s">
        <v>241</v>
      </c>
      <c r="BH84" s="4" t="s">
        <v>258</v>
      </c>
      <c r="BJ84" s="4" t="s">
        <v>374</v>
      </c>
      <c r="BK84" s="5" t="s">
        <v>375</v>
      </c>
      <c r="BL84" s="4" t="s">
        <v>261</v>
      </c>
      <c r="BM84" s="4" t="s">
        <v>262</v>
      </c>
      <c r="BN84" s="4" t="s">
        <v>241</v>
      </c>
      <c r="BO84" s="6">
        <f>0</f>
        <v>0</v>
      </c>
      <c r="BP84" s="6">
        <f>0</f>
        <v>0</v>
      </c>
      <c r="BQ84" s="4" t="s">
        <v>263</v>
      </c>
      <c r="BR84" s="4" t="s">
        <v>264</v>
      </c>
      <c r="CF84" s="4" t="s">
        <v>241</v>
      </c>
      <c r="CG84" s="4" t="s">
        <v>241</v>
      </c>
      <c r="CK84" s="4" t="s">
        <v>265</v>
      </c>
      <c r="CL84" s="4" t="s">
        <v>266</v>
      </c>
      <c r="CM84" s="4" t="s">
        <v>241</v>
      </c>
      <c r="CO84" s="4" t="s">
        <v>267</v>
      </c>
      <c r="CP84" s="5" t="s">
        <v>268</v>
      </c>
      <c r="CQ84" s="4" t="s">
        <v>269</v>
      </c>
      <c r="CR84" s="4" t="s">
        <v>270</v>
      </c>
      <c r="CS84" s="4" t="s">
        <v>241</v>
      </c>
      <c r="CT84" s="4" t="s">
        <v>241</v>
      </c>
      <c r="CU84" s="4">
        <v>0</v>
      </c>
      <c r="CV84" s="4" t="s">
        <v>271</v>
      </c>
      <c r="CW84" s="4" t="s">
        <v>272</v>
      </c>
      <c r="CX84" s="4" t="s">
        <v>273</v>
      </c>
      <c r="CZ84" s="6">
        <f>1402800</f>
        <v>1402800</v>
      </c>
      <c r="DA84" s="6">
        <f>0</f>
        <v>0</v>
      </c>
      <c r="DC84" s="4" t="s">
        <v>241</v>
      </c>
      <c r="DD84" s="4" t="s">
        <v>241</v>
      </c>
      <c r="DF84" s="4" t="s">
        <v>241</v>
      </c>
      <c r="DI84" s="4" t="s">
        <v>241</v>
      </c>
      <c r="DJ84" s="4" t="s">
        <v>241</v>
      </c>
      <c r="DK84" s="4" t="s">
        <v>241</v>
      </c>
      <c r="DL84" s="4" t="s">
        <v>241</v>
      </c>
      <c r="DM84" s="4" t="s">
        <v>277</v>
      </c>
      <c r="DN84" s="4" t="s">
        <v>278</v>
      </c>
      <c r="DO84" s="6">
        <f>23.38</f>
        <v>23.38</v>
      </c>
      <c r="DP84" s="4" t="s">
        <v>241</v>
      </c>
      <c r="DQ84" s="4" t="s">
        <v>241</v>
      </c>
      <c r="DR84" s="4" t="s">
        <v>241</v>
      </c>
      <c r="DS84" s="4" t="s">
        <v>241</v>
      </c>
      <c r="DV84" s="4" t="s">
        <v>3736</v>
      </c>
      <c r="DW84" s="4" t="s">
        <v>277</v>
      </c>
      <c r="HO84" s="4" t="s">
        <v>277</v>
      </c>
      <c r="HR84" s="4" t="s">
        <v>278</v>
      </c>
      <c r="HS84" s="4" t="s">
        <v>278</v>
      </c>
    </row>
    <row r="85" spans="1:227" x14ac:dyDescent="0.4">
      <c r="A85" s="4">
        <v>2</v>
      </c>
      <c r="B85" s="4" t="s">
        <v>239</v>
      </c>
      <c r="C85" s="4">
        <v>84</v>
      </c>
      <c r="D85" s="4">
        <v>1</v>
      </c>
      <c r="E85" s="4">
        <v>1</v>
      </c>
      <c r="F85" s="4" t="s">
        <v>240</v>
      </c>
      <c r="G85" s="4" t="s">
        <v>241</v>
      </c>
      <c r="H85" s="4" t="s">
        <v>241</v>
      </c>
      <c r="I85" s="4" t="s">
        <v>3774</v>
      </c>
      <c r="J85" s="4" t="s">
        <v>247</v>
      </c>
      <c r="K85" s="4" t="s">
        <v>256</v>
      </c>
      <c r="L85" s="4" t="s">
        <v>250</v>
      </c>
      <c r="M85" s="5" t="s">
        <v>3775</v>
      </c>
      <c r="N85" s="4" t="s">
        <v>242</v>
      </c>
      <c r="O85" s="6">
        <f>23.38</f>
        <v>23.38</v>
      </c>
      <c r="P85" s="4" t="s">
        <v>276</v>
      </c>
      <c r="Q85" s="6">
        <f>1</f>
        <v>1</v>
      </c>
      <c r="R85" s="6">
        <f>1402800</f>
        <v>1402800</v>
      </c>
      <c r="S85" s="5" t="s">
        <v>248</v>
      </c>
      <c r="T85" s="4" t="s">
        <v>274</v>
      </c>
      <c r="U85" s="4" t="s">
        <v>275</v>
      </c>
      <c r="W85" s="6">
        <f>1402799</f>
        <v>1402799</v>
      </c>
      <c r="X85" s="4" t="s">
        <v>243</v>
      </c>
      <c r="Y85" s="4" t="s">
        <v>244</v>
      </c>
      <c r="Z85" s="4" t="s">
        <v>246</v>
      </c>
      <c r="AA85" s="4" t="s">
        <v>241</v>
      </c>
      <c r="AD85" s="4" t="s">
        <v>241</v>
      </c>
      <c r="AF85" s="5" t="s">
        <v>241</v>
      </c>
      <c r="AI85" s="5" t="s">
        <v>249</v>
      </c>
      <c r="AJ85" s="4" t="s">
        <v>251</v>
      </c>
      <c r="AK85" s="4" t="s">
        <v>252</v>
      </c>
      <c r="BA85" s="4" t="s">
        <v>254</v>
      </c>
      <c r="BB85" s="4" t="s">
        <v>241</v>
      </c>
      <c r="BC85" s="4" t="s">
        <v>255</v>
      </c>
      <c r="BD85" s="4" t="s">
        <v>241</v>
      </c>
      <c r="BE85" s="4" t="s">
        <v>257</v>
      </c>
      <c r="BF85" s="4" t="s">
        <v>241</v>
      </c>
      <c r="BH85" s="4" t="s">
        <v>258</v>
      </c>
      <c r="BJ85" s="4" t="s">
        <v>377</v>
      </c>
      <c r="BK85" s="5" t="s">
        <v>378</v>
      </c>
      <c r="BL85" s="4" t="s">
        <v>261</v>
      </c>
      <c r="BM85" s="4" t="s">
        <v>262</v>
      </c>
      <c r="BN85" s="4" t="s">
        <v>241</v>
      </c>
      <c r="BO85" s="6">
        <f>0</f>
        <v>0</v>
      </c>
      <c r="BP85" s="6">
        <f>0</f>
        <v>0</v>
      </c>
      <c r="BQ85" s="4" t="s">
        <v>263</v>
      </c>
      <c r="BR85" s="4" t="s">
        <v>264</v>
      </c>
      <c r="CF85" s="4" t="s">
        <v>241</v>
      </c>
      <c r="CG85" s="4" t="s">
        <v>241</v>
      </c>
      <c r="CK85" s="4" t="s">
        <v>265</v>
      </c>
      <c r="CL85" s="4" t="s">
        <v>266</v>
      </c>
      <c r="CM85" s="4" t="s">
        <v>241</v>
      </c>
      <c r="CO85" s="4" t="s">
        <v>267</v>
      </c>
      <c r="CP85" s="5" t="s">
        <v>268</v>
      </c>
      <c r="CQ85" s="4" t="s">
        <v>269</v>
      </c>
      <c r="CR85" s="4" t="s">
        <v>270</v>
      </c>
      <c r="CS85" s="4" t="s">
        <v>241</v>
      </c>
      <c r="CT85" s="4" t="s">
        <v>241</v>
      </c>
      <c r="CU85" s="4">
        <v>0</v>
      </c>
      <c r="CV85" s="4" t="s">
        <v>271</v>
      </c>
      <c r="CW85" s="4" t="s">
        <v>272</v>
      </c>
      <c r="CX85" s="4" t="s">
        <v>273</v>
      </c>
      <c r="CZ85" s="6">
        <f>1402800</f>
        <v>1402800</v>
      </c>
      <c r="DA85" s="6">
        <f>0</f>
        <v>0</v>
      </c>
      <c r="DC85" s="4" t="s">
        <v>241</v>
      </c>
      <c r="DD85" s="4" t="s">
        <v>241</v>
      </c>
      <c r="DF85" s="4" t="s">
        <v>241</v>
      </c>
      <c r="DI85" s="4" t="s">
        <v>241</v>
      </c>
      <c r="DJ85" s="4" t="s">
        <v>241</v>
      </c>
      <c r="DK85" s="4" t="s">
        <v>241</v>
      </c>
      <c r="DL85" s="4" t="s">
        <v>241</v>
      </c>
      <c r="DM85" s="4" t="s">
        <v>277</v>
      </c>
      <c r="DN85" s="4" t="s">
        <v>278</v>
      </c>
      <c r="DO85" s="6">
        <f>23.38</f>
        <v>23.38</v>
      </c>
      <c r="DP85" s="4" t="s">
        <v>241</v>
      </c>
      <c r="DQ85" s="4" t="s">
        <v>241</v>
      </c>
      <c r="DR85" s="4" t="s">
        <v>241</v>
      </c>
      <c r="DS85" s="4" t="s">
        <v>241</v>
      </c>
      <c r="DV85" s="4" t="s">
        <v>3776</v>
      </c>
      <c r="DW85" s="4" t="s">
        <v>277</v>
      </c>
      <c r="HO85" s="4" t="s">
        <v>277</v>
      </c>
      <c r="HR85" s="4" t="s">
        <v>278</v>
      </c>
      <c r="HS85" s="4" t="s">
        <v>278</v>
      </c>
    </row>
    <row r="86" spans="1:227" x14ac:dyDescent="0.4">
      <c r="A86" s="4">
        <v>2</v>
      </c>
      <c r="B86" s="4" t="s">
        <v>239</v>
      </c>
      <c r="C86" s="4">
        <v>85</v>
      </c>
      <c r="D86" s="4">
        <v>1</v>
      </c>
      <c r="E86" s="4">
        <v>1</v>
      </c>
      <c r="F86" s="4" t="s">
        <v>240</v>
      </c>
      <c r="G86" s="4" t="s">
        <v>241</v>
      </c>
      <c r="H86" s="4" t="s">
        <v>241</v>
      </c>
      <c r="I86" s="4" t="s">
        <v>3779</v>
      </c>
      <c r="J86" s="4" t="s">
        <v>247</v>
      </c>
      <c r="K86" s="4" t="s">
        <v>256</v>
      </c>
      <c r="L86" s="4" t="s">
        <v>250</v>
      </c>
      <c r="M86" s="5" t="s">
        <v>3780</v>
      </c>
      <c r="N86" s="4" t="s">
        <v>3010</v>
      </c>
      <c r="O86" s="6">
        <f>23.38</f>
        <v>23.38</v>
      </c>
      <c r="P86" s="4" t="s">
        <v>276</v>
      </c>
      <c r="Q86" s="6">
        <f>1</f>
        <v>1</v>
      </c>
      <c r="R86" s="6">
        <f>1402800</f>
        <v>1402800</v>
      </c>
      <c r="S86" s="5" t="s">
        <v>248</v>
      </c>
      <c r="T86" s="4" t="s">
        <v>274</v>
      </c>
      <c r="U86" s="4" t="s">
        <v>275</v>
      </c>
      <c r="W86" s="6">
        <f>1402799</f>
        <v>1402799</v>
      </c>
      <c r="X86" s="4" t="s">
        <v>243</v>
      </c>
      <c r="Y86" s="4" t="s">
        <v>244</v>
      </c>
      <c r="Z86" s="4" t="s">
        <v>246</v>
      </c>
      <c r="AA86" s="4" t="s">
        <v>241</v>
      </c>
      <c r="AD86" s="4" t="s">
        <v>241</v>
      </c>
      <c r="AF86" s="5" t="s">
        <v>241</v>
      </c>
      <c r="AI86" s="5" t="s">
        <v>249</v>
      </c>
      <c r="AJ86" s="4" t="s">
        <v>251</v>
      </c>
      <c r="AK86" s="4" t="s">
        <v>252</v>
      </c>
      <c r="BA86" s="4" t="s">
        <v>254</v>
      </c>
      <c r="BB86" s="4" t="s">
        <v>241</v>
      </c>
      <c r="BC86" s="4" t="s">
        <v>255</v>
      </c>
      <c r="BD86" s="4" t="s">
        <v>241</v>
      </c>
      <c r="BE86" s="4" t="s">
        <v>257</v>
      </c>
      <c r="BF86" s="4" t="s">
        <v>241</v>
      </c>
      <c r="BH86" s="4" t="s">
        <v>258</v>
      </c>
      <c r="BJ86" s="4" t="s">
        <v>259</v>
      </c>
      <c r="BK86" s="5" t="s">
        <v>260</v>
      </c>
      <c r="BL86" s="4" t="s">
        <v>261</v>
      </c>
      <c r="BM86" s="4" t="s">
        <v>262</v>
      </c>
      <c r="BN86" s="4" t="s">
        <v>241</v>
      </c>
      <c r="BO86" s="6">
        <f>0</f>
        <v>0</v>
      </c>
      <c r="BP86" s="6">
        <f>0</f>
        <v>0</v>
      </c>
      <c r="BQ86" s="4" t="s">
        <v>263</v>
      </c>
      <c r="BR86" s="4" t="s">
        <v>264</v>
      </c>
      <c r="CF86" s="4" t="s">
        <v>241</v>
      </c>
      <c r="CG86" s="4" t="s">
        <v>241</v>
      </c>
      <c r="CK86" s="4" t="s">
        <v>265</v>
      </c>
      <c r="CL86" s="4" t="s">
        <v>266</v>
      </c>
      <c r="CM86" s="4" t="s">
        <v>241</v>
      </c>
      <c r="CO86" s="4" t="s">
        <v>267</v>
      </c>
      <c r="CP86" s="5" t="s">
        <v>268</v>
      </c>
      <c r="CQ86" s="4" t="s">
        <v>269</v>
      </c>
      <c r="CR86" s="4" t="s">
        <v>270</v>
      </c>
      <c r="CS86" s="4" t="s">
        <v>241</v>
      </c>
      <c r="CT86" s="4" t="s">
        <v>241</v>
      </c>
      <c r="CU86" s="4">
        <v>0</v>
      </c>
      <c r="CV86" s="4" t="s">
        <v>271</v>
      </c>
      <c r="CW86" s="4" t="s">
        <v>272</v>
      </c>
      <c r="CX86" s="4" t="s">
        <v>273</v>
      </c>
      <c r="CZ86" s="6">
        <f>1402800</f>
        <v>1402800</v>
      </c>
      <c r="DA86" s="6">
        <f>0</f>
        <v>0</v>
      </c>
      <c r="DC86" s="4" t="s">
        <v>241</v>
      </c>
      <c r="DD86" s="4" t="s">
        <v>241</v>
      </c>
      <c r="DF86" s="4" t="s">
        <v>241</v>
      </c>
      <c r="DI86" s="4" t="s">
        <v>241</v>
      </c>
      <c r="DJ86" s="4" t="s">
        <v>241</v>
      </c>
      <c r="DK86" s="4" t="s">
        <v>241</v>
      </c>
      <c r="DL86" s="4" t="s">
        <v>241</v>
      </c>
      <c r="DM86" s="4" t="s">
        <v>277</v>
      </c>
      <c r="DN86" s="4" t="s">
        <v>278</v>
      </c>
      <c r="DO86" s="6">
        <f>23.38</f>
        <v>23.38</v>
      </c>
      <c r="DP86" s="4" t="s">
        <v>241</v>
      </c>
      <c r="DQ86" s="4" t="s">
        <v>241</v>
      </c>
      <c r="DR86" s="4" t="s">
        <v>241</v>
      </c>
      <c r="DS86" s="4" t="s">
        <v>241</v>
      </c>
      <c r="DV86" s="4" t="s">
        <v>3781</v>
      </c>
      <c r="DW86" s="4" t="s">
        <v>277</v>
      </c>
      <c r="HO86" s="4" t="s">
        <v>277</v>
      </c>
      <c r="HR86" s="4" t="s">
        <v>278</v>
      </c>
      <c r="HS86" s="4" t="s">
        <v>278</v>
      </c>
    </row>
    <row r="87" spans="1:227" x14ac:dyDescent="0.4">
      <c r="A87" s="4">
        <v>2</v>
      </c>
      <c r="B87" s="4" t="s">
        <v>239</v>
      </c>
      <c r="C87" s="4">
        <v>86</v>
      </c>
      <c r="D87" s="4">
        <v>1</v>
      </c>
      <c r="E87" s="4">
        <v>1</v>
      </c>
      <c r="F87" s="4" t="s">
        <v>240</v>
      </c>
      <c r="G87" s="4" t="s">
        <v>241</v>
      </c>
      <c r="H87" s="4" t="s">
        <v>241</v>
      </c>
      <c r="I87" s="4" t="s">
        <v>3782</v>
      </c>
      <c r="J87" s="4" t="s">
        <v>247</v>
      </c>
      <c r="K87" s="4" t="s">
        <v>256</v>
      </c>
      <c r="L87" s="4" t="s">
        <v>250</v>
      </c>
      <c r="M87" s="5" t="s">
        <v>3783</v>
      </c>
      <c r="N87" s="4" t="s">
        <v>3010</v>
      </c>
      <c r="O87" s="6">
        <f>23.19</f>
        <v>23.19</v>
      </c>
      <c r="P87" s="4" t="s">
        <v>276</v>
      </c>
      <c r="Q87" s="6">
        <f>1</f>
        <v>1</v>
      </c>
      <c r="R87" s="6">
        <f>1391400</f>
        <v>1391400</v>
      </c>
      <c r="S87" s="5" t="s">
        <v>248</v>
      </c>
      <c r="T87" s="4" t="s">
        <v>348</v>
      </c>
      <c r="U87" s="4" t="s">
        <v>275</v>
      </c>
      <c r="W87" s="6">
        <f>1391399</f>
        <v>1391399</v>
      </c>
      <c r="X87" s="4" t="s">
        <v>243</v>
      </c>
      <c r="Y87" s="4" t="s">
        <v>244</v>
      </c>
      <c r="Z87" s="4" t="s">
        <v>246</v>
      </c>
      <c r="AA87" s="4" t="s">
        <v>241</v>
      </c>
      <c r="AD87" s="4" t="s">
        <v>241</v>
      </c>
      <c r="AF87" s="5" t="s">
        <v>241</v>
      </c>
      <c r="AI87" s="5" t="s">
        <v>249</v>
      </c>
      <c r="AJ87" s="4" t="s">
        <v>251</v>
      </c>
      <c r="AK87" s="4" t="s">
        <v>252</v>
      </c>
      <c r="BA87" s="4" t="s">
        <v>254</v>
      </c>
      <c r="BB87" s="4" t="s">
        <v>241</v>
      </c>
      <c r="BC87" s="4" t="s">
        <v>255</v>
      </c>
      <c r="BD87" s="4" t="s">
        <v>241</v>
      </c>
      <c r="BE87" s="4" t="s">
        <v>257</v>
      </c>
      <c r="BF87" s="4" t="s">
        <v>241</v>
      </c>
      <c r="BH87" s="4" t="s">
        <v>258</v>
      </c>
      <c r="BJ87" s="4" t="s">
        <v>367</v>
      </c>
      <c r="BK87" s="5" t="s">
        <v>249</v>
      </c>
      <c r="BL87" s="4" t="s">
        <v>261</v>
      </c>
      <c r="BM87" s="4" t="s">
        <v>262</v>
      </c>
      <c r="BN87" s="4" t="s">
        <v>241</v>
      </c>
      <c r="BO87" s="6">
        <f>0</f>
        <v>0</v>
      </c>
      <c r="BP87" s="6">
        <f>0</f>
        <v>0</v>
      </c>
      <c r="BQ87" s="4" t="s">
        <v>263</v>
      </c>
      <c r="BR87" s="4" t="s">
        <v>264</v>
      </c>
      <c r="CF87" s="4" t="s">
        <v>241</v>
      </c>
      <c r="CG87" s="4" t="s">
        <v>241</v>
      </c>
      <c r="CK87" s="4" t="s">
        <v>265</v>
      </c>
      <c r="CL87" s="4" t="s">
        <v>266</v>
      </c>
      <c r="CM87" s="4" t="s">
        <v>241</v>
      </c>
      <c r="CO87" s="4" t="s">
        <v>267</v>
      </c>
      <c r="CP87" s="5" t="s">
        <v>268</v>
      </c>
      <c r="CQ87" s="4" t="s">
        <v>269</v>
      </c>
      <c r="CR87" s="4" t="s">
        <v>270</v>
      </c>
      <c r="CS87" s="4" t="s">
        <v>241</v>
      </c>
      <c r="CT87" s="4" t="s">
        <v>241</v>
      </c>
      <c r="CU87" s="4">
        <v>0</v>
      </c>
      <c r="CV87" s="4" t="s">
        <v>271</v>
      </c>
      <c r="CW87" s="4" t="s">
        <v>272</v>
      </c>
      <c r="CX87" s="4" t="s">
        <v>347</v>
      </c>
      <c r="CZ87" s="6">
        <f>1391400</f>
        <v>1391400</v>
      </c>
      <c r="DA87" s="6">
        <f>0</f>
        <v>0</v>
      </c>
      <c r="DC87" s="4" t="s">
        <v>241</v>
      </c>
      <c r="DD87" s="4" t="s">
        <v>241</v>
      </c>
      <c r="DF87" s="4" t="s">
        <v>241</v>
      </c>
      <c r="DI87" s="4" t="s">
        <v>241</v>
      </c>
      <c r="DJ87" s="4" t="s">
        <v>241</v>
      </c>
      <c r="DK87" s="4" t="s">
        <v>241</v>
      </c>
      <c r="DL87" s="4" t="s">
        <v>241</v>
      </c>
      <c r="DM87" s="4" t="s">
        <v>277</v>
      </c>
      <c r="DN87" s="4" t="s">
        <v>278</v>
      </c>
      <c r="DO87" s="6">
        <f>23.19</f>
        <v>23.19</v>
      </c>
      <c r="DP87" s="4" t="s">
        <v>241</v>
      </c>
      <c r="DQ87" s="4" t="s">
        <v>241</v>
      </c>
      <c r="DR87" s="4" t="s">
        <v>241</v>
      </c>
      <c r="DS87" s="4" t="s">
        <v>241</v>
      </c>
      <c r="DV87" s="4" t="s">
        <v>3784</v>
      </c>
      <c r="DW87" s="4" t="s">
        <v>277</v>
      </c>
      <c r="HO87" s="4" t="s">
        <v>277</v>
      </c>
      <c r="HR87" s="4" t="s">
        <v>278</v>
      </c>
      <c r="HS87" s="4" t="s">
        <v>278</v>
      </c>
    </row>
    <row r="88" spans="1:227" x14ac:dyDescent="0.4">
      <c r="A88" s="4">
        <v>2</v>
      </c>
      <c r="B88" s="4" t="s">
        <v>239</v>
      </c>
      <c r="C88" s="4">
        <v>87</v>
      </c>
      <c r="D88" s="4">
        <v>1</v>
      </c>
      <c r="E88" s="4">
        <v>1</v>
      </c>
      <c r="F88" s="4" t="s">
        <v>240</v>
      </c>
      <c r="G88" s="4" t="s">
        <v>241</v>
      </c>
      <c r="H88" s="4" t="s">
        <v>241</v>
      </c>
      <c r="I88" s="4" t="s">
        <v>3011</v>
      </c>
      <c r="J88" s="4" t="s">
        <v>247</v>
      </c>
      <c r="K88" s="4" t="s">
        <v>256</v>
      </c>
      <c r="L88" s="4" t="s">
        <v>250</v>
      </c>
      <c r="M88" s="5" t="s">
        <v>3012</v>
      </c>
      <c r="N88" s="4" t="s">
        <v>3010</v>
      </c>
      <c r="O88" s="6">
        <f>19.6</f>
        <v>19.600000000000001</v>
      </c>
      <c r="P88" s="4" t="s">
        <v>276</v>
      </c>
      <c r="Q88" s="6">
        <f>1</f>
        <v>1</v>
      </c>
      <c r="R88" s="6">
        <f>1372000</f>
        <v>1372000</v>
      </c>
      <c r="S88" s="5" t="s">
        <v>248</v>
      </c>
      <c r="T88" s="4" t="s">
        <v>357</v>
      </c>
      <c r="U88" s="4" t="s">
        <v>275</v>
      </c>
      <c r="W88" s="6">
        <f>1371999</f>
        <v>1371999</v>
      </c>
      <c r="X88" s="4" t="s">
        <v>243</v>
      </c>
      <c r="Y88" s="4" t="s">
        <v>244</v>
      </c>
      <c r="Z88" s="4" t="s">
        <v>246</v>
      </c>
      <c r="AA88" s="4" t="s">
        <v>241</v>
      </c>
      <c r="AD88" s="4" t="s">
        <v>241</v>
      </c>
      <c r="AF88" s="5" t="s">
        <v>241</v>
      </c>
      <c r="AI88" s="5" t="s">
        <v>249</v>
      </c>
      <c r="AJ88" s="4" t="s">
        <v>251</v>
      </c>
      <c r="AK88" s="4" t="s">
        <v>252</v>
      </c>
      <c r="BA88" s="4" t="s">
        <v>254</v>
      </c>
      <c r="BB88" s="4" t="s">
        <v>241</v>
      </c>
      <c r="BC88" s="4" t="s">
        <v>255</v>
      </c>
      <c r="BD88" s="4" t="s">
        <v>241</v>
      </c>
      <c r="BE88" s="4" t="s">
        <v>257</v>
      </c>
      <c r="BF88" s="4" t="s">
        <v>241</v>
      </c>
      <c r="BH88" s="4" t="s">
        <v>258</v>
      </c>
      <c r="BJ88" s="4" t="s">
        <v>374</v>
      </c>
      <c r="BK88" s="5" t="s">
        <v>375</v>
      </c>
      <c r="BL88" s="4" t="s">
        <v>261</v>
      </c>
      <c r="BM88" s="4" t="s">
        <v>262</v>
      </c>
      <c r="BN88" s="4" t="s">
        <v>241</v>
      </c>
      <c r="BO88" s="6">
        <f>0</f>
        <v>0</v>
      </c>
      <c r="BP88" s="6">
        <f>0</f>
        <v>0</v>
      </c>
      <c r="BQ88" s="4" t="s">
        <v>263</v>
      </c>
      <c r="BR88" s="4" t="s">
        <v>264</v>
      </c>
      <c r="CF88" s="4" t="s">
        <v>241</v>
      </c>
      <c r="CG88" s="4" t="s">
        <v>241</v>
      </c>
      <c r="CK88" s="4" t="s">
        <v>265</v>
      </c>
      <c r="CL88" s="4" t="s">
        <v>266</v>
      </c>
      <c r="CM88" s="4" t="s">
        <v>241</v>
      </c>
      <c r="CO88" s="4" t="s">
        <v>267</v>
      </c>
      <c r="CP88" s="5" t="s">
        <v>268</v>
      </c>
      <c r="CQ88" s="4" t="s">
        <v>269</v>
      </c>
      <c r="CR88" s="4" t="s">
        <v>270</v>
      </c>
      <c r="CS88" s="4" t="s">
        <v>241</v>
      </c>
      <c r="CT88" s="4" t="s">
        <v>241</v>
      </c>
      <c r="CU88" s="4">
        <v>0</v>
      </c>
      <c r="CV88" s="4" t="s">
        <v>271</v>
      </c>
      <c r="CW88" s="4" t="s">
        <v>272</v>
      </c>
      <c r="CX88" s="4" t="s">
        <v>356</v>
      </c>
      <c r="CZ88" s="6">
        <f>1372000</f>
        <v>1372000</v>
      </c>
      <c r="DA88" s="6">
        <f>0</f>
        <v>0</v>
      </c>
      <c r="DC88" s="4" t="s">
        <v>241</v>
      </c>
      <c r="DD88" s="4" t="s">
        <v>241</v>
      </c>
      <c r="DF88" s="4" t="s">
        <v>241</v>
      </c>
      <c r="DI88" s="4" t="s">
        <v>241</v>
      </c>
      <c r="DJ88" s="4" t="s">
        <v>241</v>
      </c>
      <c r="DK88" s="4" t="s">
        <v>241</v>
      </c>
      <c r="DL88" s="4" t="s">
        <v>241</v>
      </c>
      <c r="DM88" s="4" t="s">
        <v>277</v>
      </c>
      <c r="DN88" s="4" t="s">
        <v>278</v>
      </c>
      <c r="DO88" s="6">
        <f>19.6</f>
        <v>19.600000000000001</v>
      </c>
      <c r="DP88" s="4" t="s">
        <v>241</v>
      </c>
      <c r="DQ88" s="4" t="s">
        <v>241</v>
      </c>
      <c r="DR88" s="4" t="s">
        <v>241</v>
      </c>
      <c r="DS88" s="4" t="s">
        <v>241</v>
      </c>
      <c r="DV88" s="4" t="s">
        <v>3013</v>
      </c>
      <c r="DW88" s="4" t="s">
        <v>277</v>
      </c>
      <c r="HO88" s="4" t="s">
        <v>277</v>
      </c>
      <c r="HR88" s="4" t="s">
        <v>278</v>
      </c>
      <c r="HS88" s="4" t="s">
        <v>278</v>
      </c>
    </row>
    <row r="89" spans="1:227" x14ac:dyDescent="0.4">
      <c r="A89" s="4">
        <v>2</v>
      </c>
      <c r="B89" s="4" t="s">
        <v>239</v>
      </c>
      <c r="C89" s="4">
        <v>88</v>
      </c>
      <c r="D89" s="4">
        <v>1</v>
      </c>
      <c r="E89" s="4">
        <v>1</v>
      </c>
      <c r="F89" s="4" t="s">
        <v>240</v>
      </c>
      <c r="G89" s="4" t="s">
        <v>241</v>
      </c>
      <c r="H89" s="4" t="s">
        <v>241</v>
      </c>
      <c r="I89" s="4" t="s">
        <v>3019</v>
      </c>
      <c r="J89" s="4" t="s">
        <v>247</v>
      </c>
      <c r="K89" s="4" t="s">
        <v>256</v>
      </c>
      <c r="L89" s="4" t="s">
        <v>250</v>
      </c>
      <c r="M89" s="5" t="s">
        <v>3020</v>
      </c>
      <c r="N89" s="4" t="s">
        <v>3010</v>
      </c>
      <c r="O89" s="6">
        <f>28.7</f>
        <v>28.7</v>
      </c>
      <c r="P89" s="4" t="s">
        <v>276</v>
      </c>
      <c r="Q89" s="6">
        <f>1</f>
        <v>1</v>
      </c>
      <c r="R89" s="6">
        <f>2009000</f>
        <v>2009000</v>
      </c>
      <c r="S89" s="5" t="s">
        <v>248</v>
      </c>
      <c r="T89" s="4" t="s">
        <v>357</v>
      </c>
      <c r="U89" s="4" t="s">
        <v>275</v>
      </c>
      <c r="W89" s="6">
        <f>2008999</f>
        <v>2008999</v>
      </c>
      <c r="X89" s="4" t="s">
        <v>243</v>
      </c>
      <c r="Y89" s="4" t="s">
        <v>244</v>
      </c>
      <c r="Z89" s="4" t="s">
        <v>246</v>
      </c>
      <c r="AA89" s="4" t="s">
        <v>241</v>
      </c>
      <c r="AD89" s="4" t="s">
        <v>241</v>
      </c>
      <c r="AF89" s="5" t="s">
        <v>241</v>
      </c>
      <c r="AI89" s="5" t="s">
        <v>249</v>
      </c>
      <c r="AJ89" s="4" t="s">
        <v>251</v>
      </c>
      <c r="AK89" s="4" t="s">
        <v>252</v>
      </c>
      <c r="BA89" s="4" t="s">
        <v>254</v>
      </c>
      <c r="BB89" s="4" t="s">
        <v>241</v>
      </c>
      <c r="BC89" s="4" t="s">
        <v>255</v>
      </c>
      <c r="BD89" s="4" t="s">
        <v>241</v>
      </c>
      <c r="BE89" s="4" t="s">
        <v>257</v>
      </c>
      <c r="BF89" s="4" t="s">
        <v>241</v>
      </c>
      <c r="BH89" s="4" t="s">
        <v>258</v>
      </c>
      <c r="BJ89" s="4" t="s">
        <v>377</v>
      </c>
      <c r="BK89" s="5" t="s">
        <v>378</v>
      </c>
      <c r="BL89" s="4" t="s">
        <v>261</v>
      </c>
      <c r="BM89" s="4" t="s">
        <v>262</v>
      </c>
      <c r="BN89" s="4" t="s">
        <v>241</v>
      </c>
      <c r="BO89" s="6">
        <f>0</f>
        <v>0</v>
      </c>
      <c r="BP89" s="6">
        <f>0</f>
        <v>0</v>
      </c>
      <c r="BQ89" s="4" t="s">
        <v>263</v>
      </c>
      <c r="BR89" s="4" t="s">
        <v>264</v>
      </c>
      <c r="CF89" s="4" t="s">
        <v>241</v>
      </c>
      <c r="CG89" s="4" t="s">
        <v>241</v>
      </c>
      <c r="CK89" s="4" t="s">
        <v>265</v>
      </c>
      <c r="CL89" s="4" t="s">
        <v>266</v>
      </c>
      <c r="CM89" s="4" t="s">
        <v>241</v>
      </c>
      <c r="CO89" s="4" t="s">
        <v>267</v>
      </c>
      <c r="CP89" s="5" t="s">
        <v>268</v>
      </c>
      <c r="CQ89" s="4" t="s">
        <v>269</v>
      </c>
      <c r="CR89" s="4" t="s">
        <v>270</v>
      </c>
      <c r="CS89" s="4" t="s">
        <v>241</v>
      </c>
      <c r="CT89" s="4" t="s">
        <v>241</v>
      </c>
      <c r="CU89" s="4">
        <v>0</v>
      </c>
      <c r="CV89" s="4" t="s">
        <v>271</v>
      </c>
      <c r="CW89" s="4" t="s">
        <v>272</v>
      </c>
      <c r="CX89" s="4" t="s">
        <v>356</v>
      </c>
      <c r="CZ89" s="6">
        <f>2009000</f>
        <v>2009000</v>
      </c>
      <c r="DA89" s="6">
        <f>0</f>
        <v>0</v>
      </c>
      <c r="DC89" s="4" t="s">
        <v>241</v>
      </c>
      <c r="DD89" s="4" t="s">
        <v>241</v>
      </c>
      <c r="DF89" s="4" t="s">
        <v>241</v>
      </c>
      <c r="DI89" s="4" t="s">
        <v>241</v>
      </c>
      <c r="DJ89" s="4" t="s">
        <v>241</v>
      </c>
      <c r="DK89" s="4" t="s">
        <v>241</v>
      </c>
      <c r="DL89" s="4" t="s">
        <v>241</v>
      </c>
      <c r="DM89" s="4" t="s">
        <v>277</v>
      </c>
      <c r="DN89" s="4" t="s">
        <v>278</v>
      </c>
      <c r="DO89" s="6">
        <f>28.7</f>
        <v>28.7</v>
      </c>
      <c r="DP89" s="4" t="s">
        <v>241</v>
      </c>
      <c r="DQ89" s="4" t="s">
        <v>241</v>
      </c>
      <c r="DR89" s="4" t="s">
        <v>241</v>
      </c>
      <c r="DS89" s="4" t="s">
        <v>241</v>
      </c>
      <c r="DV89" s="4" t="s">
        <v>3021</v>
      </c>
      <c r="DW89" s="4" t="s">
        <v>277</v>
      </c>
      <c r="HO89" s="4" t="s">
        <v>277</v>
      </c>
      <c r="HR89" s="4" t="s">
        <v>278</v>
      </c>
      <c r="HS89" s="4" t="s">
        <v>278</v>
      </c>
    </row>
    <row r="90" spans="1:227" x14ac:dyDescent="0.4">
      <c r="A90" s="4">
        <v>2</v>
      </c>
      <c r="B90" s="4" t="s">
        <v>239</v>
      </c>
      <c r="C90" s="4">
        <v>89</v>
      </c>
      <c r="D90" s="4">
        <v>1</v>
      </c>
      <c r="E90" s="4">
        <v>1</v>
      </c>
      <c r="F90" s="4" t="s">
        <v>240</v>
      </c>
      <c r="G90" s="4" t="s">
        <v>241</v>
      </c>
      <c r="H90" s="4" t="s">
        <v>241</v>
      </c>
      <c r="I90" s="4" t="s">
        <v>3014</v>
      </c>
      <c r="J90" s="4" t="s">
        <v>247</v>
      </c>
      <c r="K90" s="4" t="s">
        <v>256</v>
      </c>
      <c r="L90" s="4" t="s">
        <v>250</v>
      </c>
      <c r="M90" s="5" t="s">
        <v>3015</v>
      </c>
      <c r="N90" s="4" t="s">
        <v>3010</v>
      </c>
      <c r="O90" s="6">
        <f>23.18</f>
        <v>23.18</v>
      </c>
      <c r="P90" s="4" t="s">
        <v>276</v>
      </c>
      <c r="Q90" s="6">
        <f>1</f>
        <v>1</v>
      </c>
      <c r="R90" s="6">
        <f>1390800</f>
        <v>1390800</v>
      </c>
      <c r="S90" s="5" t="s">
        <v>248</v>
      </c>
      <c r="T90" s="4" t="s">
        <v>348</v>
      </c>
      <c r="U90" s="4" t="s">
        <v>275</v>
      </c>
      <c r="W90" s="6">
        <f>1390799</f>
        <v>1390799</v>
      </c>
      <c r="X90" s="4" t="s">
        <v>243</v>
      </c>
      <c r="Y90" s="4" t="s">
        <v>244</v>
      </c>
      <c r="Z90" s="4" t="s">
        <v>246</v>
      </c>
      <c r="AA90" s="4" t="s">
        <v>241</v>
      </c>
      <c r="AD90" s="4" t="s">
        <v>241</v>
      </c>
      <c r="AF90" s="5" t="s">
        <v>241</v>
      </c>
      <c r="AI90" s="5" t="s">
        <v>249</v>
      </c>
      <c r="AJ90" s="4" t="s">
        <v>251</v>
      </c>
      <c r="AK90" s="4" t="s">
        <v>252</v>
      </c>
      <c r="BA90" s="4" t="s">
        <v>254</v>
      </c>
      <c r="BB90" s="4" t="s">
        <v>241</v>
      </c>
      <c r="BC90" s="4" t="s">
        <v>255</v>
      </c>
      <c r="BD90" s="4" t="s">
        <v>241</v>
      </c>
      <c r="BE90" s="4" t="s">
        <v>257</v>
      </c>
      <c r="BF90" s="4" t="s">
        <v>241</v>
      </c>
      <c r="BH90" s="4" t="s">
        <v>258</v>
      </c>
      <c r="BJ90" s="4" t="s">
        <v>259</v>
      </c>
      <c r="BK90" s="5" t="s">
        <v>260</v>
      </c>
      <c r="BL90" s="4" t="s">
        <v>261</v>
      </c>
      <c r="BM90" s="4" t="s">
        <v>262</v>
      </c>
      <c r="BN90" s="4" t="s">
        <v>241</v>
      </c>
      <c r="BO90" s="6">
        <f>0</f>
        <v>0</v>
      </c>
      <c r="BP90" s="6">
        <f>0</f>
        <v>0</v>
      </c>
      <c r="BQ90" s="4" t="s">
        <v>263</v>
      </c>
      <c r="BR90" s="4" t="s">
        <v>264</v>
      </c>
      <c r="CF90" s="4" t="s">
        <v>241</v>
      </c>
      <c r="CG90" s="4" t="s">
        <v>241</v>
      </c>
      <c r="CK90" s="4" t="s">
        <v>265</v>
      </c>
      <c r="CL90" s="4" t="s">
        <v>266</v>
      </c>
      <c r="CM90" s="4" t="s">
        <v>241</v>
      </c>
      <c r="CO90" s="4" t="s">
        <v>267</v>
      </c>
      <c r="CP90" s="5" t="s">
        <v>268</v>
      </c>
      <c r="CQ90" s="4" t="s">
        <v>269</v>
      </c>
      <c r="CR90" s="4" t="s">
        <v>270</v>
      </c>
      <c r="CS90" s="4" t="s">
        <v>241</v>
      </c>
      <c r="CT90" s="4" t="s">
        <v>241</v>
      </c>
      <c r="CU90" s="4">
        <v>0</v>
      </c>
      <c r="CV90" s="4" t="s">
        <v>271</v>
      </c>
      <c r="CW90" s="4" t="s">
        <v>272</v>
      </c>
      <c r="CX90" s="4" t="s">
        <v>347</v>
      </c>
      <c r="CZ90" s="6">
        <f>1390800</f>
        <v>1390800</v>
      </c>
      <c r="DA90" s="6">
        <f>0</f>
        <v>0</v>
      </c>
      <c r="DC90" s="4" t="s">
        <v>241</v>
      </c>
      <c r="DD90" s="4" t="s">
        <v>241</v>
      </c>
      <c r="DF90" s="4" t="s">
        <v>241</v>
      </c>
      <c r="DI90" s="4" t="s">
        <v>241</v>
      </c>
      <c r="DJ90" s="4" t="s">
        <v>241</v>
      </c>
      <c r="DK90" s="4" t="s">
        <v>241</v>
      </c>
      <c r="DL90" s="4" t="s">
        <v>241</v>
      </c>
      <c r="DM90" s="4" t="s">
        <v>277</v>
      </c>
      <c r="DN90" s="4" t="s">
        <v>278</v>
      </c>
      <c r="DO90" s="6">
        <f>23.18</f>
        <v>23.18</v>
      </c>
      <c r="DP90" s="4" t="s">
        <v>241</v>
      </c>
      <c r="DQ90" s="4" t="s">
        <v>241</v>
      </c>
      <c r="DR90" s="4" t="s">
        <v>241</v>
      </c>
      <c r="DS90" s="4" t="s">
        <v>241</v>
      </c>
      <c r="DV90" s="4" t="s">
        <v>3016</v>
      </c>
      <c r="DW90" s="4" t="s">
        <v>277</v>
      </c>
      <c r="HO90" s="4" t="s">
        <v>277</v>
      </c>
      <c r="HR90" s="4" t="s">
        <v>278</v>
      </c>
      <c r="HS90" s="4" t="s">
        <v>278</v>
      </c>
    </row>
    <row r="91" spans="1:227" x14ac:dyDescent="0.4">
      <c r="A91" s="4">
        <v>2</v>
      </c>
      <c r="B91" s="4" t="s">
        <v>239</v>
      </c>
      <c r="C91" s="4">
        <v>90</v>
      </c>
      <c r="D91" s="4">
        <v>1</v>
      </c>
      <c r="E91" s="4">
        <v>1</v>
      </c>
      <c r="F91" s="4" t="s">
        <v>240</v>
      </c>
      <c r="G91" s="4" t="s">
        <v>241</v>
      </c>
      <c r="H91" s="4" t="s">
        <v>241</v>
      </c>
      <c r="I91" s="4" t="s">
        <v>3007</v>
      </c>
      <c r="J91" s="4" t="s">
        <v>247</v>
      </c>
      <c r="K91" s="4" t="s">
        <v>256</v>
      </c>
      <c r="L91" s="4" t="s">
        <v>250</v>
      </c>
      <c r="M91" s="5" t="s">
        <v>3008</v>
      </c>
      <c r="N91" s="4" t="s">
        <v>3006</v>
      </c>
      <c r="O91" s="6">
        <f>51.88</f>
        <v>51.88</v>
      </c>
      <c r="P91" s="4" t="s">
        <v>276</v>
      </c>
      <c r="Q91" s="6">
        <f>1</f>
        <v>1</v>
      </c>
      <c r="R91" s="6">
        <f>6744400</f>
        <v>6744400</v>
      </c>
      <c r="S91" s="5" t="s">
        <v>248</v>
      </c>
      <c r="T91" s="4" t="s">
        <v>333</v>
      </c>
      <c r="U91" s="4" t="s">
        <v>275</v>
      </c>
      <c r="W91" s="6">
        <f>6744399</f>
        <v>6744399</v>
      </c>
      <c r="X91" s="4" t="s">
        <v>243</v>
      </c>
      <c r="Y91" s="4" t="s">
        <v>244</v>
      </c>
      <c r="Z91" s="4" t="s">
        <v>246</v>
      </c>
      <c r="AA91" s="4" t="s">
        <v>241</v>
      </c>
      <c r="AD91" s="4" t="s">
        <v>241</v>
      </c>
      <c r="AF91" s="5" t="s">
        <v>241</v>
      </c>
      <c r="AI91" s="5" t="s">
        <v>249</v>
      </c>
      <c r="AJ91" s="4" t="s">
        <v>251</v>
      </c>
      <c r="AK91" s="4" t="s">
        <v>252</v>
      </c>
      <c r="BA91" s="4" t="s">
        <v>254</v>
      </c>
      <c r="BB91" s="4" t="s">
        <v>241</v>
      </c>
      <c r="BC91" s="4" t="s">
        <v>255</v>
      </c>
      <c r="BD91" s="4" t="s">
        <v>241</v>
      </c>
      <c r="BE91" s="4" t="s">
        <v>257</v>
      </c>
      <c r="BF91" s="4" t="s">
        <v>241</v>
      </c>
      <c r="BH91" s="4" t="s">
        <v>258</v>
      </c>
      <c r="BJ91" s="4" t="s">
        <v>367</v>
      </c>
      <c r="BK91" s="5" t="s">
        <v>249</v>
      </c>
      <c r="BL91" s="4" t="s">
        <v>261</v>
      </c>
      <c r="BM91" s="4" t="s">
        <v>262</v>
      </c>
      <c r="BN91" s="4" t="s">
        <v>241</v>
      </c>
      <c r="BO91" s="6">
        <f>0</f>
        <v>0</v>
      </c>
      <c r="BP91" s="6">
        <f>0</f>
        <v>0</v>
      </c>
      <c r="BQ91" s="4" t="s">
        <v>263</v>
      </c>
      <c r="BR91" s="4" t="s">
        <v>264</v>
      </c>
      <c r="CF91" s="4" t="s">
        <v>241</v>
      </c>
      <c r="CG91" s="4" t="s">
        <v>241</v>
      </c>
      <c r="CK91" s="4" t="s">
        <v>265</v>
      </c>
      <c r="CL91" s="4" t="s">
        <v>266</v>
      </c>
      <c r="CM91" s="4" t="s">
        <v>241</v>
      </c>
      <c r="CO91" s="4" t="s">
        <v>267</v>
      </c>
      <c r="CP91" s="5" t="s">
        <v>268</v>
      </c>
      <c r="CQ91" s="4" t="s">
        <v>269</v>
      </c>
      <c r="CR91" s="4" t="s">
        <v>270</v>
      </c>
      <c r="CS91" s="4" t="s">
        <v>241</v>
      </c>
      <c r="CT91" s="4" t="s">
        <v>241</v>
      </c>
      <c r="CU91" s="4">
        <v>0</v>
      </c>
      <c r="CV91" s="4" t="s">
        <v>271</v>
      </c>
      <c r="CW91" s="4" t="s">
        <v>272</v>
      </c>
      <c r="CX91" s="4" t="s">
        <v>295</v>
      </c>
      <c r="CZ91" s="6">
        <f>6744400</f>
        <v>6744400</v>
      </c>
      <c r="DA91" s="6">
        <f>0</f>
        <v>0</v>
      </c>
      <c r="DC91" s="4" t="s">
        <v>241</v>
      </c>
      <c r="DD91" s="4" t="s">
        <v>241</v>
      </c>
      <c r="DF91" s="4" t="s">
        <v>241</v>
      </c>
      <c r="DI91" s="4" t="s">
        <v>241</v>
      </c>
      <c r="DJ91" s="4" t="s">
        <v>241</v>
      </c>
      <c r="DK91" s="4" t="s">
        <v>241</v>
      </c>
      <c r="DL91" s="4" t="s">
        <v>241</v>
      </c>
      <c r="DM91" s="4" t="s">
        <v>277</v>
      </c>
      <c r="DN91" s="4" t="s">
        <v>278</v>
      </c>
      <c r="DO91" s="6">
        <f>51.88</f>
        <v>51.88</v>
      </c>
      <c r="DP91" s="4" t="s">
        <v>241</v>
      </c>
      <c r="DQ91" s="4" t="s">
        <v>241</v>
      </c>
      <c r="DR91" s="4" t="s">
        <v>241</v>
      </c>
      <c r="DS91" s="4" t="s">
        <v>241</v>
      </c>
      <c r="DV91" s="4" t="s">
        <v>3009</v>
      </c>
      <c r="DW91" s="4" t="s">
        <v>277</v>
      </c>
      <c r="HO91" s="4" t="s">
        <v>277</v>
      </c>
      <c r="HR91" s="4" t="s">
        <v>278</v>
      </c>
      <c r="HS91" s="4" t="s">
        <v>278</v>
      </c>
    </row>
    <row r="92" spans="1:227" x14ac:dyDescent="0.4">
      <c r="A92" s="4">
        <v>2</v>
      </c>
      <c r="B92" s="4" t="s">
        <v>239</v>
      </c>
      <c r="C92" s="4">
        <v>91</v>
      </c>
      <c r="D92" s="4">
        <v>1</v>
      </c>
      <c r="E92" s="4">
        <v>1</v>
      </c>
      <c r="F92" s="4" t="s">
        <v>240</v>
      </c>
      <c r="G92" s="4" t="s">
        <v>241</v>
      </c>
      <c r="H92" s="4" t="s">
        <v>241</v>
      </c>
      <c r="I92" s="4" t="s">
        <v>3549</v>
      </c>
      <c r="J92" s="4" t="s">
        <v>247</v>
      </c>
      <c r="K92" s="4" t="s">
        <v>256</v>
      </c>
      <c r="L92" s="4" t="s">
        <v>250</v>
      </c>
      <c r="M92" s="5" t="s">
        <v>3550</v>
      </c>
      <c r="N92" s="4" t="s">
        <v>3548</v>
      </c>
      <c r="O92" s="6">
        <f>23.19</f>
        <v>23.19</v>
      </c>
      <c r="P92" s="4" t="s">
        <v>276</v>
      </c>
      <c r="Q92" s="6">
        <f>1</f>
        <v>1</v>
      </c>
      <c r="R92" s="6">
        <f>1391400</f>
        <v>1391400</v>
      </c>
      <c r="S92" s="5" t="s">
        <v>248</v>
      </c>
      <c r="T92" s="4" t="s">
        <v>348</v>
      </c>
      <c r="U92" s="4" t="s">
        <v>275</v>
      </c>
      <c r="W92" s="6">
        <f>1391399</f>
        <v>1391399</v>
      </c>
      <c r="X92" s="4" t="s">
        <v>243</v>
      </c>
      <c r="Y92" s="4" t="s">
        <v>244</v>
      </c>
      <c r="Z92" s="4" t="s">
        <v>246</v>
      </c>
      <c r="AA92" s="4" t="s">
        <v>241</v>
      </c>
      <c r="AD92" s="4" t="s">
        <v>241</v>
      </c>
      <c r="AF92" s="5" t="s">
        <v>241</v>
      </c>
      <c r="AI92" s="5" t="s">
        <v>249</v>
      </c>
      <c r="AJ92" s="4" t="s">
        <v>251</v>
      </c>
      <c r="AK92" s="4" t="s">
        <v>252</v>
      </c>
      <c r="BA92" s="4" t="s">
        <v>254</v>
      </c>
      <c r="BB92" s="4" t="s">
        <v>241</v>
      </c>
      <c r="BC92" s="4" t="s">
        <v>255</v>
      </c>
      <c r="BD92" s="4" t="s">
        <v>241</v>
      </c>
      <c r="BE92" s="4" t="s">
        <v>257</v>
      </c>
      <c r="BF92" s="4" t="s">
        <v>241</v>
      </c>
      <c r="BH92" s="4" t="s">
        <v>258</v>
      </c>
      <c r="BJ92" s="4" t="s">
        <v>374</v>
      </c>
      <c r="BK92" s="5" t="s">
        <v>375</v>
      </c>
      <c r="BL92" s="4" t="s">
        <v>261</v>
      </c>
      <c r="BM92" s="4" t="s">
        <v>262</v>
      </c>
      <c r="BN92" s="4" t="s">
        <v>241</v>
      </c>
      <c r="BO92" s="6">
        <f>0</f>
        <v>0</v>
      </c>
      <c r="BP92" s="6">
        <f>0</f>
        <v>0</v>
      </c>
      <c r="BQ92" s="4" t="s">
        <v>263</v>
      </c>
      <c r="BR92" s="4" t="s">
        <v>264</v>
      </c>
      <c r="CF92" s="4" t="s">
        <v>241</v>
      </c>
      <c r="CG92" s="4" t="s">
        <v>241</v>
      </c>
      <c r="CK92" s="4" t="s">
        <v>265</v>
      </c>
      <c r="CL92" s="4" t="s">
        <v>266</v>
      </c>
      <c r="CM92" s="4" t="s">
        <v>241</v>
      </c>
      <c r="CO92" s="4" t="s">
        <v>267</v>
      </c>
      <c r="CP92" s="5" t="s">
        <v>268</v>
      </c>
      <c r="CQ92" s="4" t="s">
        <v>269</v>
      </c>
      <c r="CR92" s="4" t="s">
        <v>270</v>
      </c>
      <c r="CS92" s="4" t="s">
        <v>241</v>
      </c>
      <c r="CT92" s="4" t="s">
        <v>241</v>
      </c>
      <c r="CU92" s="4">
        <v>0</v>
      </c>
      <c r="CV92" s="4" t="s">
        <v>271</v>
      </c>
      <c r="CW92" s="4" t="s">
        <v>272</v>
      </c>
      <c r="CX92" s="4" t="s">
        <v>347</v>
      </c>
      <c r="CZ92" s="6">
        <f>1391400</f>
        <v>1391400</v>
      </c>
      <c r="DA92" s="6">
        <f>0</f>
        <v>0</v>
      </c>
      <c r="DC92" s="4" t="s">
        <v>241</v>
      </c>
      <c r="DD92" s="4" t="s">
        <v>241</v>
      </c>
      <c r="DF92" s="4" t="s">
        <v>241</v>
      </c>
      <c r="DI92" s="4" t="s">
        <v>241</v>
      </c>
      <c r="DJ92" s="4" t="s">
        <v>241</v>
      </c>
      <c r="DK92" s="4" t="s">
        <v>241</v>
      </c>
      <c r="DL92" s="4" t="s">
        <v>241</v>
      </c>
      <c r="DM92" s="4" t="s">
        <v>277</v>
      </c>
      <c r="DN92" s="4" t="s">
        <v>278</v>
      </c>
      <c r="DO92" s="6">
        <f>23.19</f>
        <v>23.19</v>
      </c>
      <c r="DP92" s="4" t="s">
        <v>241</v>
      </c>
      <c r="DQ92" s="4" t="s">
        <v>241</v>
      </c>
      <c r="DR92" s="4" t="s">
        <v>241</v>
      </c>
      <c r="DS92" s="4" t="s">
        <v>241</v>
      </c>
      <c r="DV92" s="4" t="s">
        <v>3551</v>
      </c>
      <c r="DW92" s="4" t="s">
        <v>277</v>
      </c>
      <c r="HO92" s="4" t="s">
        <v>277</v>
      </c>
      <c r="HR92" s="4" t="s">
        <v>278</v>
      </c>
      <c r="HS92" s="4" t="s">
        <v>278</v>
      </c>
    </row>
    <row r="93" spans="1:227" x14ac:dyDescent="0.4">
      <c r="A93" s="4">
        <v>2</v>
      </c>
      <c r="B93" s="4" t="s">
        <v>239</v>
      </c>
      <c r="C93" s="4">
        <v>92</v>
      </c>
      <c r="D93" s="4">
        <v>1</v>
      </c>
      <c r="E93" s="4">
        <v>1</v>
      </c>
      <c r="F93" s="4" t="s">
        <v>240</v>
      </c>
      <c r="G93" s="4" t="s">
        <v>241</v>
      </c>
      <c r="H93" s="4" t="s">
        <v>241</v>
      </c>
      <c r="I93" s="4" t="s">
        <v>3349</v>
      </c>
      <c r="J93" s="4" t="s">
        <v>247</v>
      </c>
      <c r="K93" s="4" t="s">
        <v>256</v>
      </c>
      <c r="L93" s="4" t="s">
        <v>250</v>
      </c>
      <c r="M93" s="5" t="s">
        <v>2057</v>
      </c>
      <c r="N93" s="4" t="s">
        <v>3348</v>
      </c>
      <c r="O93" s="6">
        <f>18.63</f>
        <v>18.63</v>
      </c>
      <c r="P93" s="4" t="s">
        <v>276</v>
      </c>
      <c r="Q93" s="6">
        <f>1</f>
        <v>1</v>
      </c>
      <c r="R93" s="6">
        <f>1117800</f>
        <v>1117800</v>
      </c>
      <c r="S93" s="5" t="s">
        <v>248</v>
      </c>
      <c r="T93" s="4" t="s">
        <v>348</v>
      </c>
      <c r="U93" s="4" t="s">
        <v>275</v>
      </c>
      <c r="W93" s="6">
        <f>1117799</f>
        <v>1117799</v>
      </c>
      <c r="X93" s="4" t="s">
        <v>243</v>
      </c>
      <c r="Y93" s="4" t="s">
        <v>244</v>
      </c>
      <c r="Z93" s="4" t="s">
        <v>246</v>
      </c>
      <c r="AA93" s="4" t="s">
        <v>241</v>
      </c>
      <c r="AD93" s="4" t="s">
        <v>241</v>
      </c>
      <c r="AF93" s="5" t="s">
        <v>241</v>
      </c>
      <c r="AI93" s="5" t="s">
        <v>249</v>
      </c>
      <c r="AJ93" s="4" t="s">
        <v>251</v>
      </c>
      <c r="AK93" s="4" t="s">
        <v>252</v>
      </c>
      <c r="BA93" s="4" t="s">
        <v>254</v>
      </c>
      <c r="BB93" s="4" t="s">
        <v>241</v>
      </c>
      <c r="BC93" s="4" t="s">
        <v>255</v>
      </c>
      <c r="BD93" s="4" t="s">
        <v>241</v>
      </c>
      <c r="BE93" s="4" t="s">
        <v>257</v>
      </c>
      <c r="BF93" s="4" t="s">
        <v>241</v>
      </c>
      <c r="BH93" s="4" t="s">
        <v>258</v>
      </c>
      <c r="BJ93" s="4" t="s">
        <v>377</v>
      </c>
      <c r="BK93" s="5" t="s">
        <v>378</v>
      </c>
      <c r="BL93" s="4" t="s">
        <v>261</v>
      </c>
      <c r="BM93" s="4" t="s">
        <v>262</v>
      </c>
      <c r="BN93" s="4" t="s">
        <v>241</v>
      </c>
      <c r="BO93" s="6">
        <f>0</f>
        <v>0</v>
      </c>
      <c r="BP93" s="6">
        <f>0</f>
        <v>0</v>
      </c>
      <c r="BQ93" s="4" t="s">
        <v>263</v>
      </c>
      <c r="BR93" s="4" t="s">
        <v>264</v>
      </c>
      <c r="CF93" s="4" t="s">
        <v>241</v>
      </c>
      <c r="CG93" s="4" t="s">
        <v>241</v>
      </c>
      <c r="CK93" s="4" t="s">
        <v>265</v>
      </c>
      <c r="CL93" s="4" t="s">
        <v>266</v>
      </c>
      <c r="CM93" s="4" t="s">
        <v>241</v>
      </c>
      <c r="CO93" s="4" t="s">
        <v>267</v>
      </c>
      <c r="CP93" s="5" t="s">
        <v>268</v>
      </c>
      <c r="CQ93" s="4" t="s">
        <v>269</v>
      </c>
      <c r="CR93" s="4" t="s">
        <v>270</v>
      </c>
      <c r="CS93" s="4" t="s">
        <v>241</v>
      </c>
      <c r="CT93" s="4" t="s">
        <v>241</v>
      </c>
      <c r="CU93" s="4">
        <v>0</v>
      </c>
      <c r="CV93" s="4" t="s">
        <v>271</v>
      </c>
      <c r="CW93" s="4" t="s">
        <v>272</v>
      </c>
      <c r="CX93" s="4" t="s">
        <v>347</v>
      </c>
      <c r="CZ93" s="6">
        <f>1117800</f>
        <v>1117800</v>
      </c>
      <c r="DA93" s="6">
        <f>0</f>
        <v>0</v>
      </c>
      <c r="DC93" s="4" t="s">
        <v>241</v>
      </c>
      <c r="DD93" s="4" t="s">
        <v>241</v>
      </c>
      <c r="DF93" s="4" t="s">
        <v>241</v>
      </c>
      <c r="DI93" s="4" t="s">
        <v>241</v>
      </c>
      <c r="DJ93" s="4" t="s">
        <v>241</v>
      </c>
      <c r="DK93" s="4" t="s">
        <v>241</v>
      </c>
      <c r="DL93" s="4" t="s">
        <v>241</v>
      </c>
      <c r="DM93" s="4" t="s">
        <v>277</v>
      </c>
      <c r="DN93" s="4" t="s">
        <v>278</v>
      </c>
      <c r="DO93" s="6">
        <f>18.63</f>
        <v>18.63</v>
      </c>
      <c r="DP93" s="4" t="s">
        <v>241</v>
      </c>
      <c r="DQ93" s="4" t="s">
        <v>241</v>
      </c>
      <c r="DR93" s="4" t="s">
        <v>241</v>
      </c>
      <c r="DS93" s="4" t="s">
        <v>241</v>
      </c>
      <c r="DV93" s="4" t="s">
        <v>3350</v>
      </c>
      <c r="DW93" s="4" t="s">
        <v>277</v>
      </c>
      <c r="HO93" s="4" t="s">
        <v>277</v>
      </c>
      <c r="HR93" s="4" t="s">
        <v>278</v>
      </c>
      <c r="HS93" s="4" t="s">
        <v>278</v>
      </c>
    </row>
    <row r="94" spans="1:227" x14ac:dyDescent="0.4">
      <c r="A94" s="4">
        <v>2</v>
      </c>
      <c r="B94" s="4" t="s">
        <v>239</v>
      </c>
      <c r="C94" s="4">
        <v>93</v>
      </c>
      <c r="D94" s="4">
        <v>1</v>
      </c>
      <c r="E94" s="4">
        <v>1</v>
      </c>
      <c r="F94" s="4" t="s">
        <v>240</v>
      </c>
      <c r="G94" s="4" t="s">
        <v>241</v>
      </c>
      <c r="H94" s="4" t="s">
        <v>241</v>
      </c>
      <c r="I94" s="4" t="s">
        <v>3282</v>
      </c>
      <c r="J94" s="4" t="s">
        <v>247</v>
      </c>
      <c r="K94" s="4" t="s">
        <v>256</v>
      </c>
      <c r="L94" s="4" t="s">
        <v>250</v>
      </c>
      <c r="M94" s="5" t="s">
        <v>3283</v>
      </c>
      <c r="N94" s="4" t="s">
        <v>3010</v>
      </c>
      <c r="O94" s="6">
        <f>23.38</f>
        <v>23.38</v>
      </c>
      <c r="P94" s="4" t="s">
        <v>276</v>
      </c>
      <c r="Q94" s="6">
        <f>1</f>
        <v>1</v>
      </c>
      <c r="R94" s="6">
        <f>1402800</f>
        <v>1402800</v>
      </c>
      <c r="S94" s="5" t="s">
        <v>248</v>
      </c>
      <c r="T94" s="4" t="s">
        <v>274</v>
      </c>
      <c r="U94" s="4" t="s">
        <v>275</v>
      </c>
      <c r="W94" s="6">
        <f>1402799</f>
        <v>1402799</v>
      </c>
      <c r="X94" s="4" t="s">
        <v>243</v>
      </c>
      <c r="Y94" s="4" t="s">
        <v>244</v>
      </c>
      <c r="Z94" s="4" t="s">
        <v>246</v>
      </c>
      <c r="AA94" s="4" t="s">
        <v>241</v>
      </c>
      <c r="AD94" s="4" t="s">
        <v>241</v>
      </c>
      <c r="AF94" s="5" t="s">
        <v>241</v>
      </c>
      <c r="AI94" s="5" t="s">
        <v>249</v>
      </c>
      <c r="AJ94" s="4" t="s">
        <v>251</v>
      </c>
      <c r="AK94" s="4" t="s">
        <v>252</v>
      </c>
      <c r="BA94" s="4" t="s">
        <v>254</v>
      </c>
      <c r="BB94" s="4" t="s">
        <v>241</v>
      </c>
      <c r="BC94" s="4" t="s">
        <v>255</v>
      </c>
      <c r="BD94" s="4" t="s">
        <v>241</v>
      </c>
      <c r="BE94" s="4" t="s">
        <v>257</v>
      </c>
      <c r="BF94" s="4" t="s">
        <v>241</v>
      </c>
      <c r="BH94" s="4" t="s">
        <v>258</v>
      </c>
      <c r="BJ94" s="4" t="s">
        <v>259</v>
      </c>
      <c r="BK94" s="5" t="s">
        <v>260</v>
      </c>
      <c r="BL94" s="4" t="s">
        <v>261</v>
      </c>
      <c r="BM94" s="4" t="s">
        <v>262</v>
      </c>
      <c r="BN94" s="4" t="s">
        <v>241</v>
      </c>
      <c r="BO94" s="6">
        <f>0</f>
        <v>0</v>
      </c>
      <c r="BP94" s="6">
        <f>0</f>
        <v>0</v>
      </c>
      <c r="BQ94" s="4" t="s">
        <v>263</v>
      </c>
      <c r="BR94" s="4" t="s">
        <v>264</v>
      </c>
      <c r="CF94" s="4" t="s">
        <v>241</v>
      </c>
      <c r="CG94" s="4" t="s">
        <v>241</v>
      </c>
      <c r="CK94" s="4" t="s">
        <v>265</v>
      </c>
      <c r="CL94" s="4" t="s">
        <v>266</v>
      </c>
      <c r="CM94" s="4" t="s">
        <v>241</v>
      </c>
      <c r="CO94" s="4" t="s">
        <v>267</v>
      </c>
      <c r="CP94" s="5" t="s">
        <v>268</v>
      </c>
      <c r="CQ94" s="4" t="s">
        <v>269</v>
      </c>
      <c r="CR94" s="4" t="s">
        <v>270</v>
      </c>
      <c r="CS94" s="4" t="s">
        <v>241</v>
      </c>
      <c r="CT94" s="4" t="s">
        <v>241</v>
      </c>
      <c r="CU94" s="4">
        <v>0</v>
      </c>
      <c r="CV94" s="4" t="s">
        <v>271</v>
      </c>
      <c r="CW94" s="4" t="s">
        <v>272</v>
      </c>
      <c r="CX94" s="4" t="s">
        <v>273</v>
      </c>
      <c r="CZ94" s="6">
        <f>1402800</f>
        <v>1402800</v>
      </c>
      <c r="DA94" s="6">
        <f>0</f>
        <v>0</v>
      </c>
      <c r="DC94" s="4" t="s">
        <v>241</v>
      </c>
      <c r="DD94" s="4" t="s">
        <v>241</v>
      </c>
      <c r="DF94" s="4" t="s">
        <v>241</v>
      </c>
      <c r="DI94" s="4" t="s">
        <v>241</v>
      </c>
      <c r="DJ94" s="4" t="s">
        <v>241</v>
      </c>
      <c r="DK94" s="4" t="s">
        <v>241</v>
      </c>
      <c r="DL94" s="4" t="s">
        <v>241</v>
      </c>
      <c r="DM94" s="4" t="s">
        <v>277</v>
      </c>
      <c r="DN94" s="4" t="s">
        <v>278</v>
      </c>
      <c r="DO94" s="6">
        <f>23.38</f>
        <v>23.38</v>
      </c>
      <c r="DP94" s="4" t="s">
        <v>241</v>
      </c>
      <c r="DQ94" s="4" t="s">
        <v>241</v>
      </c>
      <c r="DR94" s="4" t="s">
        <v>241</v>
      </c>
      <c r="DS94" s="4" t="s">
        <v>241</v>
      </c>
      <c r="DV94" s="4" t="s">
        <v>3284</v>
      </c>
      <c r="DW94" s="4" t="s">
        <v>277</v>
      </c>
      <c r="HO94" s="4" t="s">
        <v>277</v>
      </c>
      <c r="HR94" s="4" t="s">
        <v>278</v>
      </c>
      <c r="HS94" s="4" t="s">
        <v>278</v>
      </c>
    </row>
    <row r="95" spans="1:227" x14ac:dyDescent="0.4">
      <c r="A95" s="4">
        <v>2</v>
      </c>
      <c r="B95" s="4" t="s">
        <v>239</v>
      </c>
      <c r="C95" s="4">
        <v>94</v>
      </c>
      <c r="D95" s="4">
        <v>1</v>
      </c>
      <c r="E95" s="4">
        <v>1</v>
      </c>
      <c r="F95" s="4" t="s">
        <v>240</v>
      </c>
      <c r="G95" s="4" t="s">
        <v>241</v>
      </c>
      <c r="H95" s="4" t="s">
        <v>241</v>
      </c>
      <c r="I95" s="4" t="s">
        <v>3257</v>
      </c>
      <c r="J95" s="4" t="s">
        <v>247</v>
      </c>
      <c r="K95" s="4" t="s">
        <v>256</v>
      </c>
      <c r="L95" s="4" t="s">
        <v>250</v>
      </c>
      <c r="M95" s="5" t="s">
        <v>3258</v>
      </c>
      <c r="N95" s="4" t="s">
        <v>3010</v>
      </c>
      <c r="O95" s="6">
        <f>23.19</f>
        <v>23.19</v>
      </c>
      <c r="P95" s="4" t="s">
        <v>276</v>
      </c>
      <c r="Q95" s="6">
        <f>1</f>
        <v>1</v>
      </c>
      <c r="R95" s="6">
        <f>1391400</f>
        <v>1391400</v>
      </c>
      <c r="S95" s="5" t="s">
        <v>248</v>
      </c>
      <c r="T95" s="4" t="s">
        <v>348</v>
      </c>
      <c r="U95" s="4" t="s">
        <v>275</v>
      </c>
      <c r="W95" s="6">
        <f>1391399</f>
        <v>1391399</v>
      </c>
      <c r="X95" s="4" t="s">
        <v>243</v>
      </c>
      <c r="Y95" s="4" t="s">
        <v>244</v>
      </c>
      <c r="Z95" s="4" t="s">
        <v>246</v>
      </c>
      <c r="AA95" s="4" t="s">
        <v>241</v>
      </c>
      <c r="AD95" s="4" t="s">
        <v>241</v>
      </c>
      <c r="AF95" s="5" t="s">
        <v>241</v>
      </c>
      <c r="AI95" s="5" t="s">
        <v>249</v>
      </c>
      <c r="AJ95" s="4" t="s">
        <v>251</v>
      </c>
      <c r="AK95" s="4" t="s">
        <v>252</v>
      </c>
      <c r="BA95" s="4" t="s">
        <v>254</v>
      </c>
      <c r="BB95" s="4" t="s">
        <v>241</v>
      </c>
      <c r="BC95" s="4" t="s">
        <v>255</v>
      </c>
      <c r="BD95" s="4" t="s">
        <v>241</v>
      </c>
      <c r="BE95" s="4" t="s">
        <v>257</v>
      </c>
      <c r="BF95" s="4" t="s">
        <v>241</v>
      </c>
      <c r="BH95" s="4" t="s">
        <v>258</v>
      </c>
      <c r="BJ95" s="4" t="s">
        <v>367</v>
      </c>
      <c r="BK95" s="5" t="s">
        <v>249</v>
      </c>
      <c r="BL95" s="4" t="s">
        <v>261</v>
      </c>
      <c r="BM95" s="4" t="s">
        <v>262</v>
      </c>
      <c r="BN95" s="4" t="s">
        <v>241</v>
      </c>
      <c r="BO95" s="6">
        <f>0</f>
        <v>0</v>
      </c>
      <c r="BP95" s="6">
        <f>0</f>
        <v>0</v>
      </c>
      <c r="BQ95" s="4" t="s">
        <v>263</v>
      </c>
      <c r="BR95" s="4" t="s">
        <v>264</v>
      </c>
      <c r="CF95" s="4" t="s">
        <v>241</v>
      </c>
      <c r="CG95" s="4" t="s">
        <v>241</v>
      </c>
      <c r="CK95" s="4" t="s">
        <v>265</v>
      </c>
      <c r="CL95" s="4" t="s">
        <v>266</v>
      </c>
      <c r="CM95" s="4" t="s">
        <v>241</v>
      </c>
      <c r="CO95" s="4" t="s">
        <v>267</v>
      </c>
      <c r="CP95" s="5" t="s">
        <v>268</v>
      </c>
      <c r="CQ95" s="4" t="s">
        <v>269</v>
      </c>
      <c r="CR95" s="4" t="s">
        <v>270</v>
      </c>
      <c r="CS95" s="4" t="s">
        <v>241</v>
      </c>
      <c r="CT95" s="4" t="s">
        <v>241</v>
      </c>
      <c r="CU95" s="4">
        <v>0</v>
      </c>
      <c r="CV95" s="4" t="s">
        <v>271</v>
      </c>
      <c r="CW95" s="4" t="s">
        <v>272</v>
      </c>
      <c r="CX95" s="4" t="s">
        <v>347</v>
      </c>
      <c r="CZ95" s="6">
        <f>1391400</f>
        <v>1391400</v>
      </c>
      <c r="DA95" s="6">
        <f>0</f>
        <v>0</v>
      </c>
      <c r="DC95" s="4" t="s">
        <v>241</v>
      </c>
      <c r="DD95" s="4" t="s">
        <v>241</v>
      </c>
      <c r="DF95" s="4" t="s">
        <v>241</v>
      </c>
      <c r="DI95" s="4" t="s">
        <v>241</v>
      </c>
      <c r="DJ95" s="4" t="s">
        <v>241</v>
      </c>
      <c r="DK95" s="4" t="s">
        <v>241</v>
      </c>
      <c r="DL95" s="4" t="s">
        <v>241</v>
      </c>
      <c r="DM95" s="4" t="s">
        <v>277</v>
      </c>
      <c r="DN95" s="4" t="s">
        <v>278</v>
      </c>
      <c r="DO95" s="6">
        <f>23.19</f>
        <v>23.19</v>
      </c>
      <c r="DP95" s="4" t="s">
        <v>241</v>
      </c>
      <c r="DQ95" s="4" t="s">
        <v>241</v>
      </c>
      <c r="DR95" s="4" t="s">
        <v>241</v>
      </c>
      <c r="DS95" s="4" t="s">
        <v>241</v>
      </c>
      <c r="DV95" s="4" t="s">
        <v>3259</v>
      </c>
      <c r="DW95" s="4" t="s">
        <v>277</v>
      </c>
      <c r="HO95" s="4" t="s">
        <v>277</v>
      </c>
      <c r="HR95" s="4" t="s">
        <v>278</v>
      </c>
      <c r="HS95" s="4" t="s">
        <v>278</v>
      </c>
    </row>
    <row r="96" spans="1:227" x14ac:dyDescent="0.4">
      <c r="A96" s="4">
        <v>2</v>
      </c>
      <c r="B96" s="4" t="s">
        <v>239</v>
      </c>
      <c r="C96" s="4">
        <v>95</v>
      </c>
      <c r="D96" s="4">
        <v>1</v>
      </c>
      <c r="E96" s="4">
        <v>1</v>
      </c>
      <c r="F96" s="4" t="s">
        <v>240</v>
      </c>
      <c r="G96" s="4" t="s">
        <v>241</v>
      </c>
      <c r="H96" s="4" t="s">
        <v>241</v>
      </c>
      <c r="I96" s="4" t="s">
        <v>3200</v>
      </c>
      <c r="J96" s="4" t="s">
        <v>247</v>
      </c>
      <c r="K96" s="4" t="s">
        <v>256</v>
      </c>
      <c r="L96" s="4" t="s">
        <v>250</v>
      </c>
      <c r="M96" s="5" t="s">
        <v>3201</v>
      </c>
      <c r="N96" s="4" t="s">
        <v>3199</v>
      </c>
      <c r="O96" s="6">
        <f>29.12</f>
        <v>29.12</v>
      </c>
      <c r="P96" s="4" t="s">
        <v>276</v>
      </c>
      <c r="Q96" s="6">
        <f>1</f>
        <v>1</v>
      </c>
      <c r="R96" s="6">
        <f>1747200</f>
        <v>1747200</v>
      </c>
      <c r="S96" s="5" t="s">
        <v>248</v>
      </c>
      <c r="T96" s="4" t="s">
        <v>348</v>
      </c>
      <c r="U96" s="4" t="s">
        <v>275</v>
      </c>
      <c r="W96" s="6">
        <f>1747199</f>
        <v>1747199</v>
      </c>
      <c r="X96" s="4" t="s">
        <v>243</v>
      </c>
      <c r="Y96" s="4" t="s">
        <v>244</v>
      </c>
      <c r="Z96" s="4" t="s">
        <v>246</v>
      </c>
      <c r="AA96" s="4" t="s">
        <v>241</v>
      </c>
      <c r="AD96" s="4" t="s">
        <v>241</v>
      </c>
      <c r="AF96" s="5" t="s">
        <v>241</v>
      </c>
      <c r="AI96" s="5" t="s">
        <v>249</v>
      </c>
      <c r="AJ96" s="4" t="s">
        <v>251</v>
      </c>
      <c r="AK96" s="4" t="s">
        <v>252</v>
      </c>
      <c r="BA96" s="4" t="s">
        <v>254</v>
      </c>
      <c r="BB96" s="4" t="s">
        <v>241</v>
      </c>
      <c r="BC96" s="4" t="s">
        <v>255</v>
      </c>
      <c r="BD96" s="4" t="s">
        <v>241</v>
      </c>
      <c r="BE96" s="4" t="s">
        <v>257</v>
      </c>
      <c r="BF96" s="4" t="s">
        <v>241</v>
      </c>
      <c r="BH96" s="4" t="s">
        <v>258</v>
      </c>
      <c r="BJ96" s="4" t="s">
        <v>374</v>
      </c>
      <c r="BK96" s="5" t="s">
        <v>375</v>
      </c>
      <c r="BL96" s="4" t="s">
        <v>261</v>
      </c>
      <c r="BM96" s="4" t="s">
        <v>262</v>
      </c>
      <c r="BN96" s="4" t="s">
        <v>241</v>
      </c>
      <c r="BO96" s="6">
        <f>0</f>
        <v>0</v>
      </c>
      <c r="BP96" s="6">
        <f>0</f>
        <v>0</v>
      </c>
      <c r="BQ96" s="4" t="s">
        <v>263</v>
      </c>
      <c r="BR96" s="4" t="s">
        <v>264</v>
      </c>
      <c r="CF96" s="4" t="s">
        <v>241</v>
      </c>
      <c r="CG96" s="4" t="s">
        <v>241</v>
      </c>
      <c r="CK96" s="4" t="s">
        <v>265</v>
      </c>
      <c r="CL96" s="4" t="s">
        <v>266</v>
      </c>
      <c r="CM96" s="4" t="s">
        <v>241</v>
      </c>
      <c r="CO96" s="4" t="s">
        <v>267</v>
      </c>
      <c r="CP96" s="5" t="s">
        <v>268</v>
      </c>
      <c r="CQ96" s="4" t="s">
        <v>269</v>
      </c>
      <c r="CR96" s="4" t="s">
        <v>270</v>
      </c>
      <c r="CS96" s="4" t="s">
        <v>241</v>
      </c>
      <c r="CT96" s="4" t="s">
        <v>241</v>
      </c>
      <c r="CU96" s="4">
        <v>0</v>
      </c>
      <c r="CV96" s="4" t="s">
        <v>271</v>
      </c>
      <c r="CW96" s="4" t="s">
        <v>272</v>
      </c>
      <c r="CX96" s="4" t="s">
        <v>347</v>
      </c>
      <c r="CZ96" s="6">
        <f>1747200</f>
        <v>1747200</v>
      </c>
      <c r="DA96" s="6">
        <f>0</f>
        <v>0</v>
      </c>
      <c r="DC96" s="4" t="s">
        <v>241</v>
      </c>
      <c r="DD96" s="4" t="s">
        <v>241</v>
      </c>
      <c r="DF96" s="4" t="s">
        <v>241</v>
      </c>
      <c r="DI96" s="4" t="s">
        <v>241</v>
      </c>
      <c r="DJ96" s="4" t="s">
        <v>241</v>
      </c>
      <c r="DK96" s="4" t="s">
        <v>241</v>
      </c>
      <c r="DL96" s="4" t="s">
        <v>241</v>
      </c>
      <c r="DM96" s="4" t="s">
        <v>277</v>
      </c>
      <c r="DN96" s="4" t="s">
        <v>278</v>
      </c>
      <c r="DO96" s="6">
        <f>29.12</f>
        <v>29.12</v>
      </c>
      <c r="DP96" s="4" t="s">
        <v>241</v>
      </c>
      <c r="DQ96" s="4" t="s">
        <v>241</v>
      </c>
      <c r="DR96" s="4" t="s">
        <v>241</v>
      </c>
      <c r="DS96" s="4" t="s">
        <v>241</v>
      </c>
      <c r="DV96" s="4" t="s">
        <v>3202</v>
      </c>
      <c r="DW96" s="4" t="s">
        <v>277</v>
      </c>
      <c r="HO96" s="4" t="s">
        <v>277</v>
      </c>
      <c r="HR96" s="4" t="s">
        <v>278</v>
      </c>
      <c r="HS96" s="4" t="s">
        <v>278</v>
      </c>
    </row>
    <row r="97" spans="1:240" x14ac:dyDescent="0.4">
      <c r="A97" s="4">
        <v>2</v>
      </c>
      <c r="B97" s="4" t="s">
        <v>239</v>
      </c>
      <c r="C97" s="4">
        <v>96</v>
      </c>
      <c r="D97" s="4">
        <v>1</v>
      </c>
      <c r="E97" s="4">
        <v>1</v>
      </c>
      <c r="F97" s="4" t="s">
        <v>240</v>
      </c>
      <c r="G97" s="4" t="s">
        <v>241</v>
      </c>
      <c r="H97" s="4" t="s">
        <v>241</v>
      </c>
      <c r="I97" s="4" t="s">
        <v>3081</v>
      </c>
      <c r="J97" s="4" t="s">
        <v>247</v>
      </c>
      <c r="K97" s="4" t="s">
        <v>256</v>
      </c>
      <c r="L97" s="4" t="s">
        <v>250</v>
      </c>
      <c r="M97" s="5" t="s">
        <v>3082</v>
      </c>
      <c r="N97" s="4" t="s">
        <v>3080</v>
      </c>
      <c r="O97" s="6">
        <f>23.38</f>
        <v>23.38</v>
      </c>
      <c r="P97" s="4" t="s">
        <v>276</v>
      </c>
      <c r="Q97" s="6">
        <f>1</f>
        <v>1</v>
      </c>
      <c r="R97" s="6">
        <f>1402800</f>
        <v>1402800</v>
      </c>
      <c r="S97" s="5" t="s">
        <v>248</v>
      </c>
      <c r="T97" s="4" t="s">
        <v>274</v>
      </c>
      <c r="U97" s="4" t="s">
        <v>275</v>
      </c>
      <c r="W97" s="6">
        <f>1402799</f>
        <v>1402799</v>
      </c>
      <c r="X97" s="4" t="s">
        <v>243</v>
      </c>
      <c r="Y97" s="4" t="s">
        <v>244</v>
      </c>
      <c r="Z97" s="4" t="s">
        <v>246</v>
      </c>
      <c r="AA97" s="4" t="s">
        <v>241</v>
      </c>
      <c r="AD97" s="4" t="s">
        <v>241</v>
      </c>
      <c r="AF97" s="5" t="s">
        <v>241</v>
      </c>
      <c r="AI97" s="5" t="s">
        <v>249</v>
      </c>
      <c r="AJ97" s="4" t="s">
        <v>251</v>
      </c>
      <c r="AK97" s="4" t="s">
        <v>252</v>
      </c>
      <c r="BA97" s="4" t="s">
        <v>254</v>
      </c>
      <c r="BB97" s="4" t="s">
        <v>241</v>
      </c>
      <c r="BC97" s="4" t="s">
        <v>255</v>
      </c>
      <c r="BD97" s="4" t="s">
        <v>241</v>
      </c>
      <c r="BE97" s="4" t="s">
        <v>257</v>
      </c>
      <c r="BF97" s="4" t="s">
        <v>241</v>
      </c>
      <c r="BH97" s="4" t="s">
        <v>258</v>
      </c>
      <c r="BJ97" s="4" t="s">
        <v>377</v>
      </c>
      <c r="BK97" s="5" t="s">
        <v>378</v>
      </c>
      <c r="BL97" s="4" t="s">
        <v>261</v>
      </c>
      <c r="BM97" s="4" t="s">
        <v>262</v>
      </c>
      <c r="BN97" s="4" t="s">
        <v>241</v>
      </c>
      <c r="BO97" s="6">
        <f>0</f>
        <v>0</v>
      </c>
      <c r="BP97" s="6">
        <f>0</f>
        <v>0</v>
      </c>
      <c r="BQ97" s="4" t="s">
        <v>263</v>
      </c>
      <c r="BR97" s="4" t="s">
        <v>264</v>
      </c>
      <c r="CF97" s="4" t="s">
        <v>241</v>
      </c>
      <c r="CG97" s="4" t="s">
        <v>241</v>
      </c>
      <c r="CK97" s="4" t="s">
        <v>265</v>
      </c>
      <c r="CL97" s="4" t="s">
        <v>266</v>
      </c>
      <c r="CM97" s="4" t="s">
        <v>241</v>
      </c>
      <c r="CO97" s="4" t="s">
        <v>267</v>
      </c>
      <c r="CP97" s="5" t="s">
        <v>268</v>
      </c>
      <c r="CQ97" s="4" t="s">
        <v>269</v>
      </c>
      <c r="CR97" s="4" t="s">
        <v>270</v>
      </c>
      <c r="CS97" s="4" t="s">
        <v>241</v>
      </c>
      <c r="CT97" s="4" t="s">
        <v>241</v>
      </c>
      <c r="CU97" s="4">
        <v>0</v>
      </c>
      <c r="CV97" s="4" t="s">
        <v>271</v>
      </c>
      <c r="CW97" s="4" t="s">
        <v>272</v>
      </c>
      <c r="CX97" s="4" t="s">
        <v>273</v>
      </c>
      <c r="CZ97" s="6">
        <f>1402800</f>
        <v>1402800</v>
      </c>
      <c r="DA97" s="6">
        <f>0</f>
        <v>0</v>
      </c>
      <c r="DC97" s="4" t="s">
        <v>241</v>
      </c>
      <c r="DD97" s="4" t="s">
        <v>241</v>
      </c>
      <c r="DF97" s="4" t="s">
        <v>241</v>
      </c>
      <c r="DI97" s="4" t="s">
        <v>241</v>
      </c>
      <c r="DJ97" s="4" t="s">
        <v>241</v>
      </c>
      <c r="DK97" s="4" t="s">
        <v>241</v>
      </c>
      <c r="DL97" s="4" t="s">
        <v>241</v>
      </c>
      <c r="DM97" s="4" t="s">
        <v>277</v>
      </c>
      <c r="DN97" s="4" t="s">
        <v>278</v>
      </c>
      <c r="DO97" s="6">
        <f>23.38</f>
        <v>23.38</v>
      </c>
      <c r="DP97" s="4" t="s">
        <v>241</v>
      </c>
      <c r="DQ97" s="4" t="s">
        <v>241</v>
      </c>
      <c r="DR97" s="4" t="s">
        <v>241</v>
      </c>
      <c r="DS97" s="4" t="s">
        <v>241</v>
      </c>
      <c r="DV97" s="4" t="s">
        <v>3083</v>
      </c>
      <c r="DW97" s="4" t="s">
        <v>277</v>
      </c>
      <c r="HO97" s="4" t="s">
        <v>277</v>
      </c>
      <c r="HR97" s="4" t="s">
        <v>278</v>
      </c>
      <c r="HS97" s="4" t="s">
        <v>278</v>
      </c>
    </row>
    <row r="98" spans="1:240" x14ac:dyDescent="0.4">
      <c r="A98" s="4">
        <v>2</v>
      </c>
      <c r="B98" s="4" t="s">
        <v>239</v>
      </c>
      <c r="C98" s="4">
        <v>97</v>
      </c>
      <c r="D98" s="4">
        <v>1</v>
      </c>
      <c r="E98" s="4">
        <v>1</v>
      </c>
      <c r="F98" s="4" t="s">
        <v>240</v>
      </c>
      <c r="G98" s="4" t="s">
        <v>241</v>
      </c>
      <c r="H98" s="4" t="s">
        <v>241</v>
      </c>
      <c r="I98" s="4" t="s">
        <v>3061</v>
      </c>
      <c r="J98" s="4" t="s">
        <v>247</v>
      </c>
      <c r="K98" s="4" t="s">
        <v>256</v>
      </c>
      <c r="L98" s="4" t="s">
        <v>250</v>
      </c>
      <c r="M98" s="5" t="s">
        <v>3062</v>
      </c>
      <c r="N98" s="4" t="s">
        <v>3060</v>
      </c>
      <c r="O98" s="6">
        <f>87.21</f>
        <v>87.21</v>
      </c>
      <c r="P98" s="4" t="s">
        <v>276</v>
      </c>
      <c r="Q98" s="6">
        <f>1</f>
        <v>1</v>
      </c>
      <c r="R98" s="6">
        <f>11337300</f>
        <v>11337300</v>
      </c>
      <c r="S98" s="5" t="s">
        <v>248</v>
      </c>
      <c r="T98" s="4" t="s">
        <v>441</v>
      </c>
      <c r="U98" s="4" t="s">
        <v>275</v>
      </c>
      <c r="W98" s="6">
        <f>11337299</f>
        <v>11337299</v>
      </c>
      <c r="X98" s="4" t="s">
        <v>243</v>
      </c>
      <c r="Y98" s="4" t="s">
        <v>244</v>
      </c>
      <c r="Z98" s="4" t="s">
        <v>246</v>
      </c>
      <c r="AA98" s="4" t="s">
        <v>241</v>
      </c>
      <c r="AD98" s="4" t="s">
        <v>241</v>
      </c>
      <c r="AF98" s="5" t="s">
        <v>241</v>
      </c>
      <c r="AI98" s="5" t="s">
        <v>249</v>
      </c>
      <c r="AJ98" s="4" t="s">
        <v>251</v>
      </c>
      <c r="AK98" s="4" t="s">
        <v>252</v>
      </c>
      <c r="BA98" s="4" t="s">
        <v>254</v>
      </c>
      <c r="BB98" s="4" t="s">
        <v>241</v>
      </c>
      <c r="BC98" s="4" t="s">
        <v>255</v>
      </c>
      <c r="BD98" s="4" t="s">
        <v>241</v>
      </c>
      <c r="BE98" s="4" t="s">
        <v>257</v>
      </c>
      <c r="BF98" s="4" t="s">
        <v>241</v>
      </c>
      <c r="BH98" s="4" t="s">
        <v>258</v>
      </c>
      <c r="BJ98" s="4" t="s">
        <v>259</v>
      </c>
      <c r="BK98" s="5" t="s">
        <v>260</v>
      </c>
      <c r="BL98" s="4" t="s">
        <v>261</v>
      </c>
      <c r="BM98" s="4" t="s">
        <v>262</v>
      </c>
      <c r="BN98" s="4" t="s">
        <v>241</v>
      </c>
      <c r="BO98" s="6">
        <f>0</f>
        <v>0</v>
      </c>
      <c r="BP98" s="6">
        <f>0</f>
        <v>0</v>
      </c>
      <c r="BQ98" s="4" t="s">
        <v>263</v>
      </c>
      <c r="BR98" s="4" t="s">
        <v>264</v>
      </c>
      <c r="CF98" s="4" t="s">
        <v>241</v>
      </c>
      <c r="CG98" s="4" t="s">
        <v>241</v>
      </c>
      <c r="CK98" s="4" t="s">
        <v>265</v>
      </c>
      <c r="CL98" s="4" t="s">
        <v>266</v>
      </c>
      <c r="CM98" s="4" t="s">
        <v>241</v>
      </c>
      <c r="CO98" s="4" t="s">
        <v>267</v>
      </c>
      <c r="CP98" s="5" t="s">
        <v>268</v>
      </c>
      <c r="CQ98" s="4" t="s">
        <v>269</v>
      </c>
      <c r="CR98" s="4" t="s">
        <v>270</v>
      </c>
      <c r="CS98" s="4" t="s">
        <v>241</v>
      </c>
      <c r="CT98" s="4" t="s">
        <v>241</v>
      </c>
      <c r="CU98" s="4">
        <v>0</v>
      </c>
      <c r="CV98" s="4" t="s">
        <v>271</v>
      </c>
      <c r="CW98" s="4" t="s">
        <v>272</v>
      </c>
      <c r="CX98" s="4" t="s">
        <v>487</v>
      </c>
      <c r="CZ98" s="6">
        <f>11337300</f>
        <v>11337300</v>
      </c>
      <c r="DA98" s="6">
        <f>0</f>
        <v>0</v>
      </c>
      <c r="DC98" s="4" t="s">
        <v>241</v>
      </c>
      <c r="DD98" s="4" t="s">
        <v>241</v>
      </c>
      <c r="DF98" s="4" t="s">
        <v>241</v>
      </c>
      <c r="DI98" s="4" t="s">
        <v>241</v>
      </c>
      <c r="DJ98" s="4" t="s">
        <v>241</v>
      </c>
      <c r="DK98" s="4" t="s">
        <v>241</v>
      </c>
      <c r="DL98" s="4" t="s">
        <v>241</v>
      </c>
      <c r="DM98" s="4" t="s">
        <v>277</v>
      </c>
      <c r="DN98" s="4" t="s">
        <v>278</v>
      </c>
      <c r="DO98" s="6">
        <f>87.21</f>
        <v>87.21</v>
      </c>
      <c r="DP98" s="4" t="s">
        <v>241</v>
      </c>
      <c r="DQ98" s="4" t="s">
        <v>241</v>
      </c>
      <c r="DR98" s="4" t="s">
        <v>241</v>
      </c>
      <c r="DS98" s="4" t="s">
        <v>241</v>
      </c>
      <c r="DV98" s="4" t="s">
        <v>3063</v>
      </c>
      <c r="DW98" s="4" t="s">
        <v>277</v>
      </c>
      <c r="HO98" s="4" t="s">
        <v>277</v>
      </c>
      <c r="HR98" s="4" t="s">
        <v>278</v>
      </c>
      <c r="HS98" s="4" t="s">
        <v>278</v>
      </c>
    </row>
    <row r="99" spans="1:240" x14ac:dyDescent="0.4">
      <c r="A99" s="4">
        <v>2</v>
      </c>
      <c r="B99" s="4" t="s">
        <v>239</v>
      </c>
      <c r="C99" s="4">
        <v>99</v>
      </c>
      <c r="D99" s="4">
        <v>1</v>
      </c>
      <c r="E99" s="4">
        <v>1</v>
      </c>
      <c r="F99" s="4" t="s">
        <v>240</v>
      </c>
      <c r="G99" s="4" t="s">
        <v>241</v>
      </c>
      <c r="H99" s="4" t="s">
        <v>241</v>
      </c>
      <c r="I99" s="4" t="s">
        <v>3033</v>
      </c>
      <c r="J99" s="4" t="s">
        <v>247</v>
      </c>
      <c r="K99" s="4" t="s">
        <v>256</v>
      </c>
      <c r="L99" s="4" t="s">
        <v>250</v>
      </c>
      <c r="M99" s="5" t="s">
        <v>3034</v>
      </c>
      <c r="N99" s="4" t="s">
        <v>3010</v>
      </c>
      <c r="O99" s="6">
        <f>23.19</f>
        <v>23.19</v>
      </c>
      <c r="P99" s="4" t="s">
        <v>276</v>
      </c>
      <c r="Q99" s="6">
        <f>1</f>
        <v>1</v>
      </c>
      <c r="R99" s="6">
        <f>1391400</f>
        <v>1391400</v>
      </c>
      <c r="S99" s="5" t="s">
        <v>248</v>
      </c>
      <c r="T99" s="4" t="s">
        <v>348</v>
      </c>
      <c r="U99" s="4" t="s">
        <v>275</v>
      </c>
      <c r="W99" s="6">
        <f>1391399</f>
        <v>1391399</v>
      </c>
      <c r="X99" s="4" t="s">
        <v>243</v>
      </c>
      <c r="Y99" s="4" t="s">
        <v>244</v>
      </c>
      <c r="Z99" s="4" t="s">
        <v>246</v>
      </c>
      <c r="AA99" s="4" t="s">
        <v>241</v>
      </c>
      <c r="AD99" s="4" t="s">
        <v>241</v>
      </c>
      <c r="AF99" s="5" t="s">
        <v>241</v>
      </c>
      <c r="AI99" s="5" t="s">
        <v>249</v>
      </c>
      <c r="AJ99" s="4" t="s">
        <v>251</v>
      </c>
      <c r="AK99" s="4" t="s">
        <v>252</v>
      </c>
      <c r="BA99" s="4" t="s">
        <v>254</v>
      </c>
      <c r="BB99" s="4" t="s">
        <v>241</v>
      </c>
      <c r="BC99" s="4" t="s">
        <v>255</v>
      </c>
      <c r="BD99" s="4" t="s">
        <v>241</v>
      </c>
      <c r="BE99" s="4" t="s">
        <v>257</v>
      </c>
      <c r="BF99" s="4" t="s">
        <v>241</v>
      </c>
      <c r="BH99" s="4" t="s">
        <v>258</v>
      </c>
      <c r="BJ99" s="4" t="s">
        <v>374</v>
      </c>
      <c r="BK99" s="5" t="s">
        <v>375</v>
      </c>
      <c r="BL99" s="4" t="s">
        <v>261</v>
      </c>
      <c r="BM99" s="4" t="s">
        <v>262</v>
      </c>
      <c r="BN99" s="4" t="s">
        <v>241</v>
      </c>
      <c r="BO99" s="6">
        <f>0</f>
        <v>0</v>
      </c>
      <c r="BP99" s="6">
        <f>0</f>
        <v>0</v>
      </c>
      <c r="BQ99" s="4" t="s">
        <v>263</v>
      </c>
      <c r="BR99" s="4" t="s">
        <v>264</v>
      </c>
      <c r="CF99" s="4" t="s">
        <v>241</v>
      </c>
      <c r="CG99" s="4" t="s">
        <v>241</v>
      </c>
      <c r="CK99" s="4" t="s">
        <v>265</v>
      </c>
      <c r="CL99" s="4" t="s">
        <v>266</v>
      </c>
      <c r="CM99" s="4" t="s">
        <v>241</v>
      </c>
      <c r="CO99" s="4" t="s">
        <v>267</v>
      </c>
      <c r="CP99" s="5" t="s">
        <v>268</v>
      </c>
      <c r="CQ99" s="4" t="s">
        <v>269</v>
      </c>
      <c r="CR99" s="4" t="s">
        <v>270</v>
      </c>
      <c r="CS99" s="4" t="s">
        <v>241</v>
      </c>
      <c r="CT99" s="4" t="s">
        <v>241</v>
      </c>
      <c r="CU99" s="4">
        <v>0</v>
      </c>
      <c r="CV99" s="4" t="s">
        <v>271</v>
      </c>
      <c r="CW99" s="4" t="s">
        <v>272</v>
      </c>
      <c r="CX99" s="4" t="s">
        <v>347</v>
      </c>
      <c r="CZ99" s="6">
        <f>1391400</f>
        <v>1391400</v>
      </c>
      <c r="DA99" s="6">
        <f>0</f>
        <v>0</v>
      </c>
      <c r="DC99" s="4" t="s">
        <v>241</v>
      </c>
      <c r="DD99" s="4" t="s">
        <v>241</v>
      </c>
      <c r="DF99" s="4" t="s">
        <v>241</v>
      </c>
      <c r="DI99" s="4" t="s">
        <v>241</v>
      </c>
      <c r="DJ99" s="4" t="s">
        <v>241</v>
      </c>
      <c r="DK99" s="4" t="s">
        <v>241</v>
      </c>
      <c r="DL99" s="4" t="s">
        <v>241</v>
      </c>
      <c r="DM99" s="4" t="s">
        <v>277</v>
      </c>
      <c r="DN99" s="4" t="s">
        <v>278</v>
      </c>
      <c r="DO99" s="6">
        <f>23.19</f>
        <v>23.19</v>
      </c>
      <c r="DP99" s="4" t="s">
        <v>241</v>
      </c>
      <c r="DQ99" s="4" t="s">
        <v>241</v>
      </c>
      <c r="DR99" s="4" t="s">
        <v>241</v>
      </c>
      <c r="DS99" s="4" t="s">
        <v>241</v>
      </c>
      <c r="DV99" s="4" t="s">
        <v>3035</v>
      </c>
      <c r="DW99" s="4" t="s">
        <v>277</v>
      </c>
      <c r="HO99" s="4" t="s">
        <v>277</v>
      </c>
      <c r="HR99" s="4" t="s">
        <v>278</v>
      </c>
      <c r="HS99" s="4" t="s">
        <v>278</v>
      </c>
    </row>
    <row r="100" spans="1:240" x14ac:dyDescent="0.4">
      <c r="A100" s="4">
        <v>2</v>
      </c>
      <c r="B100" s="4" t="s">
        <v>239</v>
      </c>
      <c r="C100" s="4">
        <v>100</v>
      </c>
      <c r="D100" s="4">
        <v>1</v>
      </c>
      <c r="E100" s="4">
        <v>1</v>
      </c>
      <c r="F100" s="4" t="s">
        <v>240</v>
      </c>
      <c r="G100" s="4" t="s">
        <v>241</v>
      </c>
      <c r="H100" s="4" t="s">
        <v>241</v>
      </c>
      <c r="I100" s="4" t="s">
        <v>3743</v>
      </c>
      <c r="J100" s="4" t="s">
        <v>247</v>
      </c>
      <c r="K100" s="4" t="s">
        <v>256</v>
      </c>
      <c r="L100" s="4" t="s">
        <v>250</v>
      </c>
      <c r="M100" s="5" t="s">
        <v>3744</v>
      </c>
      <c r="N100" s="4" t="s">
        <v>3010</v>
      </c>
      <c r="O100" s="6">
        <f>24.9</f>
        <v>24.9</v>
      </c>
      <c r="P100" s="4" t="s">
        <v>276</v>
      </c>
      <c r="Q100" s="6">
        <f>1</f>
        <v>1</v>
      </c>
      <c r="R100" s="6">
        <f>1494000</f>
        <v>1494000</v>
      </c>
      <c r="S100" s="5" t="s">
        <v>248</v>
      </c>
      <c r="T100" s="4" t="s">
        <v>274</v>
      </c>
      <c r="U100" s="4" t="s">
        <v>275</v>
      </c>
      <c r="W100" s="6">
        <f>1493999</f>
        <v>1493999</v>
      </c>
      <c r="X100" s="4" t="s">
        <v>243</v>
      </c>
      <c r="Y100" s="4" t="s">
        <v>244</v>
      </c>
      <c r="Z100" s="4" t="s">
        <v>246</v>
      </c>
      <c r="AA100" s="4" t="s">
        <v>241</v>
      </c>
      <c r="AD100" s="4" t="s">
        <v>241</v>
      </c>
      <c r="AF100" s="5" t="s">
        <v>241</v>
      </c>
      <c r="AI100" s="5" t="s">
        <v>249</v>
      </c>
      <c r="AJ100" s="4" t="s">
        <v>251</v>
      </c>
      <c r="AK100" s="4" t="s">
        <v>252</v>
      </c>
      <c r="BA100" s="4" t="s">
        <v>254</v>
      </c>
      <c r="BB100" s="4" t="s">
        <v>241</v>
      </c>
      <c r="BC100" s="4" t="s">
        <v>255</v>
      </c>
      <c r="BD100" s="4" t="s">
        <v>241</v>
      </c>
      <c r="BE100" s="4" t="s">
        <v>257</v>
      </c>
      <c r="BF100" s="4" t="s">
        <v>241</v>
      </c>
      <c r="BH100" s="4" t="s">
        <v>258</v>
      </c>
      <c r="BJ100" s="4" t="s">
        <v>377</v>
      </c>
      <c r="BK100" s="5" t="s">
        <v>378</v>
      </c>
      <c r="BL100" s="4" t="s">
        <v>261</v>
      </c>
      <c r="BM100" s="4" t="s">
        <v>262</v>
      </c>
      <c r="BN100" s="4" t="s">
        <v>241</v>
      </c>
      <c r="BO100" s="6">
        <f>0</f>
        <v>0</v>
      </c>
      <c r="BP100" s="6">
        <f>0</f>
        <v>0</v>
      </c>
      <c r="BQ100" s="4" t="s">
        <v>263</v>
      </c>
      <c r="BR100" s="4" t="s">
        <v>264</v>
      </c>
      <c r="CF100" s="4" t="s">
        <v>241</v>
      </c>
      <c r="CG100" s="4" t="s">
        <v>241</v>
      </c>
      <c r="CK100" s="4" t="s">
        <v>265</v>
      </c>
      <c r="CL100" s="4" t="s">
        <v>266</v>
      </c>
      <c r="CM100" s="4" t="s">
        <v>241</v>
      </c>
      <c r="CO100" s="4" t="s">
        <v>267</v>
      </c>
      <c r="CP100" s="5" t="s">
        <v>268</v>
      </c>
      <c r="CQ100" s="4" t="s">
        <v>269</v>
      </c>
      <c r="CR100" s="4" t="s">
        <v>270</v>
      </c>
      <c r="CS100" s="4" t="s">
        <v>241</v>
      </c>
      <c r="CT100" s="4" t="s">
        <v>241</v>
      </c>
      <c r="CU100" s="4">
        <v>0</v>
      </c>
      <c r="CV100" s="4" t="s">
        <v>271</v>
      </c>
      <c r="CW100" s="4" t="s">
        <v>272</v>
      </c>
      <c r="CX100" s="4" t="s">
        <v>273</v>
      </c>
      <c r="CZ100" s="6">
        <f>1494000</f>
        <v>1494000</v>
      </c>
      <c r="DA100" s="6">
        <f>0</f>
        <v>0</v>
      </c>
      <c r="DC100" s="4" t="s">
        <v>241</v>
      </c>
      <c r="DD100" s="4" t="s">
        <v>241</v>
      </c>
      <c r="DF100" s="4" t="s">
        <v>241</v>
      </c>
      <c r="DI100" s="4" t="s">
        <v>241</v>
      </c>
      <c r="DJ100" s="4" t="s">
        <v>241</v>
      </c>
      <c r="DK100" s="4" t="s">
        <v>241</v>
      </c>
      <c r="DL100" s="4" t="s">
        <v>241</v>
      </c>
      <c r="DM100" s="4" t="s">
        <v>277</v>
      </c>
      <c r="DN100" s="4" t="s">
        <v>278</v>
      </c>
      <c r="DO100" s="6">
        <f>24.9</f>
        <v>24.9</v>
      </c>
      <c r="DP100" s="4" t="s">
        <v>241</v>
      </c>
      <c r="DQ100" s="4" t="s">
        <v>241</v>
      </c>
      <c r="DR100" s="4" t="s">
        <v>241</v>
      </c>
      <c r="DS100" s="4" t="s">
        <v>241</v>
      </c>
      <c r="DV100" s="4" t="s">
        <v>3745</v>
      </c>
      <c r="DW100" s="4" t="s">
        <v>277</v>
      </c>
      <c r="HO100" s="4" t="s">
        <v>277</v>
      </c>
      <c r="HR100" s="4" t="s">
        <v>278</v>
      </c>
      <c r="HS100" s="4" t="s">
        <v>278</v>
      </c>
    </row>
    <row r="101" spans="1:240" x14ac:dyDescent="0.4">
      <c r="A101" s="4">
        <v>2</v>
      </c>
      <c r="B101" s="4" t="s">
        <v>239</v>
      </c>
      <c r="C101" s="4">
        <v>101</v>
      </c>
      <c r="D101" s="4">
        <v>1</v>
      </c>
      <c r="E101" s="4">
        <v>1</v>
      </c>
      <c r="F101" s="4" t="s">
        <v>240</v>
      </c>
      <c r="G101" s="4" t="s">
        <v>241</v>
      </c>
      <c r="H101" s="4" t="s">
        <v>241</v>
      </c>
      <c r="I101" s="4" t="s">
        <v>3364</v>
      </c>
      <c r="J101" s="4" t="s">
        <v>247</v>
      </c>
      <c r="K101" s="4" t="s">
        <v>256</v>
      </c>
      <c r="L101" s="4" t="s">
        <v>250</v>
      </c>
      <c r="M101" s="5" t="s">
        <v>3365</v>
      </c>
      <c r="N101" s="4" t="s">
        <v>3010</v>
      </c>
      <c r="O101" s="6">
        <f>23.38</f>
        <v>23.38</v>
      </c>
      <c r="P101" s="4" t="s">
        <v>276</v>
      </c>
      <c r="Q101" s="6">
        <f>1</f>
        <v>1</v>
      </c>
      <c r="R101" s="6">
        <f>1402800</f>
        <v>1402800</v>
      </c>
      <c r="S101" s="5" t="s">
        <v>248</v>
      </c>
      <c r="T101" s="4" t="s">
        <v>274</v>
      </c>
      <c r="U101" s="4" t="s">
        <v>275</v>
      </c>
      <c r="W101" s="6">
        <f>1402799</f>
        <v>1402799</v>
      </c>
      <c r="X101" s="4" t="s">
        <v>243</v>
      </c>
      <c r="Y101" s="4" t="s">
        <v>244</v>
      </c>
      <c r="Z101" s="4" t="s">
        <v>246</v>
      </c>
      <c r="AA101" s="4" t="s">
        <v>241</v>
      </c>
      <c r="AD101" s="4" t="s">
        <v>241</v>
      </c>
      <c r="AF101" s="5" t="s">
        <v>241</v>
      </c>
      <c r="AI101" s="5" t="s">
        <v>249</v>
      </c>
      <c r="AJ101" s="4" t="s">
        <v>251</v>
      </c>
      <c r="AK101" s="4" t="s">
        <v>252</v>
      </c>
      <c r="BA101" s="4" t="s">
        <v>254</v>
      </c>
      <c r="BB101" s="4" t="s">
        <v>241</v>
      </c>
      <c r="BC101" s="4" t="s">
        <v>255</v>
      </c>
      <c r="BD101" s="4" t="s">
        <v>241</v>
      </c>
      <c r="BE101" s="4" t="s">
        <v>257</v>
      </c>
      <c r="BF101" s="4" t="s">
        <v>241</v>
      </c>
      <c r="BH101" s="4" t="s">
        <v>258</v>
      </c>
      <c r="BJ101" s="4" t="s">
        <v>259</v>
      </c>
      <c r="BK101" s="5" t="s">
        <v>260</v>
      </c>
      <c r="BL101" s="4" t="s">
        <v>261</v>
      </c>
      <c r="BM101" s="4" t="s">
        <v>262</v>
      </c>
      <c r="BN101" s="4" t="s">
        <v>241</v>
      </c>
      <c r="BO101" s="6">
        <f>0</f>
        <v>0</v>
      </c>
      <c r="BP101" s="6">
        <f>0</f>
        <v>0</v>
      </c>
      <c r="BQ101" s="4" t="s">
        <v>263</v>
      </c>
      <c r="BR101" s="4" t="s">
        <v>264</v>
      </c>
      <c r="CF101" s="4" t="s">
        <v>241</v>
      </c>
      <c r="CG101" s="4" t="s">
        <v>241</v>
      </c>
      <c r="CK101" s="4" t="s">
        <v>265</v>
      </c>
      <c r="CL101" s="4" t="s">
        <v>266</v>
      </c>
      <c r="CM101" s="4" t="s">
        <v>241</v>
      </c>
      <c r="CO101" s="4" t="s">
        <v>267</v>
      </c>
      <c r="CP101" s="5" t="s">
        <v>268</v>
      </c>
      <c r="CQ101" s="4" t="s">
        <v>269</v>
      </c>
      <c r="CR101" s="4" t="s">
        <v>270</v>
      </c>
      <c r="CS101" s="4" t="s">
        <v>241</v>
      </c>
      <c r="CT101" s="4" t="s">
        <v>241</v>
      </c>
      <c r="CU101" s="4">
        <v>0</v>
      </c>
      <c r="CV101" s="4" t="s">
        <v>271</v>
      </c>
      <c r="CW101" s="4" t="s">
        <v>272</v>
      </c>
      <c r="CX101" s="4" t="s">
        <v>273</v>
      </c>
      <c r="CZ101" s="6">
        <f>1402800</f>
        <v>1402800</v>
      </c>
      <c r="DA101" s="6">
        <f>0</f>
        <v>0</v>
      </c>
      <c r="DC101" s="4" t="s">
        <v>241</v>
      </c>
      <c r="DD101" s="4" t="s">
        <v>241</v>
      </c>
      <c r="DF101" s="4" t="s">
        <v>241</v>
      </c>
      <c r="DI101" s="4" t="s">
        <v>241</v>
      </c>
      <c r="DJ101" s="4" t="s">
        <v>241</v>
      </c>
      <c r="DK101" s="4" t="s">
        <v>241</v>
      </c>
      <c r="DL101" s="4" t="s">
        <v>241</v>
      </c>
      <c r="DM101" s="4" t="s">
        <v>277</v>
      </c>
      <c r="DN101" s="4" t="s">
        <v>278</v>
      </c>
      <c r="DO101" s="6">
        <f>23.38</f>
        <v>23.38</v>
      </c>
      <c r="DP101" s="4" t="s">
        <v>241</v>
      </c>
      <c r="DQ101" s="4" t="s">
        <v>241</v>
      </c>
      <c r="DR101" s="4" t="s">
        <v>241</v>
      </c>
      <c r="DS101" s="4" t="s">
        <v>241</v>
      </c>
      <c r="DV101" s="4" t="s">
        <v>3366</v>
      </c>
      <c r="DW101" s="4" t="s">
        <v>277</v>
      </c>
      <c r="HO101" s="4" t="s">
        <v>277</v>
      </c>
      <c r="HR101" s="4" t="s">
        <v>278</v>
      </c>
      <c r="HS101" s="4" t="s">
        <v>278</v>
      </c>
    </row>
    <row r="102" spans="1:240" x14ac:dyDescent="0.4">
      <c r="A102" s="4">
        <v>2</v>
      </c>
      <c r="B102" s="4" t="s">
        <v>239</v>
      </c>
      <c r="C102" s="4">
        <v>103</v>
      </c>
      <c r="D102" s="4">
        <v>1</v>
      </c>
      <c r="E102" s="4">
        <v>1</v>
      </c>
      <c r="F102" s="4" t="s">
        <v>240</v>
      </c>
      <c r="G102" s="4" t="s">
        <v>241</v>
      </c>
      <c r="H102" s="4" t="s">
        <v>241</v>
      </c>
      <c r="I102" s="4" t="s">
        <v>3048</v>
      </c>
      <c r="J102" s="4" t="s">
        <v>247</v>
      </c>
      <c r="K102" s="4" t="s">
        <v>256</v>
      </c>
      <c r="L102" s="4" t="s">
        <v>250</v>
      </c>
      <c r="M102" s="5" t="s">
        <v>3049</v>
      </c>
      <c r="N102" s="4" t="s">
        <v>3010</v>
      </c>
      <c r="O102" s="6">
        <f>23.19</f>
        <v>23.19</v>
      </c>
      <c r="P102" s="4" t="s">
        <v>276</v>
      </c>
      <c r="Q102" s="6">
        <f>1</f>
        <v>1</v>
      </c>
      <c r="R102" s="6">
        <f>1391400</f>
        <v>1391400</v>
      </c>
      <c r="S102" s="5" t="s">
        <v>248</v>
      </c>
      <c r="T102" s="4" t="s">
        <v>348</v>
      </c>
      <c r="U102" s="4" t="s">
        <v>275</v>
      </c>
      <c r="W102" s="6">
        <f>1391399</f>
        <v>1391399</v>
      </c>
      <c r="X102" s="4" t="s">
        <v>243</v>
      </c>
      <c r="Y102" s="4" t="s">
        <v>244</v>
      </c>
      <c r="Z102" s="4" t="s">
        <v>246</v>
      </c>
      <c r="AA102" s="4" t="s">
        <v>241</v>
      </c>
      <c r="AD102" s="4" t="s">
        <v>241</v>
      </c>
      <c r="AF102" s="5" t="s">
        <v>241</v>
      </c>
      <c r="AI102" s="5" t="s">
        <v>249</v>
      </c>
      <c r="AJ102" s="4" t="s">
        <v>251</v>
      </c>
      <c r="AK102" s="4" t="s">
        <v>252</v>
      </c>
      <c r="BA102" s="4" t="s">
        <v>254</v>
      </c>
      <c r="BB102" s="4" t="s">
        <v>241</v>
      </c>
      <c r="BC102" s="4" t="s">
        <v>255</v>
      </c>
      <c r="BD102" s="4" t="s">
        <v>241</v>
      </c>
      <c r="BE102" s="4" t="s">
        <v>257</v>
      </c>
      <c r="BF102" s="4" t="s">
        <v>241</v>
      </c>
      <c r="BH102" s="4" t="s">
        <v>258</v>
      </c>
      <c r="BJ102" s="4" t="s">
        <v>374</v>
      </c>
      <c r="BK102" s="5" t="s">
        <v>375</v>
      </c>
      <c r="BL102" s="4" t="s">
        <v>261</v>
      </c>
      <c r="BM102" s="4" t="s">
        <v>262</v>
      </c>
      <c r="BN102" s="4" t="s">
        <v>241</v>
      </c>
      <c r="BO102" s="6">
        <f>0</f>
        <v>0</v>
      </c>
      <c r="BP102" s="6">
        <f>0</f>
        <v>0</v>
      </c>
      <c r="BQ102" s="4" t="s">
        <v>263</v>
      </c>
      <c r="BR102" s="4" t="s">
        <v>264</v>
      </c>
      <c r="CF102" s="4" t="s">
        <v>241</v>
      </c>
      <c r="CG102" s="4" t="s">
        <v>241</v>
      </c>
      <c r="CK102" s="4" t="s">
        <v>265</v>
      </c>
      <c r="CL102" s="4" t="s">
        <v>266</v>
      </c>
      <c r="CM102" s="4" t="s">
        <v>241</v>
      </c>
      <c r="CO102" s="4" t="s">
        <v>267</v>
      </c>
      <c r="CP102" s="5" t="s">
        <v>268</v>
      </c>
      <c r="CQ102" s="4" t="s">
        <v>269</v>
      </c>
      <c r="CR102" s="4" t="s">
        <v>270</v>
      </c>
      <c r="CS102" s="4" t="s">
        <v>241</v>
      </c>
      <c r="CT102" s="4" t="s">
        <v>241</v>
      </c>
      <c r="CU102" s="4">
        <v>0</v>
      </c>
      <c r="CV102" s="4" t="s">
        <v>271</v>
      </c>
      <c r="CW102" s="4" t="s">
        <v>272</v>
      </c>
      <c r="CX102" s="4" t="s">
        <v>347</v>
      </c>
      <c r="CZ102" s="6">
        <f>1391400</f>
        <v>1391400</v>
      </c>
      <c r="DA102" s="6">
        <f>0</f>
        <v>0</v>
      </c>
      <c r="DC102" s="4" t="s">
        <v>241</v>
      </c>
      <c r="DD102" s="4" t="s">
        <v>241</v>
      </c>
      <c r="DF102" s="4" t="s">
        <v>241</v>
      </c>
      <c r="DI102" s="4" t="s">
        <v>241</v>
      </c>
      <c r="DJ102" s="4" t="s">
        <v>241</v>
      </c>
      <c r="DK102" s="4" t="s">
        <v>241</v>
      </c>
      <c r="DL102" s="4" t="s">
        <v>241</v>
      </c>
      <c r="DM102" s="4" t="s">
        <v>277</v>
      </c>
      <c r="DN102" s="4" t="s">
        <v>278</v>
      </c>
      <c r="DO102" s="6">
        <f>23.19</f>
        <v>23.19</v>
      </c>
      <c r="DP102" s="4" t="s">
        <v>241</v>
      </c>
      <c r="DQ102" s="4" t="s">
        <v>241</v>
      </c>
      <c r="DR102" s="4" t="s">
        <v>241</v>
      </c>
      <c r="DS102" s="4" t="s">
        <v>241</v>
      </c>
      <c r="DV102" s="4" t="s">
        <v>3050</v>
      </c>
      <c r="DW102" s="4" t="s">
        <v>277</v>
      </c>
      <c r="HO102" s="4" t="s">
        <v>277</v>
      </c>
      <c r="HR102" s="4" t="s">
        <v>278</v>
      </c>
      <c r="HS102" s="4" t="s">
        <v>278</v>
      </c>
    </row>
    <row r="103" spans="1:240" x14ac:dyDescent="0.4">
      <c r="A103" s="4">
        <v>2</v>
      </c>
      <c r="B103" s="4" t="s">
        <v>239</v>
      </c>
      <c r="C103" s="4">
        <v>104</v>
      </c>
      <c r="D103" s="4">
        <v>1</v>
      </c>
      <c r="E103" s="4">
        <v>1</v>
      </c>
      <c r="F103" s="4" t="s">
        <v>240</v>
      </c>
      <c r="G103" s="4" t="s">
        <v>241</v>
      </c>
      <c r="H103" s="4" t="s">
        <v>241</v>
      </c>
      <c r="I103" s="4" t="s">
        <v>3024</v>
      </c>
      <c r="J103" s="4" t="s">
        <v>247</v>
      </c>
      <c r="K103" s="4" t="s">
        <v>256</v>
      </c>
      <c r="L103" s="4" t="s">
        <v>250</v>
      </c>
      <c r="M103" s="5" t="s">
        <v>3025</v>
      </c>
      <c r="N103" s="4" t="s">
        <v>242</v>
      </c>
      <c r="O103" s="6">
        <f>9.92</f>
        <v>9.92</v>
      </c>
      <c r="P103" s="4" t="s">
        <v>276</v>
      </c>
      <c r="Q103" s="6">
        <f>1</f>
        <v>1</v>
      </c>
      <c r="R103" s="6">
        <f>595200</f>
        <v>595200</v>
      </c>
      <c r="S103" s="5" t="s">
        <v>248</v>
      </c>
      <c r="T103" s="4" t="s">
        <v>274</v>
      </c>
      <c r="U103" s="4" t="s">
        <v>275</v>
      </c>
      <c r="W103" s="6">
        <f>595199</f>
        <v>595199</v>
      </c>
      <c r="X103" s="4" t="s">
        <v>243</v>
      </c>
      <c r="Y103" s="4" t="s">
        <v>244</v>
      </c>
      <c r="Z103" s="4" t="s">
        <v>246</v>
      </c>
      <c r="AA103" s="4" t="s">
        <v>241</v>
      </c>
      <c r="AD103" s="4" t="s">
        <v>241</v>
      </c>
      <c r="AF103" s="5" t="s">
        <v>241</v>
      </c>
      <c r="AI103" s="5" t="s">
        <v>249</v>
      </c>
      <c r="AJ103" s="4" t="s">
        <v>251</v>
      </c>
      <c r="AK103" s="4" t="s">
        <v>252</v>
      </c>
      <c r="BA103" s="4" t="s">
        <v>254</v>
      </c>
      <c r="BB103" s="4" t="s">
        <v>241</v>
      </c>
      <c r="BC103" s="4" t="s">
        <v>255</v>
      </c>
      <c r="BD103" s="4" t="s">
        <v>241</v>
      </c>
      <c r="BE103" s="4" t="s">
        <v>257</v>
      </c>
      <c r="BF103" s="4" t="s">
        <v>241</v>
      </c>
      <c r="BH103" s="4" t="s">
        <v>258</v>
      </c>
      <c r="BJ103" s="4" t="s">
        <v>377</v>
      </c>
      <c r="BK103" s="5" t="s">
        <v>378</v>
      </c>
      <c r="BL103" s="4" t="s">
        <v>261</v>
      </c>
      <c r="BM103" s="4" t="s">
        <v>262</v>
      </c>
      <c r="BN103" s="4" t="s">
        <v>241</v>
      </c>
      <c r="BO103" s="6">
        <f>0</f>
        <v>0</v>
      </c>
      <c r="BP103" s="6">
        <f>0</f>
        <v>0</v>
      </c>
      <c r="BQ103" s="4" t="s">
        <v>263</v>
      </c>
      <c r="BR103" s="4" t="s">
        <v>264</v>
      </c>
      <c r="CF103" s="4" t="s">
        <v>241</v>
      </c>
      <c r="CG103" s="4" t="s">
        <v>241</v>
      </c>
      <c r="CK103" s="4" t="s">
        <v>265</v>
      </c>
      <c r="CL103" s="4" t="s">
        <v>266</v>
      </c>
      <c r="CM103" s="4" t="s">
        <v>241</v>
      </c>
      <c r="CO103" s="4" t="s">
        <v>267</v>
      </c>
      <c r="CP103" s="5" t="s">
        <v>268</v>
      </c>
      <c r="CQ103" s="4" t="s">
        <v>269</v>
      </c>
      <c r="CR103" s="4" t="s">
        <v>270</v>
      </c>
      <c r="CS103" s="4" t="s">
        <v>241</v>
      </c>
      <c r="CT103" s="4" t="s">
        <v>241</v>
      </c>
      <c r="CU103" s="4">
        <v>0</v>
      </c>
      <c r="CV103" s="4" t="s">
        <v>271</v>
      </c>
      <c r="CW103" s="4" t="s">
        <v>272</v>
      </c>
      <c r="CX103" s="4" t="s">
        <v>273</v>
      </c>
      <c r="CZ103" s="6">
        <f>595200</f>
        <v>595200</v>
      </c>
      <c r="DA103" s="6">
        <f>0</f>
        <v>0</v>
      </c>
      <c r="DC103" s="4" t="s">
        <v>241</v>
      </c>
      <c r="DD103" s="4" t="s">
        <v>241</v>
      </c>
      <c r="DF103" s="4" t="s">
        <v>241</v>
      </c>
      <c r="DI103" s="4" t="s">
        <v>241</v>
      </c>
      <c r="DJ103" s="4" t="s">
        <v>241</v>
      </c>
      <c r="DK103" s="4" t="s">
        <v>241</v>
      </c>
      <c r="DL103" s="4" t="s">
        <v>241</v>
      </c>
      <c r="DM103" s="4" t="s">
        <v>277</v>
      </c>
      <c r="DN103" s="4" t="s">
        <v>278</v>
      </c>
      <c r="DO103" s="6">
        <f>9.92</f>
        <v>9.92</v>
      </c>
      <c r="DP103" s="4" t="s">
        <v>241</v>
      </c>
      <c r="DQ103" s="4" t="s">
        <v>241</v>
      </c>
      <c r="DR103" s="4" t="s">
        <v>241</v>
      </c>
      <c r="DS103" s="4" t="s">
        <v>241</v>
      </c>
      <c r="DV103" s="4" t="s">
        <v>3026</v>
      </c>
      <c r="DW103" s="4" t="s">
        <v>277</v>
      </c>
      <c r="HO103" s="4" t="s">
        <v>277</v>
      </c>
      <c r="HR103" s="4" t="s">
        <v>278</v>
      </c>
      <c r="HS103" s="4" t="s">
        <v>278</v>
      </c>
    </row>
    <row r="104" spans="1:240" x14ac:dyDescent="0.4">
      <c r="A104" s="4">
        <v>2</v>
      </c>
      <c r="B104" s="4" t="s">
        <v>239</v>
      </c>
      <c r="C104" s="4">
        <v>105</v>
      </c>
      <c r="D104" s="4">
        <v>1</v>
      </c>
      <c r="E104" s="4">
        <v>1</v>
      </c>
      <c r="F104" s="4" t="s">
        <v>240</v>
      </c>
      <c r="G104" s="4" t="s">
        <v>241</v>
      </c>
      <c r="H104" s="4" t="s">
        <v>241</v>
      </c>
      <c r="I104" s="4" t="s">
        <v>3089</v>
      </c>
      <c r="J104" s="4" t="s">
        <v>247</v>
      </c>
      <c r="K104" s="4" t="s">
        <v>256</v>
      </c>
      <c r="L104" s="4" t="s">
        <v>250</v>
      </c>
      <c r="M104" s="5" t="s">
        <v>3091</v>
      </c>
      <c r="N104" s="4" t="s">
        <v>242</v>
      </c>
      <c r="O104" s="6">
        <f>9.94</f>
        <v>9.94</v>
      </c>
      <c r="P104" s="4" t="s">
        <v>276</v>
      </c>
      <c r="Q104" s="6">
        <f>1</f>
        <v>1</v>
      </c>
      <c r="R104" s="6">
        <f>596400</f>
        <v>596400</v>
      </c>
      <c r="S104" s="5" t="s">
        <v>248</v>
      </c>
      <c r="T104" s="4" t="s">
        <v>274</v>
      </c>
      <c r="U104" s="4" t="s">
        <v>275</v>
      </c>
      <c r="W104" s="6">
        <f>596399</f>
        <v>596399</v>
      </c>
      <c r="X104" s="4" t="s">
        <v>243</v>
      </c>
      <c r="Y104" s="4" t="s">
        <v>244</v>
      </c>
      <c r="Z104" s="4" t="s">
        <v>246</v>
      </c>
      <c r="AA104" s="4" t="s">
        <v>241</v>
      </c>
      <c r="AD104" s="4" t="s">
        <v>241</v>
      </c>
      <c r="AF104" s="5" t="s">
        <v>241</v>
      </c>
      <c r="AI104" s="5" t="s">
        <v>249</v>
      </c>
      <c r="AJ104" s="4" t="s">
        <v>251</v>
      </c>
      <c r="AK104" s="4" t="s">
        <v>252</v>
      </c>
      <c r="BA104" s="4" t="s">
        <v>254</v>
      </c>
      <c r="BB104" s="4" t="s">
        <v>241</v>
      </c>
      <c r="BC104" s="4" t="s">
        <v>255</v>
      </c>
      <c r="BD104" s="4" t="s">
        <v>241</v>
      </c>
      <c r="BE104" s="4" t="s">
        <v>257</v>
      </c>
      <c r="BF104" s="4" t="s">
        <v>241</v>
      </c>
      <c r="BH104" s="4" t="s">
        <v>258</v>
      </c>
      <c r="BJ104" s="4" t="s">
        <v>259</v>
      </c>
      <c r="BK104" s="5" t="s">
        <v>260</v>
      </c>
      <c r="BL104" s="4" t="s">
        <v>261</v>
      </c>
      <c r="BM104" s="4" t="s">
        <v>262</v>
      </c>
      <c r="BN104" s="4" t="s">
        <v>241</v>
      </c>
      <c r="BO104" s="6">
        <f>0</f>
        <v>0</v>
      </c>
      <c r="BP104" s="6">
        <f>0</f>
        <v>0</v>
      </c>
      <c r="BQ104" s="4" t="s">
        <v>263</v>
      </c>
      <c r="BR104" s="4" t="s">
        <v>264</v>
      </c>
      <c r="CF104" s="4" t="s">
        <v>241</v>
      </c>
      <c r="CG104" s="4" t="s">
        <v>241</v>
      </c>
      <c r="CK104" s="4" t="s">
        <v>265</v>
      </c>
      <c r="CL104" s="4" t="s">
        <v>266</v>
      </c>
      <c r="CM104" s="4" t="s">
        <v>241</v>
      </c>
      <c r="CO104" s="4" t="s">
        <v>267</v>
      </c>
      <c r="CP104" s="5" t="s">
        <v>268</v>
      </c>
      <c r="CQ104" s="4" t="s">
        <v>269</v>
      </c>
      <c r="CR104" s="4" t="s">
        <v>270</v>
      </c>
      <c r="CS104" s="4" t="s">
        <v>241</v>
      </c>
      <c r="CT104" s="4" t="s">
        <v>241</v>
      </c>
      <c r="CU104" s="4">
        <v>0</v>
      </c>
      <c r="CV104" s="4" t="s">
        <v>271</v>
      </c>
      <c r="CW104" s="4" t="s">
        <v>272</v>
      </c>
      <c r="CX104" s="4" t="s">
        <v>273</v>
      </c>
      <c r="CZ104" s="6">
        <f>596400</f>
        <v>596400</v>
      </c>
      <c r="DA104" s="6">
        <f>0</f>
        <v>0</v>
      </c>
      <c r="DC104" s="4" t="s">
        <v>241</v>
      </c>
      <c r="DD104" s="4" t="s">
        <v>241</v>
      </c>
      <c r="DF104" s="4" t="s">
        <v>241</v>
      </c>
      <c r="DI104" s="4" t="s">
        <v>241</v>
      </c>
      <c r="DJ104" s="4" t="s">
        <v>241</v>
      </c>
      <c r="DK104" s="4" t="s">
        <v>241</v>
      </c>
      <c r="DL104" s="4" t="s">
        <v>241</v>
      </c>
      <c r="DM104" s="4" t="s">
        <v>277</v>
      </c>
      <c r="DN104" s="4" t="s">
        <v>278</v>
      </c>
      <c r="DO104" s="6">
        <f>9.94</f>
        <v>9.94</v>
      </c>
      <c r="DP104" s="4" t="s">
        <v>241</v>
      </c>
      <c r="DQ104" s="4" t="s">
        <v>241</v>
      </c>
      <c r="DR104" s="4" t="s">
        <v>241</v>
      </c>
      <c r="DS104" s="4" t="s">
        <v>241</v>
      </c>
      <c r="DV104" s="4" t="s">
        <v>3092</v>
      </c>
      <c r="DW104" s="4" t="s">
        <v>277</v>
      </c>
      <c r="HO104" s="4" t="s">
        <v>277</v>
      </c>
      <c r="HR104" s="4" t="s">
        <v>278</v>
      </c>
      <c r="HS104" s="4" t="s">
        <v>278</v>
      </c>
    </row>
    <row r="105" spans="1:240" x14ac:dyDescent="0.4">
      <c r="A105" s="4">
        <v>2</v>
      </c>
      <c r="B105" s="4" t="s">
        <v>239</v>
      </c>
      <c r="C105" s="4">
        <v>106</v>
      </c>
      <c r="D105" s="4">
        <v>1</v>
      </c>
      <c r="E105" s="4">
        <v>3</v>
      </c>
      <c r="F105" s="4" t="s">
        <v>326</v>
      </c>
      <c r="G105" s="4" t="s">
        <v>241</v>
      </c>
      <c r="H105" s="4" t="s">
        <v>241</v>
      </c>
      <c r="I105" s="4" t="s">
        <v>3089</v>
      </c>
      <c r="J105" s="4" t="s">
        <v>247</v>
      </c>
      <c r="K105" s="4" t="s">
        <v>256</v>
      </c>
      <c r="L105" s="4" t="s">
        <v>250</v>
      </c>
      <c r="M105" s="5" t="s">
        <v>3091</v>
      </c>
      <c r="N105" s="4" t="s">
        <v>3088</v>
      </c>
      <c r="O105" s="6">
        <f>0</f>
        <v>0</v>
      </c>
      <c r="P105" s="4" t="s">
        <v>276</v>
      </c>
      <c r="Q105" s="6">
        <f>449280</f>
        <v>449280</v>
      </c>
      <c r="R105" s="6">
        <f>540000</f>
        <v>540000</v>
      </c>
      <c r="S105" s="5" t="s">
        <v>3090</v>
      </c>
      <c r="T105" s="4" t="s">
        <v>274</v>
      </c>
      <c r="U105" s="4" t="s">
        <v>297</v>
      </c>
      <c r="V105" s="6">
        <f>22680</f>
        <v>22680</v>
      </c>
      <c r="W105" s="6">
        <f>90720</f>
        <v>90720</v>
      </c>
      <c r="X105" s="4" t="s">
        <v>243</v>
      </c>
      <c r="Y105" s="4" t="s">
        <v>244</v>
      </c>
      <c r="Z105" s="4" t="s">
        <v>246</v>
      </c>
      <c r="AA105" s="4" t="s">
        <v>241</v>
      </c>
      <c r="AD105" s="4" t="s">
        <v>241</v>
      </c>
      <c r="AE105" s="5" t="s">
        <v>241</v>
      </c>
      <c r="AF105" s="5" t="s">
        <v>241</v>
      </c>
      <c r="AH105" s="5" t="s">
        <v>241</v>
      </c>
      <c r="AI105" s="5" t="s">
        <v>249</v>
      </c>
      <c r="AJ105" s="4" t="s">
        <v>251</v>
      </c>
      <c r="AK105" s="4" t="s">
        <v>252</v>
      </c>
      <c r="AQ105" s="4" t="s">
        <v>241</v>
      </c>
      <c r="AR105" s="4" t="s">
        <v>241</v>
      </c>
      <c r="AS105" s="4" t="s">
        <v>241</v>
      </c>
      <c r="AT105" s="5" t="s">
        <v>241</v>
      </c>
      <c r="AU105" s="5" t="s">
        <v>241</v>
      </c>
      <c r="AV105" s="5" t="s">
        <v>241</v>
      </c>
      <c r="AY105" s="4" t="s">
        <v>286</v>
      </c>
      <c r="AZ105" s="4" t="s">
        <v>286</v>
      </c>
      <c r="BA105" s="4" t="s">
        <v>254</v>
      </c>
      <c r="BB105" s="4" t="s">
        <v>287</v>
      </c>
      <c r="BC105" s="4" t="s">
        <v>255</v>
      </c>
      <c r="BD105" s="4" t="s">
        <v>241</v>
      </c>
      <c r="BE105" s="4" t="s">
        <v>257</v>
      </c>
      <c r="BF105" s="4" t="s">
        <v>241</v>
      </c>
      <c r="BJ105" s="4" t="s">
        <v>288</v>
      </c>
      <c r="BK105" s="5" t="s">
        <v>289</v>
      </c>
      <c r="BL105" s="4" t="s">
        <v>290</v>
      </c>
      <c r="BM105" s="4" t="s">
        <v>290</v>
      </c>
      <c r="BN105" s="4" t="s">
        <v>241</v>
      </c>
      <c r="BP105" s="6">
        <f>-22680</f>
        <v>-22680</v>
      </c>
      <c r="BQ105" s="4" t="s">
        <v>263</v>
      </c>
      <c r="BR105" s="4" t="s">
        <v>264</v>
      </c>
      <c r="BS105" s="4" t="s">
        <v>241</v>
      </c>
      <c r="BT105" s="4" t="s">
        <v>241</v>
      </c>
      <c r="BU105" s="4" t="s">
        <v>241</v>
      </c>
      <c r="BV105" s="4" t="s">
        <v>241</v>
      </c>
      <c r="CE105" s="4" t="s">
        <v>264</v>
      </c>
      <c r="CF105" s="4" t="s">
        <v>241</v>
      </c>
      <c r="CG105" s="4" t="s">
        <v>241</v>
      </c>
      <c r="CK105" s="4" t="s">
        <v>291</v>
      </c>
      <c r="CL105" s="4" t="s">
        <v>266</v>
      </c>
      <c r="CM105" s="4" t="s">
        <v>241</v>
      </c>
      <c r="CO105" s="4" t="s">
        <v>413</v>
      </c>
      <c r="CP105" s="5" t="s">
        <v>268</v>
      </c>
      <c r="CQ105" s="4" t="s">
        <v>269</v>
      </c>
      <c r="CR105" s="4" t="s">
        <v>270</v>
      </c>
      <c r="CS105" s="4" t="s">
        <v>293</v>
      </c>
      <c r="CT105" s="4" t="s">
        <v>241</v>
      </c>
      <c r="CU105" s="4">
        <v>4.2000000000000003E-2</v>
      </c>
      <c r="CV105" s="4" t="s">
        <v>271</v>
      </c>
      <c r="CW105" s="4" t="s">
        <v>272</v>
      </c>
      <c r="CX105" s="4" t="s">
        <v>273</v>
      </c>
      <c r="CY105" s="6">
        <f>0</f>
        <v>0</v>
      </c>
      <c r="CZ105" s="6">
        <f>540000</f>
        <v>540000</v>
      </c>
      <c r="DA105" s="6">
        <f>449280</f>
        <v>449280</v>
      </c>
      <c r="DC105" s="4" t="s">
        <v>241</v>
      </c>
      <c r="DD105" s="4" t="s">
        <v>241</v>
      </c>
      <c r="DF105" s="4" t="s">
        <v>241</v>
      </c>
      <c r="DG105" s="6">
        <f>0</f>
        <v>0</v>
      </c>
      <c r="DI105" s="4" t="s">
        <v>241</v>
      </c>
      <c r="DJ105" s="4" t="s">
        <v>241</v>
      </c>
      <c r="DK105" s="4" t="s">
        <v>241</v>
      </c>
      <c r="DL105" s="4" t="s">
        <v>241</v>
      </c>
      <c r="DM105" s="4" t="s">
        <v>278</v>
      </c>
      <c r="DN105" s="4" t="s">
        <v>278</v>
      </c>
      <c r="DO105" s="6" t="s">
        <v>241</v>
      </c>
      <c r="DP105" s="4" t="s">
        <v>241</v>
      </c>
      <c r="DQ105" s="4" t="s">
        <v>241</v>
      </c>
      <c r="DR105" s="4" t="s">
        <v>241</v>
      </c>
      <c r="DS105" s="4" t="s">
        <v>241</v>
      </c>
      <c r="DV105" s="4" t="s">
        <v>3092</v>
      </c>
      <c r="DW105" s="4" t="s">
        <v>323</v>
      </c>
      <c r="GN105" s="4" t="s">
        <v>3093</v>
      </c>
      <c r="HO105" s="4" t="s">
        <v>351</v>
      </c>
      <c r="HR105" s="4" t="s">
        <v>278</v>
      </c>
      <c r="HS105" s="4" t="s">
        <v>278</v>
      </c>
      <c r="HT105" s="4" t="s">
        <v>241</v>
      </c>
      <c r="HU105" s="4" t="s">
        <v>241</v>
      </c>
      <c r="HV105" s="4" t="s">
        <v>241</v>
      </c>
      <c r="HW105" s="4" t="s">
        <v>241</v>
      </c>
      <c r="HX105" s="4" t="s">
        <v>241</v>
      </c>
      <c r="HY105" s="4" t="s">
        <v>241</v>
      </c>
      <c r="HZ105" s="4" t="s">
        <v>241</v>
      </c>
      <c r="IA105" s="4" t="s">
        <v>241</v>
      </c>
      <c r="IB105" s="4" t="s">
        <v>241</v>
      </c>
      <c r="IC105" s="4" t="s">
        <v>241</v>
      </c>
      <c r="ID105" s="4" t="s">
        <v>241</v>
      </c>
      <c r="IE105" s="4" t="s">
        <v>241</v>
      </c>
      <c r="IF105" s="4" t="s">
        <v>241</v>
      </c>
    </row>
    <row r="106" spans="1:240" x14ac:dyDescent="0.4">
      <c r="A106" s="4">
        <v>2</v>
      </c>
      <c r="B106" s="4" t="s">
        <v>239</v>
      </c>
      <c r="C106" s="4">
        <v>107</v>
      </c>
      <c r="D106" s="4">
        <v>1</v>
      </c>
      <c r="E106" s="4">
        <v>1</v>
      </c>
      <c r="F106" s="4" t="s">
        <v>240</v>
      </c>
      <c r="G106" s="4" t="s">
        <v>241</v>
      </c>
      <c r="H106" s="4" t="s">
        <v>241</v>
      </c>
      <c r="I106" s="4" t="s">
        <v>3355</v>
      </c>
      <c r="J106" s="4" t="s">
        <v>247</v>
      </c>
      <c r="K106" s="4" t="s">
        <v>256</v>
      </c>
      <c r="L106" s="4" t="s">
        <v>250</v>
      </c>
      <c r="M106" s="5" t="s">
        <v>3356</v>
      </c>
      <c r="N106" s="4" t="s">
        <v>242</v>
      </c>
      <c r="O106" s="6">
        <f>18</f>
        <v>18</v>
      </c>
      <c r="P106" s="4" t="s">
        <v>276</v>
      </c>
      <c r="Q106" s="6">
        <f>1</f>
        <v>1</v>
      </c>
      <c r="R106" s="6">
        <f>1080000</f>
        <v>1080000</v>
      </c>
      <c r="S106" s="5" t="s">
        <v>248</v>
      </c>
      <c r="T106" s="4" t="s">
        <v>274</v>
      </c>
      <c r="U106" s="4" t="s">
        <v>275</v>
      </c>
      <c r="W106" s="6">
        <f>1079999</f>
        <v>1079999</v>
      </c>
      <c r="X106" s="4" t="s">
        <v>243</v>
      </c>
      <c r="Y106" s="4" t="s">
        <v>244</v>
      </c>
      <c r="Z106" s="4" t="s">
        <v>246</v>
      </c>
      <c r="AA106" s="4" t="s">
        <v>241</v>
      </c>
      <c r="AD106" s="4" t="s">
        <v>241</v>
      </c>
      <c r="AF106" s="5" t="s">
        <v>241</v>
      </c>
      <c r="AI106" s="5" t="s">
        <v>249</v>
      </c>
      <c r="AJ106" s="4" t="s">
        <v>251</v>
      </c>
      <c r="AK106" s="4" t="s">
        <v>252</v>
      </c>
      <c r="BA106" s="4" t="s">
        <v>254</v>
      </c>
      <c r="BB106" s="4" t="s">
        <v>241</v>
      </c>
      <c r="BC106" s="4" t="s">
        <v>255</v>
      </c>
      <c r="BD106" s="4" t="s">
        <v>241</v>
      </c>
      <c r="BE106" s="4" t="s">
        <v>257</v>
      </c>
      <c r="BF106" s="4" t="s">
        <v>241</v>
      </c>
      <c r="BH106" s="4" t="s">
        <v>258</v>
      </c>
      <c r="BJ106" s="4" t="s">
        <v>374</v>
      </c>
      <c r="BK106" s="5" t="s">
        <v>375</v>
      </c>
      <c r="BL106" s="4" t="s">
        <v>261</v>
      </c>
      <c r="BM106" s="4" t="s">
        <v>262</v>
      </c>
      <c r="BN106" s="4" t="s">
        <v>241</v>
      </c>
      <c r="BO106" s="6">
        <f>0</f>
        <v>0</v>
      </c>
      <c r="BP106" s="6">
        <f>0</f>
        <v>0</v>
      </c>
      <c r="BQ106" s="4" t="s">
        <v>263</v>
      </c>
      <c r="BR106" s="4" t="s">
        <v>264</v>
      </c>
      <c r="CF106" s="4" t="s">
        <v>241</v>
      </c>
      <c r="CG106" s="4" t="s">
        <v>241</v>
      </c>
      <c r="CK106" s="4" t="s">
        <v>265</v>
      </c>
      <c r="CL106" s="4" t="s">
        <v>266</v>
      </c>
      <c r="CM106" s="4" t="s">
        <v>241</v>
      </c>
      <c r="CO106" s="4" t="s">
        <v>267</v>
      </c>
      <c r="CP106" s="5" t="s">
        <v>268</v>
      </c>
      <c r="CQ106" s="4" t="s">
        <v>269</v>
      </c>
      <c r="CR106" s="4" t="s">
        <v>270</v>
      </c>
      <c r="CS106" s="4" t="s">
        <v>241</v>
      </c>
      <c r="CT106" s="4" t="s">
        <v>241</v>
      </c>
      <c r="CU106" s="4">
        <v>0</v>
      </c>
      <c r="CV106" s="4" t="s">
        <v>271</v>
      </c>
      <c r="CW106" s="4" t="s">
        <v>272</v>
      </c>
      <c r="CX106" s="4" t="s">
        <v>273</v>
      </c>
      <c r="CZ106" s="6">
        <f>1080000</f>
        <v>1080000</v>
      </c>
      <c r="DA106" s="6">
        <f>0</f>
        <v>0</v>
      </c>
      <c r="DC106" s="4" t="s">
        <v>241</v>
      </c>
      <c r="DD106" s="4" t="s">
        <v>241</v>
      </c>
      <c r="DF106" s="4" t="s">
        <v>241</v>
      </c>
      <c r="DI106" s="4" t="s">
        <v>241</v>
      </c>
      <c r="DJ106" s="4" t="s">
        <v>241</v>
      </c>
      <c r="DK106" s="4" t="s">
        <v>241</v>
      </c>
      <c r="DL106" s="4" t="s">
        <v>241</v>
      </c>
      <c r="DM106" s="4" t="s">
        <v>277</v>
      </c>
      <c r="DN106" s="4" t="s">
        <v>278</v>
      </c>
      <c r="DO106" s="6">
        <f>18</f>
        <v>18</v>
      </c>
      <c r="DP106" s="4" t="s">
        <v>241</v>
      </c>
      <c r="DQ106" s="4" t="s">
        <v>241</v>
      </c>
      <c r="DR106" s="4" t="s">
        <v>241</v>
      </c>
      <c r="DS106" s="4" t="s">
        <v>241</v>
      </c>
      <c r="DV106" s="4" t="s">
        <v>3357</v>
      </c>
      <c r="DW106" s="4" t="s">
        <v>277</v>
      </c>
      <c r="HO106" s="4" t="s">
        <v>277</v>
      </c>
      <c r="HR106" s="4" t="s">
        <v>278</v>
      </c>
      <c r="HS106" s="4" t="s">
        <v>278</v>
      </c>
    </row>
    <row r="107" spans="1:240" x14ac:dyDescent="0.4">
      <c r="A107" s="4">
        <v>2</v>
      </c>
      <c r="B107" s="4" t="s">
        <v>239</v>
      </c>
      <c r="C107" s="4">
        <v>108</v>
      </c>
      <c r="D107" s="4">
        <v>1</v>
      </c>
      <c r="E107" s="4">
        <v>1</v>
      </c>
      <c r="F107" s="4" t="s">
        <v>240</v>
      </c>
      <c r="G107" s="4" t="s">
        <v>241</v>
      </c>
      <c r="H107" s="4" t="s">
        <v>241</v>
      </c>
      <c r="I107" s="4" t="s">
        <v>3332</v>
      </c>
      <c r="J107" s="4" t="s">
        <v>247</v>
      </c>
      <c r="K107" s="4" t="s">
        <v>256</v>
      </c>
      <c r="L107" s="4" t="s">
        <v>250</v>
      </c>
      <c r="M107" s="5" t="s">
        <v>3333</v>
      </c>
      <c r="N107" s="4" t="s">
        <v>242</v>
      </c>
      <c r="O107" s="6">
        <f>9.72</f>
        <v>9.7200000000000006</v>
      </c>
      <c r="P107" s="4" t="s">
        <v>276</v>
      </c>
      <c r="Q107" s="6">
        <f>1</f>
        <v>1</v>
      </c>
      <c r="R107" s="6">
        <f>583200</f>
        <v>583200</v>
      </c>
      <c r="S107" s="5" t="s">
        <v>248</v>
      </c>
      <c r="T107" s="4" t="s">
        <v>274</v>
      </c>
      <c r="U107" s="4" t="s">
        <v>275</v>
      </c>
      <c r="W107" s="6">
        <f>583199</f>
        <v>583199</v>
      </c>
      <c r="X107" s="4" t="s">
        <v>243</v>
      </c>
      <c r="Y107" s="4" t="s">
        <v>244</v>
      </c>
      <c r="Z107" s="4" t="s">
        <v>246</v>
      </c>
      <c r="AA107" s="4" t="s">
        <v>241</v>
      </c>
      <c r="AD107" s="4" t="s">
        <v>241</v>
      </c>
      <c r="AF107" s="5" t="s">
        <v>241</v>
      </c>
      <c r="AI107" s="5" t="s">
        <v>249</v>
      </c>
      <c r="AJ107" s="4" t="s">
        <v>251</v>
      </c>
      <c r="AK107" s="4" t="s">
        <v>252</v>
      </c>
      <c r="BA107" s="4" t="s">
        <v>254</v>
      </c>
      <c r="BB107" s="4" t="s">
        <v>241</v>
      </c>
      <c r="BC107" s="4" t="s">
        <v>255</v>
      </c>
      <c r="BD107" s="4" t="s">
        <v>241</v>
      </c>
      <c r="BE107" s="4" t="s">
        <v>257</v>
      </c>
      <c r="BF107" s="4" t="s">
        <v>241</v>
      </c>
      <c r="BH107" s="4" t="s">
        <v>258</v>
      </c>
      <c r="BJ107" s="4" t="s">
        <v>377</v>
      </c>
      <c r="BK107" s="5" t="s">
        <v>378</v>
      </c>
      <c r="BL107" s="4" t="s">
        <v>261</v>
      </c>
      <c r="BM107" s="4" t="s">
        <v>262</v>
      </c>
      <c r="BN107" s="4" t="s">
        <v>241</v>
      </c>
      <c r="BO107" s="6">
        <f>0</f>
        <v>0</v>
      </c>
      <c r="BP107" s="6">
        <f>0</f>
        <v>0</v>
      </c>
      <c r="BQ107" s="4" t="s">
        <v>263</v>
      </c>
      <c r="BR107" s="4" t="s">
        <v>264</v>
      </c>
      <c r="CF107" s="4" t="s">
        <v>241</v>
      </c>
      <c r="CG107" s="4" t="s">
        <v>241</v>
      </c>
      <c r="CK107" s="4" t="s">
        <v>265</v>
      </c>
      <c r="CL107" s="4" t="s">
        <v>266</v>
      </c>
      <c r="CM107" s="4" t="s">
        <v>241</v>
      </c>
      <c r="CO107" s="4" t="s">
        <v>267</v>
      </c>
      <c r="CP107" s="5" t="s">
        <v>268</v>
      </c>
      <c r="CQ107" s="4" t="s">
        <v>269</v>
      </c>
      <c r="CR107" s="4" t="s">
        <v>270</v>
      </c>
      <c r="CS107" s="4" t="s">
        <v>241</v>
      </c>
      <c r="CT107" s="4" t="s">
        <v>241</v>
      </c>
      <c r="CU107" s="4">
        <v>0</v>
      </c>
      <c r="CV107" s="4" t="s">
        <v>271</v>
      </c>
      <c r="CW107" s="4" t="s">
        <v>272</v>
      </c>
      <c r="CX107" s="4" t="s">
        <v>273</v>
      </c>
      <c r="CZ107" s="6">
        <f>583200</f>
        <v>583200</v>
      </c>
      <c r="DA107" s="6">
        <f>0</f>
        <v>0</v>
      </c>
      <c r="DC107" s="4" t="s">
        <v>241</v>
      </c>
      <c r="DD107" s="4" t="s">
        <v>241</v>
      </c>
      <c r="DF107" s="4" t="s">
        <v>241</v>
      </c>
      <c r="DI107" s="4" t="s">
        <v>241</v>
      </c>
      <c r="DJ107" s="4" t="s">
        <v>241</v>
      </c>
      <c r="DK107" s="4" t="s">
        <v>241</v>
      </c>
      <c r="DL107" s="4" t="s">
        <v>241</v>
      </c>
      <c r="DM107" s="4" t="s">
        <v>277</v>
      </c>
      <c r="DN107" s="4" t="s">
        <v>278</v>
      </c>
      <c r="DO107" s="6">
        <f>9.72</f>
        <v>9.7200000000000006</v>
      </c>
      <c r="DP107" s="4" t="s">
        <v>241</v>
      </c>
      <c r="DQ107" s="4" t="s">
        <v>241</v>
      </c>
      <c r="DR107" s="4" t="s">
        <v>241</v>
      </c>
      <c r="DS107" s="4" t="s">
        <v>241</v>
      </c>
      <c r="DV107" s="4" t="s">
        <v>3334</v>
      </c>
      <c r="DW107" s="4" t="s">
        <v>277</v>
      </c>
      <c r="HO107" s="4" t="s">
        <v>277</v>
      </c>
      <c r="HR107" s="4" t="s">
        <v>278</v>
      </c>
      <c r="HS107" s="4" t="s">
        <v>278</v>
      </c>
    </row>
    <row r="108" spans="1:240" x14ac:dyDescent="0.4">
      <c r="A108" s="4">
        <v>2</v>
      </c>
      <c r="B108" s="4" t="s">
        <v>239</v>
      </c>
      <c r="C108" s="4">
        <v>109</v>
      </c>
      <c r="D108" s="4">
        <v>1</v>
      </c>
      <c r="E108" s="4">
        <v>1</v>
      </c>
      <c r="F108" s="4" t="s">
        <v>240</v>
      </c>
      <c r="G108" s="4" t="s">
        <v>241</v>
      </c>
      <c r="H108" s="4" t="s">
        <v>241</v>
      </c>
      <c r="I108" s="4" t="s">
        <v>3165</v>
      </c>
      <c r="J108" s="4" t="s">
        <v>247</v>
      </c>
      <c r="K108" s="4" t="s">
        <v>256</v>
      </c>
      <c r="L108" s="4" t="s">
        <v>250</v>
      </c>
      <c r="M108" s="5" t="s">
        <v>3166</v>
      </c>
      <c r="N108" s="4" t="s">
        <v>242</v>
      </c>
      <c r="O108" s="6">
        <f>9.92</f>
        <v>9.92</v>
      </c>
      <c r="P108" s="4" t="s">
        <v>276</v>
      </c>
      <c r="Q108" s="6">
        <f>1</f>
        <v>1</v>
      </c>
      <c r="R108" s="6">
        <f>595200</f>
        <v>595200</v>
      </c>
      <c r="S108" s="5" t="s">
        <v>248</v>
      </c>
      <c r="T108" s="4" t="s">
        <v>274</v>
      </c>
      <c r="U108" s="4" t="s">
        <v>275</v>
      </c>
      <c r="W108" s="6">
        <f>595199</f>
        <v>595199</v>
      </c>
      <c r="X108" s="4" t="s">
        <v>243</v>
      </c>
      <c r="Y108" s="4" t="s">
        <v>244</v>
      </c>
      <c r="Z108" s="4" t="s">
        <v>246</v>
      </c>
      <c r="AA108" s="4" t="s">
        <v>241</v>
      </c>
      <c r="AD108" s="4" t="s">
        <v>241</v>
      </c>
      <c r="AF108" s="5" t="s">
        <v>241</v>
      </c>
      <c r="AI108" s="5" t="s">
        <v>249</v>
      </c>
      <c r="AJ108" s="4" t="s">
        <v>251</v>
      </c>
      <c r="AK108" s="4" t="s">
        <v>252</v>
      </c>
      <c r="BA108" s="4" t="s">
        <v>254</v>
      </c>
      <c r="BB108" s="4" t="s">
        <v>241</v>
      </c>
      <c r="BC108" s="4" t="s">
        <v>255</v>
      </c>
      <c r="BD108" s="4" t="s">
        <v>241</v>
      </c>
      <c r="BE108" s="4" t="s">
        <v>257</v>
      </c>
      <c r="BF108" s="4" t="s">
        <v>241</v>
      </c>
      <c r="BH108" s="4" t="s">
        <v>258</v>
      </c>
      <c r="BJ108" s="4" t="s">
        <v>259</v>
      </c>
      <c r="BK108" s="5" t="s">
        <v>260</v>
      </c>
      <c r="BL108" s="4" t="s">
        <v>261</v>
      </c>
      <c r="BM108" s="4" t="s">
        <v>262</v>
      </c>
      <c r="BN108" s="4" t="s">
        <v>241</v>
      </c>
      <c r="BO108" s="6">
        <f>0</f>
        <v>0</v>
      </c>
      <c r="BP108" s="6">
        <f>0</f>
        <v>0</v>
      </c>
      <c r="BQ108" s="4" t="s">
        <v>263</v>
      </c>
      <c r="BR108" s="4" t="s">
        <v>264</v>
      </c>
      <c r="CF108" s="4" t="s">
        <v>241</v>
      </c>
      <c r="CG108" s="4" t="s">
        <v>241</v>
      </c>
      <c r="CK108" s="4" t="s">
        <v>265</v>
      </c>
      <c r="CL108" s="4" t="s">
        <v>266</v>
      </c>
      <c r="CM108" s="4" t="s">
        <v>241</v>
      </c>
      <c r="CO108" s="4" t="s">
        <v>267</v>
      </c>
      <c r="CP108" s="5" t="s">
        <v>268</v>
      </c>
      <c r="CQ108" s="4" t="s">
        <v>269</v>
      </c>
      <c r="CR108" s="4" t="s">
        <v>270</v>
      </c>
      <c r="CS108" s="4" t="s">
        <v>241</v>
      </c>
      <c r="CT108" s="4" t="s">
        <v>241</v>
      </c>
      <c r="CU108" s="4">
        <v>0</v>
      </c>
      <c r="CV108" s="4" t="s">
        <v>271</v>
      </c>
      <c r="CW108" s="4" t="s">
        <v>272</v>
      </c>
      <c r="CX108" s="4" t="s">
        <v>273</v>
      </c>
      <c r="CZ108" s="6">
        <f>595200</f>
        <v>595200</v>
      </c>
      <c r="DA108" s="6">
        <f>0</f>
        <v>0</v>
      </c>
      <c r="DC108" s="4" t="s">
        <v>241</v>
      </c>
      <c r="DD108" s="4" t="s">
        <v>241</v>
      </c>
      <c r="DF108" s="4" t="s">
        <v>241</v>
      </c>
      <c r="DI108" s="4" t="s">
        <v>241</v>
      </c>
      <c r="DJ108" s="4" t="s">
        <v>241</v>
      </c>
      <c r="DK108" s="4" t="s">
        <v>241</v>
      </c>
      <c r="DL108" s="4" t="s">
        <v>241</v>
      </c>
      <c r="DM108" s="4" t="s">
        <v>277</v>
      </c>
      <c r="DN108" s="4" t="s">
        <v>278</v>
      </c>
      <c r="DO108" s="6">
        <f>9.92</f>
        <v>9.92</v>
      </c>
      <c r="DP108" s="4" t="s">
        <v>241</v>
      </c>
      <c r="DQ108" s="4" t="s">
        <v>241</v>
      </c>
      <c r="DR108" s="4" t="s">
        <v>241</v>
      </c>
      <c r="DS108" s="4" t="s">
        <v>241</v>
      </c>
      <c r="DV108" s="4" t="s">
        <v>3167</v>
      </c>
      <c r="DW108" s="4" t="s">
        <v>277</v>
      </c>
      <c r="HO108" s="4" t="s">
        <v>277</v>
      </c>
      <c r="HR108" s="4" t="s">
        <v>278</v>
      </c>
      <c r="HS108" s="4" t="s">
        <v>278</v>
      </c>
    </row>
    <row r="109" spans="1:240" x14ac:dyDescent="0.4">
      <c r="A109" s="4">
        <v>2</v>
      </c>
      <c r="B109" s="4" t="s">
        <v>239</v>
      </c>
      <c r="C109" s="4">
        <v>110</v>
      </c>
      <c r="D109" s="4">
        <v>1</v>
      </c>
      <c r="E109" s="4">
        <v>1</v>
      </c>
      <c r="F109" s="4" t="s">
        <v>240</v>
      </c>
      <c r="G109" s="4" t="s">
        <v>241</v>
      </c>
      <c r="H109" s="4" t="s">
        <v>241</v>
      </c>
      <c r="I109" s="4" t="s">
        <v>3352</v>
      </c>
      <c r="J109" s="4" t="s">
        <v>247</v>
      </c>
      <c r="K109" s="4" t="s">
        <v>256</v>
      </c>
      <c r="L109" s="4" t="s">
        <v>250</v>
      </c>
      <c r="M109" s="5" t="s">
        <v>3353</v>
      </c>
      <c r="N109" s="4" t="s">
        <v>242</v>
      </c>
      <c r="O109" s="6">
        <f>19.87</f>
        <v>19.87</v>
      </c>
      <c r="P109" s="4" t="s">
        <v>276</v>
      </c>
      <c r="Q109" s="6">
        <f>1</f>
        <v>1</v>
      </c>
      <c r="R109" s="6">
        <f>1192200</f>
        <v>1192200</v>
      </c>
      <c r="S109" s="5" t="s">
        <v>248</v>
      </c>
      <c r="T109" s="4" t="s">
        <v>274</v>
      </c>
      <c r="U109" s="4" t="s">
        <v>275</v>
      </c>
      <c r="W109" s="6">
        <f>1192199</f>
        <v>1192199</v>
      </c>
      <c r="X109" s="4" t="s">
        <v>243</v>
      </c>
      <c r="Y109" s="4" t="s">
        <v>244</v>
      </c>
      <c r="Z109" s="4" t="s">
        <v>246</v>
      </c>
      <c r="AA109" s="4" t="s">
        <v>241</v>
      </c>
      <c r="AD109" s="4" t="s">
        <v>241</v>
      </c>
      <c r="AF109" s="5" t="s">
        <v>241</v>
      </c>
      <c r="AI109" s="5" t="s">
        <v>2899</v>
      </c>
      <c r="AJ109" s="4" t="s">
        <v>251</v>
      </c>
      <c r="AK109" s="4" t="s">
        <v>252</v>
      </c>
      <c r="BA109" s="4" t="s">
        <v>254</v>
      </c>
      <c r="BB109" s="4" t="s">
        <v>241</v>
      </c>
      <c r="BC109" s="4" t="s">
        <v>255</v>
      </c>
      <c r="BD109" s="4" t="s">
        <v>241</v>
      </c>
      <c r="BE109" s="4" t="s">
        <v>257</v>
      </c>
      <c r="BF109" s="4" t="s">
        <v>241</v>
      </c>
      <c r="BH109" s="4" t="s">
        <v>258</v>
      </c>
      <c r="BJ109" s="4" t="s">
        <v>259</v>
      </c>
      <c r="BK109" s="5" t="s">
        <v>2899</v>
      </c>
      <c r="BL109" s="4" t="s">
        <v>261</v>
      </c>
      <c r="BM109" s="4" t="s">
        <v>262</v>
      </c>
      <c r="BN109" s="4" t="s">
        <v>241</v>
      </c>
      <c r="BO109" s="6">
        <f>0</f>
        <v>0</v>
      </c>
      <c r="BP109" s="6">
        <f>0</f>
        <v>0</v>
      </c>
      <c r="BQ109" s="4" t="s">
        <v>263</v>
      </c>
      <c r="BR109" s="4" t="s">
        <v>264</v>
      </c>
      <c r="CF109" s="4" t="s">
        <v>241</v>
      </c>
      <c r="CG109" s="4" t="s">
        <v>241</v>
      </c>
      <c r="CK109" s="4" t="s">
        <v>265</v>
      </c>
      <c r="CL109" s="4" t="s">
        <v>266</v>
      </c>
      <c r="CM109" s="4" t="s">
        <v>241</v>
      </c>
      <c r="CO109" s="4" t="s">
        <v>267</v>
      </c>
      <c r="CP109" s="5" t="s">
        <v>268</v>
      </c>
      <c r="CQ109" s="4" t="s">
        <v>269</v>
      </c>
      <c r="CR109" s="4" t="s">
        <v>270</v>
      </c>
      <c r="CS109" s="4" t="s">
        <v>241</v>
      </c>
      <c r="CT109" s="4" t="s">
        <v>241</v>
      </c>
      <c r="CU109" s="4">
        <v>0</v>
      </c>
      <c r="CV109" s="4" t="s">
        <v>271</v>
      </c>
      <c r="CW109" s="4" t="s">
        <v>272</v>
      </c>
      <c r="CX109" s="4" t="s">
        <v>273</v>
      </c>
      <c r="CZ109" s="6">
        <f>1192200</f>
        <v>1192200</v>
      </c>
      <c r="DA109" s="6">
        <f>0</f>
        <v>0</v>
      </c>
      <c r="DC109" s="4" t="s">
        <v>241</v>
      </c>
      <c r="DD109" s="4" t="s">
        <v>241</v>
      </c>
      <c r="DF109" s="4" t="s">
        <v>241</v>
      </c>
      <c r="DI109" s="4" t="s">
        <v>241</v>
      </c>
      <c r="DJ109" s="4" t="s">
        <v>241</v>
      </c>
      <c r="DK109" s="4" t="s">
        <v>241</v>
      </c>
      <c r="DL109" s="4" t="s">
        <v>241</v>
      </c>
      <c r="DM109" s="4" t="s">
        <v>277</v>
      </c>
      <c r="DN109" s="4" t="s">
        <v>278</v>
      </c>
      <c r="DO109" s="6">
        <f>19.87</f>
        <v>19.87</v>
      </c>
      <c r="DP109" s="4" t="s">
        <v>241</v>
      </c>
      <c r="DQ109" s="4" t="s">
        <v>241</v>
      </c>
      <c r="DR109" s="4" t="s">
        <v>241</v>
      </c>
      <c r="DS109" s="4" t="s">
        <v>241</v>
      </c>
      <c r="DV109" s="4" t="s">
        <v>3354</v>
      </c>
      <c r="DW109" s="4" t="s">
        <v>277</v>
      </c>
      <c r="HO109" s="4" t="s">
        <v>277</v>
      </c>
      <c r="HR109" s="4" t="s">
        <v>278</v>
      </c>
      <c r="HS109" s="4" t="s">
        <v>278</v>
      </c>
    </row>
    <row r="110" spans="1:240" x14ac:dyDescent="0.4">
      <c r="A110" s="4">
        <v>2</v>
      </c>
      <c r="B110" s="4" t="s">
        <v>239</v>
      </c>
      <c r="C110" s="4">
        <v>112</v>
      </c>
      <c r="D110" s="4">
        <v>1</v>
      </c>
      <c r="E110" s="4">
        <v>1</v>
      </c>
      <c r="F110" s="4" t="s">
        <v>240</v>
      </c>
      <c r="G110" s="4" t="s">
        <v>241</v>
      </c>
      <c r="H110" s="4" t="s">
        <v>241</v>
      </c>
      <c r="I110" s="4" t="s">
        <v>3371</v>
      </c>
      <c r="J110" s="4" t="s">
        <v>247</v>
      </c>
      <c r="K110" s="4" t="s">
        <v>256</v>
      </c>
      <c r="L110" s="4" t="s">
        <v>250</v>
      </c>
      <c r="M110" s="5" t="s">
        <v>3372</v>
      </c>
      <c r="N110" s="4" t="s">
        <v>242</v>
      </c>
      <c r="O110" s="6">
        <f>9.92</f>
        <v>9.92</v>
      </c>
      <c r="P110" s="4" t="s">
        <v>276</v>
      </c>
      <c r="Q110" s="6">
        <f>1</f>
        <v>1</v>
      </c>
      <c r="R110" s="6">
        <f>595200</f>
        <v>595200</v>
      </c>
      <c r="S110" s="5" t="s">
        <v>248</v>
      </c>
      <c r="T110" s="4" t="s">
        <v>274</v>
      </c>
      <c r="U110" s="4" t="s">
        <v>275</v>
      </c>
      <c r="W110" s="6">
        <f>595199</f>
        <v>595199</v>
      </c>
      <c r="X110" s="4" t="s">
        <v>243</v>
      </c>
      <c r="Y110" s="4" t="s">
        <v>244</v>
      </c>
      <c r="Z110" s="4" t="s">
        <v>246</v>
      </c>
      <c r="AA110" s="4" t="s">
        <v>241</v>
      </c>
      <c r="AD110" s="4" t="s">
        <v>241</v>
      </c>
      <c r="AF110" s="5" t="s">
        <v>241</v>
      </c>
      <c r="AI110" s="5" t="s">
        <v>249</v>
      </c>
      <c r="AJ110" s="4" t="s">
        <v>251</v>
      </c>
      <c r="AK110" s="4" t="s">
        <v>252</v>
      </c>
      <c r="BA110" s="4" t="s">
        <v>254</v>
      </c>
      <c r="BB110" s="4" t="s">
        <v>241</v>
      </c>
      <c r="BC110" s="4" t="s">
        <v>255</v>
      </c>
      <c r="BD110" s="4" t="s">
        <v>241</v>
      </c>
      <c r="BE110" s="4" t="s">
        <v>257</v>
      </c>
      <c r="BF110" s="4" t="s">
        <v>241</v>
      </c>
      <c r="BH110" s="4" t="s">
        <v>258</v>
      </c>
      <c r="BJ110" s="4" t="s">
        <v>367</v>
      </c>
      <c r="BK110" s="5" t="s">
        <v>249</v>
      </c>
      <c r="BL110" s="4" t="s">
        <v>261</v>
      </c>
      <c r="BM110" s="4" t="s">
        <v>262</v>
      </c>
      <c r="BN110" s="4" t="s">
        <v>241</v>
      </c>
      <c r="BO110" s="6">
        <f>0</f>
        <v>0</v>
      </c>
      <c r="BP110" s="6">
        <f>0</f>
        <v>0</v>
      </c>
      <c r="BQ110" s="4" t="s">
        <v>263</v>
      </c>
      <c r="BR110" s="4" t="s">
        <v>264</v>
      </c>
      <c r="CF110" s="4" t="s">
        <v>241</v>
      </c>
      <c r="CG110" s="4" t="s">
        <v>241</v>
      </c>
      <c r="CK110" s="4" t="s">
        <v>265</v>
      </c>
      <c r="CL110" s="4" t="s">
        <v>266</v>
      </c>
      <c r="CM110" s="4" t="s">
        <v>241</v>
      </c>
      <c r="CO110" s="4" t="s">
        <v>267</v>
      </c>
      <c r="CP110" s="5" t="s">
        <v>268</v>
      </c>
      <c r="CQ110" s="4" t="s">
        <v>269</v>
      </c>
      <c r="CR110" s="4" t="s">
        <v>270</v>
      </c>
      <c r="CS110" s="4" t="s">
        <v>241</v>
      </c>
      <c r="CT110" s="4" t="s">
        <v>241</v>
      </c>
      <c r="CU110" s="4">
        <v>0</v>
      </c>
      <c r="CV110" s="4" t="s">
        <v>271</v>
      </c>
      <c r="CW110" s="4" t="s">
        <v>272</v>
      </c>
      <c r="CX110" s="4" t="s">
        <v>273</v>
      </c>
      <c r="CZ110" s="6">
        <f>595200</f>
        <v>595200</v>
      </c>
      <c r="DA110" s="6">
        <f>0</f>
        <v>0</v>
      </c>
      <c r="DC110" s="4" t="s">
        <v>241</v>
      </c>
      <c r="DD110" s="4" t="s">
        <v>241</v>
      </c>
      <c r="DF110" s="4" t="s">
        <v>241</v>
      </c>
      <c r="DI110" s="4" t="s">
        <v>241</v>
      </c>
      <c r="DJ110" s="4" t="s">
        <v>241</v>
      </c>
      <c r="DK110" s="4" t="s">
        <v>241</v>
      </c>
      <c r="DL110" s="4" t="s">
        <v>241</v>
      </c>
      <c r="DM110" s="4" t="s">
        <v>277</v>
      </c>
      <c r="DN110" s="4" t="s">
        <v>278</v>
      </c>
      <c r="DO110" s="6">
        <f>9.92</f>
        <v>9.92</v>
      </c>
      <c r="DP110" s="4" t="s">
        <v>241</v>
      </c>
      <c r="DQ110" s="4" t="s">
        <v>241</v>
      </c>
      <c r="DR110" s="4" t="s">
        <v>241</v>
      </c>
      <c r="DS110" s="4" t="s">
        <v>241</v>
      </c>
      <c r="DV110" s="4" t="s">
        <v>3373</v>
      </c>
      <c r="DW110" s="4" t="s">
        <v>277</v>
      </c>
      <c r="HO110" s="4" t="s">
        <v>277</v>
      </c>
      <c r="HR110" s="4" t="s">
        <v>278</v>
      </c>
      <c r="HS110" s="4" t="s">
        <v>278</v>
      </c>
    </row>
    <row r="111" spans="1:240" x14ac:dyDescent="0.4">
      <c r="A111" s="4">
        <v>2</v>
      </c>
      <c r="B111" s="4" t="s">
        <v>239</v>
      </c>
      <c r="C111" s="4">
        <v>113</v>
      </c>
      <c r="D111" s="4">
        <v>1</v>
      </c>
      <c r="E111" s="4">
        <v>1</v>
      </c>
      <c r="F111" s="4" t="s">
        <v>240</v>
      </c>
      <c r="G111" s="4" t="s">
        <v>241</v>
      </c>
      <c r="H111" s="4" t="s">
        <v>241</v>
      </c>
      <c r="I111" s="4" t="s">
        <v>3375</v>
      </c>
      <c r="J111" s="4" t="s">
        <v>247</v>
      </c>
      <c r="K111" s="4" t="s">
        <v>256</v>
      </c>
      <c r="L111" s="4" t="s">
        <v>250</v>
      </c>
      <c r="M111" s="5" t="s">
        <v>3376</v>
      </c>
      <c r="N111" s="4" t="s">
        <v>3374</v>
      </c>
      <c r="O111" s="6">
        <f>33.06</f>
        <v>33.06</v>
      </c>
      <c r="P111" s="4" t="s">
        <v>276</v>
      </c>
      <c r="Q111" s="6">
        <f>1</f>
        <v>1</v>
      </c>
      <c r="R111" s="6">
        <f>1983600</f>
        <v>1983600</v>
      </c>
      <c r="S111" s="5" t="s">
        <v>248</v>
      </c>
      <c r="T111" s="4" t="s">
        <v>274</v>
      </c>
      <c r="U111" s="4" t="s">
        <v>275</v>
      </c>
      <c r="W111" s="6">
        <f>1983599</f>
        <v>1983599</v>
      </c>
      <c r="X111" s="4" t="s">
        <v>243</v>
      </c>
      <c r="Y111" s="4" t="s">
        <v>244</v>
      </c>
      <c r="Z111" s="4" t="s">
        <v>246</v>
      </c>
      <c r="AA111" s="4" t="s">
        <v>241</v>
      </c>
      <c r="AD111" s="4" t="s">
        <v>241</v>
      </c>
      <c r="AF111" s="5" t="s">
        <v>241</v>
      </c>
      <c r="AI111" s="5" t="s">
        <v>249</v>
      </c>
      <c r="AJ111" s="4" t="s">
        <v>251</v>
      </c>
      <c r="AK111" s="4" t="s">
        <v>252</v>
      </c>
      <c r="BA111" s="4" t="s">
        <v>254</v>
      </c>
      <c r="BB111" s="4" t="s">
        <v>241</v>
      </c>
      <c r="BC111" s="4" t="s">
        <v>255</v>
      </c>
      <c r="BD111" s="4" t="s">
        <v>241</v>
      </c>
      <c r="BE111" s="4" t="s">
        <v>257</v>
      </c>
      <c r="BF111" s="4" t="s">
        <v>241</v>
      </c>
      <c r="BH111" s="4" t="s">
        <v>258</v>
      </c>
      <c r="BJ111" s="4" t="s">
        <v>374</v>
      </c>
      <c r="BK111" s="5" t="s">
        <v>375</v>
      </c>
      <c r="BL111" s="4" t="s">
        <v>261</v>
      </c>
      <c r="BM111" s="4" t="s">
        <v>262</v>
      </c>
      <c r="BN111" s="4" t="s">
        <v>241</v>
      </c>
      <c r="BO111" s="6">
        <f>0</f>
        <v>0</v>
      </c>
      <c r="BP111" s="6">
        <f>0</f>
        <v>0</v>
      </c>
      <c r="BQ111" s="4" t="s">
        <v>263</v>
      </c>
      <c r="BR111" s="4" t="s">
        <v>264</v>
      </c>
      <c r="CF111" s="4" t="s">
        <v>241</v>
      </c>
      <c r="CG111" s="4" t="s">
        <v>241</v>
      </c>
      <c r="CK111" s="4" t="s">
        <v>265</v>
      </c>
      <c r="CL111" s="4" t="s">
        <v>266</v>
      </c>
      <c r="CM111" s="4" t="s">
        <v>241</v>
      </c>
      <c r="CO111" s="4" t="s">
        <v>267</v>
      </c>
      <c r="CP111" s="5" t="s">
        <v>268</v>
      </c>
      <c r="CQ111" s="4" t="s">
        <v>269</v>
      </c>
      <c r="CR111" s="4" t="s">
        <v>270</v>
      </c>
      <c r="CS111" s="4" t="s">
        <v>241</v>
      </c>
      <c r="CT111" s="4" t="s">
        <v>241</v>
      </c>
      <c r="CU111" s="4">
        <v>0</v>
      </c>
      <c r="CV111" s="4" t="s">
        <v>271</v>
      </c>
      <c r="CW111" s="4" t="s">
        <v>272</v>
      </c>
      <c r="CX111" s="4" t="s">
        <v>273</v>
      </c>
      <c r="CZ111" s="6">
        <f>1983600</f>
        <v>1983600</v>
      </c>
      <c r="DA111" s="6">
        <f>0</f>
        <v>0</v>
      </c>
      <c r="DC111" s="4" t="s">
        <v>241</v>
      </c>
      <c r="DD111" s="4" t="s">
        <v>241</v>
      </c>
      <c r="DF111" s="4" t="s">
        <v>241</v>
      </c>
      <c r="DI111" s="4" t="s">
        <v>241</v>
      </c>
      <c r="DJ111" s="4" t="s">
        <v>241</v>
      </c>
      <c r="DK111" s="4" t="s">
        <v>241</v>
      </c>
      <c r="DL111" s="4" t="s">
        <v>241</v>
      </c>
      <c r="DM111" s="4" t="s">
        <v>277</v>
      </c>
      <c r="DN111" s="4" t="s">
        <v>278</v>
      </c>
      <c r="DO111" s="6">
        <f>33.06</f>
        <v>33.06</v>
      </c>
      <c r="DP111" s="4" t="s">
        <v>241</v>
      </c>
      <c r="DQ111" s="4" t="s">
        <v>241</v>
      </c>
      <c r="DR111" s="4" t="s">
        <v>241</v>
      </c>
      <c r="DS111" s="4" t="s">
        <v>241</v>
      </c>
      <c r="DV111" s="4" t="s">
        <v>3377</v>
      </c>
      <c r="DW111" s="4" t="s">
        <v>277</v>
      </c>
      <c r="HO111" s="4" t="s">
        <v>277</v>
      </c>
      <c r="HR111" s="4" t="s">
        <v>278</v>
      </c>
      <c r="HS111" s="4" t="s">
        <v>278</v>
      </c>
    </row>
    <row r="112" spans="1:240" x14ac:dyDescent="0.4">
      <c r="A112" s="4">
        <v>2</v>
      </c>
      <c r="B112" s="4" t="s">
        <v>239</v>
      </c>
      <c r="C112" s="4">
        <v>114</v>
      </c>
      <c r="D112" s="4">
        <v>1</v>
      </c>
      <c r="E112" s="4">
        <v>1</v>
      </c>
      <c r="F112" s="4" t="s">
        <v>240</v>
      </c>
      <c r="G112" s="4" t="s">
        <v>241</v>
      </c>
      <c r="H112" s="4" t="s">
        <v>241</v>
      </c>
      <c r="I112" s="4" t="s">
        <v>3378</v>
      </c>
      <c r="J112" s="4" t="s">
        <v>247</v>
      </c>
      <c r="K112" s="4" t="s">
        <v>256</v>
      </c>
      <c r="L112" s="4" t="s">
        <v>250</v>
      </c>
      <c r="M112" s="5" t="s">
        <v>3379</v>
      </c>
      <c r="N112" s="4" t="s">
        <v>242</v>
      </c>
      <c r="O112" s="6">
        <f>9.92</f>
        <v>9.92</v>
      </c>
      <c r="P112" s="4" t="s">
        <v>276</v>
      </c>
      <c r="Q112" s="6">
        <f>1</f>
        <v>1</v>
      </c>
      <c r="R112" s="6">
        <f>595200</f>
        <v>595200</v>
      </c>
      <c r="S112" s="5" t="s">
        <v>248</v>
      </c>
      <c r="T112" s="4" t="s">
        <v>274</v>
      </c>
      <c r="U112" s="4" t="s">
        <v>275</v>
      </c>
      <c r="W112" s="6">
        <f>595199</f>
        <v>595199</v>
      </c>
      <c r="X112" s="4" t="s">
        <v>243</v>
      </c>
      <c r="Y112" s="4" t="s">
        <v>244</v>
      </c>
      <c r="Z112" s="4" t="s">
        <v>246</v>
      </c>
      <c r="AA112" s="4" t="s">
        <v>241</v>
      </c>
      <c r="AD112" s="4" t="s">
        <v>241</v>
      </c>
      <c r="AF112" s="5" t="s">
        <v>241</v>
      </c>
      <c r="AI112" s="5" t="s">
        <v>249</v>
      </c>
      <c r="AJ112" s="4" t="s">
        <v>251</v>
      </c>
      <c r="AK112" s="4" t="s">
        <v>252</v>
      </c>
      <c r="BA112" s="4" t="s">
        <v>254</v>
      </c>
      <c r="BB112" s="4" t="s">
        <v>241</v>
      </c>
      <c r="BC112" s="4" t="s">
        <v>255</v>
      </c>
      <c r="BD112" s="4" t="s">
        <v>241</v>
      </c>
      <c r="BE112" s="4" t="s">
        <v>257</v>
      </c>
      <c r="BF112" s="4" t="s">
        <v>241</v>
      </c>
      <c r="BH112" s="4" t="s">
        <v>258</v>
      </c>
      <c r="BJ112" s="4" t="s">
        <v>377</v>
      </c>
      <c r="BK112" s="5" t="s">
        <v>378</v>
      </c>
      <c r="BL112" s="4" t="s">
        <v>261</v>
      </c>
      <c r="BM112" s="4" t="s">
        <v>262</v>
      </c>
      <c r="BN112" s="4" t="s">
        <v>241</v>
      </c>
      <c r="BO112" s="6">
        <f>0</f>
        <v>0</v>
      </c>
      <c r="BP112" s="6">
        <f>0</f>
        <v>0</v>
      </c>
      <c r="BQ112" s="4" t="s">
        <v>263</v>
      </c>
      <c r="BR112" s="4" t="s">
        <v>264</v>
      </c>
      <c r="CF112" s="4" t="s">
        <v>241</v>
      </c>
      <c r="CG112" s="4" t="s">
        <v>241</v>
      </c>
      <c r="CK112" s="4" t="s">
        <v>265</v>
      </c>
      <c r="CL112" s="4" t="s">
        <v>266</v>
      </c>
      <c r="CM112" s="4" t="s">
        <v>241</v>
      </c>
      <c r="CO112" s="4" t="s">
        <v>267</v>
      </c>
      <c r="CP112" s="5" t="s">
        <v>268</v>
      </c>
      <c r="CQ112" s="4" t="s">
        <v>269</v>
      </c>
      <c r="CR112" s="4" t="s">
        <v>270</v>
      </c>
      <c r="CS112" s="4" t="s">
        <v>241</v>
      </c>
      <c r="CT112" s="4" t="s">
        <v>241</v>
      </c>
      <c r="CU112" s="4">
        <v>0</v>
      </c>
      <c r="CV112" s="4" t="s">
        <v>271</v>
      </c>
      <c r="CW112" s="4" t="s">
        <v>272</v>
      </c>
      <c r="CX112" s="4" t="s">
        <v>273</v>
      </c>
      <c r="CZ112" s="6">
        <f>595200</f>
        <v>595200</v>
      </c>
      <c r="DA112" s="6">
        <f>0</f>
        <v>0</v>
      </c>
      <c r="DC112" s="4" t="s">
        <v>241</v>
      </c>
      <c r="DD112" s="4" t="s">
        <v>241</v>
      </c>
      <c r="DF112" s="4" t="s">
        <v>241</v>
      </c>
      <c r="DI112" s="4" t="s">
        <v>241</v>
      </c>
      <c r="DJ112" s="4" t="s">
        <v>241</v>
      </c>
      <c r="DK112" s="4" t="s">
        <v>241</v>
      </c>
      <c r="DL112" s="4" t="s">
        <v>241</v>
      </c>
      <c r="DM112" s="4" t="s">
        <v>277</v>
      </c>
      <c r="DN112" s="4" t="s">
        <v>278</v>
      </c>
      <c r="DO112" s="6">
        <f>9.92</f>
        <v>9.92</v>
      </c>
      <c r="DP112" s="4" t="s">
        <v>241</v>
      </c>
      <c r="DQ112" s="4" t="s">
        <v>241</v>
      </c>
      <c r="DR112" s="4" t="s">
        <v>241</v>
      </c>
      <c r="DS112" s="4" t="s">
        <v>241</v>
      </c>
      <c r="DV112" s="4" t="s">
        <v>3380</v>
      </c>
      <c r="DW112" s="4" t="s">
        <v>277</v>
      </c>
      <c r="HO112" s="4" t="s">
        <v>277</v>
      </c>
      <c r="HR112" s="4" t="s">
        <v>278</v>
      </c>
      <c r="HS112" s="4" t="s">
        <v>278</v>
      </c>
    </row>
    <row r="113" spans="1:240" x14ac:dyDescent="0.4">
      <c r="A113" s="4">
        <v>2</v>
      </c>
      <c r="B113" s="4" t="s">
        <v>239</v>
      </c>
      <c r="C113" s="4">
        <v>115</v>
      </c>
      <c r="D113" s="4">
        <v>1</v>
      </c>
      <c r="E113" s="4">
        <v>1</v>
      </c>
      <c r="F113" s="4" t="s">
        <v>240</v>
      </c>
      <c r="G113" s="4" t="s">
        <v>241</v>
      </c>
      <c r="H113" s="4" t="s">
        <v>241</v>
      </c>
      <c r="I113" s="4" t="s">
        <v>3382</v>
      </c>
      <c r="J113" s="4" t="s">
        <v>247</v>
      </c>
      <c r="K113" s="4" t="s">
        <v>256</v>
      </c>
      <c r="L113" s="4" t="s">
        <v>250</v>
      </c>
      <c r="M113" s="5" t="s">
        <v>3383</v>
      </c>
      <c r="N113" s="4" t="s">
        <v>3381</v>
      </c>
      <c r="O113" s="6">
        <f>49.58</f>
        <v>49.58</v>
      </c>
      <c r="P113" s="4" t="s">
        <v>276</v>
      </c>
      <c r="Q113" s="6">
        <f>1</f>
        <v>1</v>
      </c>
      <c r="R113" s="6">
        <f>2974800</f>
        <v>2974800</v>
      </c>
      <c r="S113" s="5" t="s">
        <v>248</v>
      </c>
      <c r="T113" s="4" t="s">
        <v>348</v>
      </c>
      <c r="U113" s="4" t="s">
        <v>275</v>
      </c>
      <c r="W113" s="6">
        <f>2974799</f>
        <v>2974799</v>
      </c>
      <c r="X113" s="4" t="s">
        <v>243</v>
      </c>
      <c r="Y113" s="4" t="s">
        <v>244</v>
      </c>
      <c r="Z113" s="4" t="s">
        <v>246</v>
      </c>
      <c r="AA113" s="4" t="s">
        <v>241</v>
      </c>
      <c r="AD113" s="4" t="s">
        <v>241</v>
      </c>
      <c r="AF113" s="5" t="s">
        <v>241</v>
      </c>
      <c r="AI113" s="5" t="s">
        <v>249</v>
      </c>
      <c r="AJ113" s="4" t="s">
        <v>251</v>
      </c>
      <c r="AK113" s="4" t="s">
        <v>252</v>
      </c>
      <c r="BA113" s="4" t="s">
        <v>254</v>
      </c>
      <c r="BB113" s="4" t="s">
        <v>241</v>
      </c>
      <c r="BC113" s="4" t="s">
        <v>255</v>
      </c>
      <c r="BD113" s="4" t="s">
        <v>241</v>
      </c>
      <c r="BE113" s="4" t="s">
        <v>257</v>
      </c>
      <c r="BF113" s="4" t="s">
        <v>241</v>
      </c>
      <c r="BH113" s="4" t="s">
        <v>258</v>
      </c>
      <c r="BJ113" s="4" t="s">
        <v>259</v>
      </c>
      <c r="BK113" s="5" t="s">
        <v>260</v>
      </c>
      <c r="BL113" s="4" t="s">
        <v>261</v>
      </c>
      <c r="BM113" s="4" t="s">
        <v>262</v>
      </c>
      <c r="BN113" s="4" t="s">
        <v>241</v>
      </c>
      <c r="BO113" s="6">
        <f>0</f>
        <v>0</v>
      </c>
      <c r="BP113" s="6">
        <f>0</f>
        <v>0</v>
      </c>
      <c r="BQ113" s="4" t="s">
        <v>263</v>
      </c>
      <c r="BR113" s="4" t="s">
        <v>264</v>
      </c>
      <c r="CF113" s="4" t="s">
        <v>241</v>
      </c>
      <c r="CG113" s="4" t="s">
        <v>241</v>
      </c>
      <c r="CK113" s="4" t="s">
        <v>265</v>
      </c>
      <c r="CL113" s="4" t="s">
        <v>266</v>
      </c>
      <c r="CM113" s="4" t="s">
        <v>241</v>
      </c>
      <c r="CO113" s="4" t="s">
        <v>267</v>
      </c>
      <c r="CP113" s="5" t="s">
        <v>268</v>
      </c>
      <c r="CQ113" s="4" t="s">
        <v>269</v>
      </c>
      <c r="CR113" s="4" t="s">
        <v>270</v>
      </c>
      <c r="CS113" s="4" t="s">
        <v>241</v>
      </c>
      <c r="CT113" s="4" t="s">
        <v>241</v>
      </c>
      <c r="CU113" s="4">
        <v>0</v>
      </c>
      <c r="CV113" s="4" t="s">
        <v>271</v>
      </c>
      <c r="CW113" s="4" t="s">
        <v>272</v>
      </c>
      <c r="CX113" s="4" t="s">
        <v>347</v>
      </c>
      <c r="CZ113" s="6">
        <f>2974800</f>
        <v>2974800</v>
      </c>
      <c r="DA113" s="6">
        <f>0</f>
        <v>0</v>
      </c>
      <c r="DC113" s="4" t="s">
        <v>241</v>
      </c>
      <c r="DD113" s="4" t="s">
        <v>241</v>
      </c>
      <c r="DF113" s="4" t="s">
        <v>241</v>
      </c>
      <c r="DI113" s="4" t="s">
        <v>241</v>
      </c>
      <c r="DJ113" s="4" t="s">
        <v>241</v>
      </c>
      <c r="DK113" s="4" t="s">
        <v>241</v>
      </c>
      <c r="DL113" s="4" t="s">
        <v>241</v>
      </c>
      <c r="DM113" s="4" t="s">
        <v>323</v>
      </c>
      <c r="DN113" s="4" t="s">
        <v>278</v>
      </c>
      <c r="DO113" s="6">
        <f>49.58</f>
        <v>49.58</v>
      </c>
      <c r="DP113" s="4" t="s">
        <v>241</v>
      </c>
      <c r="DQ113" s="4" t="s">
        <v>241</v>
      </c>
      <c r="DR113" s="4" t="s">
        <v>241</v>
      </c>
      <c r="DS113" s="4" t="s">
        <v>241</v>
      </c>
      <c r="DV113" s="4" t="s">
        <v>3384</v>
      </c>
      <c r="DW113" s="4" t="s">
        <v>277</v>
      </c>
      <c r="HO113" s="4" t="s">
        <v>277</v>
      </c>
      <c r="HR113" s="4" t="s">
        <v>278</v>
      </c>
      <c r="HS113" s="4" t="s">
        <v>278</v>
      </c>
    </row>
    <row r="114" spans="1:240" x14ac:dyDescent="0.4">
      <c r="A114" s="4">
        <v>2</v>
      </c>
      <c r="B114" s="4" t="s">
        <v>239</v>
      </c>
      <c r="C114" s="4">
        <v>117</v>
      </c>
      <c r="D114" s="4">
        <v>1</v>
      </c>
      <c r="E114" s="4">
        <v>3</v>
      </c>
      <c r="F114" s="4" t="s">
        <v>326</v>
      </c>
      <c r="G114" s="4" t="s">
        <v>241</v>
      </c>
      <c r="H114" s="4" t="s">
        <v>241</v>
      </c>
      <c r="I114" s="4" t="s">
        <v>3094</v>
      </c>
      <c r="J114" s="4" t="s">
        <v>247</v>
      </c>
      <c r="K114" s="4" t="s">
        <v>256</v>
      </c>
      <c r="L114" s="4" t="s">
        <v>241</v>
      </c>
      <c r="M114" s="5" t="s">
        <v>3095</v>
      </c>
      <c r="N114" s="4" t="s">
        <v>242</v>
      </c>
      <c r="O114" s="6">
        <f>19.87</f>
        <v>19.87</v>
      </c>
      <c r="P114" s="4" t="s">
        <v>276</v>
      </c>
      <c r="Q114" s="6">
        <f>5026337</f>
        <v>5026337</v>
      </c>
      <c r="R114" s="6">
        <f>5387285</f>
        <v>5387285</v>
      </c>
      <c r="S114" s="5" t="s">
        <v>2595</v>
      </c>
      <c r="T114" s="4" t="s">
        <v>348</v>
      </c>
      <c r="U114" s="4" t="s">
        <v>278</v>
      </c>
      <c r="V114" s="6">
        <f>5387284</f>
        <v>5387284</v>
      </c>
      <c r="W114" s="6">
        <f>360948</f>
        <v>360948</v>
      </c>
      <c r="X114" s="4" t="s">
        <v>243</v>
      </c>
      <c r="Y114" s="4" t="s">
        <v>244</v>
      </c>
      <c r="Z114" s="4" t="s">
        <v>241</v>
      </c>
      <c r="AA114" s="4" t="s">
        <v>241</v>
      </c>
      <c r="AD114" s="4" t="s">
        <v>241</v>
      </c>
      <c r="AE114" s="5" t="s">
        <v>241</v>
      </c>
      <c r="AF114" s="5" t="s">
        <v>241</v>
      </c>
      <c r="AH114" s="5" t="s">
        <v>241</v>
      </c>
      <c r="AI114" s="5" t="s">
        <v>249</v>
      </c>
      <c r="AJ114" s="4" t="s">
        <v>251</v>
      </c>
      <c r="AK114" s="4" t="s">
        <v>252</v>
      </c>
      <c r="AQ114" s="4" t="s">
        <v>241</v>
      </c>
      <c r="AR114" s="4" t="s">
        <v>241</v>
      </c>
      <c r="AS114" s="4" t="s">
        <v>241</v>
      </c>
      <c r="AT114" s="5" t="s">
        <v>241</v>
      </c>
      <c r="AU114" s="5" t="s">
        <v>241</v>
      </c>
      <c r="AV114" s="5" t="s">
        <v>241</v>
      </c>
      <c r="AY114" s="4" t="s">
        <v>286</v>
      </c>
      <c r="AZ114" s="4" t="s">
        <v>286</v>
      </c>
      <c r="BA114" s="4" t="s">
        <v>254</v>
      </c>
      <c r="BB114" s="4" t="s">
        <v>287</v>
      </c>
      <c r="BC114" s="4" t="s">
        <v>255</v>
      </c>
      <c r="BD114" s="4" t="s">
        <v>241</v>
      </c>
      <c r="BE114" s="4" t="s">
        <v>257</v>
      </c>
      <c r="BF114" s="4" t="s">
        <v>241</v>
      </c>
      <c r="BJ114" s="4" t="s">
        <v>288</v>
      </c>
      <c r="BK114" s="5" t="s">
        <v>289</v>
      </c>
      <c r="BL114" s="4" t="s">
        <v>290</v>
      </c>
      <c r="BM114" s="4" t="s">
        <v>290</v>
      </c>
      <c r="BN114" s="4" t="s">
        <v>241</v>
      </c>
      <c r="BO114" s="6">
        <f>0</f>
        <v>0</v>
      </c>
      <c r="BP114" s="6">
        <f>-360948</f>
        <v>-360948</v>
      </c>
      <c r="BQ114" s="4" t="s">
        <v>263</v>
      </c>
      <c r="BR114" s="4" t="s">
        <v>264</v>
      </c>
      <c r="BS114" s="4" t="s">
        <v>241</v>
      </c>
      <c r="BT114" s="4" t="s">
        <v>241</v>
      </c>
      <c r="BU114" s="4" t="s">
        <v>241</v>
      </c>
      <c r="BV114" s="4" t="s">
        <v>241</v>
      </c>
      <c r="CE114" s="4" t="s">
        <v>264</v>
      </c>
      <c r="CF114" s="4" t="s">
        <v>241</v>
      </c>
      <c r="CG114" s="4" t="s">
        <v>241</v>
      </c>
      <c r="CK114" s="4" t="s">
        <v>291</v>
      </c>
      <c r="CL114" s="4" t="s">
        <v>266</v>
      </c>
      <c r="CM114" s="4" t="s">
        <v>241</v>
      </c>
      <c r="CO114" s="4" t="s">
        <v>426</v>
      </c>
      <c r="CP114" s="5" t="s">
        <v>268</v>
      </c>
      <c r="CQ114" s="4" t="s">
        <v>269</v>
      </c>
      <c r="CR114" s="4" t="s">
        <v>270</v>
      </c>
      <c r="CS114" s="4" t="s">
        <v>293</v>
      </c>
      <c r="CT114" s="4" t="s">
        <v>241</v>
      </c>
      <c r="CU114" s="4">
        <v>6.7000000000000004E-2</v>
      </c>
      <c r="CV114" s="4" t="s">
        <v>271</v>
      </c>
      <c r="CW114" s="4" t="s">
        <v>272</v>
      </c>
      <c r="CX114" s="4" t="s">
        <v>347</v>
      </c>
      <c r="CY114" s="6">
        <f>0</f>
        <v>0</v>
      </c>
      <c r="CZ114" s="6">
        <f>5387285</f>
        <v>5387285</v>
      </c>
      <c r="DA114" s="6">
        <f>1</f>
        <v>1</v>
      </c>
      <c r="DC114" s="4" t="s">
        <v>241</v>
      </c>
      <c r="DD114" s="4" t="s">
        <v>241</v>
      </c>
      <c r="DF114" s="4" t="s">
        <v>241</v>
      </c>
      <c r="DG114" s="6">
        <f>0</f>
        <v>0</v>
      </c>
      <c r="DI114" s="4" t="s">
        <v>241</v>
      </c>
      <c r="DJ114" s="4" t="s">
        <v>241</v>
      </c>
      <c r="DK114" s="4" t="s">
        <v>241</v>
      </c>
      <c r="DL114" s="4" t="s">
        <v>241</v>
      </c>
      <c r="DM114" s="4" t="s">
        <v>278</v>
      </c>
      <c r="DN114" s="4" t="s">
        <v>278</v>
      </c>
      <c r="DO114" s="6">
        <f>19.87</f>
        <v>19.87</v>
      </c>
      <c r="DP114" s="4" t="s">
        <v>241</v>
      </c>
      <c r="DQ114" s="4" t="s">
        <v>241</v>
      </c>
      <c r="DR114" s="4" t="s">
        <v>241</v>
      </c>
      <c r="DS114" s="4" t="s">
        <v>241</v>
      </c>
      <c r="DV114" s="4" t="s">
        <v>3096</v>
      </c>
      <c r="DW114" s="4" t="s">
        <v>323</v>
      </c>
      <c r="GN114" s="4" t="s">
        <v>3097</v>
      </c>
      <c r="HO114" s="4" t="s">
        <v>323</v>
      </c>
      <c r="HR114" s="4" t="s">
        <v>278</v>
      </c>
      <c r="HS114" s="4" t="s">
        <v>278</v>
      </c>
      <c r="HT114" s="4" t="s">
        <v>241</v>
      </c>
      <c r="HU114" s="4" t="s">
        <v>241</v>
      </c>
      <c r="HV114" s="4" t="s">
        <v>241</v>
      </c>
      <c r="HW114" s="4" t="s">
        <v>241</v>
      </c>
      <c r="HX114" s="4" t="s">
        <v>241</v>
      </c>
      <c r="HY114" s="4" t="s">
        <v>241</v>
      </c>
      <c r="HZ114" s="4" t="s">
        <v>241</v>
      </c>
      <c r="IA114" s="4" t="s">
        <v>241</v>
      </c>
      <c r="IB114" s="4" t="s">
        <v>241</v>
      </c>
      <c r="IC114" s="4" t="s">
        <v>241</v>
      </c>
      <c r="ID114" s="4" t="s">
        <v>241</v>
      </c>
      <c r="IE114" s="4" t="s">
        <v>241</v>
      </c>
      <c r="IF114" s="4" t="s">
        <v>241</v>
      </c>
    </row>
    <row r="115" spans="1:240" x14ac:dyDescent="0.4">
      <c r="A115" s="4">
        <v>2</v>
      </c>
      <c r="B115" s="4" t="s">
        <v>239</v>
      </c>
      <c r="C115" s="4">
        <v>118</v>
      </c>
      <c r="D115" s="4">
        <v>1</v>
      </c>
      <c r="E115" s="4">
        <v>1</v>
      </c>
      <c r="F115" s="4" t="s">
        <v>240</v>
      </c>
      <c r="G115" s="4" t="s">
        <v>241</v>
      </c>
      <c r="H115" s="4" t="s">
        <v>241</v>
      </c>
      <c r="I115" s="4" t="s">
        <v>3385</v>
      </c>
      <c r="J115" s="4" t="s">
        <v>247</v>
      </c>
      <c r="K115" s="4" t="s">
        <v>256</v>
      </c>
      <c r="L115" s="4" t="s">
        <v>250</v>
      </c>
      <c r="M115" s="5" t="s">
        <v>3386</v>
      </c>
      <c r="N115" s="4" t="s">
        <v>3381</v>
      </c>
      <c r="O115" s="6">
        <f>29.74</f>
        <v>29.74</v>
      </c>
      <c r="P115" s="4" t="s">
        <v>276</v>
      </c>
      <c r="Q115" s="6">
        <f>1</f>
        <v>1</v>
      </c>
      <c r="R115" s="6">
        <f>1784400</f>
        <v>1784400</v>
      </c>
      <c r="S115" s="5" t="s">
        <v>248</v>
      </c>
      <c r="T115" s="4" t="s">
        <v>348</v>
      </c>
      <c r="U115" s="4" t="s">
        <v>275</v>
      </c>
      <c r="W115" s="6">
        <f>1784399</f>
        <v>1784399</v>
      </c>
      <c r="X115" s="4" t="s">
        <v>243</v>
      </c>
      <c r="Y115" s="4" t="s">
        <v>244</v>
      </c>
      <c r="Z115" s="4" t="s">
        <v>246</v>
      </c>
      <c r="AA115" s="4" t="s">
        <v>241</v>
      </c>
      <c r="AD115" s="4" t="s">
        <v>241</v>
      </c>
      <c r="AF115" s="5" t="s">
        <v>241</v>
      </c>
      <c r="AI115" s="5" t="s">
        <v>249</v>
      </c>
      <c r="AJ115" s="4" t="s">
        <v>251</v>
      </c>
      <c r="AK115" s="4" t="s">
        <v>252</v>
      </c>
      <c r="BA115" s="4" t="s">
        <v>254</v>
      </c>
      <c r="BB115" s="4" t="s">
        <v>241</v>
      </c>
      <c r="BC115" s="4" t="s">
        <v>255</v>
      </c>
      <c r="BD115" s="4" t="s">
        <v>241</v>
      </c>
      <c r="BE115" s="4" t="s">
        <v>257</v>
      </c>
      <c r="BF115" s="4" t="s">
        <v>241</v>
      </c>
      <c r="BH115" s="4" t="s">
        <v>258</v>
      </c>
      <c r="BJ115" s="4" t="s">
        <v>374</v>
      </c>
      <c r="BK115" s="5" t="s">
        <v>375</v>
      </c>
      <c r="BL115" s="4" t="s">
        <v>261</v>
      </c>
      <c r="BM115" s="4" t="s">
        <v>262</v>
      </c>
      <c r="BN115" s="4" t="s">
        <v>241</v>
      </c>
      <c r="BO115" s="6">
        <f>0</f>
        <v>0</v>
      </c>
      <c r="BP115" s="6">
        <f>0</f>
        <v>0</v>
      </c>
      <c r="BQ115" s="4" t="s">
        <v>263</v>
      </c>
      <c r="BR115" s="4" t="s">
        <v>264</v>
      </c>
      <c r="CF115" s="4" t="s">
        <v>241</v>
      </c>
      <c r="CG115" s="4" t="s">
        <v>241</v>
      </c>
      <c r="CK115" s="4" t="s">
        <v>265</v>
      </c>
      <c r="CL115" s="4" t="s">
        <v>266</v>
      </c>
      <c r="CM115" s="4" t="s">
        <v>241</v>
      </c>
      <c r="CO115" s="4" t="s">
        <v>267</v>
      </c>
      <c r="CP115" s="5" t="s">
        <v>268</v>
      </c>
      <c r="CQ115" s="4" t="s">
        <v>269</v>
      </c>
      <c r="CR115" s="4" t="s">
        <v>270</v>
      </c>
      <c r="CS115" s="4" t="s">
        <v>241</v>
      </c>
      <c r="CT115" s="4" t="s">
        <v>241</v>
      </c>
      <c r="CU115" s="4">
        <v>0</v>
      </c>
      <c r="CV115" s="4" t="s">
        <v>271</v>
      </c>
      <c r="CW115" s="4" t="s">
        <v>272</v>
      </c>
      <c r="CX115" s="4" t="s">
        <v>347</v>
      </c>
      <c r="CZ115" s="6">
        <f>1784400</f>
        <v>1784400</v>
      </c>
      <c r="DA115" s="6">
        <f>0</f>
        <v>0</v>
      </c>
      <c r="DC115" s="4" t="s">
        <v>241</v>
      </c>
      <c r="DD115" s="4" t="s">
        <v>241</v>
      </c>
      <c r="DF115" s="4" t="s">
        <v>241</v>
      </c>
      <c r="DI115" s="4" t="s">
        <v>241</v>
      </c>
      <c r="DJ115" s="4" t="s">
        <v>241</v>
      </c>
      <c r="DK115" s="4" t="s">
        <v>241</v>
      </c>
      <c r="DL115" s="4" t="s">
        <v>241</v>
      </c>
      <c r="DM115" s="4" t="s">
        <v>277</v>
      </c>
      <c r="DN115" s="4" t="s">
        <v>278</v>
      </c>
      <c r="DO115" s="6">
        <f>29.74</f>
        <v>29.74</v>
      </c>
      <c r="DP115" s="4" t="s">
        <v>241</v>
      </c>
      <c r="DQ115" s="4" t="s">
        <v>241</v>
      </c>
      <c r="DR115" s="4" t="s">
        <v>241</v>
      </c>
      <c r="DS115" s="4" t="s">
        <v>241</v>
      </c>
      <c r="DV115" s="4" t="s">
        <v>3387</v>
      </c>
      <c r="DW115" s="4" t="s">
        <v>277</v>
      </c>
      <c r="HO115" s="4" t="s">
        <v>277</v>
      </c>
      <c r="HR115" s="4" t="s">
        <v>278</v>
      </c>
      <c r="HS115" s="4" t="s">
        <v>278</v>
      </c>
    </row>
    <row r="116" spans="1:240" x14ac:dyDescent="0.4">
      <c r="A116" s="4">
        <v>2</v>
      </c>
      <c r="B116" s="4" t="s">
        <v>239</v>
      </c>
      <c r="C116" s="4">
        <v>120</v>
      </c>
      <c r="D116" s="4">
        <v>1</v>
      </c>
      <c r="E116" s="4">
        <v>1</v>
      </c>
      <c r="F116" s="4" t="s">
        <v>240</v>
      </c>
      <c r="G116" s="4" t="s">
        <v>241</v>
      </c>
      <c r="H116" s="4" t="s">
        <v>241</v>
      </c>
      <c r="I116" s="4" t="s">
        <v>245</v>
      </c>
      <c r="J116" s="4" t="s">
        <v>247</v>
      </c>
      <c r="K116" s="4" t="s">
        <v>256</v>
      </c>
      <c r="L116" s="4" t="s">
        <v>250</v>
      </c>
      <c r="M116" s="5" t="s">
        <v>253</v>
      </c>
      <c r="N116" s="4" t="s">
        <v>242</v>
      </c>
      <c r="O116" s="6">
        <f>9.92</f>
        <v>9.92</v>
      </c>
      <c r="P116" s="4" t="s">
        <v>276</v>
      </c>
      <c r="Q116" s="6">
        <f>1</f>
        <v>1</v>
      </c>
      <c r="R116" s="6">
        <f>595200</f>
        <v>595200</v>
      </c>
      <c r="S116" s="5" t="s">
        <v>248</v>
      </c>
      <c r="T116" s="4" t="s">
        <v>274</v>
      </c>
      <c r="U116" s="4" t="s">
        <v>275</v>
      </c>
      <c r="W116" s="6">
        <f>595199</f>
        <v>595199</v>
      </c>
      <c r="X116" s="4" t="s">
        <v>243</v>
      </c>
      <c r="Y116" s="4" t="s">
        <v>244</v>
      </c>
      <c r="Z116" s="4" t="s">
        <v>246</v>
      </c>
      <c r="AA116" s="4" t="s">
        <v>241</v>
      </c>
      <c r="AD116" s="4" t="s">
        <v>241</v>
      </c>
      <c r="AF116" s="5" t="s">
        <v>241</v>
      </c>
      <c r="AI116" s="5" t="s">
        <v>249</v>
      </c>
      <c r="AJ116" s="4" t="s">
        <v>251</v>
      </c>
      <c r="AK116" s="4" t="s">
        <v>252</v>
      </c>
      <c r="BA116" s="4" t="s">
        <v>254</v>
      </c>
      <c r="BB116" s="4" t="s">
        <v>241</v>
      </c>
      <c r="BC116" s="4" t="s">
        <v>255</v>
      </c>
      <c r="BD116" s="4" t="s">
        <v>241</v>
      </c>
      <c r="BE116" s="4" t="s">
        <v>257</v>
      </c>
      <c r="BF116" s="4" t="s">
        <v>241</v>
      </c>
      <c r="BH116" s="4" t="s">
        <v>258</v>
      </c>
      <c r="BJ116" s="4" t="s">
        <v>259</v>
      </c>
      <c r="BK116" s="5" t="s">
        <v>260</v>
      </c>
      <c r="BL116" s="4" t="s">
        <v>261</v>
      </c>
      <c r="BM116" s="4" t="s">
        <v>262</v>
      </c>
      <c r="BN116" s="4" t="s">
        <v>241</v>
      </c>
      <c r="BO116" s="6">
        <f>0</f>
        <v>0</v>
      </c>
      <c r="BP116" s="6">
        <f>0</f>
        <v>0</v>
      </c>
      <c r="BQ116" s="4" t="s">
        <v>263</v>
      </c>
      <c r="BR116" s="4" t="s">
        <v>264</v>
      </c>
      <c r="CF116" s="4" t="s">
        <v>241</v>
      </c>
      <c r="CG116" s="4" t="s">
        <v>241</v>
      </c>
      <c r="CK116" s="4" t="s">
        <v>265</v>
      </c>
      <c r="CL116" s="4" t="s">
        <v>266</v>
      </c>
      <c r="CM116" s="4" t="s">
        <v>241</v>
      </c>
      <c r="CO116" s="4" t="s">
        <v>267</v>
      </c>
      <c r="CP116" s="5" t="s">
        <v>268</v>
      </c>
      <c r="CQ116" s="4" t="s">
        <v>269</v>
      </c>
      <c r="CR116" s="4" t="s">
        <v>270</v>
      </c>
      <c r="CS116" s="4" t="s">
        <v>241</v>
      </c>
      <c r="CT116" s="4" t="s">
        <v>241</v>
      </c>
      <c r="CU116" s="4">
        <v>0</v>
      </c>
      <c r="CV116" s="4" t="s">
        <v>271</v>
      </c>
      <c r="CW116" s="4" t="s">
        <v>272</v>
      </c>
      <c r="CX116" s="4" t="s">
        <v>273</v>
      </c>
      <c r="CZ116" s="6">
        <f>595200</f>
        <v>595200</v>
      </c>
      <c r="DA116" s="6">
        <f>0</f>
        <v>0</v>
      </c>
      <c r="DC116" s="4" t="s">
        <v>241</v>
      </c>
      <c r="DD116" s="4" t="s">
        <v>241</v>
      </c>
      <c r="DF116" s="4" t="s">
        <v>241</v>
      </c>
      <c r="DI116" s="4" t="s">
        <v>241</v>
      </c>
      <c r="DJ116" s="4" t="s">
        <v>241</v>
      </c>
      <c r="DK116" s="4" t="s">
        <v>241</v>
      </c>
      <c r="DL116" s="4" t="s">
        <v>241</v>
      </c>
      <c r="DM116" s="4" t="s">
        <v>277</v>
      </c>
      <c r="DN116" s="4" t="s">
        <v>278</v>
      </c>
      <c r="DO116" s="6">
        <f>9.92</f>
        <v>9.92</v>
      </c>
      <c r="DP116" s="4" t="s">
        <v>241</v>
      </c>
      <c r="DQ116" s="4" t="s">
        <v>241</v>
      </c>
      <c r="DR116" s="4" t="s">
        <v>241</v>
      </c>
      <c r="DS116" s="4" t="s">
        <v>241</v>
      </c>
      <c r="DV116" s="4" t="s">
        <v>279</v>
      </c>
      <c r="DW116" s="4" t="s">
        <v>277</v>
      </c>
      <c r="HO116" s="4" t="s">
        <v>277</v>
      </c>
      <c r="HR116" s="4" t="s">
        <v>278</v>
      </c>
      <c r="HS116" s="4" t="s">
        <v>278</v>
      </c>
    </row>
    <row r="117" spans="1:240" x14ac:dyDescent="0.4">
      <c r="A117" s="4">
        <v>2</v>
      </c>
      <c r="B117" s="4" t="s">
        <v>239</v>
      </c>
      <c r="C117" s="4">
        <v>121</v>
      </c>
      <c r="D117" s="4">
        <v>1</v>
      </c>
      <c r="E117" s="4">
        <v>1</v>
      </c>
      <c r="F117" s="4" t="s">
        <v>240</v>
      </c>
      <c r="G117" s="4" t="s">
        <v>241</v>
      </c>
      <c r="H117" s="4" t="s">
        <v>241</v>
      </c>
      <c r="I117" s="4" t="s">
        <v>3393</v>
      </c>
      <c r="J117" s="4" t="s">
        <v>247</v>
      </c>
      <c r="K117" s="4" t="s">
        <v>256</v>
      </c>
      <c r="L117" s="4" t="s">
        <v>250</v>
      </c>
      <c r="M117" s="5" t="s">
        <v>3394</v>
      </c>
      <c r="N117" s="4" t="s">
        <v>242</v>
      </c>
      <c r="O117" s="6">
        <f>9.92</f>
        <v>9.92</v>
      </c>
      <c r="P117" s="4" t="s">
        <v>276</v>
      </c>
      <c r="Q117" s="6">
        <f>1</f>
        <v>1</v>
      </c>
      <c r="R117" s="6">
        <f>595200</f>
        <v>595200</v>
      </c>
      <c r="S117" s="5" t="s">
        <v>248</v>
      </c>
      <c r="T117" s="4" t="s">
        <v>274</v>
      </c>
      <c r="U117" s="4" t="s">
        <v>275</v>
      </c>
      <c r="W117" s="6">
        <f>595199</f>
        <v>595199</v>
      </c>
      <c r="X117" s="4" t="s">
        <v>243</v>
      </c>
      <c r="Y117" s="4" t="s">
        <v>244</v>
      </c>
      <c r="Z117" s="4" t="s">
        <v>246</v>
      </c>
      <c r="AA117" s="4" t="s">
        <v>241</v>
      </c>
      <c r="AD117" s="4" t="s">
        <v>241</v>
      </c>
      <c r="AF117" s="5" t="s">
        <v>241</v>
      </c>
      <c r="AI117" s="5" t="s">
        <v>249</v>
      </c>
      <c r="AJ117" s="4" t="s">
        <v>251</v>
      </c>
      <c r="AK117" s="4" t="s">
        <v>252</v>
      </c>
      <c r="BA117" s="4" t="s">
        <v>254</v>
      </c>
      <c r="BB117" s="4" t="s">
        <v>241</v>
      </c>
      <c r="BC117" s="4" t="s">
        <v>255</v>
      </c>
      <c r="BD117" s="4" t="s">
        <v>241</v>
      </c>
      <c r="BE117" s="4" t="s">
        <v>257</v>
      </c>
      <c r="BF117" s="4" t="s">
        <v>241</v>
      </c>
      <c r="BH117" s="4" t="s">
        <v>258</v>
      </c>
      <c r="BJ117" s="4" t="s">
        <v>367</v>
      </c>
      <c r="BK117" s="5" t="s">
        <v>249</v>
      </c>
      <c r="BL117" s="4" t="s">
        <v>261</v>
      </c>
      <c r="BM117" s="4" t="s">
        <v>262</v>
      </c>
      <c r="BN117" s="4" t="s">
        <v>241</v>
      </c>
      <c r="BO117" s="6">
        <f>0</f>
        <v>0</v>
      </c>
      <c r="BP117" s="6">
        <f>0</f>
        <v>0</v>
      </c>
      <c r="BQ117" s="4" t="s">
        <v>263</v>
      </c>
      <c r="BR117" s="4" t="s">
        <v>264</v>
      </c>
      <c r="CF117" s="4" t="s">
        <v>241</v>
      </c>
      <c r="CG117" s="4" t="s">
        <v>241</v>
      </c>
      <c r="CK117" s="4" t="s">
        <v>265</v>
      </c>
      <c r="CL117" s="4" t="s">
        <v>266</v>
      </c>
      <c r="CM117" s="4" t="s">
        <v>241</v>
      </c>
      <c r="CO117" s="4" t="s">
        <v>267</v>
      </c>
      <c r="CP117" s="5" t="s">
        <v>268</v>
      </c>
      <c r="CQ117" s="4" t="s">
        <v>269</v>
      </c>
      <c r="CR117" s="4" t="s">
        <v>270</v>
      </c>
      <c r="CS117" s="4" t="s">
        <v>241</v>
      </c>
      <c r="CT117" s="4" t="s">
        <v>241</v>
      </c>
      <c r="CU117" s="4">
        <v>0</v>
      </c>
      <c r="CV117" s="4" t="s">
        <v>271</v>
      </c>
      <c r="CW117" s="4" t="s">
        <v>272</v>
      </c>
      <c r="CX117" s="4" t="s">
        <v>273</v>
      </c>
      <c r="CZ117" s="6">
        <f>595200</f>
        <v>595200</v>
      </c>
      <c r="DA117" s="6">
        <f>0</f>
        <v>0</v>
      </c>
      <c r="DC117" s="4" t="s">
        <v>241</v>
      </c>
      <c r="DD117" s="4" t="s">
        <v>241</v>
      </c>
      <c r="DF117" s="4" t="s">
        <v>241</v>
      </c>
      <c r="DI117" s="4" t="s">
        <v>241</v>
      </c>
      <c r="DJ117" s="4" t="s">
        <v>241</v>
      </c>
      <c r="DK117" s="4" t="s">
        <v>241</v>
      </c>
      <c r="DL117" s="4" t="s">
        <v>241</v>
      </c>
      <c r="DM117" s="4" t="s">
        <v>277</v>
      </c>
      <c r="DN117" s="4" t="s">
        <v>278</v>
      </c>
      <c r="DO117" s="6">
        <f>9.92</f>
        <v>9.92</v>
      </c>
      <c r="DP117" s="4" t="s">
        <v>241</v>
      </c>
      <c r="DQ117" s="4" t="s">
        <v>241</v>
      </c>
      <c r="DR117" s="4" t="s">
        <v>241</v>
      </c>
      <c r="DS117" s="4" t="s">
        <v>241</v>
      </c>
      <c r="DV117" s="4" t="s">
        <v>3395</v>
      </c>
      <c r="DW117" s="4" t="s">
        <v>277</v>
      </c>
      <c r="HO117" s="4" t="s">
        <v>277</v>
      </c>
      <c r="HR117" s="4" t="s">
        <v>278</v>
      </c>
      <c r="HS117" s="4" t="s">
        <v>278</v>
      </c>
    </row>
    <row r="118" spans="1:240" x14ac:dyDescent="0.4">
      <c r="A118" s="4">
        <v>2</v>
      </c>
      <c r="B118" s="4" t="s">
        <v>239</v>
      </c>
      <c r="C118" s="4">
        <v>122</v>
      </c>
      <c r="D118" s="4">
        <v>1</v>
      </c>
      <c r="E118" s="4">
        <v>1</v>
      </c>
      <c r="F118" s="4" t="s">
        <v>240</v>
      </c>
      <c r="G118" s="4" t="s">
        <v>241</v>
      </c>
      <c r="H118" s="4" t="s">
        <v>241</v>
      </c>
      <c r="I118" s="4" t="s">
        <v>3397</v>
      </c>
      <c r="J118" s="4" t="s">
        <v>247</v>
      </c>
      <c r="K118" s="4" t="s">
        <v>256</v>
      </c>
      <c r="L118" s="4" t="s">
        <v>250</v>
      </c>
      <c r="M118" s="5" t="s">
        <v>3398</v>
      </c>
      <c r="N118" s="4" t="s">
        <v>3396</v>
      </c>
      <c r="O118" s="6">
        <f>115</f>
        <v>115</v>
      </c>
      <c r="P118" s="4" t="s">
        <v>276</v>
      </c>
      <c r="Q118" s="6">
        <f>1</f>
        <v>1</v>
      </c>
      <c r="R118" s="6">
        <f>6900000</f>
        <v>6900000</v>
      </c>
      <c r="S118" s="5" t="s">
        <v>248</v>
      </c>
      <c r="T118" s="4" t="s">
        <v>348</v>
      </c>
      <c r="U118" s="4" t="s">
        <v>275</v>
      </c>
      <c r="W118" s="6">
        <f>6899999</f>
        <v>6899999</v>
      </c>
      <c r="X118" s="4" t="s">
        <v>243</v>
      </c>
      <c r="Y118" s="4" t="s">
        <v>244</v>
      </c>
      <c r="Z118" s="4" t="s">
        <v>246</v>
      </c>
      <c r="AA118" s="4" t="s">
        <v>241</v>
      </c>
      <c r="AD118" s="4" t="s">
        <v>241</v>
      </c>
      <c r="AF118" s="5" t="s">
        <v>241</v>
      </c>
      <c r="AI118" s="5" t="s">
        <v>249</v>
      </c>
      <c r="AJ118" s="4" t="s">
        <v>251</v>
      </c>
      <c r="AK118" s="4" t="s">
        <v>252</v>
      </c>
      <c r="BA118" s="4" t="s">
        <v>254</v>
      </c>
      <c r="BB118" s="4" t="s">
        <v>241</v>
      </c>
      <c r="BC118" s="4" t="s">
        <v>255</v>
      </c>
      <c r="BD118" s="4" t="s">
        <v>241</v>
      </c>
      <c r="BE118" s="4" t="s">
        <v>257</v>
      </c>
      <c r="BF118" s="4" t="s">
        <v>241</v>
      </c>
      <c r="BH118" s="4" t="s">
        <v>258</v>
      </c>
      <c r="BJ118" s="4" t="s">
        <v>374</v>
      </c>
      <c r="BK118" s="5" t="s">
        <v>375</v>
      </c>
      <c r="BL118" s="4" t="s">
        <v>261</v>
      </c>
      <c r="BM118" s="4" t="s">
        <v>262</v>
      </c>
      <c r="BN118" s="4" t="s">
        <v>241</v>
      </c>
      <c r="BO118" s="6">
        <f>0</f>
        <v>0</v>
      </c>
      <c r="BP118" s="6">
        <f>0</f>
        <v>0</v>
      </c>
      <c r="BQ118" s="4" t="s">
        <v>263</v>
      </c>
      <c r="BR118" s="4" t="s">
        <v>264</v>
      </c>
      <c r="CF118" s="4" t="s">
        <v>241</v>
      </c>
      <c r="CG118" s="4" t="s">
        <v>241</v>
      </c>
      <c r="CK118" s="4" t="s">
        <v>265</v>
      </c>
      <c r="CL118" s="4" t="s">
        <v>266</v>
      </c>
      <c r="CM118" s="4" t="s">
        <v>241</v>
      </c>
      <c r="CO118" s="4" t="s">
        <v>267</v>
      </c>
      <c r="CP118" s="5" t="s">
        <v>268</v>
      </c>
      <c r="CQ118" s="4" t="s">
        <v>269</v>
      </c>
      <c r="CR118" s="4" t="s">
        <v>270</v>
      </c>
      <c r="CS118" s="4" t="s">
        <v>241</v>
      </c>
      <c r="CT118" s="4" t="s">
        <v>241</v>
      </c>
      <c r="CU118" s="4">
        <v>0</v>
      </c>
      <c r="CV118" s="4" t="s">
        <v>271</v>
      </c>
      <c r="CW118" s="4" t="s">
        <v>272</v>
      </c>
      <c r="CX118" s="4" t="s">
        <v>347</v>
      </c>
      <c r="CZ118" s="6">
        <f>6900000</f>
        <v>6900000</v>
      </c>
      <c r="DA118" s="6">
        <f>0</f>
        <v>0</v>
      </c>
      <c r="DC118" s="4" t="s">
        <v>241</v>
      </c>
      <c r="DD118" s="4" t="s">
        <v>241</v>
      </c>
      <c r="DF118" s="4" t="s">
        <v>241</v>
      </c>
      <c r="DI118" s="4" t="s">
        <v>241</v>
      </c>
      <c r="DJ118" s="4" t="s">
        <v>241</v>
      </c>
      <c r="DK118" s="4" t="s">
        <v>241</v>
      </c>
      <c r="DL118" s="4" t="s">
        <v>241</v>
      </c>
      <c r="DM118" s="4" t="s">
        <v>323</v>
      </c>
      <c r="DN118" s="4" t="s">
        <v>278</v>
      </c>
      <c r="DO118" s="6">
        <f>115</f>
        <v>115</v>
      </c>
      <c r="DP118" s="4" t="s">
        <v>241</v>
      </c>
      <c r="DQ118" s="4" t="s">
        <v>241</v>
      </c>
      <c r="DR118" s="4" t="s">
        <v>241</v>
      </c>
      <c r="DS118" s="4" t="s">
        <v>241</v>
      </c>
      <c r="DV118" s="4" t="s">
        <v>3399</v>
      </c>
      <c r="DW118" s="4" t="s">
        <v>277</v>
      </c>
      <c r="HO118" s="4" t="s">
        <v>277</v>
      </c>
      <c r="HR118" s="4" t="s">
        <v>278</v>
      </c>
      <c r="HS118" s="4" t="s">
        <v>278</v>
      </c>
    </row>
    <row r="119" spans="1:240" x14ac:dyDescent="0.4">
      <c r="A119" s="4">
        <v>2</v>
      </c>
      <c r="B119" s="4" t="s">
        <v>239</v>
      </c>
      <c r="C119" s="4">
        <v>123</v>
      </c>
      <c r="D119" s="4">
        <v>1</v>
      </c>
      <c r="E119" s="4">
        <v>1</v>
      </c>
      <c r="F119" s="4" t="s">
        <v>240</v>
      </c>
      <c r="G119" s="4" t="s">
        <v>241</v>
      </c>
      <c r="H119" s="4" t="s">
        <v>241</v>
      </c>
      <c r="I119" s="4" t="s">
        <v>3401</v>
      </c>
      <c r="J119" s="4" t="s">
        <v>247</v>
      </c>
      <c r="K119" s="4" t="s">
        <v>256</v>
      </c>
      <c r="L119" s="4" t="s">
        <v>250</v>
      </c>
      <c r="M119" s="5" t="s">
        <v>3402</v>
      </c>
      <c r="N119" s="4" t="s">
        <v>3400</v>
      </c>
      <c r="O119" s="6">
        <f>88</f>
        <v>88</v>
      </c>
      <c r="P119" s="4" t="s">
        <v>276</v>
      </c>
      <c r="Q119" s="6">
        <f>1</f>
        <v>1</v>
      </c>
      <c r="R119" s="6">
        <f>11440000</f>
        <v>11440000</v>
      </c>
      <c r="S119" s="5" t="s">
        <v>248</v>
      </c>
      <c r="T119" s="4" t="s">
        <v>333</v>
      </c>
      <c r="U119" s="4" t="s">
        <v>275</v>
      </c>
      <c r="W119" s="6">
        <f>11439999</f>
        <v>11439999</v>
      </c>
      <c r="X119" s="4" t="s">
        <v>243</v>
      </c>
      <c r="Y119" s="4" t="s">
        <v>244</v>
      </c>
      <c r="Z119" s="4" t="s">
        <v>246</v>
      </c>
      <c r="AA119" s="4" t="s">
        <v>241</v>
      </c>
      <c r="AD119" s="4" t="s">
        <v>241</v>
      </c>
      <c r="AF119" s="5" t="s">
        <v>241</v>
      </c>
      <c r="AI119" s="5" t="s">
        <v>249</v>
      </c>
      <c r="AJ119" s="4" t="s">
        <v>251</v>
      </c>
      <c r="AK119" s="4" t="s">
        <v>252</v>
      </c>
      <c r="BA119" s="4" t="s">
        <v>254</v>
      </c>
      <c r="BB119" s="4" t="s">
        <v>241</v>
      </c>
      <c r="BC119" s="4" t="s">
        <v>255</v>
      </c>
      <c r="BD119" s="4" t="s">
        <v>241</v>
      </c>
      <c r="BE119" s="4" t="s">
        <v>257</v>
      </c>
      <c r="BF119" s="4" t="s">
        <v>241</v>
      </c>
      <c r="BH119" s="4" t="s">
        <v>258</v>
      </c>
      <c r="BJ119" s="4" t="s">
        <v>377</v>
      </c>
      <c r="BK119" s="5" t="s">
        <v>378</v>
      </c>
      <c r="BL119" s="4" t="s">
        <v>261</v>
      </c>
      <c r="BM119" s="4" t="s">
        <v>262</v>
      </c>
      <c r="BN119" s="4" t="s">
        <v>241</v>
      </c>
      <c r="BO119" s="6">
        <f>0</f>
        <v>0</v>
      </c>
      <c r="BP119" s="6">
        <f>0</f>
        <v>0</v>
      </c>
      <c r="BQ119" s="4" t="s">
        <v>263</v>
      </c>
      <c r="BR119" s="4" t="s">
        <v>264</v>
      </c>
      <c r="CF119" s="4" t="s">
        <v>241</v>
      </c>
      <c r="CG119" s="4" t="s">
        <v>241</v>
      </c>
      <c r="CK119" s="4" t="s">
        <v>265</v>
      </c>
      <c r="CL119" s="4" t="s">
        <v>266</v>
      </c>
      <c r="CM119" s="4" t="s">
        <v>241</v>
      </c>
      <c r="CO119" s="4" t="s">
        <v>267</v>
      </c>
      <c r="CP119" s="5" t="s">
        <v>268</v>
      </c>
      <c r="CQ119" s="4" t="s">
        <v>269</v>
      </c>
      <c r="CR119" s="4" t="s">
        <v>270</v>
      </c>
      <c r="CS119" s="4" t="s">
        <v>241</v>
      </c>
      <c r="CT119" s="4" t="s">
        <v>241</v>
      </c>
      <c r="CU119" s="4">
        <v>0</v>
      </c>
      <c r="CV119" s="4" t="s">
        <v>271</v>
      </c>
      <c r="CW119" s="4" t="s">
        <v>272</v>
      </c>
      <c r="CX119" s="4" t="s">
        <v>295</v>
      </c>
      <c r="CZ119" s="6">
        <f>11440000</f>
        <v>11440000</v>
      </c>
      <c r="DA119" s="6">
        <f>0</f>
        <v>0</v>
      </c>
      <c r="DC119" s="4" t="s">
        <v>241</v>
      </c>
      <c r="DD119" s="4" t="s">
        <v>241</v>
      </c>
      <c r="DF119" s="4" t="s">
        <v>241</v>
      </c>
      <c r="DI119" s="4" t="s">
        <v>241</v>
      </c>
      <c r="DJ119" s="4" t="s">
        <v>241</v>
      </c>
      <c r="DK119" s="4" t="s">
        <v>241</v>
      </c>
      <c r="DL119" s="4" t="s">
        <v>241</v>
      </c>
      <c r="DM119" s="4" t="s">
        <v>277</v>
      </c>
      <c r="DN119" s="4" t="s">
        <v>278</v>
      </c>
      <c r="DO119" s="6">
        <f>88</f>
        <v>88</v>
      </c>
      <c r="DP119" s="4" t="s">
        <v>241</v>
      </c>
      <c r="DQ119" s="4" t="s">
        <v>241</v>
      </c>
      <c r="DR119" s="4" t="s">
        <v>241</v>
      </c>
      <c r="DS119" s="4" t="s">
        <v>241</v>
      </c>
      <c r="DV119" s="4" t="s">
        <v>3403</v>
      </c>
      <c r="DW119" s="4" t="s">
        <v>277</v>
      </c>
      <c r="HO119" s="4" t="s">
        <v>277</v>
      </c>
      <c r="HR119" s="4" t="s">
        <v>278</v>
      </c>
      <c r="HS119" s="4" t="s">
        <v>278</v>
      </c>
    </row>
    <row r="120" spans="1:240" x14ac:dyDescent="0.4">
      <c r="A120" s="4">
        <v>2</v>
      </c>
      <c r="B120" s="4" t="s">
        <v>239</v>
      </c>
      <c r="C120" s="4">
        <v>124</v>
      </c>
      <c r="D120" s="4">
        <v>1</v>
      </c>
      <c r="E120" s="4">
        <v>1</v>
      </c>
      <c r="F120" s="4" t="s">
        <v>240</v>
      </c>
      <c r="G120" s="4" t="s">
        <v>241</v>
      </c>
      <c r="H120" s="4" t="s">
        <v>241</v>
      </c>
      <c r="I120" s="4" t="s">
        <v>3405</v>
      </c>
      <c r="J120" s="4" t="s">
        <v>247</v>
      </c>
      <c r="K120" s="4" t="s">
        <v>256</v>
      </c>
      <c r="L120" s="4" t="s">
        <v>250</v>
      </c>
      <c r="M120" s="5" t="s">
        <v>3407</v>
      </c>
      <c r="N120" s="4" t="s">
        <v>3404</v>
      </c>
      <c r="O120" s="6">
        <f>19.87</f>
        <v>19.87</v>
      </c>
      <c r="P120" s="4" t="s">
        <v>276</v>
      </c>
      <c r="Q120" s="6">
        <f>1</f>
        <v>1</v>
      </c>
      <c r="R120" s="6">
        <f>2424140</f>
        <v>2424140</v>
      </c>
      <c r="S120" s="5" t="s">
        <v>3406</v>
      </c>
      <c r="T120" s="4" t="s">
        <v>348</v>
      </c>
      <c r="U120" s="4" t="s">
        <v>401</v>
      </c>
      <c r="W120" s="6">
        <f>2424139</f>
        <v>2424139</v>
      </c>
      <c r="X120" s="4" t="s">
        <v>243</v>
      </c>
      <c r="Y120" s="4" t="s">
        <v>244</v>
      </c>
      <c r="Z120" s="4" t="s">
        <v>246</v>
      </c>
      <c r="AA120" s="4" t="s">
        <v>241</v>
      </c>
      <c r="AD120" s="4" t="s">
        <v>241</v>
      </c>
      <c r="AF120" s="5" t="s">
        <v>241</v>
      </c>
      <c r="AI120" s="5" t="s">
        <v>249</v>
      </c>
      <c r="AJ120" s="4" t="s">
        <v>251</v>
      </c>
      <c r="AK120" s="4" t="s">
        <v>252</v>
      </c>
      <c r="BA120" s="4" t="s">
        <v>254</v>
      </c>
      <c r="BB120" s="4" t="s">
        <v>241</v>
      </c>
      <c r="BC120" s="4" t="s">
        <v>255</v>
      </c>
      <c r="BD120" s="4" t="s">
        <v>241</v>
      </c>
      <c r="BE120" s="4" t="s">
        <v>257</v>
      </c>
      <c r="BF120" s="4" t="s">
        <v>241</v>
      </c>
      <c r="BH120" s="4" t="s">
        <v>258</v>
      </c>
      <c r="BJ120" s="4" t="s">
        <v>259</v>
      </c>
      <c r="BK120" s="5" t="s">
        <v>260</v>
      </c>
      <c r="BL120" s="4" t="s">
        <v>261</v>
      </c>
      <c r="BM120" s="4" t="s">
        <v>262</v>
      </c>
      <c r="BN120" s="4" t="s">
        <v>241</v>
      </c>
      <c r="BO120" s="6">
        <f>0</f>
        <v>0</v>
      </c>
      <c r="BP120" s="6">
        <f>0</f>
        <v>0</v>
      </c>
      <c r="BQ120" s="4" t="s">
        <v>263</v>
      </c>
      <c r="BR120" s="4" t="s">
        <v>264</v>
      </c>
      <c r="CF120" s="4" t="s">
        <v>241</v>
      </c>
      <c r="CG120" s="4" t="s">
        <v>241</v>
      </c>
      <c r="CK120" s="4" t="s">
        <v>291</v>
      </c>
      <c r="CL120" s="4" t="s">
        <v>266</v>
      </c>
      <c r="CM120" s="4" t="s">
        <v>241</v>
      </c>
      <c r="CO120" s="4" t="s">
        <v>313</v>
      </c>
      <c r="CP120" s="5" t="s">
        <v>268</v>
      </c>
      <c r="CQ120" s="4" t="s">
        <v>269</v>
      </c>
      <c r="CR120" s="4" t="s">
        <v>270</v>
      </c>
      <c r="CS120" s="4" t="s">
        <v>241</v>
      </c>
      <c r="CT120" s="4" t="s">
        <v>241</v>
      </c>
      <c r="CU120" s="4">
        <v>0</v>
      </c>
      <c r="CV120" s="4" t="s">
        <v>271</v>
      </c>
      <c r="CW120" s="4" t="s">
        <v>272</v>
      </c>
      <c r="CX120" s="4" t="s">
        <v>347</v>
      </c>
      <c r="CZ120" s="6">
        <f>2424140</f>
        <v>2424140</v>
      </c>
      <c r="DA120" s="6">
        <f>0</f>
        <v>0</v>
      </c>
      <c r="DC120" s="4" t="s">
        <v>241</v>
      </c>
      <c r="DD120" s="4" t="s">
        <v>241</v>
      </c>
      <c r="DF120" s="4" t="s">
        <v>241</v>
      </c>
      <c r="DI120" s="4" t="s">
        <v>241</v>
      </c>
      <c r="DJ120" s="4" t="s">
        <v>241</v>
      </c>
      <c r="DK120" s="4" t="s">
        <v>241</v>
      </c>
      <c r="DL120" s="4" t="s">
        <v>241</v>
      </c>
      <c r="DM120" s="4" t="s">
        <v>277</v>
      </c>
      <c r="DN120" s="4" t="s">
        <v>278</v>
      </c>
      <c r="DO120" s="6">
        <f>19.87</f>
        <v>19.87</v>
      </c>
      <c r="DP120" s="4" t="s">
        <v>241</v>
      </c>
      <c r="DQ120" s="4" t="s">
        <v>241</v>
      </c>
      <c r="DR120" s="4" t="s">
        <v>241</v>
      </c>
      <c r="DS120" s="4" t="s">
        <v>241</v>
      </c>
      <c r="DV120" s="4" t="s">
        <v>3408</v>
      </c>
      <c r="DW120" s="4" t="s">
        <v>277</v>
      </c>
      <c r="HO120" s="4" t="s">
        <v>277</v>
      </c>
      <c r="HR120" s="4" t="s">
        <v>278</v>
      </c>
      <c r="HS120" s="4" t="s">
        <v>278</v>
      </c>
    </row>
    <row r="121" spans="1:240" x14ac:dyDescent="0.4">
      <c r="A121" s="4">
        <v>2</v>
      </c>
      <c r="B121" s="4" t="s">
        <v>239</v>
      </c>
      <c r="C121" s="4">
        <v>125</v>
      </c>
      <c r="D121" s="4">
        <v>1</v>
      </c>
      <c r="E121" s="4">
        <v>3</v>
      </c>
      <c r="F121" s="4" t="s">
        <v>240</v>
      </c>
      <c r="G121" s="4" t="s">
        <v>241</v>
      </c>
      <c r="H121" s="4" t="s">
        <v>241</v>
      </c>
      <c r="I121" s="4" t="s">
        <v>3100</v>
      </c>
      <c r="J121" s="4" t="s">
        <v>247</v>
      </c>
      <c r="K121" s="4" t="s">
        <v>256</v>
      </c>
      <c r="L121" s="4" t="s">
        <v>3102</v>
      </c>
      <c r="M121" s="5" t="s">
        <v>445</v>
      </c>
      <c r="N121" s="4" t="s">
        <v>3099</v>
      </c>
      <c r="O121" s="6">
        <f>99</f>
        <v>99</v>
      </c>
      <c r="P121" s="4" t="s">
        <v>276</v>
      </c>
      <c r="Q121" s="6">
        <f>5262444</f>
        <v>5262444</v>
      </c>
      <c r="R121" s="6">
        <f>19206000</f>
        <v>19206000</v>
      </c>
      <c r="S121" s="5" t="s">
        <v>3101</v>
      </c>
      <c r="T121" s="4" t="s">
        <v>441</v>
      </c>
      <c r="U121" s="4" t="s">
        <v>361</v>
      </c>
      <c r="V121" s="6">
        <f>633798</f>
        <v>633798</v>
      </c>
      <c r="W121" s="6">
        <f>13943556</f>
        <v>13943556</v>
      </c>
      <c r="X121" s="4" t="s">
        <v>243</v>
      </c>
      <c r="Y121" s="4" t="s">
        <v>244</v>
      </c>
      <c r="Z121" s="4" t="s">
        <v>246</v>
      </c>
      <c r="AA121" s="4" t="s">
        <v>241</v>
      </c>
      <c r="AD121" s="4" t="s">
        <v>241</v>
      </c>
      <c r="AE121" s="5" t="s">
        <v>241</v>
      </c>
      <c r="AF121" s="5" t="s">
        <v>241</v>
      </c>
      <c r="AH121" s="5" t="s">
        <v>241</v>
      </c>
      <c r="AI121" s="5" t="s">
        <v>249</v>
      </c>
      <c r="AJ121" s="4" t="s">
        <v>251</v>
      </c>
      <c r="AK121" s="4" t="s">
        <v>252</v>
      </c>
      <c r="AQ121" s="4" t="s">
        <v>241</v>
      </c>
      <c r="AR121" s="4" t="s">
        <v>241</v>
      </c>
      <c r="AS121" s="4" t="s">
        <v>241</v>
      </c>
      <c r="AT121" s="5" t="s">
        <v>241</v>
      </c>
      <c r="AU121" s="5" t="s">
        <v>241</v>
      </c>
      <c r="AV121" s="5" t="s">
        <v>241</v>
      </c>
      <c r="AY121" s="4" t="s">
        <v>286</v>
      </c>
      <c r="AZ121" s="4" t="s">
        <v>286</v>
      </c>
      <c r="BA121" s="4" t="s">
        <v>254</v>
      </c>
      <c r="BB121" s="4" t="s">
        <v>287</v>
      </c>
      <c r="BC121" s="4" t="s">
        <v>255</v>
      </c>
      <c r="BD121" s="4" t="s">
        <v>241</v>
      </c>
      <c r="BE121" s="4" t="s">
        <v>257</v>
      </c>
      <c r="BF121" s="4" t="s">
        <v>241</v>
      </c>
      <c r="BH121" s="4" t="s">
        <v>258</v>
      </c>
      <c r="BJ121" s="4" t="s">
        <v>288</v>
      </c>
      <c r="BK121" s="5" t="s">
        <v>289</v>
      </c>
      <c r="BL121" s="4" t="s">
        <v>290</v>
      </c>
      <c r="BM121" s="4" t="s">
        <v>290</v>
      </c>
      <c r="BN121" s="4" t="s">
        <v>241</v>
      </c>
      <c r="BO121" s="6">
        <f>0</f>
        <v>0</v>
      </c>
      <c r="BP121" s="6">
        <f>-633798</f>
        <v>-633798</v>
      </c>
      <c r="BQ121" s="4" t="s">
        <v>263</v>
      </c>
      <c r="BR121" s="4" t="s">
        <v>264</v>
      </c>
      <c r="BS121" s="4" t="s">
        <v>241</v>
      </c>
      <c r="BT121" s="4" t="s">
        <v>241</v>
      </c>
      <c r="BU121" s="4" t="s">
        <v>241</v>
      </c>
      <c r="BV121" s="4" t="s">
        <v>241</v>
      </c>
      <c r="CE121" s="4" t="s">
        <v>264</v>
      </c>
      <c r="CF121" s="4" t="s">
        <v>241</v>
      </c>
      <c r="CG121" s="4" t="s">
        <v>241</v>
      </c>
      <c r="CK121" s="4" t="s">
        <v>291</v>
      </c>
      <c r="CL121" s="4" t="s">
        <v>266</v>
      </c>
      <c r="CM121" s="4" t="s">
        <v>241</v>
      </c>
      <c r="CO121" s="4" t="s">
        <v>360</v>
      </c>
      <c r="CP121" s="5" t="s">
        <v>268</v>
      </c>
      <c r="CQ121" s="4" t="s">
        <v>269</v>
      </c>
      <c r="CR121" s="4" t="s">
        <v>270</v>
      </c>
      <c r="CS121" s="4" t="s">
        <v>293</v>
      </c>
      <c r="CT121" s="4" t="s">
        <v>241</v>
      </c>
      <c r="CU121" s="4">
        <v>3.3000000000000002E-2</v>
      </c>
      <c r="CV121" s="4" t="s">
        <v>271</v>
      </c>
      <c r="CW121" s="4" t="s">
        <v>272</v>
      </c>
      <c r="CX121" s="4" t="s">
        <v>487</v>
      </c>
      <c r="CY121" s="6">
        <f>0</f>
        <v>0</v>
      </c>
      <c r="CZ121" s="6">
        <f>19206000</f>
        <v>19206000</v>
      </c>
      <c r="DA121" s="6">
        <f>5262444</f>
        <v>5262444</v>
      </c>
      <c r="DC121" s="4" t="s">
        <v>241</v>
      </c>
      <c r="DD121" s="4" t="s">
        <v>241</v>
      </c>
      <c r="DF121" s="4" t="s">
        <v>241</v>
      </c>
      <c r="DG121" s="6">
        <f>0</f>
        <v>0</v>
      </c>
      <c r="DI121" s="4" t="s">
        <v>241</v>
      </c>
      <c r="DJ121" s="4" t="s">
        <v>241</v>
      </c>
      <c r="DK121" s="4" t="s">
        <v>241</v>
      </c>
      <c r="DL121" s="4" t="s">
        <v>241</v>
      </c>
      <c r="DM121" s="4" t="s">
        <v>323</v>
      </c>
      <c r="DN121" s="4" t="s">
        <v>278</v>
      </c>
      <c r="DO121" s="6">
        <f>99</f>
        <v>99</v>
      </c>
      <c r="DP121" s="4" t="s">
        <v>241</v>
      </c>
      <c r="DQ121" s="4" t="s">
        <v>241</v>
      </c>
      <c r="DR121" s="4" t="s">
        <v>241</v>
      </c>
      <c r="DS121" s="4" t="s">
        <v>241</v>
      </c>
      <c r="DV121" s="4" t="s">
        <v>3103</v>
      </c>
      <c r="DW121" s="4" t="s">
        <v>277</v>
      </c>
      <c r="GN121" s="4" t="s">
        <v>3104</v>
      </c>
      <c r="HO121" s="4" t="s">
        <v>300</v>
      </c>
      <c r="HR121" s="4" t="s">
        <v>278</v>
      </c>
      <c r="HS121" s="4" t="s">
        <v>278</v>
      </c>
      <c r="HT121" s="4" t="s">
        <v>241</v>
      </c>
      <c r="HU121" s="4" t="s">
        <v>241</v>
      </c>
      <c r="HV121" s="4" t="s">
        <v>241</v>
      </c>
      <c r="HW121" s="4" t="s">
        <v>241</v>
      </c>
      <c r="HX121" s="4" t="s">
        <v>241</v>
      </c>
      <c r="HY121" s="4" t="s">
        <v>241</v>
      </c>
      <c r="HZ121" s="4" t="s">
        <v>241</v>
      </c>
      <c r="IA121" s="4" t="s">
        <v>241</v>
      </c>
      <c r="IB121" s="4" t="s">
        <v>241</v>
      </c>
      <c r="IC121" s="4" t="s">
        <v>241</v>
      </c>
      <c r="ID121" s="4" t="s">
        <v>241</v>
      </c>
      <c r="IE121" s="4" t="s">
        <v>241</v>
      </c>
      <c r="IF121" s="4" t="s">
        <v>241</v>
      </c>
    </row>
    <row r="122" spans="1:240" x14ac:dyDescent="0.4">
      <c r="A122" s="4">
        <v>2</v>
      </c>
      <c r="B122" s="4" t="s">
        <v>239</v>
      </c>
      <c r="C122" s="4">
        <v>126</v>
      </c>
      <c r="D122" s="4">
        <v>1</v>
      </c>
      <c r="E122" s="4">
        <v>3</v>
      </c>
      <c r="F122" s="4" t="s">
        <v>240</v>
      </c>
      <c r="G122" s="4" t="s">
        <v>241</v>
      </c>
      <c r="H122" s="4" t="s">
        <v>241</v>
      </c>
      <c r="I122" s="4" t="s">
        <v>3106</v>
      </c>
      <c r="J122" s="4" t="s">
        <v>247</v>
      </c>
      <c r="K122" s="4" t="s">
        <v>256</v>
      </c>
      <c r="L122" s="4" t="s">
        <v>250</v>
      </c>
      <c r="M122" s="5" t="s">
        <v>3108</v>
      </c>
      <c r="N122" s="4" t="s">
        <v>3105</v>
      </c>
      <c r="O122" s="6">
        <f>33</f>
        <v>33</v>
      </c>
      <c r="P122" s="4" t="s">
        <v>276</v>
      </c>
      <c r="Q122" s="6">
        <f>168036</f>
        <v>168036</v>
      </c>
      <c r="R122" s="6">
        <f>2211000</f>
        <v>2211000</v>
      </c>
      <c r="S122" s="5" t="s">
        <v>3107</v>
      </c>
      <c r="T122" s="4" t="s">
        <v>274</v>
      </c>
      <c r="U122" s="4" t="s">
        <v>361</v>
      </c>
      <c r="V122" s="6">
        <f>92862</f>
        <v>92862</v>
      </c>
      <c r="W122" s="6">
        <f>2042964</f>
        <v>2042964</v>
      </c>
      <c r="X122" s="4" t="s">
        <v>243</v>
      </c>
      <c r="Y122" s="4" t="s">
        <v>244</v>
      </c>
      <c r="Z122" s="4" t="s">
        <v>246</v>
      </c>
      <c r="AA122" s="4" t="s">
        <v>241</v>
      </c>
      <c r="AD122" s="4" t="s">
        <v>241</v>
      </c>
      <c r="AE122" s="5" t="s">
        <v>241</v>
      </c>
      <c r="AF122" s="5" t="s">
        <v>241</v>
      </c>
      <c r="AH122" s="5" t="s">
        <v>241</v>
      </c>
      <c r="AI122" s="5" t="s">
        <v>249</v>
      </c>
      <c r="AJ122" s="4" t="s">
        <v>251</v>
      </c>
      <c r="AK122" s="4" t="s">
        <v>252</v>
      </c>
      <c r="AQ122" s="4" t="s">
        <v>241</v>
      </c>
      <c r="AR122" s="4" t="s">
        <v>241</v>
      </c>
      <c r="AS122" s="4" t="s">
        <v>241</v>
      </c>
      <c r="AT122" s="5" t="s">
        <v>241</v>
      </c>
      <c r="AU122" s="5" t="s">
        <v>241</v>
      </c>
      <c r="AV122" s="5" t="s">
        <v>241</v>
      </c>
      <c r="AY122" s="4" t="s">
        <v>286</v>
      </c>
      <c r="AZ122" s="4" t="s">
        <v>286</v>
      </c>
      <c r="BA122" s="4" t="s">
        <v>254</v>
      </c>
      <c r="BB122" s="4" t="s">
        <v>287</v>
      </c>
      <c r="BC122" s="4" t="s">
        <v>255</v>
      </c>
      <c r="BD122" s="4" t="s">
        <v>241</v>
      </c>
      <c r="BE122" s="4" t="s">
        <v>257</v>
      </c>
      <c r="BF122" s="4" t="s">
        <v>241</v>
      </c>
      <c r="BH122" s="4" t="s">
        <v>258</v>
      </c>
      <c r="BJ122" s="4" t="s">
        <v>288</v>
      </c>
      <c r="BK122" s="5" t="s">
        <v>289</v>
      </c>
      <c r="BL122" s="4" t="s">
        <v>290</v>
      </c>
      <c r="BM122" s="4" t="s">
        <v>290</v>
      </c>
      <c r="BN122" s="4" t="s">
        <v>241</v>
      </c>
      <c r="BO122" s="6">
        <f>0</f>
        <v>0</v>
      </c>
      <c r="BP122" s="6">
        <f>-92862</f>
        <v>-92862</v>
      </c>
      <c r="BQ122" s="4" t="s">
        <v>263</v>
      </c>
      <c r="BR122" s="4" t="s">
        <v>264</v>
      </c>
      <c r="BS122" s="4" t="s">
        <v>241</v>
      </c>
      <c r="BT122" s="4" t="s">
        <v>241</v>
      </c>
      <c r="BU122" s="4" t="s">
        <v>241</v>
      </c>
      <c r="BV122" s="4" t="s">
        <v>241</v>
      </c>
      <c r="CE122" s="4" t="s">
        <v>264</v>
      </c>
      <c r="CF122" s="4" t="s">
        <v>241</v>
      </c>
      <c r="CG122" s="4" t="s">
        <v>241</v>
      </c>
      <c r="CK122" s="4" t="s">
        <v>291</v>
      </c>
      <c r="CL122" s="4" t="s">
        <v>266</v>
      </c>
      <c r="CM122" s="4" t="s">
        <v>241</v>
      </c>
      <c r="CO122" s="4" t="s">
        <v>360</v>
      </c>
      <c r="CP122" s="5" t="s">
        <v>268</v>
      </c>
      <c r="CQ122" s="4" t="s">
        <v>269</v>
      </c>
      <c r="CR122" s="4" t="s">
        <v>270</v>
      </c>
      <c r="CS122" s="4" t="s">
        <v>293</v>
      </c>
      <c r="CT122" s="4" t="s">
        <v>241</v>
      </c>
      <c r="CU122" s="4">
        <v>4.2000000000000003E-2</v>
      </c>
      <c r="CV122" s="4" t="s">
        <v>271</v>
      </c>
      <c r="CW122" s="4" t="s">
        <v>272</v>
      </c>
      <c r="CX122" s="4" t="s">
        <v>273</v>
      </c>
      <c r="CY122" s="6">
        <f>0</f>
        <v>0</v>
      </c>
      <c r="CZ122" s="6">
        <f>2211000</f>
        <v>2211000</v>
      </c>
      <c r="DA122" s="6">
        <f>168036</f>
        <v>168036</v>
      </c>
      <c r="DC122" s="4" t="s">
        <v>241</v>
      </c>
      <c r="DD122" s="4" t="s">
        <v>241</v>
      </c>
      <c r="DF122" s="4" t="s">
        <v>241</v>
      </c>
      <c r="DG122" s="6">
        <f>0</f>
        <v>0</v>
      </c>
      <c r="DI122" s="4" t="s">
        <v>241</v>
      </c>
      <c r="DJ122" s="4" t="s">
        <v>241</v>
      </c>
      <c r="DK122" s="4" t="s">
        <v>241</v>
      </c>
      <c r="DL122" s="4" t="s">
        <v>241</v>
      </c>
      <c r="DM122" s="4" t="s">
        <v>277</v>
      </c>
      <c r="DN122" s="4" t="s">
        <v>278</v>
      </c>
      <c r="DO122" s="6">
        <f>33</f>
        <v>33</v>
      </c>
      <c r="DP122" s="4" t="s">
        <v>241</v>
      </c>
      <c r="DQ122" s="4" t="s">
        <v>241</v>
      </c>
      <c r="DR122" s="4" t="s">
        <v>241</v>
      </c>
      <c r="DS122" s="4" t="s">
        <v>241</v>
      </c>
      <c r="DV122" s="4" t="s">
        <v>3109</v>
      </c>
      <c r="DW122" s="4" t="s">
        <v>277</v>
      </c>
      <c r="GN122" s="4" t="s">
        <v>3110</v>
      </c>
      <c r="HO122" s="4" t="s">
        <v>300</v>
      </c>
      <c r="HR122" s="4" t="s">
        <v>278</v>
      </c>
      <c r="HS122" s="4" t="s">
        <v>278</v>
      </c>
      <c r="HT122" s="4" t="s">
        <v>241</v>
      </c>
      <c r="HU122" s="4" t="s">
        <v>241</v>
      </c>
      <c r="HV122" s="4" t="s">
        <v>241</v>
      </c>
      <c r="HW122" s="4" t="s">
        <v>241</v>
      </c>
      <c r="HX122" s="4" t="s">
        <v>241</v>
      </c>
      <c r="HY122" s="4" t="s">
        <v>241</v>
      </c>
      <c r="HZ122" s="4" t="s">
        <v>241</v>
      </c>
      <c r="IA122" s="4" t="s">
        <v>241</v>
      </c>
      <c r="IB122" s="4" t="s">
        <v>241</v>
      </c>
      <c r="IC122" s="4" t="s">
        <v>241</v>
      </c>
      <c r="ID122" s="4" t="s">
        <v>241</v>
      </c>
      <c r="IE122" s="4" t="s">
        <v>241</v>
      </c>
      <c r="IF122" s="4" t="s">
        <v>241</v>
      </c>
    </row>
    <row r="123" spans="1:240" x14ac:dyDescent="0.4">
      <c r="A123" s="4">
        <v>2</v>
      </c>
      <c r="B123" s="4" t="s">
        <v>239</v>
      </c>
      <c r="C123" s="4">
        <v>127</v>
      </c>
      <c r="D123" s="4">
        <v>1</v>
      </c>
      <c r="E123" s="4">
        <v>3</v>
      </c>
      <c r="F123" s="4" t="s">
        <v>240</v>
      </c>
      <c r="G123" s="4" t="s">
        <v>241</v>
      </c>
      <c r="H123" s="4" t="s">
        <v>241</v>
      </c>
      <c r="I123" s="4" t="s">
        <v>3111</v>
      </c>
      <c r="J123" s="4" t="s">
        <v>247</v>
      </c>
      <c r="K123" s="4" t="s">
        <v>256</v>
      </c>
      <c r="L123" s="4" t="s">
        <v>250</v>
      </c>
      <c r="M123" s="5" t="s">
        <v>3113</v>
      </c>
      <c r="N123" s="4" t="s">
        <v>3105</v>
      </c>
      <c r="O123" s="6">
        <f>19</f>
        <v>19</v>
      </c>
      <c r="P123" s="4" t="s">
        <v>276</v>
      </c>
      <c r="Q123" s="6">
        <f>186086</f>
        <v>186086</v>
      </c>
      <c r="R123" s="6">
        <f>1577000</f>
        <v>1577000</v>
      </c>
      <c r="S123" s="5" t="s">
        <v>3112</v>
      </c>
      <c r="T123" s="4" t="s">
        <v>274</v>
      </c>
      <c r="U123" s="4" t="s">
        <v>335</v>
      </c>
      <c r="V123" s="6">
        <f>66234</f>
        <v>66234</v>
      </c>
      <c r="W123" s="6">
        <f>1390914</f>
        <v>1390914</v>
      </c>
      <c r="X123" s="4" t="s">
        <v>243</v>
      </c>
      <c r="Y123" s="4" t="s">
        <v>244</v>
      </c>
      <c r="Z123" s="4" t="s">
        <v>246</v>
      </c>
      <c r="AA123" s="4" t="s">
        <v>241</v>
      </c>
      <c r="AD123" s="4" t="s">
        <v>241</v>
      </c>
      <c r="AE123" s="5" t="s">
        <v>241</v>
      </c>
      <c r="AF123" s="5" t="s">
        <v>241</v>
      </c>
      <c r="AH123" s="5" t="s">
        <v>241</v>
      </c>
      <c r="AI123" s="5" t="s">
        <v>249</v>
      </c>
      <c r="AJ123" s="4" t="s">
        <v>251</v>
      </c>
      <c r="AK123" s="4" t="s">
        <v>252</v>
      </c>
      <c r="AQ123" s="4" t="s">
        <v>241</v>
      </c>
      <c r="AR123" s="4" t="s">
        <v>241</v>
      </c>
      <c r="AS123" s="4" t="s">
        <v>241</v>
      </c>
      <c r="AT123" s="5" t="s">
        <v>241</v>
      </c>
      <c r="AU123" s="5" t="s">
        <v>241</v>
      </c>
      <c r="AV123" s="5" t="s">
        <v>241</v>
      </c>
      <c r="AY123" s="4" t="s">
        <v>286</v>
      </c>
      <c r="AZ123" s="4" t="s">
        <v>286</v>
      </c>
      <c r="BA123" s="4" t="s">
        <v>254</v>
      </c>
      <c r="BB123" s="4" t="s">
        <v>287</v>
      </c>
      <c r="BC123" s="4" t="s">
        <v>255</v>
      </c>
      <c r="BD123" s="4" t="s">
        <v>241</v>
      </c>
      <c r="BE123" s="4" t="s">
        <v>257</v>
      </c>
      <c r="BF123" s="4" t="s">
        <v>241</v>
      </c>
      <c r="BH123" s="4" t="s">
        <v>258</v>
      </c>
      <c r="BJ123" s="4" t="s">
        <v>288</v>
      </c>
      <c r="BK123" s="5" t="s">
        <v>289</v>
      </c>
      <c r="BL123" s="4" t="s">
        <v>290</v>
      </c>
      <c r="BM123" s="4" t="s">
        <v>290</v>
      </c>
      <c r="BN123" s="4" t="s">
        <v>241</v>
      </c>
      <c r="BO123" s="6">
        <f>0</f>
        <v>0</v>
      </c>
      <c r="BP123" s="6">
        <f>-66234</f>
        <v>-66234</v>
      </c>
      <c r="BQ123" s="4" t="s">
        <v>263</v>
      </c>
      <c r="BR123" s="4" t="s">
        <v>264</v>
      </c>
      <c r="BS123" s="4" t="s">
        <v>241</v>
      </c>
      <c r="BT123" s="4" t="s">
        <v>241</v>
      </c>
      <c r="BU123" s="4" t="s">
        <v>241</v>
      </c>
      <c r="BV123" s="4" t="s">
        <v>241</v>
      </c>
      <c r="CE123" s="4" t="s">
        <v>264</v>
      </c>
      <c r="CF123" s="4" t="s">
        <v>241</v>
      </c>
      <c r="CG123" s="4" t="s">
        <v>241</v>
      </c>
      <c r="CK123" s="4" t="s">
        <v>291</v>
      </c>
      <c r="CL123" s="4" t="s">
        <v>266</v>
      </c>
      <c r="CM123" s="4" t="s">
        <v>241</v>
      </c>
      <c r="CO123" s="4" t="s">
        <v>449</v>
      </c>
      <c r="CP123" s="5" t="s">
        <v>268</v>
      </c>
      <c r="CQ123" s="4" t="s">
        <v>269</v>
      </c>
      <c r="CR123" s="4" t="s">
        <v>270</v>
      </c>
      <c r="CS123" s="4" t="s">
        <v>293</v>
      </c>
      <c r="CT123" s="4" t="s">
        <v>241</v>
      </c>
      <c r="CU123" s="4">
        <v>4.2000000000000003E-2</v>
      </c>
      <c r="CV123" s="4" t="s">
        <v>271</v>
      </c>
      <c r="CW123" s="4" t="s">
        <v>272</v>
      </c>
      <c r="CX123" s="4" t="s">
        <v>273</v>
      </c>
      <c r="CY123" s="6">
        <f>0</f>
        <v>0</v>
      </c>
      <c r="CZ123" s="6">
        <f>1577000</f>
        <v>1577000</v>
      </c>
      <c r="DA123" s="6">
        <f>186086</f>
        <v>186086</v>
      </c>
      <c r="DC123" s="4" t="s">
        <v>241</v>
      </c>
      <c r="DD123" s="4" t="s">
        <v>241</v>
      </c>
      <c r="DF123" s="4" t="s">
        <v>241</v>
      </c>
      <c r="DG123" s="6">
        <f>0</f>
        <v>0</v>
      </c>
      <c r="DI123" s="4" t="s">
        <v>241</v>
      </c>
      <c r="DJ123" s="4" t="s">
        <v>241</v>
      </c>
      <c r="DK123" s="4" t="s">
        <v>241</v>
      </c>
      <c r="DL123" s="4" t="s">
        <v>241</v>
      </c>
      <c r="DM123" s="4" t="s">
        <v>277</v>
      </c>
      <c r="DN123" s="4" t="s">
        <v>278</v>
      </c>
      <c r="DO123" s="6">
        <f>19</f>
        <v>19</v>
      </c>
      <c r="DP123" s="4" t="s">
        <v>241</v>
      </c>
      <c r="DQ123" s="4" t="s">
        <v>241</v>
      </c>
      <c r="DR123" s="4" t="s">
        <v>241</v>
      </c>
      <c r="DS123" s="4" t="s">
        <v>241</v>
      </c>
      <c r="DV123" s="4" t="s">
        <v>3114</v>
      </c>
      <c r="DW123" s="4" t="s">
        <v>277</v>
      </c>
      <c r="GN123" s="4" t="s">
        <v>3115</v>
      </c>
      <c r="HO123" s="4" t="s">
        <v>300</v>
      </c>
      <c r="HR123" s="4" t="s">
        <v>278</v>
      </c>
      <c r="HS123" s="4" t="s">
        <v>278</v>
      </c>
      <c r="HT123" s="4" t="s">
        <v>241</v>
      </c>
      <c r="HU123" s="4" t="s">
        <v>241</v>
      </c>
      <c r="HV123" s="4" t="s">
        <v>241</v>
      </c>
      <c r="HW123" s="4" t="s">
        <v>241</v>
      </c>
      <c r="HX123" s="4" t="s">
        <v>241</v>
      </c>
      <c r="HY123" s="4" t="s">
        <v>241</v>
      </c>
      <c r="HZ123" s="4" t="s">
        <v>241</v>
      </c>
      <c r="IA123" s="4" t="s">
        <v>241</v>
      </c>
      <c r="IB123" s="4" t="s">
        <v>241</v>
      </c>
      <c r="IC123" s="4" t="s">
        <v>241</v>
      </c>
      <c r="ID123" s="4" t="s">
        <v>241</v>
      </c>
      <c r="IE123" s="4" t="s">
        <v>241</v>
      </c>
      <c r="IF123" s="4" t="s">
        <v>241</v>
      </c>
    </row>
    <row r="124" spans="1:240" x14ac:dyDescent="0.4">
      <c r="A124" s="4">
        <v>2</v>
      </c>
      <c r="B124" s="4" t="s">
        <v>239</v>
      </c>
      <c r="C124" s="4">
        <v>128</v>
      </c>
      <c r="D124" s="4">
        <v>1</v>
      </c>
      <c r="E124" s="4">
        <v>3</v>
      </c>
      <c r="F124" s="4" t="s">
        <v>240</v>
      </c>
      <c r="G124" s="4" t="s">
        <v>241</v>
      </c>
      <c r="H124" s="4" t="s">
        <v>241</v>
      </c>
      <c r="I124" s="4" t="s">
        <v>3116</v>
      </c>
      <c r="J124" s="4" t="s">
        <v>247</v>
      </c>
      <c r="K124" s="4" t="s">
        <v>256</v>
      </c>
      <c r="L124" s="4" t="s">
        <v>250</v>
      </c>
      <c r="M124" s="5" t="s">
        <v>3118</v>
      </c>
      <c r="N124" s="4" t="s">
        <v>3105</v>
      </c>
      <c r="O124" s="6">
        <f>18.7</f>
        <v>18.7</v>
      </c>
      <c r="P124" s="4" t="s">
        <v>276</v>
      </c>
      <c r="Q124" s="6">
        <f>317313</f>
        <v>317313</v>
      </c>
      <c r="R124" s="6">
        <f>1570800</f>
        <v>1570800</v>
      </c>
      <c r="S124" s="5" t="s">
        <v>3117</v>
      </c>
      <c r="T124" s="4" t="s">
        <v>274</v>
      </c>
      <c r="U124" s="4" t="s">
        <v>365</v>
      </c>
      <c r="V124" s="6">
        <f>65973</f>
        <v>65973</v>
      </c>
      <c r="W124" s="6">
        <f>1253487</f>
        <v>1253487</v>
      </c>
      <c r="X124" s="4" t="s">
        <v>243</v>
      </c>
      <c r="Y124" s="4" t="s">
        <v>244</v>
      </c>
      <c r="Z124" s="4" t="s">
        <v>246</v>
      </c>
      <c r="AA124" s="4" t="s">
        <v>241</v>
      </c>
      <c r="AD124" s="4" t="s">
        <v>241</v>
      </c>
      <c r="AE124" s="5" t="s">
        <v>241</v>
      </c>
      <c r="AF124" s="5" t="s">
        <v>241</v>
      </c>
      <c r="AH124" s="5" t="s">
        <v>241</v>
      </c>
      <c r="AI124" s="5" t="s">
        <v>249</v>
      </c>
      <c r="AJ124" s="4" t="s">
        <v>251</v>
      </c>
      <c r="AK124" s="4" t="s">
        <v>252</v>
      </c>
      <c r="AQ124" s="4" t="s">
        <v>241</v>
      </c>
      <c r="AR124" s="4" t="s">
        <v>241</v>
      </c>
      <c r="AS124" s="4" t="s">
        <v>241</v>
      </c>
      <c r="AT124" s="5" t="s">
        <v>241</v>
      </c>
      <c r="AU124" s="5" t="s">
        <v>241</v>
      </c>
      <c r="AV124" s="5" t="s">
        <v>241</v>
      </c>
      <c r="AY124" s="4" t="s">
        <v>286</v>
      </c>
      <c r="AZ124" s="4" t="s">
        <v>286</v>
      </c>
      <c r="BA124" s="4" t="s">
        <v>254</v>
      </c>
      <c r="BB124" s="4" t="s">
        <v>287</v>
      </c>
      <c r="BC124" s="4" t="s">
        <v>255</v>
      </c>
      <c r="BD124" s="4" t="s">
        <v>241</v>
      </c>
      <c r="BE124" s="4" t="s">
        <v>257</v>
      </c>
      <c r="BF124" s="4" t="s">
        <v>241</v>
      </c>
      <c r="BH124" s="4" t="s">
        <v>258</v>
      </c>
      <c r="BJ124" s="4" t="s">
        <v>288</v>
      </c>
      <c r="BK124" s="5" t="s">
        <v>289</v>
      </c>
      <c r="BL124" s="4" t="s">
        <v>290</v>
      </c>
      <c r="BM124" s="4" t="s">
        <v>290</v>
      </c>
      <c r="BN124" s="4" t="s">
        <v>241</v>
      </c>
      <c r="BO124" s="6">
        <f>0</f>
        <v>0</v>
      </c>
      <c r="BP124" s="6">
        <f>-65973</f>
        <v>-65973</v>
      </c>
      <c r="BQ124" s="4" t="s">
        <v>263</v>
      </c>
      <c r="BR124" s="4" t="s">
        <v>264</v>
      </c>
      <c r="BS124" s="4" t="s">
        <v>241</v>
      </c>
      <c r="BT124" s="4" t="s">
        <v>241</v>
      </c>
      <c r="BU124" s="4" t="s">
        <v>241</v>
      </c>
      <c r="BV124" s="4" t="s">
        <v>241</v>
      </c>
      <c r="CE124" s="4" t="s">
        <v>264</v>
      </c>
      <c r="CF124" s="4" t="s">
        <v>241</v>
      </c>
      <c r="CG124" s="4" t="s">
        <v>241</v>
      </c>
      <c r="CK124" s="4" t="s">
        <v>291</v>
      </c>
      <c r="CL124" s="4" t="s">
        <v>266</v>
      </c>
      <c r="CM124" s="4" t="s">
        <v>241</v>
      </c>
      <c r="CO124" s="4" t="s">
        <v>364</v>
      </c>
      <c r="CP124" s="5" t="s">
        <v>268</v>
      </c>
      <c r="CQ124" s="4" t="s">
        <v>269</v>
      </c>
      <c r="CR124" s="4" t="s">
        <v>270</v>
      </c>
      <c r="CS124" s="4" t="s">
        <v>293</v>
      </c>
      <c r="CT124" s="4" t="s">
        <v>241</v>
      </c>
      <c r="CU124" s="4">
        <v>4.2000000000000003E-2</v>
      </c>
      <c r="CV124" s="4" t="s">
        <v>271</v>
      </c>
      <c r="CW124" s="4" t="s">
        <v>272</v>
      </c>
      <c r="CX124" s="4" t="s">
        <v>273</v>
      </c>
      <c r="CY124" s="6">
        <f>0</f>
        <v>0</v>
      </c>
      <c r="CZ124" s="6">
        <f>1570800</f>
        <v>1570800</v>
      </c>
      <c r="DA124" s="6">
        <f>317313</f>
        <v>317313</v>
      </c>
      <c r="DC124" s="4" t="s">
        <v>241</v>
      </c>
      <c r="DD124" s="4" t="s">
        <v>241</v>
      </c>
      <c r="DF124" s="4" t="s">
        <v>241</v>
      </c>
      <c r="DG124" s="6">
        <f>0</f>
        <v>0</v>
      </c>
      <c r="DI124" s="4" t="s">
        <v>241</v>
      </c>
      <c r="DJ124" s="4" t="s">
        <v>241</v>
      </c>
      <c r="DK124" s="4" t="s">
        <v>241</v>
      </c>
      <c r="DL124" s="4" t="s">
        <v>241</v>
      </c>
      <c r="DM124" s="4" t="s">
        <v>277</v>
      </c>
      <c r="DN124" s="4" t="s">
        <v>278</v>
      </c>
      <c r="DO124" s="6">
        <f>18.7</f>
        <v>18.7</v>
      </c>
      <c r="DP124" s="4" t="s">
        <v>241</v>
      </c>
      <c r="DQ124" s="4" t="s">
        <v>241</v>
      </c>
      <c r="DR124" s="4" t="s">
        <v>241</v>
      </c>
      <c r="DS124" s="4" t="s">
        <v>241</v>
      </c>
      <c r="DV124" s="4" t="s">
        <v>3119</v>
      </c>
      <c r="DW124" s="4" t="s">
        <v>277</v>
      </c>
      <c r="GN124" s="4" t="s">
        <v>3120</v>
      </c>
      <c r="HO124" s="4" t="s">
        <v>300</v>
      </c>
      <c r="HR124" s="4" t="s">
        <v>278</v>
      </c>
      <c r="HS124" s="4" t="s">
        <v>278</v>
      </c>
      <c r="HT124" s="4" t="s">
        <v>241</v>
      </c>
      <c r="HU124" s="4" t="s">
        <v>241</v>
      </c>
      <c r="HV124" s="4" t="s">
        <v>241</v>
      </c>
      <c r="HW124" s="4" t="s">
        <v>241</v>
      </c>
      <c r="HX124" s="4" t="s">
        <v>241</v>
      </c>
      <c r="HY124" s="4" t="s">
        <v>241</v>
      </c>
      <c r="HZ124" s="4" t="s">
        <v>241</v>
      </c>
      <c r="IA124" s="4" t="s">
        <v>241</v>
      </c>
      <c r="IB124" s="4" t="s">
        <v>241</v>
      </c>
      <c r="IC124" s="4" t="s">
        <v>241</v>
      </c>
      <c r="ID124" s="4" t="s">
        <v>241</v>
      </c>
      <c r="IE124" s="4" t="s">
        <v>241</v>
      </c>
      <c r="IF124" s="4" t="s">
        <v>241</v>
      </c>
    </row>
    <row r="125" spans="1:240" x14ac:dyDescent="0.4">
      <c r="A125" s="4">
        <v>2</v>
      </c>
      <c r="B125" s="4" t="s">
        <v>239</v>
      </c>
      <c r="C125" s="4">
        <v>129</v>
      </c>
      <c r="D125" s="4">
        <v>1</v>
      </c>
      <c r="E125" s="4">
        <v>1</v>
      </c>
      <c r="F125" s="4" t="s">
        <v>240</v>
      </c>
      <c r="G125" s="4" t="s">
        <v>241</v>
      </c>
      <c r="H125" s="4" t="s">
        <v>241</v>
      </c>
      <c r="I125" s="4" t="s">
        <v>3484</v>
      </c>
      <c r="J125" s="4" t="s">
        <v>247</v>
      </c>
      <c r="K125" s="4" t="s">
        <v>256</v>
      </c>
      <c r="L125" s="4" t="s">
        <v>250</v>
      </c>
      <c r="M125" s="5" t="s">
        <v>3485</v>
      </c>
      <c r="N125" s="4" t="s">
        <v>242</v>
      </c>
      <c r="O125" s="6">
        <f>3.4</f>
        <v>3.4</v>
      </c>
      <c r="P125" s="4" t="s">
        <v>276</v>
      </c>
      <c r="Q125" s="6">
        <f>1</f>
        <v>1</v>
      </c>
      <c r="R125" s="6">
        <f>204000</f>
        <v>204000</v>
      </c>
      <c r="S125" s="5" t="s">
        <v>248</v>
      </c>
      <c r="T125" s="4" t="s">
        <v>348</v>
      </c>
      <c r="U125" s="4" t="s">
        <v>275</v>
      </c>
      <c r="W125" s="6">
        <f>203999</f>
        <v>203999</v>
      </c>
      <c r="X125" s="4" t="s">
        <v>243</v>
      </c>
      <c r="Y125" s="4" t="s">
        <v>244</v>
      </c>
      <c r="Z125" s="4" t="s">
        <v>246</v>
      </c>
      <c r="AA125" s="4" t="s">
        <v>241</v>
      </c>
      <c r="AD125" s="4" t="s">
        <v>241</v>
      </c>
      <c r="AF125" s="5" t="s">
        <v>241</v>
      </c>
      <c r="AI125" s="5" t="s">
        <v>249</v>
      </c>
      <c r="AJ125" s="4" t="s">
        <v>251</v>
      </c>
      <c r="AK125" s="4" t="s">
        <v>252</v>
      </c>
      <c r="BA125" s="4" t="s">
        <v>254</v>
      </c>
      <c r="BB125" s="4" t="s">
        <v>241</v>
      </c>
      <c r="BC125" s="4" t="s">
        <v>255</v>
      </c>
      <c r="BD125" s="4" t="s">
        <v>241</v>
      </c>
      <c r="BE125" s="4" t="s">
        <v>257</v>
      </c>
      <c r="BF125" s="4" t="s">
        <v>241</v>
      </c>
      <c r="BH125" s="4" t="s">
        <v>258</v>
      </c>
      <c r="BJ125" s="4" t="s">
        <v>367</v>
      </c>
      <c r="BK125" s="5" t="s">
        <v>249</v>
      </c>
      <c r="BL125" s="4" t="s">
        <v>261</v>
      </c>
      <c r="BM125" s="4" t="s">
        <v>262</v>
      </c>
      <c r="BN125" s="4" t="s">
        <v>241</v>
      </c>
      <c r="BO125" s="6">
        <f>0</f>
        <v>0</v>
      </c>
      <c r="BP125" s="6">
        <f>0</f>
        <v>0</v>
      </c>
      <c r="BQ125" s="4" t="s">
        <v>263</v>
      </c>
      <c r="BR125" s="4" t="s">
        <v>264</v>
      </c>
      <c r="CF125" s="4" t="s">
        <v>241</v>
      </c>
      <c r="CG125" s="4" t="s">
        <v>241</v>
      </c>
      <c r="CK125" s="4" t="s">
        <v>265</v>
      </c>
      <c r="CL125" s="4" t="s">
        <v>266</v>
      </c>
      <c r="CM125" s="4" t="s">
        <v>241</v>
      </c>
      <c r="CO125" s="4" t="s">
        <v>267</v>
      </c>
      <c r="CP125" s="5" t="s">
        <v>268</v>
      </c>
      <c r="CQ125" s="4" t="s">
        <v>269</v>
      </c>
      <c r="CR125" s="4" t="s">
        <v>270</v>
      </c>
      <c r="CS125" s="4" t="s">
        <v>241</v>
      </c>
      <c r="CT125" s="4" t="s">
        <v>241</v>
      </c>
      <c r="CU125" s="4">
        <v>0</v>
      </c>
      <c r="CV125" s="4" t="s">
        <v>271</v>
      </c>
      <c r="CW125" s="4" t="s">
        <v>272</v>
      </c>
      <c r="CX125" s="4" t="s">
        <v>347</v>
      </c>
      <c r="CZ125" s="6">
        <f>204000</f>
        <v>204000</v>
      </c>
      <c r="DA125" s="6">
        <f>0</f>
        <v>0</v>
      </c>
      <c r="DC125" s="4" t="s">
        <v>241</v>
      </c>
      <c r="DD125" s="4" t="s">
        <v>241</v>
      </c>
      <c r="DF125" s="4" t="s">
        <v>241</v>
      </c>
      <c r="DI125" s="4" t="s">
        <v>241</v>
      </c>
      <c r="DJ125" s="4" t="s">
        <v>241</v>
      </c>
      <c r="DK125" s="4" t="s">
        <v>241</v>
      </c>
      <c r="DL125" s="4" t="s">
        <v>241</v>
      </c>
      <c r="DM125" s="4" t="s">
        <v>277</v>
      </c>
      <c r="DN125" s="4" t="s">
        <v>278</v>
      </c>
      <c r="DO125" s="6">
        <f>3.4</f>
        <v>3.4</v>
      </c>
      <c r="DP125" s="4" t="s">
        <v>241</v>
      </c>
      <c r="DQ125" s="4" t="s">
        <v>241</v>
      </c>
      <c r="DR125" s="4" t="s">
        <v>241</v>
      </c>
      <c r="DS125" s="4" t="s">
        <v>241</v>
      </c>
      <c r="DV125" s="4" t="s">
        <v>3486</v>
      </c>
      <c r="DW125" s="4" t="s">
        <v>277</v>
      </c>
      <c r="HO125" s="4" t="s">
        <v>277</v>
      </c>
      <c r="HR125" s="4" t="s">
        <v>278</v>
      </c>
      <c r="HS125" s="4" t="s">
        <v>278</v>
      </c>
    </row>
    <row r="126" spans="1:240" x14ac:dyDescent="0.4">
      <c r="A126" s="4">
        <v>2</v>
      </c>
      <c r="B126" s="4" t="s">
        <v>239</v>
      </c>
      <c r="C126" s="4">
        <v>130</v>
      </c>
      <c r="D126" s="4">
        <v>1</v>
      </c>
      <c r="E126" s="4">
        <v>1</v>
      </c>
      <c r="F126" s="4" t="s">
        <v>240</v>
      </c>
      <c r="G126" s="4" t="s">
        <v>241</v>
      </c>
      <c r="H126" s="4" t="s">
        <v>241</v>
      </c>
      <c r="I126" s="4" t="s">
        <v>3487</v>
      </c>
      <c r="J126" s="4" t="s">
        <v>247</v>
      </c>
      <c r="K126" s="4" t="s">
        <v>256</v>
      </c>
      <c r="L126" s="4" t="s">
        <v>250</v>
      </c>
      <c r="M126" s="5" t="s">
        <v>3488</v>
      </c>
      <c r="N126" s="4" t="s">
        <v>242</v>
      </c>
      <c r="O126" s="6">
        <f>9.6</f>
        <v>9.6</v>
      </c>
      <c r="P126" s="4" t="s">
        <v>276</v>
      </c>
      <c r="Q126" s="6">
        <f>1</f>
        <v>1</v>
      </c>
      <c r="R126" s="6">
        <f>576000</f>
        <v>576000</v>
      </c>
      <c r="S126" s="5" t="s">
        <v>248</v>
      </c>
      <c r="T126" s="4" t="s">
        <v>348</v>
      </c>
      <c r="U126" s="4" t="s">
        <v>275</v>
      </c>
      <c r="W126" s="6">
        <f>575999</f>
        <v>575999</v>
      </c>
      <c r="X126" s="4" t="s">
        <v>243</v>
      </c>
      <c r="Y126" s="4" t="s">
        <v>244</v>
      </c>
      <c r="Z126" s="4" t="s">
        <v>246</v>
      </c>
      <c r="AA126" s="4" t="s">
        <v>241</v>
      </c>
      <c r="AD126" s="4" t="s">
        <v>241</v>
      </c>
      <c r="AF126" s="5" t="s">
        <v>241</v>
      </c>
      <c r="AI126" s="5" t="s">
        <v>249</v>
      </c>
      <c r="AJ126" s="4" t="s">
        <v>251</v>
      </c>
      <c r="AK126" s="4" t="s">
        <v>252</v>
      </c>
      <c r="BA126" s="4" t="s">
        <v>254</v>
      </c>
      <c r="BB126" s="4" t="s">
        <v>241</v>
      </c>
      <c r="BC126" s="4" t="s">
        <v>255</v>
      </c>
      <c r="BD126" s="4" t="s">
        <v>241</v>
      </c>
      <c r="BE126" s="4" t="s">
        <v>257</v>
      </c>
      <c r="BF126" s="4" t="s">
        <v>241</v>
      </c>
      <c r="BH126" s="4" t="s">
        <v>258</v>
      </c>
      <c r="BJ126" s="4" t="s">
        <v>367</v>
      </c>
      <c r="BK126" s="5" t="s">
        <v>249</v>
      </c>
      <c r="BL126" s="4" t="s">
        <v>261</v>
      </c>
      <c r="BM126" s="4" t="s">
        <v>262</v>
      </c>
      <c r="BN126" s="4" t="s">
        <v>241</v>
      </c>
      <c r="BO126" s="6">
        <f>0</f>
        <v>0</v>
      </c>
      <c r="BP126" s="6">
        <f>0</f>
        <v>0</v>
      </c>
      <c r="BQ126" s="4" t="s">
        <v>263</v>
      </c>
      <c r="BR126" s="4" t="s">
        <v>264</v>
      </c>
      <c r="CF126" s="4" t="s">
        <v>241</v>
      </c>
      <c r="CG126" s="4" t="s">
        <v>241</v>
      </c>
      <c r="CK126" s="4" t="s">
        <v>265</v>
      </c>
      <c r="CL126" s="4" t="s">
        <v>266</v>
      </c>
      <c r="CM126" s="4" t="s">
        <v>241</v>
      </c>
      <c r="CO126" s="4" t="s">
        <v>267</v>
      </c>
      <c r="CP126" s="5" t="s">
        <v>268</v>
      </c>
      <c r="CQ126" s="4" t="s">
        <v>269</v>
      </c>
      <c r="CR126" s="4" t="s">
        <v>270</v>
      </c>
      <c r="CS126" s="4" t="s">
        <v>241</v>
      </c>
      <c r="CT126" s="4" t="s">
        <v>241</v>
      </c>
      <c r="CU126" s="4">
        <v>0</v>
      </c>
      <c r="CV126" s="4" t="s">
        <v>271</v>
      </c>
      <c r="CW126" s="4" t="s">
        <v>272</v>
      </c>
      <c r="CX126" s="4" t="s">
        <v>347</v>
      </c>
      <c r="CZ126" s="6">
        <f>576000</f>
        <v>576000</v>
      </c>
      <c r="DA126" s="6">
        <f>0</f>
        <v>0</v>
      </c>
      <c r="DC126" s="4" t="s">
        <v>241</v>
      </c>
      <c r="DD126" s="4" t="s">
        <v>241</v>
      </c>
      <c r="DF126" s="4" t="s">
        <v>241</v>
      </c>
      <c r="DI126" s="4" t="s">
        <v>241</v>
      </c>
      <c r="DJ126" s="4" t="s">
        <v>241</v>
      </c>
      <c r="DK126" s="4" t="s">
        <v>241</v>
      </c>
      <c r="DL126" s="4" t="s">
        <v>241</v>
      </c>
      <c r="DM126" s="4" t="s">
        <v>277</v>
      </c>
      <c r="DN126" s="4" t="s">
        <v>278</v>
      </c>
      <c r="DO126" s="6">
        <f>9.6</f>
        <v>9.6</v>
      </c>
      <c r="DP126" s="4" t="s">
        <v>241</v>
      </c>
      <c r="DQ126" s="4" t="s">
        <v>241</v>
      </c>
      <c r="DR126" s="4" t="s">
        <v>241</v>
      </c>
      <c r="DS126" s="4" t="s">
        <v>241</v>
      </c>
      <c r="DV126" s="4" t="s">
        <v>3489</v>
      </c>
      <c r="DW126" s="4" t="s">
        <v>277</v>
      </c>
      <c r="HO126" s="4" t="s">
        <v>277</v>
      </c>
      <c r="HR126" s="4" t="s">
        <v>278</v>
      </c>
      <c r="HS126" s="4" t="s">
        <v>278</v>
      </c>
    </row>
    <row r="127" spans="1:240" x14ac:dyDescent="0.4">
      <c r="A127" s="4">
        <v>2</v>
      </c>
      <c r="B127" s="4" t="s">
        <v>239</v>
      </c>
      <c r="C127" s="4">
        <v>131</v>
      </c>
      <c r="D127" s="4">
        <v>1</v>
      </c>
      <c r="E127" s="4">
        <v>1</v>
      </c>
      <c r="F127" s="4" t="s">
        <v>240</v>
      </c>
      <c r="G127" s="4" t="s">
        <v>241</v>
      </c>
      <c r="H127" s="4" t="s">
        <v>241</v>
      </c>
      <c r="I127" s="4" t="s">
        <v>3490</v>
      </c>
      <c r="J127" s="4" t="s">
        <v>247</v>
      </c>
      <c r="K127" s="4" t="s">
        <v>256</v>
      </c>
      <c r="L127" s="4" t="s">
        <v>250</v>
      </c>
      <c r="M127" s="5" t="s">
        <v>3492</v>
      </c>
      <c r="N127" s="4" t="s">
        <v>3121</v>
      </c>
      <c r="O127" s="6">
        <f>12.5</f>
        <v>12.5</v>
      </c>
      <c r="P127" s="4" t="s">
        <v>276</v>
      </c>
      <c r="Q127" s="6">
        <f>1</f>
        <v>1</v>
      </c>
      <c r="R127" s="6">
        <f>1525000</f>
        <v>1525000</v>
      </c>
      <c r="S127" s="5" t="s">
        <v>3491</v>
      </c>
      <c r="T127" s="4" t="s">
        <v>348</v>
      </c>
      <c r="U127" s="4" t="s">
        <v>404</v>
      </c>
      <c r="W127" s="6">
        <f>1524999</f>
        <v>1524999</v>
      </c>
      <c r="X127" s="4" t="s">
        <v>243</v>
      </c>
      <c r="Y127" s="4" t="s">
        <v>244</v>
      </c>
      <c r="Z127" s="4" t="s">
        <v>246</v>
      </c>
      <c r="AA127" s="4" t="s">
        <v>241</v>
      </c>
      <c r="AD127" s="4" t="s">
        <v>241</v>
      </c>
      <c r="AF127" s="5" t="s">
        <v>241</v>
      </c>
      <c r="AI127" s="5" t="s">
        <v>249</v>
      </c>
      <c r="AJ127" s="4" t="s">
        <v>251</v>
      </c>
      <c r="AK127" s="4" t="s">
        <v>252</v>
      </c>
      <c r="BA127" s="4" t="s">
        <v>254</v>
      </c>
      <c r="BB127" s="4" t="s">
        <v>241</v>
      </c>
      <c r="BC127" s="4" t="s">
        <v>255</v>
      </c>
      <c r="BD127" s="4" t="s">
        <v>241</v>
      </c>
      <c r="BE127" s="4" t="s">
        <v>257</v>
      </c>
      <c r="BF127" s="4" t="s">
        <v>241</v>
      </c>
      <c r="BH127" s="4" t="s">
        <v>258</v>
      </c>
      <c r="BJ127" s="4" t="s">
        <v>367</v>
      </c>
      <c r="BK127" s="5" t="s">
        <v>249</v>
      </c>
      <c r="BL127" s="4" t="s">
        <v>261</v>
      </c>
      <c r="BM127" s="4" t="s">
        <v>262</v>
      </c>
      <c r="BN127" s="4" t="s">
        <v>241</v>
      </c>
      <c r="BO127" s="6">
        <f>0</f>
        <v>0</v>
      </c>
      <c r="BP127" s="6">
        <f>0</f>
        <v>0</v>
      </c>
      <c r="BQ127" s="4" t="s">
        <v>263</v>
      </c>
      <c r="BR127" s="4" t="s">
        <v>264</v>
      </c>
      <c r="CF127" s="4" t="s">
        <v>241</v>
      </c>
      <c r="CG127" s="4" t="s">
        <v>241</v>
      </c>
      <c r="CK127" s="4" t="s">
        <v>291</v>
      </c>
      <c r="CL127" s="4" t="s">
        <v>266</v>
      </c>
      <c r="CM127" s="4" t="s">
        <v>241</v>
      </c>
      <c r="CO127" s="4" t="s">
        <v>468</v>
      </c>
      <c r="CP127" s="5" t="s">
        <v>268</v>
      </c>
      <c r="CQ127" s="4" t="s">
        <v>269</v>
      </c>
      <c r="CR127" s="4" t="s">
        <v>270</v>
      </c>
      <c r="CS127" s="4" t="s">
        <v>241</v>
      </c>
      <c r="CT127" s="4" t="s">
        <v>241</v>
      </c>
      <c r="CU127" s="4">
        <v>0</v>
      </c>
      <c r="CV127" s="4" t="s">
        <v>271</v>
      </c>
      <c r="CW127" s="4" t="s">
        <v>272</v>
      </c>
      <c r="CX127" s="4" t="s">
        <v>347</v>
      </c>
      <c r="CZ127" s="6">
        <f>1525000</f>
        <v>1525000</v>
      </c>
      <c r="DA127" s="6">
        <f>0</f>
        <v>0</v>
      </c>
      <c r="DC127" s="4" t="s">
        <v>241</v>
      </c>
      <c r="DD127" s="4" t="s">
        <v>241</v>
      </c>
      <c r="DF127" s="4" t="s">
        <v>241</v>
      </c>
      <c r="DI127" s="4" t="s">
        <v>241</v>
      </c>
      <c r="DJ127" s="4" t="s">
        <v>241</v>
      </c>
      <c r="DK127" s="4" t="s">
        <v>241</v>
      </c>
      <c r="DL127" s="4" t="s">
        <v>241</v>
      </c>
      <c r="DM127" s="4" t="s">
        <v>277</v>
      </c>
      <c r="DN127" s="4" t="s">
        <v>278</v>
      </c>
      <c r="DO127" s="6">
        <f>12.5</f>
        <v>12.5</v>
      </c>
      <c r="DP127" s="4" t="s">
        <v>241</v>
      </c>
      <c r="DQ127" s="4" t="s">
        <v>241</v>
      </c>
      <c r="DR127" s="4" t="s">
        <v>241</v>
      </c>
      <c r="DS127" s="4" t="s">
        <v>241</v>
      </c>
      <c r="DV127" s="4" t="s">
        <v>3493</v>
      </c>
      <c r="DW127" s="4" t="s">
        <v>277</v>
      </c>
      <c r="HO127" s="4" t="s">
        <v>277</v>
      </c>
      <c r="HR127" s="4" t="s">
        <v>278</v>
      </c>
      <c r="HS127" s="4" t="s">
        <v>278</v>
      </c>
    </row>
    <row r="128" spans="1:240" x14ac:dyDescent="0.4">
      <c r="A128" s="4">
        <v>2</v>
      </c>
      <c r="B128" s="4" t="s">
        <v>239</v>
      </c>
      <c r="C128" s="4">
        <v>132</v>
      </c>
      <c r="D128" s="4">
        <v>1</v>
      </c>
      <c r="E128" s="4">
        <v>1</v>
      </c>
      <c r="F128" s="4" t="s">
        <v>240</v>
      </c>
      <c r="G128" s="4" t="s">
        <v>241</v>
      </c>
      <c r="H128" s="4" t="s">
        <v>241</v>
      </c>
      <c r="I128" s="4" t="s">
        <v>3490</v>
      </c>
      <c r="J128" s="4" t="s">
        <v>247</v>
      </c>
      <c r="K128" s="4" t="s">
        <v>256</v>
      </c>
      <c r="L128" s="4" t="s">
        <v>250</v>
      </c>
      <c r="M128" s="5" t="s">
        <v>3492</v>
      </c>
      <c r="N128" s="4" t="s">
        <v>242</v>
      </c>
      <c r="O128" s="6">
        <f>12.5</f>
        <v>12.5</v>
      </c>
      <c r="P128" s="4" t="s">
        <v>276</v>
      </c>
      <c r="Q128" s="6">
        <f>1</f>
        <v>1</v>
      </c>
      <c r="R128" s="6">
        <f>750000</f>
        <v>750000</v>
      </c>
      <c r="S128" s="5" t="s">
        <v>248</v>
      </c>
      <c r="T128" s="4" t="s">
        <v>348</v>
      </c>
      <c r="U128" s="4" t="s">
        <v>275</v>
      </c>
      <c r="W128" s="6">
        <f>749999</f>
        <v>749999</v>
      </c>
      <c r="X128" s="4" t="s">
        <v>243</v>
      </c>
      <c r="Y128" s="4" t="s">
        <v>244</v>
      </c>
      <c r="Z128" s="4" t="s">
        <v>246</v>
      </c>
      <c r="AA128" s="4" t="s">
        <v>241</v>
      </c>
      <c r="AD128" s="4" t="s">
        <v>241</v>
      </c>
      <c r="AF128" s="5" t="s">
        <v>241</v>
      </c>
      <c r="AI128" s="5" t="s">
        <v>249</v>
      </c>
      <c r="AJ128" s="4" t="s">
        <v>251</v>
      </c>
      <c r="AK128" s="4" t="s">
        <v>252</v>
      </c>
      <c r="BA128" s="4" t="s">
        <v>254</v>
      </c>
      <c r="BB128" s="4" t="s">
        <v>241</v>
      </c>
      <c r="BC128" s="4" t="s">
        <v>255</v>
      </c>
      <c r="BD128" s="4" t="s">
        <v>241</v>
      </c>
      <c r="BE128" s="4" t="s">
        <v>257</v>
      </c>
      <c r="BF128" s="4" t="s">
        <v>241</v>
      </c>
      <c r="BJ128" s="4" t="s">
        <v>374</v>
      </c>
      <c r="BK128" s="5" t="s">
        <v>375</v>
      </c>
      <c r="BL128" s="4" t="s">
        <v>261</v>
      </c>
      <c r="BM128" s="4" t="s">
        <v>262</v>
      </c>
      <c r="BN128" s="4" t="s">
        <v>241</v>
      </c>
      <c r="BO128" s="6">
        <f>0</f>
        <v>0</v>
      </c>
      <c r="BP128" s="6">
        <f>0</f>
        <v>0</v>
      </c>
      <c r="BQ128" s="4" t="s">
        <v>263</v>
      </c>
      <c r="BR128" s="4" t="s">
        <v>264</v>
      </c>
      <c r="CF128" s="4" t="s">
        <v>241</v>
      </c>
      <c r="CG128" s="4" t="s">
        <v>241</v>
      </c>
      <c r="CK128" s="4" t="s">
        <v>265</v>
      </c>
      <c r="CL128" s="4" t="s">
        <v>266</v>
      </c>
      <c r="CM128" s="4" t="s">
        <v>241</v>
      </c>
      <c r="CO128" s="4" t="s">
        <v>267</v>
      </c>
      <c r="CP128" s="5" t="s">
        <v>268</v>
      </c>
      <c r="CQ128" s="4" t="s">
        <v>269</v>
      </c>
      <c r="CR128" s="4" t="s">
        <v>270</v>
      </c>
      <c r="CS128" s="4" t="s">
        <v>241</v>
      </c>
      <c r="CT128" s="4" t="s">
        <v>241</v>
      </c>
      <c r="CU128" s="4">
        <v>0</v>
      </c>
      <c r="CV128" s="4" t="s">
        <v>271</v>
      </c>
      <c r="CW128" s="4" t="s">
        <v>272</v>
      </c>
      <c r="CX128" s="4" t="s">
        <v>347</v>
      </c>
      <c r="CZ128" s="6">
        <f>750000</f>
        <v>750000</v>
      </c>
      <c r="DA128" s="6">
        <f>0</f>
        <v>0</v>
      </c>
      <c r="DC128" s="4" t="s">
        <v>241</v>
      </c>
      <c r="DD128" s="4" t="s">
        <v>241</v>
      </c>
      <c r="DF128" s="4" t="s">
        <v>241</v>
      </c>
      <c r="DI128" s="4" t="s">
        <v>241</v>
      </c>
      <c r="DJ128" s="4" t="s">
        <v>241</v>
      </c>
      <c r="DK128" s="4" t="s">
        <v>241</v>
      </c>
      <c r="DL128" s="4" t="s">
        <v>241</v>
      </c>
      <c r="DM128" s="4" t="s">
        <v>277</v>
      </c>
      <c r="DN128" s="4" t="s">
        <v>278</v>
      </c>
      <c r="DO128" s="6">
        <f>12.5</f>
        <v>12.5</v>
      </c>
      <c r="DP128" s="4" t="s">
        <v>241</v>
      </c>
      <c r="DQ128" s="4" t="s">
        <v>241</v>
      </c>
      <c r="DR128" s="4" t="s">
        <v>241</v>
      </c>
      <c r="DS128" s="4" t="s">
        <v>241</v>
      </c>
      <c r="DV128" s="4" t="s">
        <v>3493</v>
      </c>
      <c r="DW128" s="4" t="s">
        <v>323</v>
      </c>
      <c r="HO128" s="4" t="s">
        <v>277</v>
      </c>
      <c r="HR128" s="4" t="s">
        <v>278</v>
      </c>
      <c r="HS128" s="4" t="s">
        <v>278</v>
      </c>
    </row>
    <row r="129" spans="1:240" x14ac:dyDescent="0.4">
      <c r="A129" s="4">
        <v>2</v>
      </c>
      <c r="B129" s="4" t="s">
        <v>239</v>
      </c>
      <c r="C129" s="4">
        <v>133</v>
      </c>
      <c r="D129" s="4">
        <v>1</v>
      </c>
      <c r="E129" s="4">
        <v>3</v>
      </c>
      <c r="F129" s="4" t="s">
        <v>240</v>
      </c>
      <c r="G129" s="4" t="s">
        <v>241</v>
      </c>
      <c r="H129" s="4" t="s">
        <v>241</v>
      </c>
      <c r="I129" s="4" t="s">
        <v>3122</v>
      </c>
      <c r="J129" s="4" t="s">
        <v>247</v>
      </c>
      <c r="K129" s="4" t="s">
        <v>256</v>
      </c>
      <c r="L129" s="4" t="s">
        <v>250</v>
      </c>
      <c r="M129" s="5" t="s">
        <v>3124</v>
      </c>
      <c r="N129" s="4" t="s">
        <v>3121</v>
      </c>
      <c r="O129" s="6">
        <f>18</f>
        <v>18</v>
      </c>
      <c r="P129" s="4" t="s">
        <v>276</v>
      </c>
      <c r="Q129" s="6">
        <f>33660</f>
        <v>33660</v>
      </c>
      <c r="R129" s="6">
        <f>990000</f>
        <v>990000</v>
      </c>
      <c r="S129" s="5" t="s">
        <v>3123</v>
      </c>
      <c r="T129" s="4" t="s">
        <v>274</v>
      </c>
      <c r="U129" s="4" t="s">
        <v>314</v>
      </c>
      <c r="V129" s="6">
        <f>41580</f>
        <v>41580</v>
      </c>
      <c r="W129" s="6">
        <f>956340</f>
        <v>956340</v>
      </c>
      <c r="X129" s="4" t="s">
        <v>243</v>
      </c>
      <c r="Y129" s="4" t="s">
        <v>244</v>
      </c>
      <c r="Z129" s="4" t="s">
        <v>246</v>
      </c>
      <c r="AA129" s="4" t="s">
        <v>241</v>
      </c>
      <c r="AD129" s="4" t="s">
        <v>241</v>
      </c>
      <c r="AE129" s="5" t="s">
        <v>241</v>
      </c>
      <c r="AF129" s="5" t="s">
        <v>241</v>
      </c>
      <c r="AH129" s="5" t="s">
        <v>241</v>
      </c>
      <c r="AI129" s="5" t="s">
        <v>249</v>
      </c>
      <c r="AJ129" s="4" t="s">
        <v>251</v>
      </c>
      <c r="AK129" s="4" t="s">
        <v>252</v>
      </c>
      <c r="AQ129" s="4" t="s">
        <v>241</v>
      </c>
      <c r="AR129" s="4" t="s">
        <v>241</v>
      </c>
      <c r="AS129" s="4" t="s">
        <v>241</v>
      </c>
      <c r="AT129" s="5" t="s">
        <v>241</v>
      </c>
      <c r="AU129" s="5" t="s">
        <v>241</v>
      </c>
      <c r="AV129" s="5" t="s">
        <v>241</v>
      </c>
      <c r="AY129" s="4" t="s">
        <v>286</v>
      </c>
      <c r="AZ129" s="4" t="s">
        <v>286</v>
      </c>
      <c r="BA129" s="4" t="s">
        <v>254</v>
      </c>
      <c r="BB129" s="4" t="s">
        <v>287</v>
      </c>
      <c r="BC129" s="4" t="s">
        <v>255</v>
      </c>
      <c r="BD129" s="4" t="s">
        <v>241</v>
      </c>
      <c r="BE129" s="4" t="s">
        <v>257</v>
      </c>
      <c r="BF129" s="4" t="s">
        <v>241</v>
      </c>
      <c r="BH129" s="4" t="s">
        <v>258</v>
      </c>
      <c r="BJ129" s="4" t="s">
        <v>288</v>
      </c>
      <c r="BK129" s="5" t="s">
        <v>289</v>
      </c>
      <c r="BL129" s="4" t="s">
        <v>290</v>
      </c>
      <c r="BM129" s="4" t="s">
        <v>290</v>
      </c>
      <c r="BN129" s="4" t="s">
        <v>241</v>
      </c>
      <c r="BO129" s="6">
        <f>0</f>
        <v>0</v>
      </c>
      <c r="BP129" s="6">
        <f>-41580</f>
        <v>-41580</v>
      </c>
      <c r="BQ129" s="4" t="s">
        <v>263</v>
      </c>
      <c r="BR129" s="4" t="s">
        <v>264</v>
      </c>
      <c r="BS129" s="4" t="s">
        <v>241</v>
      </c>
      <c r="BT129" s="4" t="s">
        <v>241</v>
      </c>
      <c r="BU129" s="4" t="s">
        <v>241</v>
      </c>
      <c r="BV129" s="4" t="s">
        <v>241</v>
      </c>
      <c r="CE129" s="4" t="s">
        <v>264</v>
      </c>
      <c r="CF129" s="4" t="s">
        <v>241</v>
      </c>
      <c r="CG129" s="4" t="s">
        <v>241</v>
      </c>
      <c r="CK129" s="4" t="s">
        <v>291</v>
      </c>
      <c r="CL129" s="4" t="s">
        <v>266</v>
      </c>
      <c r="CM129" s="4" t="s">
        <v>241</v>
      </c>
      <c r="CO129" s="4" t="s">
        <v>313</v>
      </c>
      <c r="CP129" s="5" t="s">
        <v>268</v>
      </c>
      <c r="CQ129" s="4" t="s">
        <v>269</v>
      </c>
      <c r="CR129" s="4" t="s">
        <v>270</v>
      </c>
      <c r="CS129" s="4" t="s">
        <v>293</v>
      </c>
      <c r="CT129" s="4" t="s">
        <v>241</v>
      </c>
      <c r="CU129" s="4">
        <v>4.2000000000000003E-2</v>
      </c>
      <c r="CV129" s="4" t="s">
        <v>271</v>
      </c>
      <c r="CW129" s="4" t="s">
        <v>272</v>
      </c>
      <c r="CX129" s="4" t="s">
        <v>273</v>
      </c>
      <c r="CY129" s="6">
        <f>0</f>
        <v>0</v>
      </c>
      <c r="CZ129" s="6">
        <f>990000</f>
        <v>990000</v>
      </c>
      <c r="DA129" s="6">
        <f>33660</f>
        <v>33660</v>
      </c>
      <c r="DC129" s="4" t="s">
        <v>241</v>
      </c>
      <c r="DD129" s="4" t="s">
        <v>241</v>
      </c>
      <c r="DF129" s="4" t="s">
        <v>241</v>
      </c>
      <c r="DG129" s="6">
        <f>0</f>
        <v>0</v>
      </c>
      <c r="DI129" s="4" t="s">
        <v>241</v>
      </c>
      <c r="DJ129" s="4" t="s">
        <v>241</v>
      </c>
      <c r="DK129" s="4" t="s">
        <v>241</v>
      </c>
      <c r="DL129" s="4" t="s">
        <v>241</v>
      </c>
      <c r="DM129" s="4" t="s">
        <v>277</v>
      </c>
      <c r="DN129" s="4" t="s">
        <v>278</v>
      </c>
      <c r="DO129" s="6">
        <f>18</f>
        <v>18</v>
      </c>
      <c r="DP129" s="4" t="s">
        <v>241</v>
      </c>
      <c r="DQ129" s="4" t="s">
        <v>241</v>
      </c>
      <c r="DR129" s="4" t="s">
        <v>241</v>
      </c>
      <c r="DS129" s="4" t="s">
        <v>241</v>
      </c>
      <c r="DV129" s="4" t="s">
        <v>3125</v>
      </c>
      <c r="DW129" s="4" t="s">
        <v>277</v>
      </c>
      <c r="GN129" s="4" t="s">
        <v>3126</v>
      </c>
      <c r="HO129" s="4" t="s">
        <v>300</v>
      </c>
      <c r="HR129" s="4" t="s">
        <v>278</v>
      </c>
      <c r="HS129" s="4" t="s">
        <v>278</v>
      </c>
      <c r="HT129" s="4" t="s">
        <v>241</v>
      </c>
      <c r="HU129" s="4" t="s">
        <v>241</v>
      </c>
      <c r="HV129" s="4" t="s">
        <v>241</v>
      </c>
      <c r="HW129" s="4" t="s">
        <v>241</v>
      </c>
      <c r="HX129" s="4" t="s">
        <v>241</v>
      </c>
      <c r="HY129" s="4" t="s">
        <v>241</v>
      </c>
      <c r="HZ129" s="4" t="s">
        <v>241</v>
      </c>
      <c r="IA129" s="4" t="s">
        <v>241</v>
      </c>
      <c r="IB129" s="4" t="s">
        <v>241</v>
      </c>
      <c r="IC129" s="4" t="s">
        <v>241</v>
      </c>
      <c r="ID129" s="4" t="s">
        <v>241</v>
      </c>
      <c r="IE129" s="4" t="s">
        <v>241</v>
      </c>
      <c r="IF129" s="4" t="s">
        <v>241</v>
      </c>
    </row>
    <row r="130" spans="1:240" x14ac:dyDescent="0.4">
      <c r="A130" s="4">
        <v>2</v>
      </c>
      <c r="B130" s="4" t="s">
        <v>239</v>
      </c>
      <c r="C130" s="4">
        <v>134</v>
      </c>
      <c r="D130" s="4">
        <v>1</v>
      </c>
      <c r="E130" s="4">
        <v>1</v>
      </c>
      <c r="F130" s="4" t="s">
        <v>240</v>
      </c>
      <c r="G130" s="4" t="s">
        <v>241</v>
      </c>
      <c r="H130" s="4" t="s">
        <v>241</v>
      </c>
      <c r="I130" s="4" t="s">
        <v>3122</v>
      </c>
      <c r="J130" s="4" t="s">
        <v>247</v>
      </c>
      <c r="K130" s="4" t="s">
        <v>256</v>
      </c>
      <c r="L130" s="4" t="s">
        <v>250</v>
      </c>
      <c r="M130" s="5" t="s">
        <v>3124</v>
      </c>
      <c r="N130" s="4" t="s">
        <v>242</v>
      </c>
      <c r="O130" s="6">
        <f>33.95</f>
        <v>33.950000000000003</v>
      </c>
      <c r="P130" s="4" t="s">
        <v>276</v>
      </c>
      <c r="Q130" s="6">
        <f>1</f>
        <v>1</v>
      </c>
      <c r="R130" s="6">
        <f>2037000</f>
        <v>2037000</v>
      </c>
      <c r="S130" s="5" t="s">
        <v>248</v>
      </c>
      <c r="T130" s="4" t="s">
        <v>348</v>
      </c>
      <c r="U130" s="4" t="s">
        <v>275</v>
      </c>
      <c r="W130" s="6">
        <f>2036999</f>
        <v>2036999</v>
      </c>
      <c r="X130" s="4" t="s">
        <v>243</v>
      </c>
      <c r="Y130" s="4" t="s">
        <v>244</v>
      </c>
      <c r="Z130" s="4" t="s">
        <v>246</v>
      </c>
      <c r="AA130" s="4" t="s">
        <v>241</v>
      </c>
      <c r="AD130" s="4" t="s">
        <v>241</v>
      </c>
      <c r="AF130" s="5" t="s">
        <v>241</v>
      </c>
      <c r="AI130" s="5" t="s">
        <v>249</v>
      </c>
      <c r="AJ130" s="4" t="s">
        <v>251</v>
      </c>
      <c r="AK130" s="4" t="s">
        <v>252</v>
      </c>
      <c r="BA130" s="4" t="s">
        <v>254</v>
      </c>
      <c r="BB130" s="4" t="s">
        <v>241</v>
      </c>
      <c r="BC130" s="4" t="s">
        <v>255</v>
      </c>
      <c r="BD130" s="4" t="s">
        <v>241</v>
      </c>
      <c r="BE130" s="4" t="s">
        <v>257</v>
      </c>
      <c r="BF130" s="4" t="s">
        <v>241</v>
      </c>
      <c r="BJ130" s="4" t="s">
        <v>367</v>
      </c>
      <c r="BK130" s="5" t="s">
        <v>249</v>
      </c>
      <c r="BL130" s="4" t="s">
        <v>261</v>
      </c>
      <c r="BM130" s="4" t="s">
        <v>262</v>
      </c>
      <c r="BN130" s="4" t="s">
        <v>241</v>
      </c>
      <c r="BO130" s="6">
        <f>0</f>
        <v>0</v>
      </c>
      <c r="BP130" s="6">
        <f>0</f>
        <v>0</v>
      </c>
      <c r="BQ130" s="4" t="s">
        <v>263</v>
      </c>
      <c r="BR130" s="4" t="s">
        <v>264</v>
      </c>
      <c r="CF130" s="4" t="s">
        <v>241</v>
      </c>
      <c r="CG130" s="4" t="s">
        <v>241</v>
      </c>
      <c r="CK130" s="4" t="s">
        <v>265</v>
      </c>
      <c r="CL130" s="4" t="s">
        <v>266</v>
      </c>
      <c r="CM130" s="4" t="s">
        <v>241</v>
      </c>
      <c r="CO130" s="4" t="s">
        <v>267</v>
      </c>
      <c r="CP130" s="5" t="s">
        <v>268</v>
      </c>
      <c r="CQ130" s="4" t="s">
        <v>269</v>
      </c>
      <c r="CR130" s="4" t="s">
        <v>270</v>
      </c>
      <c r="CS130" s="4" t="s">
        <v>241</v>
      </c>
      <c r="CT130" s="4" t="s">
        <v>241</v>
      </c>
      <c r="CU130" s="4">
        <v>0</v>
      </c>
      <c r="CV130" s="4" t="s">
        <v>271</v>
      </c>
      <c r="CW130" s="4" t="s">
        <v>272</v>
      </c>
      <c r="CX130" s="4" t="s">
        <v>347</v>
      </c>
      <c r="CZ130" s="6">
        <f>2037000</f>
        <v>2037000</v>
      </c>
      <c r="DA130" s="6">
        <f>0</f>
        <v>0</v>
      </c>
      <c r="DC130" s="4" t="s">
        <v>241</v>
      </c>
      <c r="DD130" s="4" t="s">
        <v>241</v>
      </c>
      <c r="DF130" s="4" t="s">
        <v>241</v>
      </c>
      <c r="DI130" s="4" t="s">
        <v>241</v>
      </c>
      <c r="DJ130" s="4" t="s">
        <v>241</v>
      </c>
      <c r="DK130" s="4" t="s">
        <v>241</v>
      </c>
      <c r="DL130" s="4" t="s">
        <v>241</v>
      </c>
      <c r="DM130" s="4" t="s">
        <v>277</v>
      </c>
      <c r="DN130" s="4" t="s">
        <v>278</v>
      </c>
      <c r="DO130" s="6">
        <f>33.95</f>
        <v>33.950000000000003</v>
      </c>
      <c r="DP130" s="4" t="s">
        <v>241</v>
      </c>
      <c r="DQ130" s="4" t="s">
        <v>241</v>
      </c>
      <c r="DR130" s="4" t="s">
        <v>241</v>
      </c>
      <c r="DS130" s="4" t="s">
        <v>241</v>
      </c>
      <c r="DV130" s="4" t="s">
        <v>3125</v>
      </c>
      <c r="DW130" s="4" t="s">
        <v>323</v>
      </c>
      <c r="HO130" s="4" t="s">
        <v>277</v>
      </c>
      <c r="HR130" s="4" t="s">
        <v>278</v>
      </c>
      <c r="HS130" s="4" t="s">
        <v>278</v>
      </c>
    </row>
    <row r="131" spans="1:240" x14ac:dyDescent="0.4">
      <c r="A131" s="4">
        <v>2</v>
      </c>
      <c r="B131" s="4" t="s">
        <v>239</v>
      </c>
      <c r="C131" s="4">
        <v>135</v>
      </c>
      <c r="D131" s="4">
        <v>1</v>
      </c>
      <c r="E131" s="4">
        <v>3</v>
      </c>
      <c r="F131" s="4" t="s">
        <v>240</v>
      </c>
      <c r="G131" s="4" t="s">
        <v>241</v>
      </c>
      <c r="H131" s="4" t="s">
        <v>241</v>
      </c>
      <c r="I131" s="4" t="s">
        <v>3128</v>
      </c>
      <c r="J131" s="4" t="s">
        <v>247</v>
      </c>
      <c r="K131" s="4" t="s">
        <v>256</v>
      </c>
      <c r="L131" s="4" t="s">
        <v>250</v>
      </c>
      <c r="M131" s="5" t="s">
        <v>3129</v>
      </c>
      <c r="N131" s="4" t="s">
        <v>3121</v>
      </c>
      <c r="O131" s="6">
        <f>18</f>
        <v>18</v>
      </c>
      <c r="P131" s="4" t="s">
        <v>276</v>
      </c>
      <c r="Q131" s="6">
        <f>35496</f>
        <v>35496</v>
      </c>
      <c r="R131" s="6">
        <f>1044000</f>
        <v>1044000</v>
      </c>
      <c r="S131" s="5" t="s">
        <v>3123</v>
      </c>
      <c r="T131" s="4" t="s">
        <v>274</v>
      </c>
      <c r="U131" s="4" t="s">
        <v>314</v>
      </c>
      <c r="V131" s="6">
        <f>43848</f>
        <v>43848</v>
      </c>
      <c r="W131" s="6">
        <f>1008504</f>
        <v>1008504</v>
      </c>
      <c r="X131" s="4" t="s">
        <v>243</v>
      </c>
      <c r="Y131" s="4" t="s">
        <v>244</v>
      </c>
      <c r="Z131" s="4" t="s">
        <v>246</v>
      </c>
      <c r="AA131" s="4" t="s">
        <v>241</v>
      </c>
      <c r="AD131" s="4" t="s">
        <v>241</v>
      </c>
      <c r="AE131" s="5" t="s">
        <v>241</v>
      </c>
      <c r="AF131" s="5" t="s">
        <v>241</v>
      </c>
      <c r="AH131" s="5" t="s">
        <v>241</v>
      </c>
      <c r="AI131" s="5" t="s">
        <v>249</v>
      </c>
      <c r="AJ131" s="4" t="s">
        <v>251</v>
      </c>
      <c r="AK131" s="4" t="s">
        <v>252</v>
      </c>
      <c r="AQ131" s="4" t="s">
        <v>241</v>
      </c>
      <c r="AR131" s="4" t="s">
        <v>241</v>
      </c>
      <c r="AS131" s="4" t="s">
        <v>241</v>
      </c>
      <c r="AT131" s="5" t="s">
        <v>241</v>
      </c>
      <c r="AU131" s="5" t="s">
        <v>241</v>
      </c>
      <c r="AV131" s="5" t="s">
        <v>241</v>
      </c>
      <c r="AY131" s="4" t="s">
        <v>286</v>
      </c>
      <c r="AZ131" s="4" t="s">
        <v>286</v>
      </c>
      <c r="BA131" s="4" t="s">
        <v>254</v>
      </c>
      <c r="BB131" s="4" t="s">
        <v>287</v>
      </c>
      <c r="BC131" s="4" t="s">
        <v>255</v>
      </c>
      <c r="BD131" s="4" t="s">
        <v>241</v>
      </c>
      <c r="BE131" s="4" t="s">
        <v>257</v>
      </c>
      <c r="BF131" s="4" t="s">
        <v>241</v>
      </c>
      <c r="BH131" s="4" t="s">
        <v>258</v>
      </c>
      <c r="BJ131" s="4" t="s">
        <v>288</v>
      </c>
      <c r="BK131" s="5" t="s">
        <v>289</v>
      </c>
      <c r="BL131" s="4" t="s">
        <v>290</v>
      </c>
      <c r="BM131" s="4" t="s">
        <v>290</v>
      </c>
      <c r="BN131" s="4" t="s">
        <v>241</v>
      </c>
      <c r="BO131" s="6">
        <f>0</f>
        <v>0</v>
      </c>
      <c r="BP131" s="6">
        <f>-43848</f>
        <v>-43848</v>
      </c>
      <c r="BQ131" s="4" t="s">
        <v>263</v>
      </c>
      <c r="BR131" s="4" t="s">
        <v>264</v>
      </c>
      <c r="BS131" s="4" t="s">
        <v>241</v>
      </c>
      <c r="BT131" s="4" t="s">
        <v>241</v>
      </c>
      <c r="BU131" s="4" t="s">
        <v>241</v>
      </c>
      <c r="BV131" s="4" t="s">
        <v>241</v>
      </c>
      <c r="CE131" s="4" t="s">
        <v>264</v>
      </c>
      <c r="CF131" s="4" t="s">
        <v>241</v>
      </c>
      <c r="CG131" s="4" t="s">
        <v>241</v>
      </c>
      <c r="CK131" s="4" t="s">
        <v>291</v>
      </c>
      <c r="CL131" s="4" t="s">
        <v>266</v>
      </c>
      <c r="CM131" s="4" t="s">
        <v>241</v>
      </c>
      <c r="CO131" s="4" t="s">
        <v>313</v>
      </c>
      <c r="CP131" s="5" t="s">
        <v>268</v>
      </c>
      <c r="CQ131" s="4" t="s">
        <v>269</v>
      </c>
      <c r="CR131" s="4" t="s">
        <v>270</v>
      </c>
      <c r="CS131" s="4" t="s">
        <v>293</v>
      </c>
      <c r="CT131" s="4" t="s">
        <v>241</v>
      </c>
      <c r="CU131" s="4">
        <v>4.2000000000000003E-2</v>
      </c>
      <c r="CV131" s="4" t="s">
        <v>271</v>
      </c>
      <c r="CW131" s="4" t="s">
        <v>272</v>
      </c>
      <c r="CX131" s="4" t="s">
        <v>273</v>
      </c>
      <c r="CY131" s="6">
        <f>0</f>
        <v>0</v>
      </c>
      <c r="CZ131" s="6">
        <f>1044000</f>
        <v>1044000</v>
      </c>
      <c r="DA131" s="6">
        <f>35496</f>
        <v>35496</v>
      </c>
      <c r="DC131" s="4" t="s">
        <v>241</v>
      </c>
      <c r="DD131" s="4" t="s">
        <v>241</v>
      </c>
      <c r="DF131" s="4" t="s">
        <v>241</v>
      </c>
      <c r="DG131" s="6">
        <f>0</f>
        <v>0</v>
      </c>
      <c r="DI131" s="4" t="s">
        <v>241</v>
      </c>
      <c r="DJ131" s="4" t="s">
        <v>241</v>
      </c>
      <c r="DK131" s="4" t="s">
        <v>241</v>
      </c>
      <c r="DL131" s="4" t="s">
        <v>241</v>
      </c>
      <c r="DM131" s="4" t="s">
        <v>277</v>
      </c>
      <c r="DN131" s="4" t="s">
        <v>278</v>
      </c>
      <c r="DO131" s="6">
        <f>18</f>
        <v>18</v>
      </c>
      <c r="DP131" s="4" t="s">
        <v>241</v>
      </c>
      <c r="DQ131" s="4" t="s">
        <v>241</v>
      </c>
      <c r="DR131" s="4" t="s">
        <v>241</v>
      </c>
      <c r="DS131" s="4" t="s">
        <v>241</v>
      </c>
      <c r="DV131" s="4" t="s">
        <v>3130</v>
      </c>
      <c r="DW131" s="4" t="s">
        <v>277</v>
      </c>
      <c r="GN131" s="4" t="s">
        <v>3131</v>
      </c>
      <c r="HO131" s="4" t="s">
        <v>300</v>
      </c>
      <c r="HR131" s="4" t="s">
        <v>278</v>
      </c>
      <c r="HS131" s="4" t="s">
        <v>278</v>
      </c>
      <c r="HT131" s="4" t="s">
        <v>241</v>
      </c>
      <c r="HU131" s="4" t="s">
        <v>241</v>
      </c>
      <c r="HV131" s="4" t="s">
        <v>241</v>
      </c>
      <c r="HW131" s="4" t="s">
        <v>241</v>
      </c>
      <c r="HX131" s="4" t="s">
        <v>241</v>
      </c>
      <c r="HY131" s="4" t="s">
        <v>241</v>
      </c>
      <c r="HZ131" s="4" t="s">
        <v>241</v>
      </c>
      <c r="IA131" s="4" t="s">
        <v>241</v>
      </c>
      <c r="IB131" s="4" t="s">
        <v>241</v>
      </c>
      <c r="IC131" s="4" t="s">
        <v>241</v>
      </c>
      <c r="ID131" s="4" t="s">
        <v>241</v>
      </c>
      <c r="IE131" s="4" t="s">
        <v>241</v>
      </c>
      <c r="IF131" s="4" t="s">
        <v>241</v>
      </c>
    </row>
    <row r="132" spans="1:240" x14ac:dyDescent="0.4">
      <c r="A132" s="4">
        <v>2</v>
      </c>
      <c r="B132" s="4" t="s">
        <v>239</v>
      </c>
      <c r="C132" s="4">
        <v>136</v>
      </c>
      <c r="D132" s="4">
        <v>1</v>
      </c>
      <c r="E132" s="4">
        <v>3</v>
      </c>
      <c r="F132" s="4" t="s">
        <v>240</v>
      </c>
      <c r="G132" s="4" t="s">
        <v>241</v>
      </c>
      <c r="H132" s="4" t="s">
        <v>241</v>
      </c>
      <c r="I132" s="4" t="s">
        <v>3132</v>
      </c>
      <c r="J132" s="4" t="s">
        <v>247</v>
      </c>
      <c r="K132" s="4" t="s">
        <v>256</v>
      </c>
      <c r="L132" s="4" t="s">
        <v>250</v>
      </c>
      <c r="M132" s="5" t="s">
        <v>3133</v>
      </c>
      <c r="N132" s="4" t="s">
        <v>3121</v>
      </c>
      <c r="O132" s="6">
        <f>19</f>
        <v>19</v>
      </c>
      <c r="P132" s="4" t="s">
        <v>276</v>
      </c>
      <c r="Q132" s="6">
        <f>115520</f>
        <v>115520</v>
      </c>
      <c r="R132" s="6">
        <f>1520000</f>
        <v>1520000</v>
      </c>
      <c r="S132" s="5" t="s">
        <v>3107</v>
      </c>
      <c r="T132" s="4" t="s">
        <v>274</v>
      </c>
      <c r="U132" s="4" t="s">
        <v>361</v>
      </c>
      <c r="V132" s="6">
        <f>63840</f>
        <v>63840</v>
      </c>
      <c r="W132" s="6">
        <f>1404480</f>
        <v>1404480</v>
      </c>
      <c r="X132" s="4" t="s">
        <v>243</v>
      </c>
      <c r="Y132" s="4" t="s">
        <v>244</v>
      </c>
      <c r="Z132" s="4" t="s">
        <v>246</v>
      </c>
      <c r="AA132" s="4" t="s">
        <v>241</v>
      </c>
      <c r="AD132" s="4" t="s">
        <v>241</v>
      </c>
      <c r="AE132" s="5" t="s">
        <v>241</v>
      </c>
      <c r="AF132" s="5" t="s">
        <v>241</v>
      </c>
      <c r="AH132" s="5" t="s">
        <v>241</v>
      </c>
      <c r="AI132" s="5" t="s">
        <v>249</v>
      </c>
      <c r="AJ132" s="4" t="s">
        <v>251</v>
      </c>
      <c r="AK132" s="4" t="s">
        <v>252</v>
      </c>
      <c r="AQ132" s="4" t="s">
        <v>241</v>
      </c>
      <c r="AR132" s="4" t="s">
        <v>241</v>
      </c>
      <c r="AS132" s="4" t="s">
        <v>241</v>
      </c>
      <c r="AT132" s="5" t="s">
        <v>241</v>
      </c>
      <c r="AU132" s="5" t="s">
        <v>241</v>
      </c>
      <c r="AV132" s="5" t="s">
        <v>241</v>
      </c>
      <c r="AY132" s="4" t="s">
        <v>286</v>
      </c>
      <c r="AZ132" s="4" t="s">
        <v>286</v>
      </c>
      <c r="BA132" s="4" t="s">
        <v>254</v>
      </c>
      <c r="BB132" s="4" t="s">
        <v>287</v>
      </c>
      <c r="BC132" s="4" t="s">
        <v>255</v>
      </c>
      <c r="BD132" s="4" t="s">
        <v>241</v>
      </c>
      <c r="BE132" s="4" t="s">
        <v>257</v>
      </c>
      <c r="BF132" s="4" t="s">
        <v>241</v>
      </c>
      <c r="BH132" s="4" t="s">
        <v>258</v>
      </c>
      <c r="BJ132" s="4" t="s">
        <v>288</v>
      </c>
      <c r="BK132" s="5" t="s">
        <v>289</v>
      </c>
      <c r="BL132" s="4" t="s">
        <v>290</v>
      </c>
      <c r="BM132" s="4" t="s">
        <v>290</v>
      </c>
      <c r="BN132" s="4" t="s">
        <v>241</v>
      </c>
      <c r="BO132" s="6">
        <f>0</f>
        <v>0</v>
      </c>
      <c r="BP132" s="6">
        <f>-63840</f>
        <v>-63840</v>
      </c>
      <c r="BQ132" s="4" t="s">
        <v>263</v>
      </c>
      <c r="BR132" s="4" t="s">
        <v>264</v>
      </c>
      <c r="BS132" s="4" t="s">
        <v>241</v>
      </c>
      <c r="BT132" s="4" t="s">
        <v>241</v>
      </c>
      <c r="BU132" s="4" t="s">
        <v>241</v>
      </c>
      <c r="BV132" s="4" t="s">
        <v>241</v>
      </c>
      <c r="CE132" s="4" t="s">
        <v>264</v>
      </c>
      <c r="CF132" s="4" t="s">
        <v>241</v>
      </c>
      <c r="CG132" s="4" t="s">
        <v>241</v>
      </c>
      <c r="CK132" s="4" t="s">
        <v>291</v>
      </c>
      <c r="CL132" s="4" t="s">
        <v>266</v>
      </c>
      <c r="CM132" s="4" t="s">
        <v>241</v>
      </c>
      <c r="CO132" s="4" t="s">
        <v>360</v>
      </c>
      <c r="CP132" s="5" t="s">
        <v>268</v>
      </c>
      <c r="CQ132" s="4" t="s">
        <v>269</v>
      </c>
      <c r="CR132" s="4" t="s">
        <v>270</v>
      </c>
      <c r="CS132" s="4" t="s">
        <v>293</v>
      </c>
      <c r="CT132" s="4" t="s">
        <v>241</v>
      </c>
      <c r="CU132" s="4">
        <v>4.2000000000000003E-2</v>
      </c>
      <c r="CV132" s="4" t="s">
        <v>271</v>
      </c>
      <c r="CW132" s="4" t="s">
        <v>272</v>
      </c>
      <c r="CX132" s="4" t="s">
        <v>273</v>
      </c>
      <c r="CY132" s="6">
        <f>0</f>
        <v>0</v>
      </c>
      <c r="CZ132" s="6">
        <f>1520000</f>
        <v>1520000</v>
      </c>
      <c r="DA132" s="6">
        <f>115520</f>
        <v>115520</v>
      </c>
      <c r="DC132" s="4" t="s">
        <v>241</v>
      </c>
      <c r="DD132" s="4" t="s">
        <v>241</v>
      </c>
      <c r="DF132" s="4" t="s">
        <v>241</v>
      </c>
      <c r="DG132" s="6">
        <f>0</f>
        <v>0</v>
      </c>
      <c r="DI132" s="4" t="s">
        <v>241</v>
      </c>
      <c r="DJ132" s="4" t="s">
        <v>241</v>
      </c>
      <c r="DK132" s="4" t="s">
        <v>241</v>
      </c>
      <c r="DL132" s="4" t="s">
        <v>241</v>
      </c>
      <c r="DM132" s="4" t="s">
        <v>277</v>
      </c>
      <c r="DN132" s="4" t="s">
        <v>278</v>
      </c>
      <c r="DO132" s="6">
        <f>19</f>
        <v>19</v>
      </c>
      <c r="DP132" s="4" t="s">
        <v>241</v>
      </c>
      <c r="DQ132" s="4" t="s">
        <v>241</v>
      </c>
      <c r="DR132" s="4" t="s">
        <v>241</v>
      </c>
      <c r="DS132" s="4" t="s">
        <v>241</v>
      </c>
      <c r="DV132" s="4" t="s">
        <v>3134</v>
      </c>
      <c r="DW132" s="4" t="s">
        <v>277</v>
      </c>
      <c r="GN132" s="4" t="s">
        <v>3135</v>
      </c>
      <c r="HO132" s="4" t="s">
        <v>300</v>
      </c>
      <c r="HR132" s="4" t="s">
        <v>278</v>
      </c>
      <c r="HS132" s="4" t="s">
        <v>278</v>
      </c>
      <c r="HT132" s="4" t="s">
        <v>241</v>
      </c>
      <c r="HU132" s="4" t="s">
        <v>241</v>
      </c>
      <c r="HV132" s="4" t="s">
        <v>241</v>
      </c>
      <c r="HW132" s="4" t="s">
        <v>241</v>
      </c>
      <c r="HX132" s="4" t="s">
        <v>241</v>
      </c>
      <c r="HY132" s="4" t="s">
        <v>241</v>
      </c>
      <c r="HZ132" s="4" t="s">
        <v>241</v>
      </c>
      <c r="IA132" s="4" t="s">
        <v>241</v>
      </c>
      <c r="IB132" s="4" t="s">
        <v>241</v>
      </c>
      <c r="IC132" s="4" t="s">
        <v>241</v>
      </c>
      <c r="ID132" s="4" t="s">
        <v>241</v>
      </c>
      <c r="IE132" s="4" t="s">
        <v>241</v>
      </c>
      <c r="IF132" s="4" t="s">
        <v>241</v>
      </c>
    </row>
    <row r="133" spans="1:240" x14ac:dyDescent="0.4">
      <c r="A133" s="4">
        <v>2</v>
      </c>
      <c r="B133" s="4" t="s">
        <v>239</v>
      </c>
      <c r="C133" s="4">
        <v>137</v>
      </c>
      <c r="D133" s="4">
        <v>1</v>
      </c>
      <c r="E133" s="4">
        <v>3</v>
      </c>
      <c r="F133" s="4" t="s">
        <v>240</v>
      </c>
      <c r="G133" s="4" t="s">
        <v>241</v>
      </c>
      <c r="H133" s="4" t="s">
        <v>241</v>
      </c>
      <c r="I133" s="4" t="s">
        <v>3141</v>
      </c>
      <c r="J133" s="4" t="s">
        <v>247</v>
      </c>
      <c r="K133" s="4" t="s">
        <v>256</v>
      </c>
      <c r="L133" s="4" t="s">
        <v>250</v>
      </c>
      <c r="M133" s="5" t="s">
        <v>3142</v>
      </c>
      <c r="N133" s="4" t="s">
        <v>3121</v>
      </c>
      <c r="O133" s="6">
        <f>33</f>
        <v>33</v>
      </c>
      <c r="P133" s="4" t="s">
        <v>276</v>
      </c>
      <c r="Q133" s="6">
        <f>537372</f>
        <v>537372</v>
      </c>
      <c r="R133" s="6">
        <f>4554000</f>
        <v>4554000</v>
      </c>
      <c r="S133" s="5" t="s">
        <v>3112</v>
      </c>
      <c r="T133" s="4" t="s">
        <v>274</v>
      </c>
      <c r="U133" s="4" t="s">
        <v>335</v>
      </c>
      <c r="V133" s="6">
        <f>191268</f>
        <v>191268</v>
      </c>
      <c r="W133" s="6">
        <f>4016628</f>
        <v>4016628</v>
      </c>
      <c r="X133" s="4" t="s">
        <v>243</v>
      </c>
      <c r="Y133" s="4" t="s">
        <v>244</v>
      </c>
      <c r="Z133" s="4" t="s">
        <v>246</v>
      </c>
      <c r="AA133" s="4" t="s">
        <v>241</v>
      </c>
      <c r="AD133" s="4" t="s">
        <v>241</v>
      </c>
      <c r="AE133" s="5" t="s">
        <v>241</v>
      </c>
      <c r="AF133" s="5" t="s">
        <v>241</v>
      </c>
      <c r="AH133" s="5" t="s">
        <v>241</v>
      </c>
      <c r="AI133" s="5" t="s">
        <v>249</v>
      </c>
      <c r="AJ133" s="4" t="s">
        <v>251</v>
      </c>
      <c r="AK133" s="4" t="s">
        <v>252</v>
      </c>
      <c r="AQ133" s="4" t="s">
        <v>241</v>
      </c>
      <c r="AR133" s="4" t="s">
        <v>241</v>
      </c>
      <c r="AS133" s="4" t="s">
        <v>241</v>
      </c>
      <c r="AT133" s="5" t="s">
        <v>241</v>
      </c>
      <c r="AU133" s="5" t="s">
        <v>241</v>
      </c>
      <c r="AV133" s="5" t="s">
        <v>241</v>
      </c>
      <c r="AY133" s="4" t="s">
        <v>286</v>
      </c>
      <c r="AZ133" s="4" t="s">
        <v>286</v>
      </c>
      <c r="BA133" s="4" t="s">
        <v>254</v>
      </c>
      <c r="BB133" s="4" t="s">
        <v>287</v>
      </c>
      <c r="BC133" s="4" t="s">
        <v>255</v>
      </c>
      <c r="BD133" s="4" t="s">
        <v>241</v>
      </c>
      <c r="BE133" s="4" t="s">
        <v>257</v>
      </c>
      <c r="BF133" s="4" t="s">
        <v>241</v>
      </c>
      <c r="BH133" s="4" t="s">
        <v>258</v>
      </c>
      <c r="BJ133" s="4" t="s">
        <v>288</v>
      </c>
      <c r="BK133" s="5" t="s">
        <v>289</v>
      </c>
      <c r="BL133" s="4" t="s">
        <v>290</v>
      </c>
      <c r="BM133" s="4" t="s">
        <v>290</v>
      </c>
      <c r="BN133" s="4" t="s">
        <v>241</v>
      </c>
      <c r="BO133" s="6">
        <f>0</f>
        <v>0</v>
      </c>
      <c r="BP133" s="6">
        <f>-191268</f>
        <v>-191268</v>
      </c>
      <c r="BQ133" s="4" t="s">
        <v>263</v>
      </c>
      <c r="BR133" s="4" t="s">
        <v>264</v>
      </c>
      <c r="BS133" s="4" t="s">
        <v>241</v>
      </c>
      <c r="BT133" s="4" t="s">
        <v>241</v>
      </c>
      <c r="BU133" s="4" t="s">
        <v>241</v>
      </c>
      <c r="BV133" s="4" t="s">
        <v>241</v>
      </c>
      <c r="CE133" s="4" t="s">
        <v>264</v>
      </c>
      <c r="CF133" s="4" t="s">
        <v>241</v>
      </c>
      <c r="CG133" s="4" t="s">
        <v>241</v>
      </c>
      <c r="CK133" s="4" t="s">
        <v>291</v>
      </c>
      <c r="CL133" s="4" t="s">
        <v>266</v>
      </c>
      <c r="CM133" s="4" t="s">
        <v>241</v>
      </c>
      <c r="CO133" s="4" t="s">
        <v>449</v>
      </c>
      <c r="CP133" s="5" t="s">
        <v>268</v>
      </c>
      <c r="CQ133" s="4" t="s">
        <v>269</v>
      </c>
      <c r="CR133" s="4" t="s">
        <v>270</v>
      </c>
      <c r="CS133" s="4" t="s">
        <v>293</v>
      </c>
      <c r="CT133" s="4" t="s">
        <v>241</v>
      </c>
      <c r="CU133" s="4">
        <v>4.2000000000000003E-2</v>
      </c>
      <c r="CV133" s="4" t="s">
        <v>271</v>
      </c>
      <c r="CW133" s="4" t="s">
        <v>272</v>
      </c>
      <c r="CX133" s="4" t="s">
        <v>273</v>
      </c>
      <c r="CY133" s="6">
        <f>0</f>
        <v>0</v>
      </c>
      <c r="CZ133" s="6">
        <f>4554000</f>
        <v>4554000</v>
      </c>
      <c r="DA133" s="6">
        <f>537372</f>
        <v>537372</v>
      </c>
      <c r="DC133" s="4" t="s">
        <v>241</v>
      </c>
      <c r="DD133" s="4" t="s">
        <v>241</v>
      </c>
      <c r="DF133" s="4" t="s">
        <v>241</v>
      </c>
      <c r="DG133" s="6">
        <f>0</f>
        <v>0</v>
      </c>
      <c r="DI133" s="4" t="s">
        <v>241</v>
      </c>
      <c r="DJ133" s="4" t="s">
        <v>241</v>
      </c>
      <c r="DK133" s="4" t="s">
        <v>241</v>
      </c>
      <c r="DL133" s="4" t="s">
        <v>241</v>
      </c>
      <c r="DM133" s="4" t="s">
        <v>277</v>
      </c>
      <c r="DN133" s="4" t="s">
        <v>278</v>
      </c>
      <c r="DO133" s="6">
        <f>33</f>
        <v>33</v>
      </c>
      <c r="DP133" s="4" t="s">
        <v>241</v>
      </c>
      <c r="DQ133" s="4" t="s">
        <v>241</v>
      </c>
      <c r="DR133" s="4" t="s">
        <v>241</v>
      </c>
      <c r="DS133" s="4" t="s">
        <v>241</v>
      </c>
      <c r="DV133" s="4" t="s">
        <v>3143</v>
      </c>
      <c r="DW133" s="4" t="s">
        <v>277</v>
      </c>
      <c r="GN133" s="4" t="s">
        <v>3144</v>
      </c>
      <c r="HO133" s="4" t="s">
        <v>300</v>
      </c>
      <c r="HR133" s="4" t="s">
        <v>278</v>
      </c>
      <c r="HS133" s="4" t="s">
        <v>278</v>
      </c>
      <c r="HT133" s="4" t="s">
        <v>241</v>
      </c>
      <c r="HU133" s="4" t="s">
        <v>241</v>
      </c>
      <c r="HV133" s="4" t="s">
        <v>241</v>
      </c>
      <c r="HW133" s="4" t="s">
        <v>241</v>
      </c>
      <c r="HX133" s="4" t="s">
        <v>241</v>
      </c>
      <c r="HY133" s="4" t="s">
        <v>241</v>
      </c>
      <c r="HZ133" s="4" t="s">
        <v>241</v>
      </c>
      <c r="IA133" s="4" t="s">
        <v>241</v>
      </c>
      <c r="IB133" s="4" t="s">
        <v>241</v>
      </c>
      <c r="IC133" s="4" t="s">
        <v>241</v>
      </c>
      <c r="ID133" s="4" t="s">
        <v>241</v>
      </c>
      <c r="IE133" s="4" t="s">
        <v>241</v>
      </c>
      <c r="IF133" s="4" t="s">
        <v>241</v>
      </c>
    </row>
    <row r="134" spans="1:240" x14ac:dyDescent="0.4">
      <c r="A134" s="4">
        <v>2</v>
      </c>
      <c r="B134" s="4" t="s">
        <v>239</v>
      </c>
      <c r="C134" s="4">
        <v>138</v>
      </c>
      <c r="D134" s="4">
        <v>1</v>
      </c>
      <c r="E134" s="4">
        <v>1</v>
      </c>
      <c r="F134" s="4" t="s">
        <v>240</v>
      </c>
      <c r="G134" s="4" t="s">
        <v>241</v>
      </c>
      <c r="H134" s="4" t="s">
        <v>241</v>
      </c>
      <c r="I134" s="4" t="s">
        <v>3494</v>
      </c>
      <c r="J134" s="4" t="s">
        <v>247</v>
      </c>
      <c r="K134" s="4" t="s">
        <v>256</v>
      </c>
      <c r="L134" s="4" t="s">
        <v>250</v>
      </c>
      <c r="M134" s="5" t="s">
        <v>3495</v>
      </c>
      <c r="N134" s="4" t="s">
        <v>242</v>
      </c>
      <c r="O134" s="6">
        <f>28.98</f>
        <v>28.98</v>
      </c>
      <c r="P134" s="4" t="s">
        <v>276</v>
      </c>
      <c r="Q134" s="6">
        <f>1</f>
        <v>1</v>
      </c>
      <c r="R134" s="6">
        <f>1738800</f>
        <v>1738800</v>
      </c>
      <c r="S134" s="5" t="s">
        <v>248</v>
      </c>
      <c r="T134" s="4" t="s">
        <v>348</v>
      </c>
      <c r="U134" s="4" t="s">
        <v>275</v>
      </c>
      <c r="W134" s="6">
        <f>1738799</f>
        <v>1738799</v>
      </c>
      <c r="X134" s="4" t="s">
        <v>243</v>
      </c>
      <c r="Y134" s="4" t="s">
        <v>244</v>
      </c>
      <c r="Z134" s="4" t="s">
        <v>246</v>
      </c>
      <c r="AA134" s="4" t="s">
        <v>241</v>
      </c>
      <c r="AD134" s="4" t="s">
        <v>241</v>
      </c>
      <c r="AF134" s="5" t="s">
        <v>241</v>
      </c>
      <c r="AI134" s="5" t="s">
        <v>249</v>
      </c>
      <c r="AJ134" s="4" t="s">
        <v>251</v>
      </c>
      <c r="AK134" s="4" t="s">
        <v>252</v>
      </c>
      <c r="BA134" s="4" t="s">
        <v>254</v>
      </c>
      <c r="BB134" s="4" t="s">
        <v>241</v>
      </c>
      <c r="BC134" s="4" t="s">
        <v>255</v>
      </c>
      <c r="BD134" s="4" t="s">
        <v>241</v>
      </c>
      <c r="BE134" s="4" t="s">
        <v>257</v>
      </c>
      <c r="BF134" s="4" t="s">
        <v>241</v>
      </c>
      <c r="BH134" s="4" t="s">
        <v>258</v>
      </c>
      <c r="BJ134" s="4" t="s">
        <v>367</v>
      </c>
      <c r="BK134" s="5" t="s">
        <v>249</v>
      </c>
      <c r="BL134" s="4" t="s">
        <v>261</v>
      </c>
      <c r="BM134" s="4" t="s">
        <v>262</v>
      </c>
      <c r="BN134" s="4" t="s">
        <v>241</v>
      </c>
      <c r="BO134" s="6">
        <f>0</f>
        <v>0</v>
      </c>
      <c r="BP134" s="6">
        <f>0</f>
        <v>0</v>
      </c>
      <c r="BQ134" s="4" t="s">
        <v>263</v>
      </c>
      <c r="BR134" s="4" t="s">
        <v>264</v>
      </c>
      <c r="CF134" s="4" t="s">
        <v>241</v>
      </c>
      <c r="CG134" s="4" t="s">
        <v>241</v>
      </c>
      <c r="CK134" s="4" t="s">
        <v>265</v>
      </c>
      <c r="CL134" s="4" t="s">
        <v>266</v>
      </c>
      <c r="CM134" s="4" t="s">
        <v>241</v>
      </c>
      <c r="CO134" s="4" t="s">
        <v>267</v>
      </c>
      <c r="CP134" s="5" t="s">
        <v>268</v>
      </c>
      <c r="CQ134" s="4" t="s">
        <v>269</v>
      </c>
      <c r="CR134" s="4" t="s">
        <v>270</v>
      </c>
      <c r="CS134" s="4" t="s">
        <v>241</v>
      </c>
      <c r="CT134" s="4" t="s">
        <v>241</v>
      </c>
      <c r="CU134" s="4">
        <v>0</v>
      </c>
      <c r="CV134" s="4" t="s">
        <v>271</v>
      </c>
      <c r="CW134" s="4" t="s">
        <v>272</v>
      </c>
      <c r="CX134" s="4" t="s">
        <v>347</v>
      </c>
      <c r="CZ134" s="6">
        <f>1738800</f>
        <v>1738800</v>
      </c>
      <c r="DA134" s="6">
        <f>0</f>
        <v>0</v>
      </c>
      <c r="DC134" s="4" t="s">
        <v>241</v>
      </c>
      <c r="DD134" s="4" t="s">
        <v>241</v>
      </c>
      <c r="DF134" s="4" t="s">
        <v>241</v>
      </c>
      <c r="DI134" s="4" t="s">
        <v>241</v>
      </c>
      <c r="DJ134" s="4" t="s">
        <v>241</v>
      </c>
      <c r="DK134" s="4" t="s">
        <v>241</v>
      </c>
      <c r="DL134" s="4" t="s">
        <v>241</v>
      </c>
      <c r="DM134" s="4" t="s">
        <v>277</v>
      </c>
      <c r="DN134" s="4" t="s">
        <v>278</v>
      </c>
      <c r="DO134" s="6">
        <f>28.98</f>
        <v>28.98</v>
      </c>
      <c r="DP134" s="4" t="s">
        <v>241</v>
      </c>
      <c r="DQ134" s="4" t="s">
        <v>241</v>
      </c>
      <c r="DR134" s="4" t="s">
        <v>241</v>
      </c>
      <c r="DS134" s="4" t="s">
        <v>241</v>
      </c>
      <c r="DV134" s="4" t="s">
        <v>3496</v>
      </c>
      <c r="DW134" s="4" t="s">
        <v>277</v>
      </c>
      <c r="HO134" s="4" t="s">
        <v>277</v>
      </c>
      <c r="HR134" s="4" t="s">
        <v>278</v>
      </c>
      <c r="HS134" s="4" t="s">
        <v>278</v>
      </c>
    </row>
    <row r="135" spans="1:240" x14ac:dyDescent="0.4">
      <c r="A135" s="4">
        <v>2</v>
      </c>
      <c r="B135" s="4" t="s">
        <v>239</v>
      </c>
      <c r="C135" s="4">
        <v>139</v>
      </c>
      <c r="D135" s="4">
        <v>1</v>
      </c>
      <c r="E135" s="4">
        <v>1</v>
      </c>
      <c r="F135" s="4" t="s">
        <v>240</v>
      </c>
      <c r="G135" s="4" t="s">
        <v>241</v>
      </c>
      <c r="H135" s="4" t="s">
        <v>241</v>
      </c>
      <c r="I135" s="4" t="s">
        <v>3497</v>
      </c>
      <c r="J135" s="4" t="s">
        <v>247</v>
      </c>
      <c r="K135" s="4" t="s">
        <v>256</v>
      </c>
      <c r="L135" s="4" t="s">
        <v>250</v>
      </c>
      <c r="M135" s="5" t="s">
        <v>3498</v>
      </c>
      <c r="N135" s="4" t="s">
        <v>242</v>
      </c>
      <c r="O135" s="6">
        <f>9.94</f>
        <v>9.94</v>
      </c>
      <c r="P135" s="4" t="s">
        <v>276</v>
      </c>
      <c r="Q135" s="6">
        <f>1</f>
        <v>1</v>
      </c>
      <c r="R135" s="6">
        <f>596400</f>
        <v>596400</v>
      </c>
      <c r="S135" s="5" t="s">
        <v>248</v>
      </c>
      <c r="T135" s="4" t="s">
        <v>348</v>
      </c>
      <c r="U135" s="4" t="s">
        <v>275</v>
      </c>
      <c r="W135" s="6">
        <f>596399</f>
        <v>596399</v>
      </c>
      <c r="X135" s="4" t="s">
        <v>243</v>
      </c>
      <c r="Y135" s="4" t="s">
        <v>244</v>
      </c>
      <c r="Z135" s="4" t="s">
        <v>246</v>
      </c>
      <c r="AA135" s="4" t="s">
        <v>241</v>
      </c>
      <c r="AD135" s="4" t="s">
        <v>241</v>
      </c>
      <c r="AF135" s="5" t="s">
        <v>241</v>
      </c>
      <c r="AI135" s="5" t="s">
        <v>249</v>
      </c>
      <c r="AJ135" s="4" t="s">
        <v>251</v>
      </c>
      <c r="AK135" s="4" t="s">
        <v>252</v>
      </c>
      <c r="BA135" s="4" t="s">
        <v>254</v>
      </c>
      <c r="BB135" s="4" t="s">
        <v>241</v>
      </c>
      <c r="BC135" s="4" t="s">
        <v>255</v>
      </c>
      <c r="BD135" s="4" t="s">
        <v>241</v>
      </c>
      <c r="BE135" s="4" t="s">
        <v>257</v>
      </c>
      <c r="BF135" s="4" t="s">
        <v>241</v>
      </c>
      <c r="BH135" s="4" t="s">
        <v>258</v>
      </c>
      <c r="BJ135" s="4" t="s">
        <v>374</v>
      </c>
      <c r="BK135" s="5" t="s">
        <v>375</v>
      </c>
      <c r="BL135" s="4" t="s">
        <v>261</v>
      </c>
      <c r="BM135" s="4" t="s">
        <v>262</v>
      </c>
      <c r="BN135" s="4" t="s">
        <v>241</v>
      </c>
      <c r="BO135" s="6">
        <f>0</f>
        <v>0</v>
      </c>
      <c r="BP135" s="6">
        <f>0</f>
        <v>0</v>
      </c>
      <c r="BQ135" s="4" t="s">
        <v>263</v>
      </c>
      <c r="BR135" s="4" t="s">
        <v>264</v>
      </c>
      <c r="CF135" s="4" t="s">
        <v>241</v>
      </c>
      <c r="CG135" s="4" t="s">
        <v>241</v>
      </c>
      <c r="CK135" s="4" t="s">
        <v>265</v>
      </c>
      <c r="CL135" s="4" t="s">
        <v>266</v>
      </c>
      <c r="CM135" s="4" t="s">
        <v>241</v>
      </c>
      <c r="CO135" s="4" t="s">
        <v>267</v>
      </c>
      <c r="CP135" s="5" t="s">
        <v>268</v>
      </c>
      <c r="CQ135" s="4" t="s">
        <v>269</v>
      </c>
      <c r="CR135" s="4" t="s">
        <v>270</v>
      </c>
      <c r="CS135" s="4" t="s">
        <v>241</v>
      </c>
      <c r="CT135" s="4" t="s">
        <v>241</v>
      </c>
      <c r="CU135" s="4">
        <v>0</v>
      </c>
      <c r="CV135" s="4" t="s">
        <v>271</v>
      </c>
      <c r="CW135" s="4" t="s">
        <v>272</v>
      </c>
      <c r="CX135" s="4" t="s">
        <v>347</v>
      </c>
      <c r="CZ135" s="6">
        <f>596400</f>
        <v>596400</v>
      </c>
      <c r="DA135" s="6">
        <f>0</f>
        <v>0</v>
      </c>
      <c r="DC135" s="4" t="s">
        <v>241</v>
      </c>
      <c r="DD135" s="4" t="s">
        <v>241</v>
      </c>
      <c r="DF135" s="4" t="s">
        <v>241</v>
      </c>
      <c r="DI135" s="4" t="s">
        <v>241</v>
      </c>
      <c r="DJ135" s="4" t="s">
        <v>241</v>
      </c>
      <c r="DK135" s="4" t="s">
        <v>241</v>
      </c>
      <c r="DL135" s="4" t="s">
        <v>241</v>
      </c>
      <c r="DM135" s="4" t="s">
        <v>277</v>
      </c>
      <c r="DN135" s="4" t="s">
        <v>278</v>
      </c>
      <c r="DO135" s="6">
        <f>9.94</f>
        <v>9.94</v>
      </c>
      <c r="DP135" s="4" t="s">
        <v>241</v>
      </c>
      <c r="DQ135" s="4" t="s">
        <v>241</v>
      </c>
      <c r="DR135" s="4" t="s">
        <v>241</v>
      </c>
      <c r="DS135" s="4" t="s">
        <v>241</v>
      </c>
      <c r="DV135" s="4" t="s">
        <v>3499</v>
      </c>
      <c r="DW135" s="4" t="s">
        <v>277</v>
      </c>
      <c r="HO135" s="4" t="s">
        <v>277</v>
      </c>
      <c r="HR135" s="4" t="s">
        <v>278</v>
      </c>
      <c r="HS135" s="4" t="s">
        <v>278</v>
      </c>
    </row>
    <row r="136" spans="1:240" x14ac:dyDescent="0.4">
      <c r="A136" s="4">
        <v>2</v>
      </c>
      <c r="B136" s="4" t="s">
        <v>239</v>
      </c>
      <c r="C136" s="4">
        <v>140</v>
      </c>
      <c r="D136" s="4">
        <v>1</v>
      </c>
      <c r="E136" s="4">
        <v>3</v>
      </c>
      <c r="F136" s="4" t="s">
        <v>240</v>
      </c>
      <c r="G136" s="4" t="s">
        <v>241</v>
      </c>
      <c r="H136" s="4" t="s">
        <v>241</v>
      </c>
      <c r="I136" s="4" t="s">
        <v>3145</v>
      </c>
      <c r="J136" s="4" t="s">
        <v>247</v>
      </c>
      <c r="K136" s="4" t="s">
        <v>256</v>
      </c>
      <c r="L136" s="4" t="s">
        <v>250</v>
      </c>
      <c r="M136" s="5" t="s">
        <v>3146</v>
      </c>
      <c r="N136" s="4" t="s">
        <v>242</v>
      </c>
      <c r="O136" s="6">
        <f>19.87</f>
        <v>19.87</v>
      </c>
      <c r="P136" s="4" t="s">
        <v>276</v>
      </c>
      <c r="Q136" s="6">
        <f>1169280</f>
        <v>1169280</v>
      </c>
      <c r="R136" s="6">
        <f>2520000</f>
        <v>2520000</v>
      </c>
      <c r="S136" s="5" t="s">
        <v>3069</v>
      </c>
      <c r="T136" s="4" t="s">
        <v>348</v>
      </c>
      <c r="U136" s="4" t="s">
        <v>341</v>
      </c>
      <c r="V136" s="6">
        <f>168840</f>
        <v>168840</v>
      </c>
      <c r="W136" s="6">
        <f>1350720</f>
        <v>1350720</v>
      </c>
      <c r="X136" s="4" t="s">
        <v>243</v>
      </c>
      <c r="Y136" s="4" t="s">
        <v>244</v>
      </c>
      <c r="Z136" s="4" t="s">
        <v>246</v>
      </c>
      <c r="AA136" s="4" t="s">
        <v>241</v>
      </c>
      <c r="AD136" s="4" t="s">
        <v>241</v>
      </c>
      <c r="AE136" s="5" t="s">
        <v>241</v>
      </c>
      <c r="AF136" s="5" t="s">
        <v>241</v>
      </c>
      <c r="AH136" s="5" t="s">
        <v>241</v>
      </c>
      <c r="AI136" s="5" t="s">
        <v>249</v>
      </c>
      <c r="AJ136" s="4" t="s">
        <v>251</v>
      </c>
      <c r="AK136" s="4" t="s">
        <v>252</v>
      </c>
      <c r="AQ136" s="4" t="s">
        <v>241</v>
      </c>
      <c r="AR136" s="4" t="s">
        <v>241</v>
      </c>
      <c r="AS136" s="4" t="s">
        <v>241</v>
      </c>
      <c r="AT136" s="5" t="s">
        <v>241</v>
      </c>
      <c r="AU136" s="5" t="s">
        <v>241</v>
      </c>
      <c r="AV136" s="5" t="s">
        <v>241</v>
      </c>
      <c r="AY136" s="4" t="s">
        <v>286</v>
      </c>
      <c r="AZ136" s="4" t="s">
        <v>286</v>
      </c>
      <c r="BA136" s="4" t="s">
        <v>254</v>
      </c>
      <c r="BB136" s="4" t="s">
        <v>287</v>
      </c>
      <c r="BC136" s="4" t="s">
        <v>255</v>
      </c>
      <c r="BD136" s="4" t="s">
        <v>241</v>
      </c>
      <c r="BE136" s="4" t="s">
        <v>257</v>
      </c>
      <c r="BF136" s="4" t="s">
        <v>241</v>
      </c>
      <c r="BH136" s="4" t="s">
        <v>258</v>
      </c>
      <c r="BJ136" s="4" t="s">
        <v>288</v>
      </c>
      <c r="BK136" s="5" t="s">
        <v>289</v>
      </c>
      <c r="BL136" s="4" t="s">
        <v>290</v>
      </c>
      <c r="BM136" s="4" t="s">
        <v>290</v>
      </c>
      <c r="BN136" s="4" t="s">
        <v>241</v>
      </c>
      <c r="BO136" s="6">
        <f>0</f>
        <v>0</v>
      </c>
      <c r="BP136" s="6">
        <f>-168840</f>
        <v>-168840</v>
      </c>
      <c r="BQ136" s="4" t="s">
        <v>263</v>
      </c>
      <c r="BR136" s="4" t="s">
        <v>264</v>
      </c>
      <c r="BS136" s="4" t="s">
        <v>241</v>
      </c>
      <c r="BT136" s="4" t="s">
        <v>241</v>
      </c>
      <c r="BU136" s="4" t="s">
        <v>241</v>
      </c>
      <c r="BV136" s="4" t="s">
        <v>241</v>
      </c>
      <c r="CE136" s="4" t="s">
        <v>264</v>
      </c>
      <c r="CF136" s="4" t="s">
        <v>241</v>
      </c>
      <c r="CG136" s="4" t="s">
        <v>241</v>
      </c>
      <c r="CK136" s="4" t="s">
        <v>291</v>
      </c>
      <c r="CL136" s="4" t="s">
        <v>266</v>
      </c>
      <c r="CM136" s="4" t="s">
        <v>241</v>
      </c>
      <c r="CO136" s="4" t="s">
        <v>693</v>
      </c>
      <c r="CP136" s="5" t="s">
        <v>268</v>
      </c>
      <c r="CQ136" s="4" t="s">
        <v>269</v>
      </c>
      <c r="CR136" s="4" t="s">
        <v>270</v>
      </c>
      <c r="CS136" s="4" t="s">
        <v>293</v>
      </c>
      <c r="CT136" s="4" t="s">
        <v>241</v>
      </c>
      <c r="CU136" s="4">
        <v>6.7000000000000004E-2</v>
      </c>
      <c r="CV136" s="4" t="s">
        <v>271</v>
      </c>
      <c r="CW136" s="4" t="s">
        <v>272</v>
      </c>
      <c r="CX136" s="4" t="s">
        <v>347</v>
      </c>
      <c r="CY136" s="6">
        <f>0</f>
        <v>0</v>
      </c>
      <c r="CZ136" s="6">
        <f>2520000</f>
        <v>2520000</v>
      </c>
      <c r="DA136" s="6">
        <f>1169280</f>
        <v>1169280</v>
      </c>
      <c r="DC136" s="4" t="s">
        <v>241</v>
      </c>
      <c r="DD136" s="4" t="s">
        <v>241</v>
      </c>
      <c r="DF136" s="4" t="s">
        <v>241</v>
      </c>
      <c r="DG136" s="6">
        <f>0</f>
        <v>0</v>
      </c>
      <c r="DI136" s="4" t="s">
        <v>241</v>
      </c>
      <c r="DJ136" s="4" t="s">
        <v>241</v>
      </c>
      <c r="DK136" s="4" t="s">
        <v>241</v>
      </c>
      <c r="DL136" s="4" t="s">
        <v>241</v>
      </c>
      <c r="DM136" s="4" t="s">
        <v>277</v>
      </c>
      <c r="DN136" s="4" t="s">
        <v>278</v>
      </c>
      <c r="DO136" s="6">
        <f>19.87</f>
        <v>19.87</v>
      </c>
      <c r="DP136" s="4" t="s">
        <v>241</v>
      </c>
      <c r="DQ136" s="4" t="s">
        <v>241</v>
      </c>
      <c r="DR136" s="4" t="s">
        <v>241</v>
      </c>
      <c r="DS136" s="4" t="s">
        <v>241</v>
      </c>
      <c r="DV136" s="4" t="s">
        <v>3147</v>
      </c>
      <c r="DW136" s="4" t="s">
        <v>277</v>
      </c>
      <c r="GN136" s="4" t="s">
        <v>3148</v>
      </c>
      <c r="HO136" s="4" t="s">
        <v>300</v>
      </c>
      <c r="HR136" s="4" t="s">
        <v>278</v>
      </c>
      <c r="HS136" s="4" t="s">
        <v>278</v>
      </c>
      <c r="HT136" s="4" t="s">
        <v>241</v>
      </c>
      <c r="HU136" s="4" t="s">
        <v>241</v>
      </c>
      <c r="HV136" s="4" t="s">
        <v>241</v>
      </c>
      <c r="HW136" s="4" t="s">
        <v>241</v>
      </c>
      <c r="HX136" s="4" t="s">
        <v>241</v>
      </c>
      <c r="HY136" s="4" t="s">
        <v>241</v>
      </c>
      <c r="HZ136" s="4" t="s">
        <v>241</v>
      </c>
      <c r="IA136" s="4" t="s">
        <v>241</v>
      </c>
      <c r="IB136" s="4" t="s">
        <v>241</v>
      </c>
      <c r="IC136" s="4" t="s">
        <v>241</v>
      </c>
      <c r="ID136" s="4" t="s">
        <v>241</v>
      </c>
      <c r="IE136" s="4" t="s">
        <v>241</v>
      </c>
      <c r="IF136" s="4" t="s">
        <v>241</v>
      </c>
    </row>
    <row r="137" spans="1:240" x14ac:dyDescent="0.4">
      <c r="A137" s="4">
        <v>2</v>
      </c>
      <c r="B137" s="4" t="s">
        <v>239</v>
      </c>
      <c r="C137" s="4">
        <v>141</v>
      </c>
      <c r="D137" s="4">
        <v>1</v>
      </c>
      <c r="E137" s="4">
        <v>1</v>
      </c>
      <c r="F137" s="4" t="s">
        <v>240</v>
      </c>
      <c r="G137" s="4" t="s">
        <v>241</v>
      </c>
      <c r="H137" s="4" t="s">
        <v>241</v>
      </c>
      <c r="I137" s="4" t="s">
        <v>3409</v>
      </c>
      <c r="J137" s="4" t="s">
        <v>247</v>
      </c>
      <c r="K137" s="4" t="s">
        <v>256</v>
      </c>
      <c r="L137" s="4" t="s">
        <v>250</v>
      </c>
      <c r="M137" s="5" t="s">
        <v>3410</v>
      </c>
      <c r="N137" s="4" t="s">
        <v>242</v>
      </c>
      <c r="O137" s="6">
        <f>44.72</f>
        <v>44.72</v>
      </c>
      <c r="P137" s="4" t="s">
        <v>276</v>
      </c>
      <c r="Q137" s="6">
        <f>1</f>
        <v>1</v>
      </c>
      <c r="R137" s="6">
        <f>2683200</f>
        <v>2683200</v>
      </c>
      <c r="S137" s="5" t="s">
        <v>248</v>
      </c>
      <c r="T137" s="4" t="s">
        <v>348</v>
      </c>
      <c r="U137" s="4" t="s">
        <v>275</v>
      </c>
      <c r="W137" s="6">
        <f>2683199</f>
        <v>2683199</v>
      </c>
      <c r="X137" s="4" t="s">
        <v>243</v>
      </c>
      <c r="Y137" s="4" t="s">
        <v>244</v>
      </c>
      <c r="Z137" s="4" t="s">
        <v>246</v>
      </c>
      <c r="AA137" s="4" t="s">
        <v>241</v>
      </c>
      <c r="AD137" s="4" t="s">
        <v>241</v>
      </c>
      <c r="AF137" s="5" t="s">
        <v>241</v>
      </c>
      <c r="AI137" s="5" t="s">
        <v>249</v>
      </c>
      <c r="AJ137" s="4" t="s">
        <v>251</v>
      </c>
      <c r="AK137" s="4" t="s">
        <v>252</v>
      </c>
      <c r="BA137" s="4" t="s">
        <v>254</v>
      </c>
      <c r="BB137" s="4" t="s">
        <v>241</v>
      </c>
      <c r="BC137" s="4" t="s">
        <v>255</v>
      </c>
      <c r="BD137" s="4" t="s">
        <v>241</v>
      </c>
      <c r="BE137" s="4" t="s">
        <v>257</v>
      </c>
      <c r="BF137" s="4" t="s">
        <v>241</v>
      </c>
      <c r="BH137" s="4" t="s">
        <v>258</v>
      </c>
      <c r="BJ137" s="4" t="s">
        <v>259</v>
      </c>
      <c r="BK137" s="5" t="s">
        <v>260</v>
      </c>
      <c r="BL137" s="4" t="s">
        <v>261</v>
      </c>
      <c r="BM137" s="4" t="s">
        <v>262</v>
      </c>
      <c r="BN137" s="4" t="s">
        <v>241</v>
      </c>
      <c r="BO137" s="6">
        <f>0</f>
        <v>0</v>
      </c>
      <c r="BP137" s="6">
        <f>0</f>
        <v>0</v>
      </c>
      <c r="BQ137" s="4" t="s">
        <v>263</v>
      </c>
      <c r="BR137" s="4" t="s">
        <v>264</v>
      </c>
      <c r="CF137" s="4" t="s">
        <v>241</v>
      </c>
      <c r="CG137" s="4" t="s">
        <v>241</v>
      </c>
      <c r="CK137" s="4" t="s">
        <v>265</v>
      </c>
      <c r="CL137" s="4" t="s">
        <v>266</v>
      </c>
      <c r="CM137" s="4" t="s">
        <v>241</v>
      </c>
      <c r="CO137" s="4" t="s">
        <v>267</v>
      </c>
      <c r="CP137" s="5" t="s">
        <v>268</v>
      </c>
      <c r="CQ137" s="4" t="s">
        <v>269</v>
      </c>
      <c r="CR137" s="4" t="s">
        <v>270</v>
      </c>
      <c r="CS137" s="4" t="s">
        <v>241</v>
      </c>
      <c r="CT137" s="4" t="s">
        <v>241</v>
      </c>
      <c r="CU137" s="4">
        <v>0</v>
      </c>
      <c r="CV137" s="4" t="s">
        <v>271</v>
      </c>
      <c r="CW137" s="4" t="s">
        <v>272</v>
      </c>
      <c r="CX137" s="4" t="s">
        <v>347</v>
      </c>
      <c r="CZ137" s="6">
        <f>2683200</f>
        <v>2683200</v>
      </c>
      <c r="DA137" s="6">
        <f>0</f>
        <v>0</v>
      </c>
      <c r="DC137" s="4" t="s">
        <v>241</v>
      </c>
      <c r="DD137" s="4" t="s">
        <v>241</v>
      </c>
      <c r="DF137" s="4" t="s">
        <v>241</v>
      </c>
      <c r="DI137" s="4" t="s">
        <v>241</v>
      </c>
      <c r="DJ137" s="4" t="s">
        <v>241</v>
      </c>
      <c r="DK137" s="4" t="s">
        <v>241</v>
      </c>
      <c r="DL137" s="4" t="s">
        <v>241</v>
      </c>
      <c r="DM137" s="4" t="s">
        <v>277</v>
      </c>
      <c r="DN137" s="4" t="s">
        <v>278</v>
      </c>
      <c r="DO137" s="6">
        <f>44.72</f>
        <v>44.72</v>
      </c>
      <c r="DP137" s="4" t="s">
        <v>241</v>
      </c>
      <c r="DQ137" s="4" t="s">
        <v>241</v>
      </c>
      <c r="DR137" s="4" t="s">
        <v>241</v>
      </c>
      <c r="DS137" s="4" t="s">
        <v>241</v>
      </c>
      <c r="DV137" s="4" t="s">
        <v>3411</v>
      </c>
      <c r="DW137" s="4" t="s">
        <v>277</v>
      </c>
      <c r="HO137" s="4" t="s">
        <v>277</v>
      </c>
      <c r="HR137" s="4" t="s">
        <v>278</v>
      </c>
      <c r="HS137" s="4" t="s">
        <v>278</v>
      </c>
    </row>
    <row r="138" spans="1:240" x14ac:dyDescent="0.4">
      <c r="A138" s="4">
        <v>2</v>
      </c>
      <c r="B138" s="4" t="s">
        <v>239</v>
      </c>
      <c r="C138" s="4">
        <v>143</v>
      </c>
      <c r="D138" s="4">
        <v>1</v>
      </c>
      <c r="E138" s="4">
        <v>3</v>
      </c>
      <c r="F138" s="4" t="s">
        <v>326</v>
      </c>
      <c r="G138" s="4" t="s">
        <v>241</v>
      </c>
      <c r="H138" s="4" t="s">
        <v>241</v>
      </c>
      <c r="I138" s="4" t="s">
        <v>3152</v>
      </c>
      <c r="J138" s="4" t="s">
        <v>247</v>
      </c>
      <c r="K138" s="4" t="s">
        <v>256</v>
      </c>
      <c r="L138" s="4" t="s">
        <v>241</v>
      </c>
      <c r="M138" s="5" t="s">
        <v>3153</v>
      </c>
      <c r="N138" s="4" t="s">
        <v>242</v>
      </c>
      <c r="O138" s="6">
        <f>33.12</f>
        <v>33.119999999999997</v>
      </c>
      <c r="P138" s="4" t="s">
        <v>276</v>
      </c>
      <c r="Q138" s="6">
        <f>7177582</f>
        <v>7177582</v>
      </c>
      <c r="R138" s="6">
        <f>8288200</f>
        <v>8288200</v>
      </c>
      <c r="S138" s="5" t="s">
        <v>329</v>
      </c>
      <c r="T138" s="4" t="s">
        <v>348</v>
      </c>
      <c r="U138" s="4" t="s">
        <v>277</v>
      </c>
      <c r="V138" s="6">
        <f>555309</f>
        <v>555309</v>
      </c>
      <c r="W138" s="6">
        <f>1110618</f>
        <v>1110618</v>
      </c>
      <c r="X138" s="4" t="s">
        <v>243</v>
      </c>
      <c r="Y138" s="4" t="s">
        <v>244</v>
      </c>
      <c r="Z138" s="4" t="s">
        <v>241</v>
      </c>
      <c r="AA138" s="4" t="s">
        <v>241</v>
      </c>
      <c r="AD138" s="4" t="s">
        <v>241</v>
      </c>
      <c r="AE138" s="5" t="s">
        <v>241</v>
      </c>
      <c r="AF138" s="5" t="s">
        <v>241</v>
      </c>
      <c r="AH138" s="5" t="s">
        <v>241</v>
      </c>
      <c r="AI138" s="5" t="s">
        <v>249</v>
      </c>
      <c r="AJ138" s="4" t="s">
        <v>251</v>
      </c>
      <c r="AK138" s="4" t="s">
        <v>252</v>
      </c>
      <c r="AQ138" s="4" t="s">
        <v>241</v>
      </c>
      <c r="AR138" s="4" t="s">
        <v>241</v>
      </c>
      <c r="AS138" s="4" t="s">
        <v>241</v>
      </c>
      <c r="AT138" s="5" t="s">
        <v>241</v>
      </c>
      <c r="AU138" s="5" t="s">
        <v>241</v>
      </c>
      <c r="AV138" s="5" t="s">
        <v>241</v>
      </c>
      <c r="AY138" s="4" t="s">
        <v>286</v>
      </c>
      <c r="AZ138" s="4" t="s">
        <v>286</v>
      </c>
      <c r="BA138" s="4" t="s">
        <v>254</v>
      </c>
      <c r="BB138" s="4" t="s">
        <v>287</v>
      </c>
      <c r="BC138" s="4" t="s">
        <v>255</v>
      </c>
      <c r="BD138" s="4" t="s">
        <v>241</v>
      </c>
      <c r="BE138" s="4" t="s">
        <v>257</v>
      </c>
      <c r="BF138" s="4" t="s">
        <v>241</v>
      </c>
      <c r="BJ138" s="4" t="s">
        <v>288</v>
      </c>
      <c r="BK138" s="5" t="s">
        <v>289</v>
      </c>
      <c r="BL138" s="4" t="s">
        <v>290</v>
      </c>
      <c r="BM138" s="4" t="s">
        <v>290</v>
      </c>
      <c r="BN138" s="4" t="s">
        <v>241</v>
      </c>
      <c r="BO138" s="6">
        <f>0</f>
        <v>0</v>
      </c>
      <c r="BP138" s="6">
        <f>-555309</f>
        <v>-555309</v>
      </c>
      <c r="BQ138" s="4" t="s">
        <v>263</v>
      </c>
      <c r="BR138" s="4" t="s">
        <v>264</v>
      </c>
      <c r="BS138" s="4" t="s">
        <v>241</v>
      </c>
      <c r="BT138" s="4" t="s">
        <v>241</v>
      </c>
      <c r="BU138" s="4" t="s">
        <v>241</v>
      </c>
      <c r="BV138" s="4" t="s">
        <v>241</v>
      </c>
      <c r="CE138" s="4" t="s">
        <v>264</v>
      </c>
      <c r="CF138" s="4" t="s">
        <v>241</v>
      </c>
      <c r="CG138" s="4" t="s">
        <v>241</v>
      </c>
      <c r="CK138" s="4" t="s">
        <v>291</v>
      </c>
      <c r="CL138" s="4" t="s">
        <v>266</v>
      </c>
      <c r="CM138" s="4" t="s">
        <v>241</v>
      </c>
      <c r="CO138" s="4" t="s">
        <v>331</v>
      </c>
      <c r="CP138" s="5" t="s">
        <v>268</v>
      </c>
      <c r="CQ138" s="4" t="s">
        <v>269</v>
      </c>
      <c r="CR138" s="4" t="s">
        <v>270</v>
      </c>
      <c r="CS138" s="4" t="s">
        <v>293</v>
      </c>
      <c r="CT138" s="4" t="s">
        <v>241</v>
      </c>
      <c r="CU138" s="4">
        <v>6.7000000000000004E-2</v>
      </c>
      <c r="CV138" s="4" t="s">
        <v>271</v>
      </c>
      <c r="CW138" s="4" t="s">
        <v>272</v>
      </c>
      <c r="CX138" s="4" t="s">
        <v>347</v>
      </c>
      <c r="CY138" s="6">
        <f>0</f>
        <v>0</v>
      </c>
      <c r="CZ138" s="6">
        <f>8288200</f>
        <v>8288200</v>
      </c>
      <c r="DA138" s="6">
        <f>7177582</f>
        <v>7177582</v>
      </c>
      <c r="DC138" s="4" t="s">
        <v>241</v>
      </c>
      <c r="DD138" s="4" t="s">
        <v>241</v>
      </c>
      <c r="DF138" s="4" t="s">
        <v>241</v>
      </c>
      <c r="DG138" s="6">
        <f>0</f>
        <v>0</v>
      </c>
      <c r="DI138" s="4" t="s">
        <v>241</v>
      </c>
      <c r="DJ138" s="4" t="s">
        <v>241</v>
      </c>
      <c r="DK138" s="4" t="s">
        <v>241</v>
      </c>
      <c r="DL138" s="4" t="s">
        <v>241</v>
      </c>
      <c r="DM138" s="4" t="s">
        <v>278</v>
      </c>
      <c r="DN138" s="4" t="s">
        <v>278</v>
      </c>
      <c r="DO138" s="6">
        <f>33.12</f>
        <v>33.119999999999997</v>
      </c>
      <c r="DP138" s="4" t="s">
        <v>241</v>
      </c>
      <c r="DQ138" s="4" t="s">
        <v>241</v>
      </c>
      <c r="DR138" s="4" t="s">
        <v>241</v>
      </c>
      <c r="DS138" s="4" t="s">
        <v>241</v>
      </c>
      <c r="DV138" s="4" t="s">
        <v>3154</v>
      </c>
      <c r="DW138" s="4" t="s">
        <v>323</v>
      </c>
      <c r="GN138" s="4" t="s">
        <v>3155</v>
      </c>
      <c r="HO138" s="4" t="s">
        <v>297</v>
      </c>
      <c r="HR138" s="4" t="s">
        <v>278</v>
      </c>
      <c r="HS138" s="4" t="s">
        <v>278</v>
      </c>
      <c r="HT138" s="4" t="s">
        <v>241</v>
      </c>
      <c r="HU138" s="4" t="s">
        <v>241</v>
      </c>
      <c r="HV138" s="4" t="s">
        <v>241</v>
      </c>
      <c r="HW138" s="4" t="s">
        <v>241</v>
      </c>
      <c r="HX138" s="4" t="s">
        <v>241</v>
      </c>
      <c r="HY138" s="4" t="s">
        <v>241</v>
      </c>
      <c r="HZ138" s="4" t="s">
        <v>241</v>
      </c>
      <c r="IA138" s="4" t="s">
        <v>241</v>
      </c>
      <c r="IB138" s="4" t="s">
        <v>241</v>
      </c>
      <c r="IC138" s="4" t="s">
        <v>241</v>
      </c>
      <c r="ID138" s="4" t="s">
        <v>241</v>
      </c>
      <c r="IE138" s="4" t="s">
        <v>241</v>
      </c>
      <c r="IF138" s="4" t="s">
        <v>241</v>
      </c>
    </row>
    <row r="139" spans="1:240" x14ac:dyDescent="0.4">
      <c r="A139" s="4">
        <v>2</v>
      </c>
      <c r="B139" s="4" t="s">
        <v>239</v>
      </c>
      <c r="C139" s="4">
        <v>144</v>
      </c>
      <c r="D139" s="4">
        <v>1</v>
      </c>
      <c r="E139" s="4">
        <v>1</v>
      </c>
      <c r="F139" s="4" t="s">
        <v>240</v>
      </c>
      <c r="G139" s="4" t="s">
        <v>241</v>
      </c>
      <c r="H139" s="4" t="s">
        <v>241</v>
      </c>
      <c r="I139" s="4" t="s">
        <v>3161</v>
      </c>
      <c r="J139" s="4" t="s">
        <v>247</v>
      </c>
      <c r="K139" s="4" t="s">
        <v>256</v>
      </c>
      <c r="L139" s="4" t="s">
        <v>250</v>
      </c>
      <c r="M139" s="5" t="s">
        <v>3162</v>
      </c>
      <c r="N139" s="4" t="s">
        <v>242</v>
      </c>
      <c r="O139" s="6">
        <f>27.38</f>
        <v>27.38</v>
      </c>
      <c r="P139" s="4" t="s">
        <v>276</v>
      </c>
      <c r="Q139" s="6">
        <f>1</f>
        <v>1</v>
      </c>
      <c r="R139" s="6">
        <f>1642800</f>
        <v>1642800</v>
      </c>
      <c r="S139" s="5" t="s">
        <v>248</v>
      </c>
      <c r="T139" s="4" t="s">
        <v>348</v>
      </c>
      <c r="U139" s="4" t="s">
        <v>275</v>
      </c>
      <c r="W139" s="6">
        <f>1642799</f>
        <v>1642799</v>
      </c>
      <c r="X139" s="4" t="s">
        <v>243</v>
      </c>
      <c r="Y139" s="4" t="s">
        <v>244</v>
      </c>
      <c r="Z139" s="4" t="s">
        <v>246</v>
      </c>
      <c r="AA139" s="4" t="s">
        <v>241</v>
      </c>
      <c r="AD139" s="4" t="s">
        <v>241</v>
      </c>
      <c r="AF139" s="5" t="s">
        <v>241</v>
      </c>
      <c r="AI139" s="5" t="s">
        <v>249</v>
      </c>
      <c r="AJ139" s="4" t="s">
        <v>251</v>
      </c>
      <c r="AK139" s="4" t="s">
        <v>252</v>
      </c>
      <c r="BA139" s="4" t="s">
        <v>254</v>
      </c>
      <c r="BB139" s="4" t="s">
        <v>241</v>
      </c>
      <c r="BC139" s="4" t="s">
        <v>255</v>
      </c>
      <c r="BD139" s="4" t="s">
        <v>241</v>
      </c>
      <c r="BE139" s="4" t="s">
        <v>257</v>
      </c>
      <c r="BF139" s="4" t="s">
        <v>241</v>
      </c>
      <c r="BH139" s="4" t="s">
        <v>258</v>
      </c>
      <c r="BJ139" s="4" t="s">
        <v>377</v>
      </c>
      <c r="BK139" s="5" t="s">
        <v>378</v>
      </c>
      <c r="BL139" s="4" t="s">
        <v>261</v>
      </c>
      <c r="BM139" s="4" t="s">
        <v>262</v>
      </c>
      <c r="BN139" s="4" t="s">
        <v>241</v>
      </c>
      <c r="BO139" s="6">
        <f>0</f>
        <v>0</v>
      </c>
      <c r="BP139" s="6">
        <f>0</f>
        <v>0</v>
      </c>
      <c r="BQ139" s="4" t="s">
        <v>263</v>
      </c>
      <c r="BR139" s="4" t="s">
        <v>264</v>
      </c>
      <c r="CF139" s="4" t="s">
        <v>241</v>
      </c>
      <c r="CG139" s="4" t="s">
        <v>241</v>
      </c>
      <c r="CK139" s="4" t="s">
        <v>265</v>
      </c>
      <c r="CL139" s="4" t="s">
        <v>266</v>
      </c>
      <c r="CM139" s="4" t="s">
        <v>241</v>
      </c>
      <c r="CO139" s="4" t="s">
        <v>267</v>
      </c>
      <c r="CP139" s="5" t="s">
        <v>268</v>
      </c>
      <c r="CQ139" s="4" t="s">
        <v>269</v>
      </c>
      <c r="CR139" s="4" t="s">
        <v>270</v>
      </c>
      <c r="CS139" s="4" t="s">
        <v>241</v>
      </c>
      <c r="CT139" s="4" t="s">
        <v>241</v>
      </c>
      <c r="CU139" s="4">
        <v>0</v>
      </c>
      <c r="CV139" s="4" t="s">
        <v>271</v>
      </c>
      <c r="CW139" s="4" t="s">
        <v>272</v>
      </c>
      <c r="CX139" s="4" t="s">
        <v>347</v>
      </c>
      <c r="CZ139" s="6">
        <f>1642800</f>
        <v>1642800</v>
      </c>
      <c r="DA139" s="6">
        <f>0</f>
        <v>0</v>
      </c>
      <c r="DC139" s="4" t="s">
        <v>241</v>
      </c>
      <c r="DD139" s="4" t="s">
        <v>241</v>
      </c>
      <c r="DF139" s="4" t="s">
        <v>241</v>
      </c>
      <c r="DI139" s="4" t="s">
        <v>241</v>
      </c>
      <c r="DJ139" s="4" t="s">
        <v>241</v>
      </c>
      <c r="DK139" s="4" t="s">
        <v>241</v>
      </c>
      <c r="DL139" s="4" t="s">
        <v>241</v>
      </c>
      <c r="DM139" s="4" t="s">
        <v>277</v>
      </c>
      <c r="DN139" s="4" t="s">
        <v>278</v>
      </c>
      <c r="DO139" s="6">
        <f>27.38</f>
        <v>27.38</v>
      </c>
      <c r="DP139" s="4" t="s">
        <v>241</v>
      </c>
      <c r="DQ139" s="4" t="s">
        <v>241</v>
      </c>
      <c r="DR139" s="4" t="s">
        <v>241</v>
      </c>
      <c r="DS139" s="4" t="s">
        <v>241</v>
      </c>
      <c r="DV139" s="4" t="s">
        <v>3163</v>
      </c>
      <c r="DW139" s="4" t="s">
        <v>277</v>
      </c>
      <c r="HO139" s="4" t="s">
        <v>277</v>
      </c>
      <c r="HR139" s="4" t="s">
        <v>278</v>
      </c>
      <c r="HS139" s="4" t="s">
        <v>278</v>
      </c>
    </row>
    <row r="140" spans="1:240" x14ac:dyDescent="0.4">
      <c r="A140" s="4">
        <v>2</v>
      </c>
      <c r="B140" s="4" t="s">
        <v>239</v>
      </c>
      <c r="C140" s="4">
        <v>145</v>
      </c>
      <c r="D140" s="4">
        <v>1</v>
      </c>
      <c r="E140" s="4">
        <v>3</v>
      </c>
      <c r="F140" s="4" t="s">
        <v>326</v>
      </c>
      <c r="G140" s="4" t="s">
        <v>241</v>
      </c>
      <c r="H140" s="4" t="s">
        <v>241</v>
      </c>
      <c r="I140" s="4" t="s">
        <v>3161</v>
      </c>
      <c r="J140" s="4" t="s">
        <v>247</v>
      </c>
      <c r="K140" s="4" t="s">
        <v>256</v>
      </c>
      <c r="L140" s="4" t="s">
        <v>250</v>
      </c>
      <c r="M140" s="5" t="s">
        <v>3162</v>
      </c>
      <c r="N140" s="4" t="s">
        <v>3088</v>
      </c>
      <c r="O140" s="6">
        <f>0</f>
        <v>0</v>
      </c>
      <c r="P140" s="4" t="s">
        <v>276</v>
      </c>
      <c r="Q140" s="6">
        <f>946144</f>
        <v>946144</v>
      </c>
      <c r="R140" s="6">
        <f>1292544</f>
        <v>1292544</v>
      </c>
      <c r="S140" s="5" t="s">
        <v>775</v>
      </c>
      <c r="T140" s="4" t="s">
        <v>348</v>
      </c>
      <c r="U140" s="4" t="s">
        <v>297</v>
      </c>
      <c r="V140" s="6">
        <f>86600</f>
        <v>86600</v>
      </c>
      <c r="W140" s="6">
        <f>346400</f>
        <v>346400</v>
      </c>
      <c r="X140" s="4" t="s">
        <v>243</v>
      </c>
      <c r="Y140" s="4" t="s">
        <v>244</v>
      </c>
      <c r="Z140" s="4" t="s">
        <v>246</v>
      </c>
      <c r="AA140" s="4" t="s">
        <v>241</v>
      </c>
      <c r="AD140" s="4" t="s">
        <v>241</v>
      </c>
      <c r="AE140" s="5" t="s">
        <v>241</v>
      </c>
      <c r="AF140" s="5" t="s">
        <v>241</v>
      </c>
      <c r="AH140" s="5" t="s">
        <v>241</v>
      </c>
      <c r="AI140" s="5" t="s">
        <v>249</v>
      </c>
      <c r="AJ140" s="4" t="s">
        <v>251</v>
      </c>
      <c r="AK140" s="4" t="s">
        <v>252</v>
      </c>
      <c r="AQ140" s="4" t="s">
        <v>241</v>
      </c>
      <c r="AR140" s="4" t="s">
        <v>241</v>
      </c>
      <c r="AS140" s="4" t="s">
        <v>241</v>
      </c>
      <c r="AT140" s="5" t="s">
        <v>241</v>
      </c>
      <c r="AU140" s="5" t="s">
        <v>241</v>
      </c>
      <c r="AV140" s="5" t="s">
        <v>241</v>
      </c>
      <c r="AY140" s="4" t="s">
        <v>286</v>
      </c>
      <c r="AZ140" s="4" t="s">
        <v>286</v>
      </c>
      <c r="BA140" s="4" t="s">
        <v>254</v>
      </c>
      <c r="BB140" s="4" t="s">
        <v>287</v>
      </c>
      <c r="BC140" s="4" t="s">
        <v>255</v>
      </c>
      <c r="BD140" s="4" t="s">
        <v>241</v>
      </c>
      <c r="BE140" s="4" t="s">
        <v>257</v>
      </c>
      <c r="BF140" s="4" t="s">
        <v>241</v>
      </c>
      <c r="BJ140" s="4" t="s">
        <v>288</v>
      </c>
      <c r="BK140" s="5" t="s">
        <v>289</v>
      </c>
      <c r="BL140" s="4" t="s">
        <v>290</v>
      </c>
      <c r="BM140" s="4" t="s">
        <v>290</v>
      </c>
      <c r="BN140" s="4" t="s">
        <v>241</v>
      </c>
      <c r="BP140" s="6">
        <f>-86600</f>
        <v>-86600</v>
      </c>
      <c r="BQ140" s="4" t="s">
        <v>263</v>
      </c>
      <c r="BR140" s="4" t="s">
        <v>264</v>
      </c>
      <c r="BS140" s="4" t="s">
        <v>241</v>
      </c>
      <c r="BT140" s="4" t="s">
        <v>241</v>
      </c>
      <c r="BU140" s="4" t="s">
        <v>241</v>
      </c>
      <c r="BV140" s="4" t="s">
        <v>241</v>
      </c>
      <c r="CE140" s="4" t="s">
        <v>264</v>
      </c>
      <c r="CF140" s="4" t="s">
        <v>241</v>
      </c>
      <c r="CG140" s="4" t="s">
        <v>241</v>
      </c>
      <c r="CK140" s="4" t="s">
        <v>291</v>
      </c>
      <c r="CL140" s="4" t="s">
        <v>266</v>
      </c>
      <c r="CM140" s="4" t="s">
        <v>241</v>
      </c>
      <c r="CO140" s="4" t="s">
        <v>413</v>
      </c>
      <c r="CP140" s="5" t="s">
        <v>268</v>
      </c>
      <c r="CQ140" s="4" t="s">
        <v>269</v>
      </c>
      <c r="CR140" s="4" t="s">
        <v>270</v>
      </c>
      <c r="CS140" s="4" t="s">
        <v>293</v>
      </c>
      <c r="CT140" s="4" t="s">
        <v>241</v>
      </c>
      <c r="CU140" s="4">
        <v>6.7000000000000004E-2</v>
      </c>
      <c r="CV140" s="4" t="s">
        <v>271</v>
      </c>
      <c r="CW140" s="4" t="s">
        <v>272</v>
      </c>
      <c r="CX140" s="4" t="s">
        <v>347</v>
      </c>
      <c r="CY140" s="6">
        <f>0</f>
        <v>0</v>
      </c>
      <c r="CZ140" s="6">
        <f>1292544</f>
        <v>1292544</v>
      </c>
      <c r="DA140" s="6">
        <f>946144</f>
        <v>946144</v>
      </c>
      <c r="DC140" s="4" t="s">
        <v>241</v>
      </c>
      <c r="DD140" s="4" t="s">
        <v>241</v>
      </c>
      <c r="DF140" s="4" t="s">
        <v>241</v>
      </c>
      <c r="DG140" s="6">
        <f>0</f>
        <v>0</v>
      </c>
      <c r="DI140" s="4" t="s">
        <v>241</v>
      </c>
      <c r="DJ140" s="4" t="s">
        <v>241</v>
      </c>
      <c r="DK140" s="4" t="s">
        <v>241</v>
      </c>
      <c r="DL140" s="4" t="s">
        <v>241</v>
      </c>
      <c r="DM140" s="4" t="s">
        <v>278</v>
      </c>
      <c r="DN140" s="4" t="s">
        <v>278</v>
      </c>
      <c r="DO140" s="6" t="s">
        <v>241</v>
      </c>
      <c r="DP140" s="4" t="s">
        <v>241</v>
      </c>
      <c r="DQ140" s="4" t="s">
        <v>241</v>
      </c>
      <c r="DR140" s="4" t="s">
        <v>241</v>
      </c>
      <c r="DS140" s="4" t="s">
        <v>241</v>
      </c>
      <c r="DV140" s="4" t="s">
        <v>3163</v>
      </c>
      <c r="DW140" s="4" t="s">
        <v>323</v>
      </c>
      <c r="GN140" s="4" t="s">
        <v>3164</v>
      </c>
      <c r="HO140" s="4" t="s">
        <v>351</v>
      </c>
      <c r="HR140" s="4" t="s">
        <v>278</v>
      </c>
      <c r="HS140" s="4" t="s">
        <v>278</v>
      </c>
      <c r="HT140" s="4" t="s">
        <v>241</v>
      </c>
      <c r="HU140" s="4" t="s">
        <v>241</v>
      </c>
      <c r="HV140" s="4" t="s">
        <v>241</v>
      </c>
      <c r="HW140" s="4" t="s">
        <v>241</v>
      </c>
      <c r="HX140" s="4" t="s">
        <v>241</v>
      </c>
      <c r="HY140" s="4" t="s">
        <v>241</v>
      </c>
      <c r="HZ140" s="4" t="s">
        <v>241</v>
      </c>
      <c r="IA140" s="4" t="s">
        <v>241</v>
      </c>
      <c r="IB140" s="4" t="s">
        <v>241</v>
      </c>
      <c r="IC140" s="4" t="s">
        <v>241</v>
      </c>
      <c r="ID140" s="4" t="s">
        <v>241</v>
      </c>
      <c r="IE140" s="4" t="s">
        <v>241</v>
      </c>
      <c r="IF140" s="4" t="s">
        <v>241</v>
      </c>
    </row>
    <row r="141" spans="1:240" x14ac:dyDescent="0.4">
      <c r="A141" s="4">
        <v>2</v>
      </c>
      <c r="B141" s="4" t="s">
        <v>239</v>
      </c>
      <c r="C141" s="4">
        <v>146</v>
      </c>
      <c r="D141" s="4">
        <v>1</v>
      </c>
      <c r="E141" s="4">
        <v>1</v>
      </c>
      <c r="F141" s="4" t="s">
        <v>240</v>
      </c>
      <c r="G141" s="4" t="s">
        <v>241</v>
      </c>
      <c r="H141" s="4" t="s">
        <v>241</v>
      </c>
      <c r="I141" s="4" t="s">
        <v>3500</v>
      </c>
      <c r="J141" s="4" t="s">
        <v>247</v>
      </c>
      <c r="K141" s="4" t="s">
        <v>256</v>
      </c>
      <c r="L141" s="4" t="s">
        <v>250</v>
      </c>
      <c r="M141" s="5" t="s">
        <v>3501</v>
      </c>
      <c r="N141" s="4" t="s">
        <v>242</v>
      </c>
      <c r="O141" s="6">
        <f>9.94</f>
        <v>9.94</v>
      </c>
      <c r="P141" s="4" t="s">
        <v>276</v>
      </c>
      <c r="Q141" s="6">
        <f>1</f>
        <v>1</v>
      </c>
      <c r="R141" s="6">
        <f>596400</f>
        <v>596400</v>
      </c>
      <c r="S141" s="5" t="s">
        <v>248</v>
      </c>
      <c r="T141" s="4" t="s">
        <v>348</v>
      </c>
      <c r="U141" s="4" t="s">
        <v>275</v>
      </c>
      <c r="W141" s="6">
        <f>596399</f>
        <v>596399</v>
      </c>
      <c r="X141" s="4" t="s">
        <v>243</v>
      </c>
      <c r="Y141" s="4" t="s">
        <v>244</v>
      </c>
      <c r="Z141" s="4" t="s">
        <v>246</v>
      </c>
      <c r="AA141" s="4" t="s">
        <v>241</v>
      </c>
      <c r="AD141" s="4" t="s">
        <v>241</v>
      </c>
      <c r="AF141" s="5" t="s">
        <v>241</v>
      </c>
      <c r="AI141" s="5" t="s">
        <v>249</v>
      </c>
      <c r="AJ141" s="4" t="s">
        <v>251</v>
      </c>
      <c r="AK141" s="4" t="s">
        <v>252</v>
      </c>
      <c r="BA141" s="4" t="s">
        <v>254</v>
      </c>
      <c r="BB141" s="4" t="s">
        <v>241</v>
      </c>
      <c r="BC141" s="4" t="s">
        <v>255</v>
      </c>
      <c r="BD141" s="4" t="s">
        <v>241</v>
      </c>
      <c r="BE141" s="4" t="s">
        <v>257</v>
      </c>
      <c r="BF141" s="4" t="s">
        <v>241</v>
      </c>
      <c r="BH141" s="4" t="s">
        <v>258</v>
      </c>
      <c r="BJ141" s="4" t="s">
        <v>367</v>
      </c>
      <c r="BK141" s="5" t="s">
        <v>249</v>
      </c>
      <c r="BL141" s="4" t="s">
        <v>261</v>
      </c>
      <c r="BM141" s="4" t="s">
        <v>262</v>
      </c>
      <c r="BN141" s="4" t="s">
        <v>241</v>
      </c>
      <c r="BO141" s="6">
        <f>0</f>
        <v>0</v>
      </c>
      <c r="BP141" s="6">
        <f>0</f>
        <v>0</v>
      </c>
      <c r="BQ141" s="4" t="s">
        <v>263</v>
      </c>
      <c r="BR141" s="4" t="s">
        <v>264</v>
      </c>
      <c r="CF141" s="4" t="s">
        <v>241</v>
      </c>
      <c r="CG141" s="4" t="s">
        <v>241</v>
      </c>
      <c r="CK141" s="4" t="s">
        <v>265</v>
      </c>
      <c r="CL141" s="4" t="s">
        <v>266</v>
      </c>
      <c r="CM141" s="4" t="s">
        <v>241</v>
      </c>
      <c r="CO141" s="4" t="s">
        <v>267</v>
      </c>
      <c r="CP141" s="5" t="s">
        <v>268</v>
      </c>
      <c r="CQ141" s="4" t="s">
        <v>269</v>
      </c>
      <c r="CR141" s="4" t="s">
        <v>270</v>
      </c>
      <c r="CS141" s="4" t="s">
        <v>241</v>
      </c>
      <c r="CT141" s="4" t="s">
        <v>241</v>
      </c>
      <c r="CU141" s="4">
        <v>0</v>
      </c>
      <c r="CV141" s="4" t="s">
        <v>271</v>
      </c>
      <c r="CW141" s="4" t="s">
        <v>272</v>
      </c>
      <c r="CX141" s="4" t="s">
        <v>347</v>
      </c>
      <c r="CZ141" s="6">
        <f>596400</f>
        <v>596400</v>
      </c>
      <c r="DA141" s="6">
        <f>0</f>
        <v>0</v>
      </c>
      <c r="DC141" s="4" t="s">
        <v>241</v>
      </c>
      <c r="DD141" s="4" t="s">
        <v>241</v>
      </c>
      <c r="DF141" s="4" t="s">
        <v>241</v>
      </c>
      <c r="DI141" s="4" t="s">
        <v>241</v>
      </c>
      <c r="DJ141" s="4" t="s">
        <v>241</v>
      </c>
      <c r="DK141" s="4" t="s">
        <v>241</v>
      </c>
      <c r="DL141" s="4" t="s">
        <v>241</v>
      </c>
      <c r="DM141" s="4" t="s">
        <v>277</v>
      </c>
      <c r="DN141" s="4" t="s">
        <v>278</v>
      </c>
      <c r="DO141" s="6">
        <f>9.94</f>
        <v>9.94</v>
      </c>
      <c r="DP141" s="4" t="s">
        <v>241</v>
      </c>
      <c r="DQ141" s="4" t="s">
        <v>241</v>
      </c>
      <c r="DR141" s="4" t="s">
        <v>241</v>
      </c>
      <c r="DS141" s="4" t="s">
        <v>241</v>
      </c>
      <c r="DV141" s="4" t="s">
        <v>3502</v>
      </c>
      <c r="DW141" s="4" t="s">
        <v>277</v>
      </c>
      <c r="HO141" s="4" t="s">
        <v>277</v>
      </c>
      <c r="HR141" s="4" t="s">
        <v>278</v>
      </c>
      <c r="HS141" s="4" t="s">
        <v>278</v>
      </c>
    </row>
    <row r="142" spans="1:240" x14ac:dyDescent="0.4">
      <c r="A142" s="4">
        <v>2</v>
      </c>
      <c r="B142" s="4" t="s">
        <v>239</v>
      </c>
      <c r="C142" s="4">
        <v>147</v>
      </c>
      <c r="D142" s="4">
        <v>1</v>
      </c>
      <c r="E142" s="4">
        <v>1</v>
      </c>
      <c r="F142" s="4" t="s">
        <v>240</v>
      </c>
      <c r="G142" s="4" t="s">
        <v>241</v>
      </c>
      <c r="H142" s="4" t="s">
        <v>241</v>
      </c>
      <c r="I142" s="4" t="s">
        <v>3503</v>
      </c>
      <c r="J142" s="4" t="s">
        <v>247</v>
      </c>
      <c r="K142" s="4" t="s">
        <v>256</v>
      </c>
      <c r="L142" s="4" t="s">
        <v>250</v>
      </c>
      <c r="M142" s="5" t="s">
        <v>3504</v>
      </c>
      <c r="N142" s="4" t="s">
        <v>242</v>
      </c>
      <c r="O142" s="6">
        <f>11.02</f>
        <v>11.02</v>
      </c>
      <c r="P142" s="4" t="s">
        <v>276</v>
      </c>
      <c r="Q142" s="6">
        <f>1</f>
        <v>1</v>
      </c>
      <c r="R142" s="6">
        <f>661200</f>
        <v>661200</v>
      </c>
      <c r="S142" s="5" t="s">
        <v>248</v>
      </c>
      <c r="T142" s="4" t="s">
        <v>348</v>
      </c>
      <c r="U142" s="4" t="s">
        <v>275</v>
      </c>
      <c r="W142" s="6">
        <f>661199</f>
        <v>661199</v>
      </c>
      <c r="X142" s="4" t="s">
        <v>243</v>
      </c>
      <c r="Y142" s="4" t="s">
        <v>244</v>
      </c>
      <c r="Z142" s="4" t="s">
        <v>246</v>
      </c>
      <c r="AA142" s="4" t="s">
        <v>241</v>
      </c>
      <c r="AD142" s="4" t="s">
        <v>241</v>
      </c>
      <c r="AF142" s="5" t="s">
        <v>241</v>
      </c>
      <c r="AI142" s="5" t="s">
        <v>249</v>
      </c>
      <c r="AJ142" s="4" t="s">
        <v>251</v>
      </c>
      <c r="AK142" s="4" t="s">
        <v>252</v>
      </c>
      <c r="BA142" s="4" t="s">
        <v>254</v>
      </c>
      <c r="BB142" s="4" t="s">
        <v>241</v>
      </c>
      <c r="BC142" s="4" t="s">
        <v>255</v>
      </c>
      <c r="BD142" s="4" t="s">
        <v>241</v>
      </c>
      <c r="BE142" s="4" t="s">
        <v>257</v>
      </c>
      <c r="BF142" s="4" t="s">
        <v>241</v>
      </c>
      <c r="BH142" s="4" t="s">
        <v>258</v>
      </c>
      <c r="BJ142" s="4" t="s">
        <v>374</v>
      </c>
      <c r="BK142" s="5" t="s">
        <v>375</v>
      </c>
      <c r="BL142" s="4" t="s">
        <v>261</v>
      </c>
      <c r="BM142" s="4" t="s">
        <v>262</v>
      </c>
      <c r="BN142" s="4" t="s">
        <v>241</v>
      </c>
      <c r="BO142" s="6">
        <f>0</f>
        <v>0</v>
      </c>
      <c r="BP142" s="6">
        <f>0</f>
        <v>0</v>
      </c>
      <c r="BQ142" s="4" t="s">
        <v>263</v>
      </c>
      <c r="BR142" s="4" t="s">
        <v>264</v>
      </c>
      <c r="CF142" s="4" t="s">
        <v>241</v>
      </c>
      <c r="CG142" s="4" t="s">
        <v>241</v>
      </c>
      <c r="CK142" s="4" t="s">
        <v>265</v>
      </c>
      <c r="CL142" s="4" t="s">
        <v>266</v>
      </c>
      <c r="CM142" s="4" t="s">
        <v>241</v>
      </c>
      <c r="CO142" s="4" t="s">
        <v>267</v>
      </c>
      <c r="CP142" s="5" t="s">
        <v>268</v>
      </c>
      <c r="CQ142" s="4" t="s">
        <v>269</v>
      </c>
      <c r="CR142" s="4" t="s">
        <v>270</v>
      </c>
      <c r="CS142" s="4" t="s">
        <v>241</v>
      </c>
      <c r="CT142" s="4" t="s">
        <v>241</v>
      </c>
      <c r="CU142" s="4">
        <v>0</v>
      </c>
      <c r="CV142" s="4" t="s">
        <v>271</v>
      </c>
      <c r="CW142" s="4" t="s">
        <v>272</v>
      </c>
      <c r="CX142" s="4" t="s">
        <v>347</v>
      </c>
      <c r="CZ142" s="6">
        <f>661200</f>
        <v>661200</v>
      </c>
      <c r="DA142" s="6">
        <f>0</f>
        <v>0</v>
      </c>
      <c r="DC142" s="4" t="s">
        <v>241</v>
      </c>
      <c r="DD142" s="4" t="s">
        <v>241</v>
      </c>
      <c r="DF142" s="4" t="s">
        <v>241</v>
      </c>
      <c r="DI142" s="4" t="s">
        <v>241</v>
      </c>
      <c r="DJ142" s="4" t="s">
        <v>241</v>
      </c>
      <c r="DK142" s="4" t="s">
        <v>241</v>
      </c>
      <c r="DL142" s="4" t="s">
        <v>241</v>
      </c>
      <c r="DM142" s="4" t="s">
        <v>277</v>
      </c>
      <c r="DN142" s="4" t="s">
        <v>278</v>
      </c>
      <c r="DO142" s="6">
        <f>11.02</f>
        <v>11.02</v>
      </c>
      <c r="DP142" s="4" t="s">
        <v>241</v>
      </c>
      <c r="DQ142" s="4" t="s">
        <v>241</v>
      </c>
      <c r="DR142" s="4" t="s">
        <v>241</v>
      </c>
      <c r="DS142" s="4" t="s">
        <v>241</v>
      </c>
      <c r="DV142" s="4" t="s">
        <v>3505</v>
      </c>
      <c r="DW142" s="4" t="s">
        <v>277</v>
      </c>
      <c r="HO142" s="4" t="s">
        <v>277</v>
      </c>
      <c r="HR142" s="4" t="s">
        <v>278</v>
      </c>
      <c r="HS142" s="4" t="s">
        <v>278</v>
      </c>
    </row>
    <row r="143" spans="1:240" x14ac:dyDescent="0.4">
      <c r="A143" s="4">
        <v>2</v>
      </c>
      <c r="B143" s="4" t="s">
        <v>239</v>
      </c>
      <c r="C143" s="4">
        <v>148</v>
      </c>
      <c r="D143" s="4">
        <v>1</v>
      </c>
      <c r="E143" s="4">
        <v>1</v>
      </c>
      <c r="F143" s="4" t="s">
        <v>240</v>
      </c>
      <c r="G143" s="4" t="s">
        <v>241</v>
      </c>
      <c r="H143" s="4" t="s">
        <v>241</v>
      </c>
      <c r="I143" s="4" t="s">
        <v>3506</v>
      </c>
      <c r="J143" s="4" t="s">
        <v>247</v>
      </c>
      <c r="K143" s="4" t="s">
        <v>256</v>
      </c>
      <c r="L143" s="4" t="s">
        <v>250</v>
      </c>
      <c r="M143" s="5" t="s">
        <v>3507</v>
      </c>
      <c r="N143" s="4" t="s">
        <v>242</v>
      </c>
      <c r="O143" s="6">
        <f>19.87</f>
        <v>19.87</v>
      </c>
      <c r="P143" s="4" t="s">
        <v>276</v>
      </c>
      <c r="Q143" s="6">
        <f>1</f>
        <v>1</v>
      </c>
      <c r="R143" s="6">
        <f>1192200</f>
        <v>1192200</v>
      </c>
      <c r="S143" s="5" t="s">
        <v>248</v>
      </c>
      <c r="T143" s="4" t="s">
        <v>348</v>
      </c>
      <c r="U143" s="4" t="s">
        <v>275</v>
      </c>
      <c r="W143" s="6">
        <f>1192199</f>
        <v>1192199</v>
      </c>
      <c r="X143" s="4" t="s">
        <v>243</v>
      </c>
      <c r="Y143" s="4" t="s">
        <v>244</v>
      </c>
      <c r="Z143" s="4" t="s">
        <v>246</v>
      </c>
      <c r="AA143" s="4" t="s">
        <v>241</v>
      </c>
      <c r="AD143" s="4" t="s">
        <v>241</v>
      </c>
      <c r="AF143" s="5" t="s">
        <v>241</v>
      </c>
      <c r="AI143" s="5" t="s">
        <v>249</v>
      </c>
      <c r="AJ143" s="4" t="s">
        <v>251</v>
      </c>
      <c r="AK143" s="4" t="s">
        <v>252</v>
      </c>
      <c r="BA143" s="4" t="s">
        <v>254</v>
      </c>
      <c r="BB143" s="4" t="s">
        <v>241</v>
      </c>
      <c r="BC143" s="4" t="s">
        <v>255</v>
      </c>
      <c r="BD143" s="4" t="s">
        <v>241</v>
      </c>
      <c r="BE143" s="4" t="s">
        <v>257</v>
      </c>
      <c r="BF143" s="4" t="s">
        <v>241</v>
      </c>
      <c r="BH143" s="4" t="s">
        <v>258</v>
      </c>
      <c r="BJ143" s="4" t="s">
        <v>377</v>
      </c>
      <c r="BK143" s="5" t="s">
        <v>378</v>
      </c>
      <c r="BL143" s="4" t="s">
        <v>261</v>
      </c>
      <c r="BM143" s="4" t="s">
        <v>262</v>
      </c>
      <c r="BN143" s="4" t="s">
        <v>241</v>
      </c>
      <c r="BO143" s="6">
        <f>0</f>
        <v>0</v>
      </c>
      <c r="BP143" s="6">
        <f>0</f>
        <v>0</v>
      </c>
      <c r="BQ143" s="4" t="s">
        <v>263</v>
      </c>
      <c r="BR143" s="4" t="s">
        <v>264</v>
      </c>
      <c r="CF143" s="4" t="s">
        <v>241</v>
      </c>
      <c r="CG143" s="4" t="s">
        <v>241</v>
      </c>
      <c r="CK143" s="4" t="s">
        <v>265</v>
      </c>
      <c r="CL143" s="4" t="s">
        <v>266</v>
      </c>
      <c r="CM143" s="4" t="s">
        <v>241</v>
      </c>
      <c r="CO143" s="4" t="s">
        <v>267</v>
      </c>
      <c r="CP143" s="5" t="s">
        <v>268</v>
      </c>
      <c r="CQ143" s="4" t="s">
        <v>269</v>
      </c>
      <c r="CR143" s="4" t="s">
        <v>270</v>
      </c>
      <c r="CS143" s="4" t="s">
        <v>241</v>
      </c>
      <c r="CT143" s="4" t="s">
        <v>241</v>
      </c>
      <c r="CU143" s="4">
        <v>0</v>
      </c>
      <c r="CV143" s="4" t="s">
        <v>271</v>
      </c>
      <c r="CW143" s="4" t="s">
        <v>272</v>
      </c>
      <c r="CX143" s="4" t="s">
        <v>347</v>
      </c>
      <c r="CZ143" s="6">
        <f>1192200</f>
        <v>1192200</v>
      </c>
      <c r="DA143" s="6">
        <f>0</f>
        <v>0</v>
      </c>
      <c r="DC143" s="4" t="s">
        <v>241</v>
      </c>
      <c r="DD143" s="4" t="s">
        <v>241</v>
      </c>
      <c r="DF143" s="4" t="s">
        <v>241</v>
      </c>
      <c r="DI143" s="4" t="s">
        <v>241</v>
      </c>
      <c r="DJ143" s="4" t="s">
        <v>241</v>
      </c>
      <c r="DK143" s="4" t="s">
        <v>241</v>
      </c>
      <c r="DL143" s="4" t="s">
        <v>241</v>
      </c>
      <c r="DM143" s="4" t="s">
        <v>277</v>
      </c>
      <c r="DN143" s="4" t="s">
        <v>278</v>
      </c>
      <c r="DO143" s="6">
        <f>19.87</f>
        <v>19.87</v>
      </c>
      <c r="DP143" s="4" t="s">
        <v>241</v>
      </c>
      <c r="DQ143" s="4" t="s">
        <v>241</v>
      </c>
      <c r="DR143" s="4" t="s">
        <v>241</v>
      </c>
      <c r="DS143" s="4" t="s">
        <v>241</v>
      </c>
      <c r="DV143" s="4" t="s">
        <v>3508</v>
      </c>
      <c r="DW143" s="4" t="s">
        <v>277</v>
      </c>
      <c r="HO143" s="4" t="s">
        <v>277</v>
      </c>
      <c r="HR143" s="4" t="s">
        <v>278</v>
      </c>
      <c r="HS143" s="4" t="s">
        <v>278</v>
      </c>
    </row>
    <row r="144" spans="1:240" x14ac:dyDescent="0.4">
      <c r="A144" s="4">
        <v>2</v>
      </c>
      <c r="B144" s="4" t="s">
        <v>239</v>
      </c>
      <c r="C144" s="4">
        <v>149</v>
      </c>
      <c r="D144" s="4">
        <v>1</v>
      </c>
      <c r="E144" s="4">
        <v>1</v>
      </c>
      <c r="F144" s="4" t="s">
        <v>240</v>
      </c>
      <c r="G144" s="4" t="s">
        <v>241</v>
      </c>
      <c r="H144" s="4" t="s">
        <v>241</v>
      </c>
      <c r="I144" s="4" t="s">
        <v>3509</v>
      </c>
      <c r="J144" s="4" t="s">
        <v>247</v>
      </c>
      <c r="K144" s="4" t="s">
        <v>256</v>
      </c>
      <c r="L144" s="4" t="s">
        <v>250</v>
      </c>
      <c r="M144" s="5" t="s">
        <v>3510</v>
      </c>
      <c r="N144" s="4" t="s">
        <v>242</v>
      </c>
      <c r="O144" s="6">
        <f>28.03</f>
        <v>28.03</v>
      </c>
      <c r="P144" s="4" t="s">
        <v>276</v>
      </c>
      <c r="Q144" s="6">
        <f>1</f>
        <v>1</v>
      </c>
      <c r="R144" s="6">
        <f>1681800</f>
        <v>1681800</v>
      </c>
      <c r="S144" s="5" t="s">
        <v>248</v>
      </c>
      <c r="T144" s="4" t="s">
        <v>348</v>
      </c>
      <c r="U144" s="4" t="s">
        <v>275</v>
      </c>
      <c r="W144" s="6">
        <f>1681799</f>
        <v>1681799</v>
      </c>
      <c r="X144" s="4" t="s">
        <v>243</v>
      </c>
      <c r="Y144" s="4" t="s">
        <v>244</v>
      </c>
      <c r="Z144" s="4" t="s">
        <v>246</v>
      </c>
      <c r="AA144" s="4" t="s">
        <v>241</v>
      </c>
      <c r="AD144" s="4" t="s">
        <v>241</v>
      </c>
      <c r="AF144" s="5" t="s">
        <v>241</v>
      </c>
      <c r="AI144" s="5" t="s">
        <v>249</v>
      </c>
      <c r="AJ144" s="4" t="s">
        <v>251</v>
      </c>
      <c r="AK144" s="4" t="s">
        <v>252</v>
      </c>
      <c r="BA144" s="4" t="s">
        <v>254</v>
      </c>
      <c r="BB144" s="4" t="s">
        <v>241</v>
      </c>
      <c r="BC144" s="4" t="s">
        <v>255</v>
      </c>
      <c r="BD144" s="4" t="s">
        <v>241</v>
      </c>
      <c r="BE144" s="4" t="s">
        <v>257</v>
      </c>
      <c r="BF144" s="4" t="s">
        <v>241</v>
      </c>
      <c r="BH144" s="4" t="s">
        <v>258</v>
      </c>
      <c r="BJ144" s="4" t="s">
        <v>259</v>
      </c>
      <c r="BK144" s="5" t="s">
        <v>260</v>
      </c>
      <c r="BL144" s="4" t="s">
        <v>261</v>
      </c>
      <c r="BM144" s="4" t="s">
        <v>262</v>
      </c>
      <c r="BN144" s="4" t="s">
        <v>241</v>
      </c>
      <c r="BO144" s="6">
        <f>0</f>
        <v>0</v>
      </c>
      <c r="BP144" s="6">
        <f>0</f>
        <v>0</v>
      </c>
      <c r="BQ144" s="4" t="s">
        <v>263</v>
      </c>
      <c r="BR144" s="4" t="s">
        <v>264</v>
      </c>
      <c r="CF144" s="4" t="s">
        <v>241</v>
      </c>
      <c r="CG144" s="4" t="s">
        <v>241</v>
      </c>
      <c r="CK144" s="4" t="s">
        <v>265</v>
      </c>
      <c r="CL144" s="4" t="s">
        <v>266</v>
      </c>
      <c r="CM144" s="4" t="s">
        <v>241</v>
      </c>
      <c r="CO144" s="4" t="s">
        <v>267</v>
      </c>
      <c r="CP144" s="5" t="s">
        <v>268</v>
      </c>
      <c r="CQ144" s="4" t="s">
        <v>269</v>
      </c>
      <c r="CR144" s="4" t="s">
        <v>270</v>
      </c>
      <c r="CS144" s="4" t="s">
        <v>241</v>
      </c>
      <c r="CT144" s="4" t="s">
        <v>241</v>
      </c>
      <c r="CU144" s="4">
        <v>0</v>
      </c>
      <c r="CV144" s="4" t="s">
        <v>271</v>
      </c>
      <c r="CW144" s="4" t="s">
        <v>272</v>
      </c>
      <c r="CX144" s="4" t="s">
        <v>347</v>
      </c>
      <c r="CZ144" s="6">
        <f>1681800</f>
        <v>1681800</v>
      </c>
      <c r="DA144" s="6">
        <f>0</f>
        <v>0</v>
      </c>
      <c r="DC144" s="4" t="s">
        <v>241</v>
      </c>
      <c r="DD144" s="4" t="s">
        <v>241</v>
      </c>
      <c r="DF144" s="4" t="s">
        <v>241</v>
      </c>
      <c r="DI144" s="4" t="s">
        <v>241</v>
      </c>
      <c r="DJ144" s="4" t="s">
        <v>241</v>
      </c>
      <c r="DK144" s="4" t="s">
        <v>241</v>
      </c>
      <c r="DL144" s="4" t="s">
        <v>241</v>
      </c>
      <c r="DM144" s="4" t="s">
        <v>277</v>
      </c>
      <c r="DN144" s="4" t="s">
        <v>278</v>
      </c>
      <c r="DO144" s="6">
        <f>28.03</f>
        <v>28.03</v>
      </c>
      <c r="DP144" s="4" t="s">
        <v>241</v>
      </c>
      <c r="DQ144" s="4" t="s">
        <v>241</v>
      </c>
      <c r="DR144" s="4" t="s">
        <v>241</v>
      </c>
      <c r="DS144" s="4" t="s">
        <v>241</v>
      </c>
      <c r="DV144" s="4" t="s">
        <v>3511</v>
      </c>
      <c r="DW144" s="4" t="s">
        <v>277</v>
      </c>
      <c r="HO144" s="4" t="s">
        <v>277</v>
      </c>
      <c r="HR144" s="4" t="s">
        <v>278</v>
      </c>
      <c r="HS144" s="4" t="s">
        <v>278</v>
      </c>
    </row>
    <row r="145" spans="1:240" x14ac:dyDescent="0.4">
      <c r="A145" s="4">
        <v>2</v>
      </c>
      <c r="B145" s="4" t="s">
        <v>239</v>
      </c>
      <c r="C145" s="4">
        <v>150</v>
      </c>
      <c r="D145" s="4">
        <v>1</v>
      </c>
      <c r="E145" s="4">
        <v>1</v>
      </c>
      <c r="F145" s="4" t="s">
        <v>240</v>
      </c>
      <c r="G145" s="4" t="s">
        <v>241</v>
      </c>
      <c r="H145" s="4" t="s">
        <v>241</v>
      </c>
      <c r="I145" s="4" t="s">
        <v>3512</v>
      </c>
      <c r="J145" s="4" t="s">
        <v>247</v>
      </c>
      <c r="K145" s="4" t="s">
        <v>256</v>
      </c>
      <c r="L145" s="4" t="s">
        <v>250</v>
      </c>
      <c r="M145" s="5" t="s">
        <v>3513</v>
      </c>
      <c r="N145" s="4" t="s">
        <v>242</v>
      </c>
      <c r="O145" s="6">
        <f>9.93</f>
        <v>9.93</v>
      </c>
      <c r="P145" s="4" t="s">
        <v>276</v>
      </c>
      <c r="Q145" s="6">
        <f>1</f>
        <v>1</v>
      </c>
      <c r="R145" s="6">
        <f>595800</f>
        <v>595800</v>
      </c>
      <c r="S145" s="5" t="s">
        <v>248</v>
      </c>
      <c r="T145" s="4" t="s">
        <v>348</v>
      </c>
      <c r="U145" s="4" t="s">
        <v>275</v>
      </c>
      <c r="W145" s="6">
        <f>595799</f>
        <v>595799</v>
      </c>
      <c r="X145" s="4" t="s">
        <v>243</v>
      </c>
      <c r="Y145" s="4" t="s">
        <v>244</v>
      </c>
      <c r="Z145" s="4" t="s">
        <v>246</v>
      </c>
      <c r="AA145" s="4" t="s">
        <v>241</v>
      </c>
      <c r="AD145" s="4" t="s">
        <v>241</v>
      </c>
      <c r="AF145" s="5" t="s">
        <v>241</v>
      </c>
      <c r="AI145" s="5" t="s">
        <v>249</v>
      </c>
      <c r="AJ145" s="4" t="s">
        <v>251</v>
      </c>
      <c r="AK145" s="4" t="s">
        <v>252</v>
      </c>
      <c r="BA145" s="4" t="s">
        <v>254</v>
      </c>
      <c r="BB145" s="4" t="s">
        <v>241</v>
      </c>
      <c r="BC145" s="4" t="s">
        <v>255</v>
      </c>
      <c r="BD145" s="4" t="s">
        <v>241</v>
      </c>
      <c r="BE145" s="4" t="s">
        <v>257</v>
      </c>
      <c r="BF145" s="4" t="s">
        <v>241</v>
      </c>
      <c r="BH145" s="4" t="s">
        <v>258</v>
      </c>
      <c r="BJ145" s="4" t="s">
        <v>367</v>
      </c>
      <c r="BK145" s="5" t="s">
        <v>249</v>
      </c>
      <c r="BL145" s="4" t="s">
        <v>261</v>
      </c>
      <c r="BM145" s="4" t="s">
        <v>262</v>
      </c>
      <c r="BN145" s="4" t="s">
        <v>241</v>
      </c>
      <c r="BO145" s="6">
        <f>0</f>
        <v>0</v>
      </c>
      <c r="BP145" s="6">
        <f>0</f>
        <v>0</v>
      </c>
      <c r="BQ145" s="4" t="s">
        <v>263</v>
      </c>
      <c r="BR145" s="4" t="s">
        <v>264</v>
      </c>
      <c r="CF145" s="4" t="s">
        <v>241</v>
      </c>
      <c r="CG145" s="4" t="s">
        <v>241</v>
      </c>
      <c r="CK145" s="4" t="s">
        <v>265</v>
      </c>
      <c r="CL145" s="4" t="s">
        <v>266</v>
      </c>
      <c r="CM145" s="4" t="s">
        <v>241</v>
      </c>
      <c r="CO145" s="4" t="s">
        <v>267</v>
      </c>
      <c r="CP145" s="5" t="s">
        <v>268</v>
      </c>
      <c r="CQ145" s="4" t="s">
        <v>269</v>
      </c>
      <c r="CR145" s="4" t="s">
        <v>270</v>
      </c>
      <c r="CS145" s="4" t="s">
        <v>241</v>
      </c>
      <c r="CT145" s="4" t="s">
        <v>241</v>
      </c>
      <c r="CU145" s="4">
        <v>0</v>
      </c>
      <c r="CV145" s="4" t="s">
        <v>271</v>
      </c>
      <c r="CW145" s="4" t="s">
        <v>272</v>
      </c>
      <c r="CX145" s="4" t="s">
        <v>347</v>
      </c>
      <c r="CZ145" s="6">
        <f>595800</f>
        <v>595800</v>
      </c>
      <c r="DA145" s="6">
        <f>0</f>
        <v>0</v>
      </c>
      <c r="DC145" s="4" t="s">
        <v>241</v>
      </c>
      <c r="DD145" s="4" t="s">
        <v>241</v>
      </c>
      <c r="DF145" s="4" t="s">
        <v>241</v>
      </c>
      <c r="DI145" s="4" t="s">
        <v>241</v>
      </c>
      <c r="DJ145" s="4" t="s">
        <v>241</v>
      </c>
      <c r="DK145" s="4" t="s">
        <v>241</v>
      </c>
      <c r="DL145" s="4" t="s">
        <v>241</v>
      </c>
      <c r="DM145" s="4" t="s">
        <v>277</v>
      </c>
      <c r="DN145" s="4" t="s">
        <v>278</v>
      </c>
      <c r="DO145" s="6">
        <f>9.93</f>
        <v>9.93</v>
      </c>
      <c r="DP145" s="4" t="s">
        <v>241</v>
      </c>
      <c r="DQ145" s="4" t="s">
        <v>241</v>
      </c>
      <c r="DR145" s="4" t="s">
        <v>241</v>
      </c>
      <c r="DS145" s="4" t="s">
        <v>241</v>
      </c>
      <c r="DV145" s="4" t="s">
        <v>3514</v>
      </c>
      <c r="DW145" s="4" t="s">
        <v>277</v>
      </c>
      <c r="HO145" s="4" t="s">
        <v>277</v>
      </c>
      <c r="HR145" s="4" t="s">
        <v>278</v>
      </c>
      <c r="HS145" s="4" t="s">
        <v>278</v>
      </c>
    </row>
    <row r="146" spans="1:240" x14ac:dyDescent="0.4">
      <c r="A146" s="4">
        <v>2</v>
      </c>
      <c r="B146" s="4" t="s">
        <v>239</v>
      </c>
      <c r="C146" s="4">
        <v>151</v>
      </c>
      <c r="D146" s="4">
        <v>1</v>
      </c>
      <c r="E146" s="4">
        <v>1</v>
      </c>
      <c r="F146" s="4" t="s">
        <v>240</v>
      </c>
      <c r="G146" s="4" t="s">
        <v>241</v>
      </c>
      <c r="H146" s="4" t="s">
        <v>241</v>
      </c>
      <c r="I146" s="4" t="s">
        <v>3515</v>
      </c>
      <c r="J146" s="4" t="s">
        <v>247</v>
      </c>
      <c r="K146" s="4" t="s">
        <v>256</v>
      </c>
      <c r="L146" s="4" t="s">
        <v>250</v>
      </c>
      <c r="M146" s="5" t="s">
        <v>3516</v>
      </c>
      <c r="N146" s="4" t="s">
        <v>242</v>
      </c>
      <c r="O146" s="6">
        <f>9.94</f>
        <v>9.94</v>
      </c>
      <c r="P146" s="4" t="s">
        <v>276</v>
      </c>
      <c r="Q146" s="6">
        <f>1</f>
        <v>1</v>
      </c>
      <c r="R146" s="6">
        <f>596400</f>
        <v>596400</v>
      </c>
      <c r="S146" s="5" t="s">
        <v>248</v>
      </c>
      <c r="T146" s="4" t="s">
        <v>348</v>
      </c>
      <c r="U146" s="4" t="s">
        <v>275</v>
      </c>
      <c r="W146" s="6">
        <f>596399</f>
        <v>596399</v>
      </c>
      <c r="X146" s="4" t="s">
        <v>243</v>
      </c>
      <c r="Y146" s="4" t="s">
        <v>244</v>
      </c>
      <c r="Z146" s="4" t="s">
        <v>246</v>
      </c>
      <c r="AA146" s="4" t="s">
        <v>241</v>
      </c>
      <c r="AD146" s="4" t="s">
        <v>241</v>
      </c>
      <c r="AF146" s="5" t="s">
        <v>241</v>
      </c>
      <c r="AI146" s="5" t="s">
        <v>249</v>
      </c>
      <c r="AJ146" s="4" t="s">
        <v>251</v>
      </c>
      <c r="AK146" s="4" t="s">
        <v>252</v>
      </c>
      <c r="BA146" s="4" t="s">
        <v>254</v>
      </c>
      <c r="BB146" s="4" t="s">
        <v>241</v>
      </c>
      <c r="BC146" s="4" t="s">
        <v>255</v>
      </c>
      <c r="BD146" s="4" t="s">
        <v>241</v>
      </c>
      <c r="BE146" s="4" t="s">
        <v>257</v>
      </c>
      <c r="BF146" s="4" t="s">
        <v>241</v>
      </c>
      <c r="BH146" s="4" t="s">
        <v>258</v>
      </c>
      <c r="BJ146" s="4" t="s">
        <v>374</v>
      </c>
      <c r="BK146" s="5" t="s">
        <v>375</v>
      </c>
      <c r="BL146" s="4" t="s">
        <v>261</v>
      </c>
      <c r="BM146" s="4" t="s">
        <v>262</v>
      </c>
      <c r="BN146" s="4" t="s">
        <v>241</v>
      </c>
      <c r="BO146" s="6">
        <f>0</f>
        <v>0</v>
      </c>
      <c r="BP146" s="6">
        <f>0</f>
        <v>0</v>
      </c>
      <c r="BQ146" s="4" t="s">
        <v>263</v>
      </c>
      <c r="BR146" s="4" t="s">
        <v>264</v>
      </c>
      <c r="CF146" s="4" t="s">
        <v>241</v>
      </c>
      <c r="CG146" s="4" t="s">
        <v>241</v>
      </c>
      <c r="CK146" s="4" t="s">
        <v>265</v>
      </c>
      <c r="CL146" s="4" t="s">
        <v>266</v>
      </c>
      <c r="CM146" s="4" t="s">
        <v>241</v>
      </c>
      <c r="CO146" s="4" t="s">
        <v>267</v>
      </c>
      <c r="CP146" s="5" t="s">
        <v>268</v>
      </c>
      <c r="CQ146" s="4" t="s">
        <v>269</v>
      </c>
      <c r="CR146" s="4" t="s">
        <v>270</v>
      </c>
      <c r="CS146" s="4" t="s">
        <v>241</v>
      </c>
      <c r="CT146" s="4" t="s">
        <v>241</v>
      </c>
      <c r="CU146" s="4">
        <v>0</v>
      </c>
      <c r="CV146" s="4" t="s">
        <v>271</v>
      </c>
      <c r="CW146" s="4" t="s">
        <v>272</v>
      </c>
      <c r="CX146" s="4" t="s">
        <v>347</v>
      </c>
      <c r="CZ146" s="6">
        <f>596400</f>
        <v>596400</v>
      </c>
      <c r="DA146" s="6">
        <f>0</f>
        <v>0</v>
      </c>
      <c r="DC146" s="4" t="s">
        <v>241</v>
      </c>
      <c r="DD146" s="4" t="s">
        <v>241</v>
      </c>
      <c r="DF146" s="4" t="s">
        <v>241</v>
      </c>
      <c r="DI146" s="4" t="s">
        <v>241</v>
      </c>
      <c r="DJ146" s="4" t="s">
        <v>241</v>
      </c>
      <c r="DK146" s="4" t="s">
        <v>241</v>
      </c>
      <c r="DL146" s="4" t="s">
        <v>241</v>
      </c>
      <c r="DM146" s="4" t="s">
        <v>277</v>
      </c>
      <c r="DN146" s="4" t="s">
        <v>278</v>
      </c>
      <c r="DO146" s="6">
        <f>9.94</f>
        <v>9.94</v>
      </c>
      <c r="DP146" s="4" t="s">
        <v>241</v>
      </c>
      <c r="DQ146" s="4" t="s">
        <v>241</v>
      </c>
      <c r="DR146" s="4" t="s">
        <v>241</v>
      </c>
      <c r="DS146" s="4" t="s">
        <v>241</v>
      </c>
      <c r="DV146" s="4" t="s">
        <v>3517</v>
      </c>
      <c r="DW146" s="4" t="s">
        <v>277</v>
      </c>
      <c r="HO146" s="4" t="s">
        <v>277</v>
      </c>
      <c r="HR146" s="4" t="s">
        <v>278</v>
      </c>
      <c r="HS146" s="4" t="s">
        <v>278</v>
      </c>
    </row>
    <row r="147" spans="1:240" x14ac:dyDescent="0.4">
      <c r="A147" s="4">
        <v>2</v>
      </c>
      <c r="B147" s="4" t="s">
        <v>239</v>
      </c>
      <c r="C147" s="4">
        <v>152</v>
      </c>
      <c r="D147" s="4">
        <v>1</v>
      </c>
      <c r="E147" s="4">
        <v>1</v>
      </c>
      <c r="F147" s="4" t="s">
        <v>240</v>
      </c>
      <c r="G147" s="4" t="s">
        <v>241</v>
      </c>
      <c r="H147" s="4" t="s">
        <v>241</v>
      </c>
      <c r="I147" s="4" t="s">
        <v>3518</v>
      </c>
      <c r="J147" s="4" t="s">
        <v>247</v>
      </c>
      <c r="K147" s="4" t="s">
        <v>256</v>
      </c>
      <c r="L147" s="4" t="s">
        <v>250</v>
      </c>
      <c r="M147" s="5" t="s">
        <v>3519</v>
      </c>
      <c r="N147" s="4" t="s">
        <v>242</v>
      </c>
      <c r="O147" s="6">
        <f>19.84</f>
        <v>19.84</v>
      </c>
      <c r="P147" s="4" t="s">
        <v>276</v>
      </c>
      <c r="Q147" s="6">
        <f>1</f>
        <v>1</v>
      </c>
      <c r="R147" s="6">
        <f>1190400</f>
        <v>1190400</v>
      </c>
      <c r="S147" s="5" t="s">
        <v>248</v>
      </c>
      <c r="T147" s="4" t="s">
        <v>348</v>
      </c>
      <c r="U147" s="4" t="s">
        <v>275</v>
      </c>
      <c r="W147" s="6">
        <f>1190399</f>
        <v>1190399</v>
      </c>
      <c r="X147" s="4" t="s">
        <v>243</v>
      </c>
      <c r="Y147" s="4" t="s">
        <v>244</v>
      </c>
      <c r="Z147" s="4" t="s">
        <v>246</v>
      </c>
      <c r="AA147" s="4" t="s">
        <v>241</v>
      </c>
      <c r="AD147" s="4" t="s">
        <v>241</v>
      </c>
      <c r="AF147" s="5" t="s">
        <v>241</v>
      </c>
      <c r="AI147" s="5" t="s">
        <v>249</v>
      </c>
      <c r="AJ147" s="4" t="s">
        <v>251</v>
      </c>
      <c r="AK147" s="4" t="s">
        <v>252</v>
      </c>
      <c r="BA147" s="4" t="s">
        <v>254</v>
      </c>
      <c r="BB147" s="4" t="s">
        <v>241</v>
      </c>
      <c r="BC147" s="4" t="s">
        <v>255</v>
      </c>
      <c r="BD147" s="4" t="s">
        <v>241</v>
      </c>
      <c r="BE147" s="4" t="s">
        <v>257</v>
      </c>
      <c r="BF147" s="4" t="s">
        <v>241</v>
      </c>
      <c r="BH147" s="4" t="s">
        <v>258</v>
      </c>
      <c r="BJ147" s="4" t="s">
        <v>367</v>
      </c>
      <c r="BK147" s="5" t="s">
        <v>249</v>
      </c>
      <c r="BL147" s="4" t="s">
        <v>261</v>
      </c>
      <c r="BM147" s="4" t="s">
        <v>262</v>
      </c>
      <c r="BN147" s="4" t="s">
        <v>241</v>
      </c>
      <c r="BO147" s="6">
        <f>0</f>
        <v>0</v>
      </c>
      <c r="BP147" s="6">
        <f>0</f>
        <v>0</v>
      </c>
      <c r="BQ147" s="4" t="s">
        <v>263</v>
      </c>
      <c r="BR147" s="4" t="s">
        <v>264</v>
      </c>
      <c r="CF147" s="4" t="s">
        <v>241</v>
      </c>
      <c r="CG147" s="4" t="s">
        <v>241</v>
      </c>
      <c r="CK147" s="4" t="s">
        <v>265</v>
      </c>
      <c r="CL147" s="4" t="s">
        <v>266</v>
      </c>
      <c r="CM147" s="4" t="s">
        <v>241</v>
      </c>
      <c r="CO147" s="4" t="s">
        <v>267</v>
      </c>
      <c r="CP147" s="5" t="s">
        <v>268</v>
      </c>
      <c r="CQ147" s="4" t="s">
        <v>269</v>
      </c>
      <c r="CR147" s="4" t="s">
        <v>270</v>
      </c>
      <c r="CS147" s="4" t="s">
        <v>241</v>
      </c>
      <c r="CT147" s="4" t="s">
        <v>241</v>
      </c>
      <c r="CU147" s="4">
        <v>0</v>
      </c>
      <c r="CV147" s="4" t="s">
        <v>271</v>
      </c>
      <c r="CW147" s="4" t="s">
        <v>272</v>
      </c>
      <c r="CX147" s="4" t="s">
        <v>347</v>
      </c>
      <c r="CZ147" s="6">
        <f>1190400</f>
        <v>1190400</v>
      </c>
      <c r="DA147" s="6">
        <f>0</f>
        <v>0</v>
      </c>
      <c r="DC147" s="4" t="s">
        <v>241</v>
      </c>
      <c r="DD147" s="4" t="s">
        <v>241</v>
      </c>
      <c r="DF147" s="4" t="s">
        <v>241</v>
      </c>
      <c r="DI147" s="4" t="s">
        <v>241</v>
      </c>
      <c r="DJ147" s="4" t="s">
        <v>241</v>
      </c>
      <c r="DK147" s="4" t="s">
        <v>241</v>
      </c>
      <c r="DL147" s="4" t="s">
        <v>241</v>
      </c>
      <c r="DM147" s="4" t="s">
        <v>277</v>
      </c>
      <c r="DN147" s="4" t="s">
        <v>278</v>
      </c>
      <c r="DO147" s="6">
        <f>19.84</f>
        <v>19.84</v>
      </c>
      <c r="DP147" s="4" t="s">
        <v>241</v>
      </c>
      <c r="DQ147" s="4" t="s">
        <v>241</v>
      </c>
      <c r="DR147" s="4" t="s">
        <v>241</v>
      </c>
      <c r="DS147" s="4" t="s">
        <v>241</v>
      </c>
      <c r="DV147" s="4" t="s">
        <v>3520</v>
      </c>
      <c r="DW147" s="4" t="s">
        <v>277</v>
      </c>
      <c r="HO147" s="4" t="s">
        <v>277</v>
      </c>
      <c r="HR147" s="4" t="s">
        <v>278</v>
      </c>
      <c r="HS147" s="4" t="s">
        <v>278</v>
      </c>
    </row>
    <row r="148" spans="1:240" x14ac:dyDescent="0.4">
      <c r="A148" s="4">
        <v>2</v>
      </c>
      <c r="B148" s="4" t="s">
        <v>239</v>
      </c>
      <c r="C148" s="4">
        <v>153</v>
      </c>
      <c r="D148" s="4">
        <v>1</v>
      </c>
      <c r="E148" s="4">
        <v>1</v>
      </c>
      <c r="F148" s="4" t="s">
        <v>240</v>
      </c>
      <c r="G148" s="4" t="s">
        <v>241</v>
      </c>
      <c r="H148" s="4" t="s">
        <v>241</v>
      </c>
      <c r="I148" s="4" t="s">
        <v>3521</v>
      </c>
      <c r="J148" s="4" t="s">
        <v>247</v>
      </c>
      <c r="K148" s="4" t="s">
        <v>256</v>
      </c>
      <c r="L148" s="4" t="s">
        <v>250</v>
      </c>
      <c r="M148" s="5" t="s">
        <v>3522</v>
      </c>
      <c r="N148" s="4" t="s">
        <v>242</v>
      </c>
      <c r="O148" s="6">
        <f>10.64</f>
        <v>10.64</v>
      </c>
      <c r="P148" s="4" t="s">
        <v>276</v>
      </c>
      <c r="Q148" s="6">
        <f>1</f>
        <v>1</v>
      </c>
      <c r="R148" s="6">
        <f>638400</f>
        <v>638400</v>
      </c>
      <c r="S148" s="5" t="s">
        <v>248</v>
      </c>
      <c r="T148" s="4" t="s">
        <v>348</v>
      </c>
      <c r="U148" s="4" t="s">
        <v>275</v>
      </c>
      <c r="W148" s="6">
        <f>638399</f>
        <v>638399</v>
      </c>
      <c r="X148" s="4" t="s">
        <v>243</v>
      </c>
      <c r="Y148" s="4" t="s">
        <v>244</v>
      </c>
      <c r="Z148" s="4" t="s">
        <v>246</v>
      </c>
      <c r="AA148" s="4" t="s">
        <v>241</v>
      </c>
      <c r="AD148" s="4" t="s">
        <v>241</v>
      </c>
      <c r="AF148" s="5" t="s">
        <v>241</v>
      </c>
      <c r="AI148" s="5" t="s">
        <v>249</v>
      </c>
      <c r="AJ148" s="4" t="s">
        <v>251</v>
      </c>
      <c r="AK148" s="4" t="s">
        <v>252</v>
      </c>
      <c r="BA148" s="4" t="s">
        <v>254</v>
      </c>
      <c r="BB148" s="4" t="s">
        <v>241</v>
      </c>
      <c r="BC148" s="4" t="s">
        <v>255</v>
      </c>
      <c r="BD148" s="4" t="s">
        <v>241</v>
      </c>
      <c r="BE148" s="4" t="s">
        <v>257</v>
      </c>
      <c r="BF148" s="4" t="s">
        <v>241</v>
      </c>
      <c r="BH148" s="4" t="s">
        <v>258</v>
      </c>
      <c r="BJ148" s="4" t="s">
        <v>367</v>
      </c>
      <c r="BK148" s="5" t="s">
        <v>249</v>
      </c>
      <c r="BL148" s="4" t="s">
        <v>261</v>
      </c>
      <c r="BM148" s="4" t="s">
        <v>262</v>
      </c>
      <c r="BN148" s="4" t="s">
        <v>241</v>
      </c>
      <c r="BO148" s="6">
        <f>0</f>
        <v>0</v>
      </c>
      <c r="BP148" s="6">
        <f>0</f>
        <v>0</v>
      </c>
      <c r="BQ148" s="4" t="s">
        <v>263</v>
      </c>
      <c r="BR148" s="4" t="s">
        <v>264</v>
      </c>
      <c r="CF148" s="4" t="s">
        <v>241</v>
      </c>
      <c r="CG148" s="4" t="s">
        <v>241</v>
      </c>
      <c r="CK148" s="4" t="s">
        <v>265</v>
      </c>
      <c r="CL148" s="4" t="s">
        <v>266</v>
      </c>
      <c r="CM148" s="4" t="s">
        <v>241</v>
      </c>
      <c r="CO148" s="4" t="s">
        <v>267</v>
      </c>
      <c r="CP148" s="5" t="s">
        <v>268</v>
      </c>
      <c r="CQ148" s="4" t="s">
        <v>269</v>
      </c>
      <c r="CR148" s="4" t="s">
        <v>270</v>
      </c>
      <c r="CS148" s="4" t="s">
        <v>241</v>
      </c>
      <c r="CT148" s="4" t="s">
        <v>241</v>
      </c>
      <c r="CU148" s="4">
        <v>0</v>
      </c>
      <c r="CV148" s="4" t="s">
        <v>271</v>
      </c>
      <c r="CW148" s="4" t="s">
        <v>272</v>
      </c>
      <c r="CX148" s="4" t="s">
        <v>347</v>
      </c>
      <c r="CZ148" s="6">
        <f>638400</f>
        <v>638400</v>
      </c>
      <c r="DA148" s="6">
        <f>0</f>
        <v>0</v>
      </c>
      <c r="DC148" s="4" t="s">
        <v>241</v>
      </c>
      <c r="DD148" s="4" t="s">
        <v>241</v>
      </c>
      <c r="DF148" s="4" t="s">
        <v>241</v>
      </c>
      <c r="DI148" s="4" t="s">
        <v>241</v>
      </c>
      <c r="DJ148" s="4" t="s">
        <v>241</v>
      </c>
      <c r="DK148" s="4" t="s">
        <v>241</v>
      </c>
      <c r="DL148" s="4" t="s">
        <v>241</v>
      </c>
      <c r="DM148" s="4" t="s">
        <v>277</v>
      </c>
      <c r="DN148" s="4" t="s">
        <v>278</v>
      </c>
      <c r="DO148" s="6">
        <f>10.64</f>
        <v>10.64</v>
      </c>
      <c r="DP148" s="4" t="s">
        <v>241</v>
      </c>
      <c r="DQ148" s="4" t="s">
        <v>241</v>
      </c>
      <c r="DR148" s="4" t="s">
        <v>241</v>
      </c>
      <c r="DS148" s="4" t="s">
        <v>241</v>
      </c>
      <c r="DV148" s="4" t="s">
        <v>3523</v>
      </c>
      <c r="DW148" s="4" t="s">
        <v>277</v>
      </c>
      <c r="HO148" s="4" t="s">
        <v>277</v>
      </c>
      <c r="HR148" s="4" t="s">
        <v>278</v>
      </c>
      <c r="HS148" s="4" t="s">
        <v>278</v>
      </c>
    </row>
    <row r="149" spans="1:240" x14ac:dyDescent="0.4">
      <c r="A149" s="4">
        <v>2</v>
      </c>
      <c r="B149" s="4" t="s">
        <v>239</v>
      </c>
      <c r="C149" s="4">
        <v>155</v>
      </c>
      <c r="D149" s="4">
        <v>1</v>
      </c>
      <c r="E149" s="4">
        <v>3</v>
      </c>
      <c r="F149" s="4" t="s">
        <v>326</v>
      </c>
      <c r="G149" s="4" t="s">
        <v>241</v>
      </c>
      <c r="H149" s="4" t="s">
        <v>241</v>
      </c>
      <c r="I149" s="4" t="s">
        <v>3841</v>
      </c>
      <c r="J149" s="4" t="s">
        <v>247</v>
      </c>
      <c r="K149" s="4" t="s">
        <v>256</v>
      </c>
      <c r="L149" s="4" t="s">
        <v>241</v>
      </c>
      <c r="M149" s="5" t="s">
        <v>3842</v>
      </c>
      <c r="N149" s="4" t="s">
        <v>242</v>
      </c>
      <c r="O149" s="6">
        <f>33.12</f>
        <v>33.119999999999997</v>
      </c>
      <c r="P149" s="4" t="s">
        <v>276</v>
      </c>
      <c r="Q149" s="6">
        <f>5172667</f>
        <v>5172667</v>
      </c>
      <c r="R149" s="6">
        <f>6285136</f>
        <v>6285136</v>
      </c>
      <c r="S149" s="5" t="s">
        <v>757</v>
      </c>
      <c r="T149" s="4" t="s">
        <v>401</v>
      </c>
      <c r="U149" s="4" t="s">
        <v>323</v>
      </c>
      <c r="V149" s="6">
        <f>370823</f>
        <v>370823</v>
      </c>
      <c r="W149" s="6">
        <f>1112469</f>
        <v>1112469</v>
      </c>
      <c r="X149" s="4" t="s">
        <v>243</v>
      </c>
      <c r="Y149" s="4" t="s">
        <v>244</v>
      </c>
      <c r="Z149" s="4" t="s">
        <v>246</v>
      </c>
      <c r="AA149" s="4" t="s">
        <v>241</v>
      </c>
      <c r="AD149" s="4" t="s">
        <v>241</v>
      </c>
      <c r="AE149" s="5" t="s">
        <v>241</v>
      </c>
      <c r="AF149" s="5" t="s">
        <v>241</v>
      </c>
      <c r="AH149" s="5" t="s">
        <v>241</v>
      </c>
      <c r="AI149" s="5" t="s">
        <v>249</v>
      </c>
      <c r="AJ149" s="4" t="s">
        <v>251</v>
      </c>
      <c r="AK149" s="4" t="s">
        <v>252</v>
      </c>
      <c r="AQ149" s="4" t="s">
        <v>241</v>
      </c>
      <c r="AR149" s="4" t="s">
        <v>241</v>
      </c>
      <c r="AS149" s="4" t="s">
        <v>241</v>
      </c>
      <c r="AT149" s="5" t="s">
        <v>241</v>
      </c>
      <c r="AU149" s="5" t="s">
        <v>241</v>
      </c>
      <c r="AV149" s="5" t="s">
        <v>241</v>
      </c>
      <c r="AY149" s="4" t="s">
        <v>286</v>
      </c>
      <c r="AZ149" s="4" t="s">
        <v>286</v>
      </c>
      <c r="BA149" s="4" t="s">
        <v>254</v>
      </c>
      <c r="BB149" s="4" t="s">
        <v>287</v>
      </c>
      <c r="BC149" s="4" t="s">
        <v>255</v>
      </c>
      <c r="BD149" s="4" t="s">
        <v>241</v>
      </c>
      <c r="BE149" s="4" t="s">
        <v>257</v>
      </c>
      <c r="BF149" s="4" t="s">
        <v>241</v>
      </c>
      <c r="BJ149" s="4" t="s">
        <v>288</v>
      </c>
      <c r="BK149" s="5" t="s">
        <v>289</v>
      </c>
      <c r="BL149" s="4" t="s">
        <v>290</v>
      </c>
      <c r="BM149" s="4" t="s">
        <v>290</v>
      </c>
      <c r="BN149" s="4" t="s">
        <v>241</v>
      </c>
      <c r="BO149" s="6">
        <f>0</f>
        <v>0</v>
      </c>
      <c r="BP149" s="6">
        <f>-370823</f>
        <v>-370823</v>
      </c>
      <c r="BQ149" s="4" t="s">
        <v>263</v>
      </c>
      <c r="BR149" s="4" t="s">
        <v>264</v>
      </c>
      <c r="BS149" s="4" t="s">
        <v>241</v>
      </c>
      <c r="BT149" s="4" t="s">
        <v>241</v>
      </c>
      <c r="BU149" s="4" t="s">
        <v>241</v>
      </c>
      <c r="BV149" s="4" t="s">
        <v>241</v>
      </c>
      <c r="CE149" s="4" t="s">
        <v>264</v>
      </c>
      <c r="CF149" s="4" t="s">
        <v>241</v>
      </c>
      <c r="CG149" s="4" t="s">
        <v>241</v>
      </c>
      <c r="CK149" s="4" t="s">
        <v>291</v>
      </c>
      <c r="CL149" s="4" t="s">
        <v>266</v>
      </c>
      <c r="CM149" s="4" t="s">
        <v>241</v>
      </c>
      <c r="CO149" s="4" t="s">
        <v>421</v>
      </c>
      <c r="CP149" s="5" t="s">
        <v>268</v>
      </c>
      <c r="CQ149" s="4" t="s">
        <v>269</v>
      </c>
      <c r="CR149" s="4" t="s">
        <v>270</v>
      </c>
      <c r="CS149" s="4" t="s">
        <v>293</v>
      </c>
      <c r="CT149" s="4" t="s">
        <v>241</v>
      </c>
      <c r="CU149" s="4">
        <v>5.8999999999999997E-2</v>
      </c>
      <c r="CV149" s="4" t="s">
        <v>271</v>
      </c>
      <c r="CW149" s="4" t="s">
        <v>455</v>
      </c>
      <c r="CX149" s="4" t="s">
        <v>347</v>
      </c>
      <c r="CY149" s="6">
        <f>0</f>
        <v>0</v>
      </c>
      <c r="CZ149" s="6">
        <f>6285136</f>
        <v>6285136</v>
      </c>
      <c r="DA149" s="6">
        <f>5172667</f>
        <v>5172667</v>
      </c>
      <c r="DC149" s="4" t="s">
        <v>241</v>
      </c>
      <c r="DD149" s="4" t="s">
        <v>241</v>
      </c>
      <c r="DF149" s="4" t="s">
        <v>241</v>
      </c>
      <c r="DG149" s="6">
        <f>0</f>
        <v>0</v>
      </c>
      <c r="DI149" s="4" t="s">
        <v>241</v>
      </c>
      <c r="DJ149" s="4" t="s">
        <v>241</v>
      </c>
      <c r="DK149" s="4" t="s">
        <v>241</v>
      </c>
      <c r="DL149" s="4" t="s">
        <v>241</v>
      </c>
      <c r="DM149" s="4" t="s">
        <v>277</v>
      </c>
      <c r="DN149" s="4" t="s">
        <v>278</v>
      </c>
      <c r="DO149" s="6">
        <f>33.12</f>
        <v>33.119999999999997</v>
      </c>
      <c r="DP149" s="4" t="s">
        <v>241</v>
      </c>
      <c r="DQ149" s="4" t="s">
        <v>241</v>
      </c>
      <c r="DR149" s="4" t="s">
        <v>241</v>
      </c>
      <c r="DS149" s="4" t="s">
        <v>241</v>
      </c>
      <c r="DV149" s="4" t="s">
        <v>3843</v>
      </c>
      <c r="DW149" s="4" t="s">
        <v>323</v>
      </c>
      <c r="GN149" s="4" t="s">
        <v>3844</v>
      </c>
      <c r="HO149" s="4" t="s">
        <v>336</v>
      </c>
      <c r="HR149" s="4" t="s">
        <v>278</v>
      </c>
      <c r="HS149" s="4" t="s">
        <v>278</v>
      </c>
      <c r="HT149" s="4" t="s">
        <v>241</v>
      </c>
      <c r="HU149" s="4" t="s">
        <v>241</v>
      </c>
      <c r="HV149" s="4" t="s">
        <v>241</v>
      </c>
      <c r="HW149" s="4" t="s">
        <v>241</v>
      </c>
      <c r="HX149" s="4" t="s">
        <v>241</v>
      </c>
      <c r="HY149" s="4" t="s">
        <v>241</v>
      </c>
      <c r="HZ149" s="4" t="s">
        <v>241</v>
      </c>
      <c r="IA149" s="4" t="s">
        <v>241</v>
      </c>
      <c r="IB149" s="4" t="s">
        <v>241</v>
      </c>
      <c r="IC149" s="4" t="s">
        <v>241</v>
      </c>
      <c r="ID149" s="4" t="s">
        <v>241</v>
      </c>
      <c r="IE149" s="4" t="s">
        <v>241</v>
      </c>
      <c r="IF149" s="4" t="s">
        <v>241</v>
      </c>
    </row>
    <row r="150" spans="1:240" x14ac:dyDescent="0.4">
      <c r="A150" s="4">
        <v>2</v>
      </c>
      <c r="B150" s="4" t="s">
        <v>239</v>
      </c>
      <c r="C150" s="4">
        <v>156</v>
      </c>
      <c r="D150" s="4">
        <v>1</v>
      </c>
      <c r="E150" s="4">
        <v>1</v>
      </c>
      <c r="F150" s="4" t="s">
        <v>240</v>
      </c>
      <c r="G150" s="4" t="s">
        <v>241</v>
      </c>
      <c r="H150" s="4" t="s">
        <v>241</v>
      </c>
      <c r="I150" s="4" t="s">
        <v>3524</v>
      </c>
      <c r="J150" s="4" t="s">
        <v>247</v>
      </c>
      <c r="K150" s="4" t="s">
        <v>256</v>
      </c>
      <c r="L150" s="4" t="s">
        <v>250</v>
      </c>
      <c r="M150" s="5" t="s">
        <v>3525</v>
      </c>
      <c r="N150" s="4" t="s">
        <v>242</v>
      </c>
      <c r="O150" s="6">
        <f>7.48</f>
        <v>7.48</v>
      </c>
      <c r="P150" s="4" t="s">
        <v>276</v>
      </c>
      <c r="Q150" s="6">
        <f>1</f>
        <v>1</v>
      </c>
      <c r="R150" s="6">
        <f>448800</f>
        <v>448800</v>
      </c>
      <c r="S150" s="5" t="s">
        <v>248</v>
      </c>
      <c r="T150" s="4" t="s">
        <v>348</v>
      </c>
      <c r="U150" s="4" t="s">
        <v>275</v>
      </c>
      <c r="W150" s="6">
        <f>448799</f>
        <v>448799</v>
      </c>
      <c r="X150" s="4" t="s">
        <v>243</v>
      </c>
      <c r="Y150" s="4" t="s">
        <v>244</v>
      </c>
      <c r="Z150" s="4" t="s">
        <v>246</v>
      </c>
      <c r="AA150" s="4" t="s">
        <v>241</v>
      </c>
      <c r="AD150" s="4" t="s">
        <v>241</v>
      </c>
      <c r="AF150" s="5" t="s">
        <v>241</v>
      </c>
      <c r="AI150" s="5" t="s">
        <v>249</v>
      </c>
      <c r="AJ150" s="4" t="s">
        <v>251</v>
      </c>
      <c r="AK150" s="4" t="s">
        <v>252</v>
      </c>
      <c r="BA150" s="4" t="s">
        <v>254</v>
      </c>
      <c r="BB150" s="4" t="s">
        <v>241</v>
      </c>
      <c r="BC150" s="4" t="s">
        <v>255</v>
      </c>
      <c r="BD150" s="4" t="s">
        <v>241</v>
      </c>
      <c r="BE150" s="4" t="s">
        <v>257</v>
      </c>
      <c r="BF150" s="4" t="s">
        <v>241</v>
      </c>
      <c r="BH150" s="4" t="s">
        <v>258</v>
      </c>
      <c r="BJ150" s="4" t="s">
        <v>377</v>
      </c>
      <c r="BK150" s="5" t="s">
        <v>378</v>
      </c>
      <c r="BL150" s="4" t="s">
        <v>261</v>
      </c>
      <c r="BM150" s="4" t="s">
        <v>262</v>
      </c>
      <c r="BN150" s="4" t="s">
        <v>241</v>
      </c>
      <c r="BO150" s="6">
        <f>0</f>
        <v>0</v>
      </c>
      <c r="BP150" s="6">
        <f>0</f>
        <v>0</v>
      </c>
      <c r="BQ150" s="4" t="s">
        <v>263</v>
      </c>
      <c r="BR150" s="4" t="s">
        <v>264</v>
      </c>
      <c r="CF150" s="4" t="s">
        <v>241</v>
      </c>
      <c r="CG150" s="4" t="s">
        <v>241</v>
      </c>
      <c r="CK150" s="4" t="s">
        <v>265</v>
      </c>
      <c r="CL150" s="4" t="s">
        <v>266</v>
      </c>
      <c r="CM150" s="4" t="s">
        <v>241</v>
      </c>
      <c r="CO150" s="4" t="s">
        <v>267</v>
      </c>
      <c r="CP150" s="5" t="s">
        <v>268</v>
      </c>
      <c r="CQ150" s="4" t="s">
        <v>269</v>
      </c>
      <c r="CR150" s="4" t="s">
        <v>270</v>
      </c>
      <c r="CS150" s="4" t="s">
        <v>241</v>
      </c>
      <c r="CT150" s="4" t="s">
        <v>241</v>
      </c>
      <c r="CU150" s="4">
        <v>0</v>
      </c>
      <c r="CV150" s="4" t="s">
        <v>271</v>
      </c>
      <c r="CW150" s="4" t="s">
        <v>272</v>
      </c>
      <c r="CX150" s="4" t="s">
        <v>347</v>
      </c>
      <c r="CZ150" s="6">
        <f>448800</f>
        <v>448800</v>
      </c>
      <c r="DA150" s="6">
        <f>0</f>
        <v>0</v>
      </c>
      <c r="DC150" s="4" t="s">
        <v>241</v>
      </c>
      <c r="DD150" s="4" t="s">
        <v>241</v>
      </c>
      <c r="DF150" s="4" t="s">
        <v>241</v>
      </c>
      <c r="DI150" s="4" t="s">
        <v>241</v>
      </c>
      <c r="DJ150" s="4" t="s">
        <v>241</v>
      </c>
      <c r="DK150" s="4" t="s">
        <v>241</v>
      </c>
      <c r="DL150" s="4" t="s">
        <v>241</v>
      </c>
      <c r="DM150" s="4" t="s">
        <v>277</v>
      </c>
      <c r="DN150" s="4" t="s">
        <v>278</v>
      </c>
      <c r="DO150" s="6">
        <f>7.48</f>
        <v>7.48</v>
      </c>
      <c r="DP150" s="4" t="s">
        <v>241</v>
      </c>
      <c r="DQ150" s="4" t="s">
        <v>241</v>
      </c>
      <c r="DR150" s="4" t="s">
        <v>241</v>
      </c>
      <c r="DS150" s="4" t="s">
        <v>241</v>
      </c>
      <c r="DV150" s="4" t="s">
        <v>3526</v>
      </c>
      <c r="DW150" s="4" t="s">
        <v>277</v>
      </c>
      <c r="HO150" s="4" t="s">
        <v>277</v>
      </c>
      <c r="HR150" s="4" t="s">
        <v>278</v>
      </c>
      <c r="HS150" s="4" t="s">
        <v>278</v>
      </c>
    </row>
    <row r="151" spans="1:240" x14ac:dyDescent="0.4">
      <c r="A151" s="4">
        <v>2</v>
      </c>
      <c r="B151" s="4" t="s">
        <v>239</v>
      </c>
      <c r="C151" s="4">
        <v>157</v>
      </c>
      <c r="D151" s="4">
        <v>1</v>
      </c>
      <c r="E151" s="4">
        <v>1</v>
      </c>
      <c r="F151" s="4" t="s">
        <v>240</v>
      </c>
      <c r="G151" s="4" t="s">
        <v>241</v>
      </c>
      <c r="H151" s="4" t="s">
        <v>241</v>
      </c>
      <c r="I151" s="4" t="s">
        <v>3527</v>
      </c>
      <c r="J151" s="4" t="s">
        <v>247</v>
      </c>
      <c r="K151" s="4" t="s">
        <v>256</v>
      </c>
      <c r="L151" s="4" t="s">
        <v>250</v>
      </c>
      <c r="M151" s="5" t="s">
        <v>3528</v>
      </c>
      <c r="N151" s="4" t="s">
        <v>242</v>
      </c>
      <c r="O151" s="6">
        <f>19.84</f>
        <v>19.84</v>
      </c>
      <c r="P151" s="4" t="s">
        <v>276</v>
      </c>
      <c r="Q151" s="6">
        <f>1</f>
        <v>1</v>
      </c>
      <c r="R151" s="6">
        <f>1190400</f>
        <v>1190400</v>
      </c>
      <c r="S151" s="5" t="s">
        <v>248</v>
      </c>
      <c r="T151" s="4" t="s">
        <v>348</v>
      </c>
      <c r="U151" s="4" t="s">
        <v>275</v>
      </c>
      <c r="W151" s="6">
        <f>1190399</f>
        <v>1190399</v>
      </c>
      <c r="X151" s="4" t="s">
        <v>243</v>
      </c>
      <c r="Y151" s="4" t="s">
        <v>244</v>
      </c>
      <c r="Z151" s="4" t="s">
        <v>246</v>
      </c>
      <c r="AA151" s="4" t="s">
        <v>241</v>
      </c>
      <c r="AD151" s="4" t="s">
        <v>241</v>
      </c>
      <c r="AF151" s="5" t="s">
        <v>241</v>
      </c>
      <c r="AI151" s="5" t="s">
        <v>249</v>
      </c>
      <c r="AJ151" s="4" t="s">
        <v>251</v>
      </c>
      <c r="AK151" s="4" t="s">
        <v>252</v>
      </c>
      <c r="BA151" s="4" t="s">
        <v>254</v>
      </c>
      <c r="BB151" s="4" t="s">
        <v>241</v>
      </c>
      <c r="BC151" s="4" t="s">
        <v>255</v>
      </c>
      <c r="BD151" s="4" t="s">
        <v>241</v>
      </c>
      <c r="BE151" s="4" t="s">
        <v>257</v>
      </c>
      <c r="BF151" s="4" t="s">
        <v>241</v>
      </c>
      <c r="BH151" s="4" t="s">
        <v>258</v>
      </c>
      <c r="BJ151" s="4" t="s">
        <v>259</v>
      </c>
      <c r="BK151" s="5" t="s">
        <v>260</v>
      </c>
      <c r="BL151" s="4" t="s">
        <v>261</v>
      </c>
      <c r="BM151" s="4" t="s">
        <v>262</v>
      </c>
      <c r="BN151" s="4" t="s">
        <v>241</v>
      </c>
      <c r="BO151" s="6">
        <f>0</f>
        <v>0</v>
      </c>
      <c r="BP151" s="6">
        <f>0</f>
        <v>0</v>
      </c>
      <c r="BQ151" s="4" t="s">
        <v>263</v>
      </c>
      <c r="BR151" s="4" t="s">
        <v>264</v>
      </c>
      <c r="CF151" s="4" t="s">
        <v>241</v>
      </c>
      <c r="CG151" s="4" t="s">
        <v>241</v>
      </c>
      <c r="CK151" s="4" t="s">
        <v>265</v>
      </c>
      <c r="CL151" s="4" t="s">
        <v>266</v>
      </c>
      <c r="CM151" s="4" t="s">
        <v>241</v>
      </c>
      <c r="CO151" s="4" t="s">
        <v>267</v>
      </c>
      <c r="CP151" s="5" t="s">
        <v>268</v>
      </c>
      <c r="CQ151" s="4" t="s">
        <v>269</v>
      </c>
      <c r="CR151" s="4" t="s">
        <v>270</v>
      </c>
      <c r="CS151" s="4" t="s">
        <v>241</v>
      </c>
      <c r="CT151" s="4" t="s">
        <v>241</v>
      </c>
      <c r="CU151" s="4">
        <v>0</v>
      </c>
      <c r="CV151" s="4" t="s">
        <v>271</v>
      </c>
      <c r="CW151" s="4" t="s">
        <v>272</v>
      </c>
      <c r="CX151" s="4" t="s">
        <v>347</v>
      </c>
      <c r="CZ151" s="6">
        <f>1190400</f>
        <v>1190400</v>
      </c>
      <c r="DA151" s="6">
        <f>0</f>
        <v>0</v>
      </c>
      <c r="DC151" s="4" t="s">
        <v>241</v>
      </c>
      <c r="DD151" s="4" t="s">
        <v>241</v>
      </c>
      <c r="DF151" s="4" t="s">
        <v>241</v>
      </c>
      <c r="DI151" s="4" t="s">
        <v>241</v>
      </c>
      <c r="DJ151" s="4" t="s">
        <v>241</v>
      </c>
      <c r="DK151" s="4" t="s">
        <v>241</v>
      </c>
      <c r="DL151" s="4" t="s">
        <v>241</v>
      </c>
      <c r="DM151" s="4" t="s">
        <v>277</v>
      </c>
      <c r="DN151" s="4" t="s">
        <v>278</v>
      </c>
      <c r="DO151" s="6">
        <f>19.84</f>
        <v>19.84</v>
      </c>
      <c r="DP151" s="4" t="s">
        <v>241</v>
      </c>
      <c r="DQ151" s="4" t="s">
        <v>241</v>
      </c>
      <c r="DR151" s="4" t="s">
        <v>241</v>
      </c>
      <c r="DS151" s="4" t="s">
        <v>241</v>
      </c>
      <c r="DV151" s="4" t="s">
        <v>3529</v>
      </c>
      <c r="DW151" s="4" t="s">
        <v>277</v>
      </c>
      <c r="HO151" s="4" t="s">
        <v>277</v>
      </c>
      <c r="HR151" s="4" t="s">
        <v>278</v>
      </c>
      <c r="HS151" s="4" t="s">
        <v>278</v>
      </c>
    </row>
    <row r="152" spans="1:240" x14ac:dyDescent="0.4">
      <c r="A152" s="4">
        <v>2</v>
      </c>
      <c r="B152" s="4" t="s">
        <v>239</v>
      </c>
      <c r="C152" s="4">
        <v>158</v>
      </c>
      <c r="D152" s="4">
        <v>1</v>
      </c>
      <c r="E152" s="4">
        <v>1</v>
      </c>
      <c r="F152" s="4" t="s">
        <v>240</v>
      </c>
      <c r="G152" s="4" t="s">
        <v>241</v>
      </c>
      <c r="H152" s="4" t="s">
        <v>241</v>
      </c>
      <c r="I152" s="4" t="s">
        <v>3530</v>
      </c>
      <c r="J152" s="4" t="s">
        <v>247</v>
      </c>
      <c r="K152" s="4" t="s">
        <v>256</v>
      </c>
      <c r="L152" s="4" t="s">
        <v>250</v>
      </c>
      <c r="M152" s="5" t="s">
        <v>3531</v>
      </c>
      <c r="N152" s="4" t="s">
        <v>242</v>
      </c>
      <c r="O152" s="6">
        <f>10.73</f>
        <v>10.73</v>
      </c>
      <c r="P152" s="4" t="s">
        <v>276</v>
      </c>
      <c r="Q152" s="6">
        <f>1</f>
        <v>1</v>
      </c>
      <c r="R152" s="6">
        <f>643800</f>
        <v>643800</v>
      </c>
      <c r="S152" s="5" t="s">
        <v>248</v>
      </c>
      <c r="T152" s="4" t="s">
        <v>348</v>
      </c>
      <c r="U152" s="4" t="s">
        <v>275</v>
      </c>
      <c r="W152" s="6">
        <f>643799</f>
        <v>643799</v>
      </c>
      <c r="X152" s="4" t="s">
        <v>243</v>
      </c>
      <c r="Y152" s="4" t="s">
        <v>244</v>
      </c>
      <c r="Z152" s="4" t="s">
        <v>246</v>
      </c>
      <c r="AA152" s="4" t="s">
        <v>241</v>
      </c>
      <c r="AD152" s="4" t="s">
        <v>241</v>
      </c>
      <c r="AF152" s="5" t="s">
        <v>241</v>
      </c>
      <c r="AI152" s="5" t="s">
        <v>249</v>
      </c>
      <c r="AJ152" s="4" t="s">
        <v>251</v>
      </c>
      <c r="AK152" s="4" t="s">
        <v>252</v>
      </c>
      <c r="BA152" s="4" t="s">
        <v>254</v>
      </c>
      <c r="BB152" s="4" t="s">
        <v>241</v>
      </c>
      <c r="BC152" s="4" t="s">
        <v>255</v>
      </c>
      <c r="BD152" s="4" t="s">
        <v>241</v>
      </c>
      <c r="BE152" s="4" t="s">
        <v>257</v>
      </c>
      <c r="BF152" s="4" t="s">
        <v>241</v>
      </c>
      <c r="BH152" s="4" t="s">
        <v>258</v>
      </c>
      <c r="BJ152" s="4" t="s">
        <v>367</v>
      </c>
      <c r="BK152" s="5" t="s">
        <v>249</v>
      </c>
      <c r="BL152" s="4" t="s">
        <v>261</v>
      </c>
      <c r="BM152" s="4" t="s">
        <v>262</v>
      </c>
      <c r="BN152" s="4" t="s">
        <v>241</v>
      </c>
      <c r="BO152" s="6">
        <f>0</f>
        <v>0</v>
      </c>
      <c r="BP152" s="6">
        <f>0</f>
        <v>0</v>
      </c>
      <c r="BQ152" s="4" t="s">
        <v>263</v>
      </c>
      <c r="BR152" s="4" t="s">
        <v>264</v>
      </c>
      <c r="CF152" s="4" t="s">
        <v>241</v>
      </c>
      <c r="CG152" s="4" t="s">
        <v>241</v>
      </c>
      <c r="CK152" s="4" t="s">
        <v>265</v>
      </c>
      <c r="CL152" s="4" t="s">
        <v>266</v>
      </c>
      <c r="CM152" s="4" t="s">
        <v>241</v>
      </c>
      <c r="CO152" s="4" t="s">
        <v>267</v>
      </c>
      <c r="CP152" s="5" t="s">
        <v>268</v>
      </c>
      <c r="CQ152" s="4" t="s">
        <v>269</v>
      </c>
      <c r="CR152" s="4" t="s">
        <v>270</v>
      </c>
      <c r="CS152" s="4" t="s">
        <v>241</v>
      </c>
      <c r="CT152" s="4" t="s">
        <v>241</v>
      </c>
      <c r="CU152" s="4">
        <v>0</v>
      </c>
      <c r="CV152" s="4" t="s">
        <v>271</v>
      </c>
      <c r="CW152" s="4" t="s">
        <v>272</v>
      </c>
      <c r="CX152" s="4" t="s">
        <v>347</v>
      </c>
      <c r="CZ152" s="6">
        <f>643800</f>
        <v>643800</v>
      </c>
      <c r="DA152" s="6">
        <f>0</f>
        <v>0</v>
      </c>
      <c r="DC152" s="4" t="s">
        <v>241</v>
      </c>
      <c r="DD152" s="4" t="s">
        <v>241</v>
      </c>
      <c r="DF152" s="4" t="s">
        <v>241</v>
      </c>
      <c r="DI152" s="4" t="s">
        <v>241</v>
      </c>
      <c r="DJ152" s="4" t="s">
        <v>241</v>
      </c>
      <c r="DK152" s="4" t="s">
        <v>241</v>
      </c>
      <c r="DL152" s="4" t="s">
        <v>241</v>
      </c>
      <c r="DM152" s="4" t="s">
        <v>277</v>
      </c>
      <c r="DN152" s="4" t="s">
        <v>278</v>
      </c>
      <c r="DO152" s="6">
        <f>10.73</f>
        <v>10.73</v>
      </c>
      <c r="DP152" s="4" t="s">
        <v>241</v>
      </c>
      <c r="DQ152" s="4" t="s">
        <v>241</v>
      </c>
      <c r="DR152" s="4" t="s">
        <v>241</v>
      </c>
      <c r="DS152" s="4" t="s">
        <v>241</v>
      </c>
      <c r="DV152" s="4" t="s">
        <v>3532</v>
      </c>
      <c r="DW152" s="4" t="s">
        <v>277</v>
      </c>
      <c r="HO152" s="4" t="s">
        <v>277</v>
      </c>
      <c r="HR152" s="4" t="s">
        <v>278</v>
      </c>
      <c r="HS152" s="4" t="s">
        <v>278</v>
      </c>
    </row>
    <row r="153" spans="1:240" x14ac:dyDescent="0.4">
      <c r="A153" s="4">
        <v>2</v>
      </c>
      <c r="B153" s="4" t="s">
        <v>239</v>
      </c>
      <c r="C153" s="4">
        <v>160</v>
      </c>
      <c r="D153" s="4">
        <v>1</v>
      </c>
      <c r="E153" s="4">
        <v>1</v>
      </c>
      <c r="F153" s="4" t="s">
        <v>240</v>
      </c>
      <c r="G153" s="4" t="s">
        <v>241</v>
      </c>
      <c r="H153" s="4" t="s">
        <v>241</v>
      </c>
      <c r="I153" s="4" t="s">
        <v>3533</v>
      </c>
      <c r="J153" s="4" t="s">
        <v>247</v>
      </c>
      <c r="K153" s="4" t="s">
        <v>256</v>
      </c>
      <c r="L153" s="4" t="s">
        <v>250</v>
      </c>
      <c r="M153" s="5" t="s">
        <v>3534</v>
      </c>
      <c r="N153" s="4" t="s">
        <v>242</v>
      </c>
      <c r="O153" s="6">
        <f>9.93</f>
        <v>9.93</v>
      </c>
      <c r="P153" s="4" t="s">
        <v>276</v>
      </c>
      <c r="Q153" s="6">
        <f>1</f>
        <v>1</v>
      </c>
      <c r="R153" s="6">
        <f>595800</f>
        <v>595800</v>
      </c>
      <c r="S153" s="5" t="s">
        <v>248</v>
      </c>
      <c r="T153" s="4" t="s">
        <v>348</v>
      </c>
      <c r="U153" s="4" t="s">
        <v>275</v>
      </c>
      <c r="W153" s="6">
        <f>595799</f>
        <v>595799</v>
      </c>
      <c r="X153" s="4" t="s">
        <v>243</v>
      </c>
      <c r="Y153" s="4" t="s">
        <v>244</v>
      </c>
      <c r="Z153" s="4" t="s">
        <v>246</v>
      </c>
      <c r="AA153" s="4" t="s">
        <v>241</v>
      </c>
      <c r="AD153" s="4" t="s">
        <v>241</v>
      </c>
      <c r="AF153" s="5" t="s">
        <v>241</v>
      </c>
      <c r="AI153" s="5" t="s">
        <v>249</v>
      </c>
      <c r="AJ153" s="4" t="s">
        <v>251</v>
      </c>
      <c r="AK153" s="4" t="s">
        <v>252</v>
      </c>
      <c r="BA153" s="4" t="s">
        <v>254</v>
      </c>
      <c r="BB153" s="4" t="s">
        <v>241</v>
      </c>
      <c r="BC153" s="4" t="s">
        <v>255</v>
      </c>
      <c r="BD153" s="4" t="s">
        <v>241</v>
      </c>
      <c r="BE153" s="4" t="s">
        <v>257</v>
      </c>
      <c r="BF153" s="4" t="s">
        <v>241</v>
      </c>
      <c r="BH153" s="4" t="s">
        <v>258</v>
      </c>
      <c r="BJ153" s="4" t="s">
        <v>377</v>
      </c>
      <c r="BK153" s="5" t="s">
        <v>378</v>
      </c>
      <c r="BL153" s="4" t="s">
        <v>261</v>
      </c>
      <c r="BM153" s="4" t="s">
        <v>262</v>
      </c>
      <c r="BN153" s="4" t="s">
        <v>241</v>
      </c>
      <c r="BO153" s="6">
        <f>0</f>
        <v>0</v>
      </c>
      <c r="BP153" s="6">
        <f>0</f>
        <v>0</v>
      </c>
      <c r="BQ153" s="4" t="s">
        <v>263</v>
      </c>
      <c r="BR153" s="4" t="s">
        <v>264</v>
      </c>
      <c r="CF153" s="4" t="s">
        <v>241</v>
      </c>
      <c r="CG153" s="4" t="s">
        <v>241</v>
      </c>
      <c r="CK153" s="4" t="s">
        <v>265</v>
      </c>
      <c r="CL153" s="4" t="s">
        <v>266</v>
      </c>
      <c r="CM153" s="4" t="s">
        <v>241</v>
      </c>
      <c r="CO153" s="4" t="s">
        <v>267</v>
      </c>
      <c r="CP153" s="5" t="s">
        <v>268</v>
      </c>
      <c r="CQ153" s="4" t="s">
        <v>269</v>
      </c>
      <c r="CR153" s="4" t="s">
        <v>270</v>
      </c>
      <c r="CS153" s="4" t="s">
        <v>241</v>
      </c>
      <c r="CT153" s="4" t="s">
        <v>241</v>
      </c>
      <c r="CU153" s="4">
        <v>0</v>
      </c>
      <c r="CV153" s="4" t="s">
        <v>271</v>
      </c>
      <c r="CW153" s="4" t="s">
        <v>272</v>
      </c>
      <c r="CX153" s="4" t="s">
        <v>347</v>
      </c>
      <c r="CZ153" s="6">
        <f>595800</f>
        <v>595800</v>
      </c>
      <c r="DA153" s="6">
        <f>0</f>
        <v>0</v>
      </c>
      <c r="DC153" s="4" t="s">
        <v>241</v>
      </c>
      <c r="DD153" s="4" t="s">
        <v>241</v>
      </c>
      <c r="DF153" s="4" t="s">
        <v>241</v>
      </c>
      <c r="DI153" s="4" t="s">
        <v>241</v>
      </c>
      <c r="DJ153" s="4" t="s">
        <v>241</v>
      </c>
      <c r="DK153" s="4" t="s">
        <v>241</v>
      </c>
      <c r="DL153" s="4" t="s">
        <v>241</v>
      </c>
      <c r="DM153" s="4" t="s">
        <v>277</v>
      </c>
      <c r="DN153" s="4" t="s">
        <v>278</v>
      </c>
      <c r="DO153" s="6">
        <f>9.93</f>
        <v>9.93</v>
      </c>
      <c r="DP153" s="4" t="s">
        <v>241</v>
      </c>
      <c r="DQ153" s="4" t="s">
        <v>241</v>
      </c>
      <c r="DR153" s="4" t="s">
        <v>241</v>
      </c>
      <c r="DS153" s="4" t="s">
        <v>241</v>
      </c>
      <c r="DV153" s="4" t="s">
        <v>3535</v>
      </c>
      <c r="DW153" s="4" t="s">
        <v>277</v>
      </c>
      <c r="HO153" s="4" t="s">
        <v>277</v>
      </c>
      <c r="HR153" s="4" t="s">
        <v>278</v>
      </c>
      <c r="HS153" s="4" t="s">
        <v>278</v>
      </c>
    </row>
    <row r="154" spans="1:240" x14ac:dyDescent="0.4">
      <c r="A154" s="4">
        <v>2</v>
      </c>
      <c r="B154" s="4" t="s">
        <v>239</v>
      </c>
      <c r="C154" s="4">
        <v>161</v>
      </c>
      <c r="D154" s="4">
        <v>1</v>
      </c>
      <c r="E154" s="4">
        <v>1</v>
      </c>
      <c r="F154" s="4" t="s">
        <v>240</v>
      </c>
      <c r="G154" s="4" t="s">
        <v>241</v>
      </c>
      <c r="H154" s="4" t="s">
        <v>241</v>
      </c>
      <c r="I154" s="4" t="s">
        <v>3536</v>
      </c>
      <c r="J154" s="4" t="s">
        <v>247</v>
      </c>
      <c r="K154" s="4" t="s">
        <v>256</v>
      </c>
      <c r="L154" s="4" t="s">
        <v>250</v>
      </c>
      <c r="M154" s="5" t="s">
        <v>3537</v>
      </c>
      <c r="N154" s="4" t="s">
        <v>242</v>
      </c>
      <c r="O154" s="6">
        <f>9</f>
        <v>9</v>
      </c>
      <c r="P154" s="4" t="s">
        <v>276</v>
      </c>
      <c r="Q154" s="6">
        <f>1</f>
        <v>1</v>
      </c>
      <c r="R154" s="6">
        <f>540000</f>
        <v>540000</v>
      </c>
      <c r="S154" s="5" t="s">
        <v>248</v>
      </c>
      <c r="T154" s="4" t="s">
        <v>348</v>
      </c>
      <c r="U154" s="4" t="s">
        <v>275</v>
      </c>
      <c r="W154" s="6">
        <f>539999</f>
        <v>539999</v>
      </c>
      <c r="X154" s="4" t="s">
        <v>243</v>
      </c>
      <c r="Y154" s="4" t="s">
        <v>244</v>
      </c>
      <c r="Z154" s="4" t="s">
        <v>246</v>
      </c>
      <c r="AA154" s="4" t="s">
        <v>241</v>
      </c>
      <c r="AD154" s="4" t="s">
        <v>241</v>
      </c>
      <c r="AF154" s="5" t="s">
        <v>241</v>
      </c>
      <c r="AI154" s="5" t="s">
        <v>249</v>
      </c>
      <c r="AJ154" s="4" t="s">
        <v>251</v>
      </c>
      <c r="AK154" s="4" t="s">
        <v>252</v>
      </c>
      <c r="BA154" s="4" t="s">
        <v>254</v>
      </c>
      <c r="BB154" s="4" t="s">
        <v>241</v>
      </c>
      <c r="BC154" s="4" t="s">
        <v>255</v>
      </c>
      <c r="BD154" s="4" t="s">
        <v>241</v>
      </c>
      <c r="BE154" s="4" t="s">
        <v>257</v>
      </c>
      <c r="BF154" s="4" t="s">
        <v>241</v>
      </c>
      <c r="BH154" s="4" t="s">
        <v>258</v>
      </c>
      <c r="BJ154" s="4" t="s">
        <v>367</v>
      </c>
      <c r="BK154" s="5" t="s">
        <v>249</v>
      </c>
      <c r="BL154" s="4" t="s">
        <v>261</v>
      </c>
      <c r="BM154" s="4" t="s">
        <v>262</v>
      </c>
      <c r="BN154" s="4" t="s">
        <v>241</v>
      </c>
      <c r="BO154" s="6">
        <f>0</f>
        <v>0</v>
      </c>
      <c r="BP154" s="6">
        <f>0</f>
        <v>0</v>
      </c>
      <c r="BQ154" s="4" t="s">
        <v>263</v>
      </c>
      <c r="BR154" s="4" t="s">
        <v>264</v>
      </c>
      <c r="CF154" s="4" t="s">
        <v>241</v>
      </c>
      <c r="CG154" s="4" t="s">
        <v>241</v>
      </c>
      <c r="CK154" s="4" t="s">
        <v>265</v>
      </c>
      <c r="CL154" s="4" t="s">
        <v>266</v>
      </c>
      <c r="CM154" s="4" t="s">
        <v>241</v>
      </c>
      <c r="CO154" s="4" t="s">
        <v>267</v>
      </c>
      <c r="CP154" s="5" t="s">
        <v>268</v>
      </c>
      <c r="CQ154" s="4" t="s">
        <v>269</v>
      </c>
      <c r="CR154" s="4" t="s">
        <v>270</v>
      </c>
      <c r="CS154" s="4" t="s">
        <v>241</v>
      </c>
      <c r="CT154" s="4" t="s">
        <v>241</v>
      </c>
      <c r="CU154" s="4">
        <v>0</v>
      </c>
      <c r="CV154" s="4" t="s">
        <v>271</v>
      </c>
      <c r="CW154" s="4" t="s">
        <v>272</v>
      </c>
      <c r="CX154" s="4" t="s">
        <v>347</v>
      </c>
      <c r="CZ154" s="6">
        <f>540000</f>
        <v>540000</v>
      </c>
      <c r="DA154" s="6">
        <f>0</f>
        <v>0</v>
      </c>
      <c r="DC154" s="4" t="s">
        <v>241</v>
      </c>
      <c r="DD154" s="4" t="s">
        <v>241</v>
      </c>
      <c r="DF154" s="4" t="s">
        <v>241</v>
      </c>
      <c r="DI154" s="4" t="s">
        <v>241</v>
      </c>
      <c r="DJ154" s="4" t="s">
        <v>241</v>
      </c>
      <c r="DK154" s="4" t="s">
        <v>241</v>
      </c>
      <c r="DL154" s="4" t="s">
        <v>241</v>
      </c>
      <c r="DM154" s="4" t="s">
        <v>277</v>
      </c>
      <c r="DN154" s="4" t="s">
        <v>278</v>
      </c>
      <c r="DO154" s="6">
        <f>9</f>
        <v>9</v>
      </c>
      <c r="DP154" s="4" t="s">
        <v>241</v>
      </c>
      <c r="DQ154" s="4" t="s">
        <v>241</v>
      </c>
      <c r="DR154" s="4" t="s">
        <v>241</v>
      </c>
      <c r="DS154" s="4" t="s">
        <v>241</v>
      </c>
      <c r="DV154" s="4" t="s">
        <v>3538</v>
      </c>
      <c r="DW154" s="4" t="s">
        <v>277</v>
      </c>
      <c r="HO154" s="4" t="s">
        <v>277</v>
      </c>
      <c r="HR154" s="4" t="s">
        <v>278</v>
      </c>
      <c r="HS154" s="4" t="s">
        <v>278</v>
      </c>
    </row>
    <row r="155" spans="1:240" x14ac:dyDescent="0.4">
      <c r="A155" s="4">
        <v>2</v>
      </c>
      <c r="B155" s="4" t="s">
        <v>239</v>
      </c>
      <c r="C155" s="4">
        <v>162</v>
      </c>
      <c r="D155" s="4">
        <v>1</v>
      </c>
      <c r="E155" s="4">
        <v>1</v>
      </c>
      <c r="F155" s="4" t="s">
        <v>240</v>
      </c>
      <c r="G155" s="4" t="s">
        <v>241</v>
      </c>
      <c r="H155" s="4" t="s">
        <v>241</v>
      </c>
      <c r="I155" s="4" t="s">
        <v>3539</v>
      </c>
      <c r="J155" s="4" t="s">
        <v>247</v>
      </c>
      <c r="K155" s="4" t="s">
        <v>256</v>
      </c>
      <c r="L155" s="4" t="s">
        <v>250</v>
      </c>
      <c r="M155" s="5" t="s">
        <v>3540</v>
      </c>
      <c r="N155" s="4" t="s">
        <v>242</v>
      </c>
      <c r="O155" s="6">
        <f>6.82</f>
        <v>6.82</v>
      </c>
      <c r="P155" s="4" t="s">
        <v>276</v>
      </c>
      <c r="Q155" s="6">
        <f>1</f>
        <v>1</v>
      </c>
      <c r="R155" s="6">
        <f>409200</f>
        <v>409200</v>
      </c>
      <c r="S155" s="5" t="s">
        <v>248</v>
      </c>
      <c r="T155" s="4" t="s">
        <v>348</v>
      </c>
      <c r="U155" s="4" t="s">
        <v>275</v>
      </c>
      <c r="W155" s="6">
        <f>409199</f>
        <v>409199</v>
      </c>
      <c r="X155" s="4" t="s">
        <v>243</v>
      </c>
      <c r="Y155" s="4" t="s">
        <v>244</v>
      </c>
      <c r="Z155" s="4" t="s">
        <v>246</v>
      </c>
      <c r="AA155" s="4" t="s">
        <v>241</v>
      </c>
      <c r="AD155" s="4" t="s">
        <v>241</v>
      </c>
      <c r="AF155" s="5" t="s">
        <v>241</v>
      </c>
      <c r="AI155" s="5" t="s">
        <v>249</v>
      </c>
      <c r="AJ155" s="4" t="s">
        <v>251</v>
      </c>
      <c r="AK155" s="4" t="s">
        <v>252</v>
      </c>
      <c r="BA155" s="4" t="s">
        <v>254</v>
      </c>
      <c r="BB155" s="4" t="s">
        <v>241</v>
      </c>
      <c r="BC155" s="4" t="s">
        <v>255</v>
      </c>
      <c r="BD155" s="4" t="s">
        <v>241</v>
      </c>
      <c r="BE155" s="4" t="s">
        <v>257</v>
      </c>
      <c r="BF155" s="4" t="s">
        <v>241</v>
      </c>
      <c r="BH155" s="4" t="s">
        <v>258</v>
      </c>
      <c r="BJ155" s="4" t="s">
        <v>374</v>
      </c>
      <c r="BK155" s="5" t="s">
        <v>375</v>
      </c>
      <c r="BL155" s="4" t="s">
        <v>261</v>
      </c>
      <c r="BM155" s="4" t="s">
        <v>262</v>
      </c>
      <c r="BN155" s="4" t="s">
        <v>241</v>
      </c>
      <c r="BO155" s="6">
        <f>0</f>
        <v>0</v>
      </c>
      <c r="BP155" s="6">
        <f>0</f>
        <v>0</v>
      </c>
      <c r="BQ155" s="4" t="s">
        <v>263</v>
      </c>
      <c r="BR155" s="4" t="s">
        <v>264</v>
      </c>
      <c r="CF155" s="4" t="s">
        <v>241</v>
      </c>
      <c r="CG155" s="4" t="s">
        <v>241</v>
      </c>
      <c r="CK155" s="4" t="s">
        <v>265</v>
      </c>
      <c r="CL155" s="4" t="s">
        <v>266</v>
      </c>
      <c r="CM155" s="4" t="s">
        <v>241</v>
      </c>
      <c r="CO155" s="4" t="s">
        <v>267</v>
      </c>
      <c r="CP155" s="5" t="s">
        <v>268</v>
      </c>
      <c r="CQ155" s="4" t="s">
        <v>269</v>
      </c>
      <c r="CR155" s="4" t="s">
        <v>270</v>
      </c>
      <c r="CS155" s="4" t="s">
        <v>241</v>
      </c>
      <c r="CT155" s="4" t="s">
        <v>241</v>
      </c>
      <c r="CU155" s="4">
        <v>0</v>
      </c>
      <c r="CV155" s="4" t="s">
        <v>271</v>
      </c>
      <c r="CW155" s="4" t="s">
        <v>272</v>
      </c>
      <c r="CX155" s="4" t="s">
        <v>347</v>
      </c>
      <c r="CZ155" s="6">
        <f>409200</f>
        <v>409200</v>
      </c>
      <c r="DA155" s="6">
        <f>0</f>
        <v>0</v>
      </c>
      <c r="DC155" s="4" t="s">
        <v>241</v>
      </c>
      <c r="DD155" s="4" t="s">
        <v>241</v>
      </c>
      <c r="DF155" s="4" t="s">
        <v>241</v>
      </c>
      <c r="DI155" s="4" t="s">
        <v>241</v>
      </c>
      <c r="DJ155" s="4" t="s">
        <v>241</v>
      </c>
      <c r="DK155" s="4" t="s">
        <v>241</v>
      </c>
      <c r="DL155" s="4" t="s">
        <v>241</v>
      </c>
      <c r="DM155" s="4" t="s">
        <v>277</v>
      </c>
      <c r="DN155" s="4" t="s">
        <v>278</v>
      </c>
      <c r="DO155" s="6">
        <f>6.82</f>
        <v>6.82</v>
      </c>
      <c r="DP155" s="4" t="s">
        <v>241</v>
      </c>
      <c r="DQ155" s="4" t="s">
        <v>241</v>
      </c>
      <c r="DR155" s="4" t="s">
        <v>241</v>
      </c>
      <c r="DS155" s="4" t="s">
        <v>241</v>
      </c>
      <c r="DV155" s="4" t="s">
        <v>3541</v>
      </c>
      <c r="DW155" s="4" t="s">
        <v>277</v>
      </c>
      <c r="HO155" s="4" t="s">
        <v>277</v>
      </c>
      <c r="HR155" s="4" t="s">
        <v>278</v>
      </c>
      <c r="HS155" s="4" t="s">
        <v>278</v>
      </c>
    </row>
    <row r="156" spans="1:240" x14ac:dyDescent="0.4">
      <c r="A156" s="4">
        <v>2</v>
      </c>
      <c r="B156" s="4" t="s">
        <v>239</v>
      </c>
      <c r="C156" s="4">
        <v>163</v>
      </c>
      <c r="D156" s="4">
        <v>1</v>
      </c>
      <c r="E156" s="4">
        <v>1</v>
      </c>
      <c r="F156" s="4" t="s">
        <v>240</v>
      </c>
      <c r="G156" s="4" t="s">
        <v>241</v>
      </c>
      <c r="H156" s="4" t="s">
        <v>241</v>
      </c>
      <c r="I156" s="4" t="s">
        <v>3168</v>
      </c>
      <c r="J156" s="4" t="s">
        <v>247</v>
      </c>
      <c r="K156" s="4" t="s">
        <v>256</v>
      </c>
      <c r="L156" s="4" t="s">
        <v>250</v>
      </c>
      <c r="M156" s="5" t="s">
        <v>3169</v>
      </c>
      <c r="N156" s="4" t="s">
        <v>242</v>
      </c>
      <c r="O156" s="6">
        <f>34.78</f>
        <v>34.78</v>
      </c>
      <c r="P156" s="4" t="s">
        <v>276</v>
      </c>
      <c r="Q156" s="6">
        <f>1</f>
        <v>1</v>
      </c>
      <c r="R156" s="6">
        <f>2086800</f>
        <v>2086800</v>
      </c>
      <c r="S156" s="5" t="s">
        <v>248</v>
      </c>
      <c r="T156" s="4" t="s">
        <v>348</v>
      </c>
      <c r="U156" s="4" t="s">
        <v>275</v>
      </c>
      <c r="W156" s="6">
        <f>2086799</f>
        <v>2086799</v>
      </c>
      <c r="X156" s="4" t="s">
        <v>243</v>
      </c>
      <c r="Y156" s="4" t="s">
        <v>244</v>
      </c>
      <c r="Z156" s="4" t="s">
        <v>246</v>
      </c>
      <c r="AA156" s="4" t="s">
        <v>241</v>
      </c>
      <c r="AD156" s="4" t="s">
        <v>241</v>
      </c>
      <c r="AF156" s="5" t="s">
        <v>241</v>
      </c>
      <c r="AI156" s="5" t="s">
        <v>249</v>
      </c>
      <c r="AJ156" s="4" t="s">
        <v>251</v>
      </c>
      <c r="AK156" s="4" t="s">
        <v>252</v>
      </c>
      <c r="BA156" s="4" t="s">
        <v>254</v>
      </c>
      <c r="BB156" s="4" t="s">
        <v>241</v>
      </c>
      <c r="BC156" s="4" t="s">
        <v>255</v>
      </c>
      <c r="BD156" s="4" t="s">
        <v>241</v>
      </c>
      <c r="BE156" s="4" t="s">
        <v>257</v>
      </c>
      <c r="BF156" s="4" t="s">
        <v>241</v>
      </c>
      <c r="BH156" s="4" t="s">
        <v>258</v>
      </c>
      <c r="BJ156" s="4" t="s">
        <v>377</v>
      </c>
      <c r="BK156" s="5" t="s">
        <v>378</v>
      </c>
      <c r="BL156" s="4" t="s">
        <v>261</v>
      </c>
      <c r="BM156" s="4" t="s">
        <v>262</v>
      </c>
      <c r="BN156" s="4" t="s">
        <v>241</v>
      </c>
      <c r="BO156" s="6">
        <f>0</f>
        <v>0</v>
      </c>
      <c r="BP156" s="6">
        <f>0</f>
        <v>0</v>
      </c>
      <c r="BQ156" s="4" t="s">
        <v>263</v>
      </c>
      <c r="BR156" s="4" t="s">
        <v>264</v>
      </c>
      <c r="CF156" s="4" t="s">
        <v>241</v>
      </c>
      <c r="CG156" s="4" t="s">
        <v>241</v>
      </c>
      <c r="CK156" s="4" t="s">
        <v>265</v>
      </c>
      <c r="CL156" s="4" t="s">
        <v>266</v>
      </c>
      <c r="CM156" s="4" t="s">
        <v>241</v>
      </c>
      <c r="CO156" s="4" t="s">
        <v>267</v>
      </c>
      <c r="CP156" s="5" t="s">
        <v>268</v>
      </c>
      <c r="CQ156" s="4" t="s">
        <v>269</v>
      </c>
      <c r="CR156" s="4" t="s">
        <v>270</v>
      </c>
      <c r="CS156" s="4" t="s">
        <v>241</v>
      </c>
      <c r="CT156" s="4" t="s">
        <v>241</v>
      </c>
      <c r="CU156" s="4">
        <v>0</v>
      </c>
      <c r="CV156" s="4" t="s">
        <v>271</v>
      </c>
      <c r="CW156" s="4" t="s">
        <v>272</v>
      </c>
      <c r="CX156" s="4" t="s">
        <v>347</v>
      </c>
      <c r="CZ156" s="6">
        <f>2086800</f>
        <v>2086800</v>
      </c>
      <c r="DA156" s="6">
        <f>0</f>
        <v>0</v>
      </c>
      <c r="DC156" s="4" t="s">
        <v>241</v>
      </c>
      <c r="DD156" s="4" t="s">
        <v>241</v>
      </c>
      <c r="DF156" s="4" t="s">
        <v>241</v>
      </c>
      <c r="DI156" s="4" t="s">
        <v>241</v>
      </c>
      <c r="DJ156" s="4" t="s">
        <v>241</v>
      </c>
      <c r="DK156" s="4" t="s">
        <v>241</v>
      </c>
      <c r="DL156" s="4" t="s">
        <v>241</v>
      </c>
      <c r="DM156" s="4" t="s">
        <v>277</v>
      </c>
      <c r="DN156" s="4" t="s">
        <v>278</v>
      </c>
      <c r="DO156" s="6">
        <f>34.78</f>
        <v>34.78</v>
      </c>
      <c r="DP156" s="4" t="s">
        <v>241</v>
      </c>
      <c r="DQ156" s="4" t="s">
        <v>241</v>
      </c>
      <c r="DR156" s="4" t="s">
        <v>241</v>
      </c>
      <c r="DS156" s="4" t="s">
        <v>241</v>
      </c>
      <c r="DV156" s="4" t="s">
        <v>3170</v>
      </c>
      <c r="DW156" s="4" t="s">
        <v>277</v>
      </c>
      <c r="HO156" s="4" t="s">
        <v>277</v>
      </c>
      <c r="HR156" s="4" t="s">
        <v>278</v>
      </c>
      <c r="HS156" s="4" t="s">
        <v>278</v>
      </c>
    </row>
    <row r="157" spans="1:240" x14ac:dyDescent="0.4">
      <c r="A157" s="4">
        <v>2</v>
      </c>
      <c r="B157" s="4" t="s">
        <v>239</v>
      </c>
      <c r="C157" s="4">
        <v>164</v>
      </c>
      <c r="D157" s="4">
        <v>1</v>
      </c>
      <c r="E157" s="4">
        <v>3</v>
      </c>
      <c r="F157" s="4" t="s">
        <v>326</v>
      </c>
      <c r="G157" s="4" t="s">
        <v>241</v>
      </c>
      <c r="H157" s="4" t="s">
        <v>241</v>
      </c>
      <c r="I157" s="4" t="s">
        <v>3168</v>
      </c>
      <c r="J157" s="4" t="s">
        <v>247</v>
      </c>
      <c r="K157" s="4" t="s">
        <v>256</v>
      </c>
      <c r="L157" s="4" t="s">
        <v>250</v>
      </c>
      <c r="M157" s="5" t="s">
        <v>3169</v>
      </c>
      <c r="N157" s="4" t="s">
        <v>3088</v>
      </c>
      <c r="O157" s="6">
        <f>0</f>
        <v>0</v>
      </c>
      <c r="P157" s="4" t="s">
        <v>276</v>
      </c>
      <c r="Q157" s="6">
        <f>1204184</f>
        <v>1204184</v>
      </c>
      <c r="R157" s="6">
        <f>1645056</f>
        <v>1645056</v>
      </c>
      <c r="S157" s="5" t="s">
        <v>775</v>
      </c>
      <c r="T157" s="4" t="s">
        <v>348</v>
      </c>
      <c r="U157" s="4" t="s">
        <v>297</v>
      </c>
      <c r="V157" s="6">
        <f>110218</f>
        <v>110218</v>
      </c>
      <c r="W157" s="6">
        <f>440872</f>
        <v>440872</v>
      </c>
      <c r="X157" s="4" t="s">
        <v>243</v>
      </c>
      <c r="Y157" s="4" t="s">
        <v>244</v>
      </c>
      <c r="Z157" s="4" t="s">
        <v>246</v>
      </c>
      <c r="AA157" s="4" t="s">
        <v>241</v>
      </c>
      <c r="AD157" s="4" t="s">
        <v>241</v>
      </c>
      <c r="AE157" s="5" t="s">
        <v>241</v>
      </c>
      <c r="AF157" s="5" t="s">
        <v>241</v>
      </c>
      <c r="AH157" s="5" t="s">
        <v>241</v>
      </c>
      <c r="AI157" s="5" t="s">
        <v>249</v>
      </c>
      <c r="AJ157" s="4" t="s">
        <v>251</v>
      </c>
      <c r="AK157" s="4" t="s">
        <v>252</v>
      </c>
      <c r="AQ157" s="4" t="s">
        <v>241</v>
      </c>
      <c r="AR157" s="4" t="s">
        <v>241</v>
      </c>
      <c r="AS157" s="4" t="s">
        <v>241</v>
      </c>
      <c r="AT157" s="5" t="s">
        <v>241</v>
      </c>
      <c r="AU157" s="5" t="s">
        <v>241</v>
      </c>
      <c r="AV157" s="5" t="s">
        <v>241</v>
      </c>
      <c r="AY157" s="4" t="s">
        <v>286</v>
      </c>
      <c r="AZ157" s="4" t="s">
        <v>286</v>
      </c>
      <c r="BA157" s="4" t="s">
        <v>254</v>
      </c>
      <c r="BB157" s="4" t="s">
        <v>287</v>
      </c>
      <c r="BC157" s="4" t="s">
        <v>255</v>
      </c>
      <c r="BD157" s="4" t="s">
        <v>241</v>
      </c>
      <c r="BE157" s="4" t="s">
        <v>257</v>
      </c>
      <c r="BF157" s="4" t="s">
        <v>241</v>
      </c>
      <c r="BJ157" s="4" t="s">
        <v>288</v>
      </c>
      <c r="BK157" s="5" t="s">
        <v>289</v>
      </c>
      <c r="BL157" s="4" t="s">
        <v>290</v>
      </c>
      <c r="BM157" s="4" t="s">
        <v>290</v>
      </c>
      <c r="BN157" s="4" t="s">
        <v>241</v>
      </c>
      <c r="BP157" s="6">
        <f>-110218</f>
        <v>-110218</v>
      </c>
      <c r="BQ157" s="4" t="s">
        <v>263</v>
      </c>
      <c r="BR157" s="4" t="s">
        <v>264</v>
      </c>
      <c r="BS157" s="4" t="s">
        <v>241</v>
      </c>
      <c r="BT157" s="4" t="s">
        <v>241</v>
      </c>
      <c r="BU157" s="4" t="s">
        <v>241</v>
      </c>
      <c r="BV157" s="4" t="s">
        <v>241</v>
      </c>
      <c r="CE157" s="4" t="s">
        <v>264</v>
      </c>
      <c r="CF157" s="4" t="s">
        <v>241</v>
      </c>
      <c r="CG157" s="4" t="s">
        <v>241</v>
      </c>
      <c r="CK157" s="4" t="s">
        <v>291</v>
      </c>
      <c r="CL157" s="4" t="s">
        <v>266</v>
      </c>
      <c r="CM157" s="4" t="s">
        <v>241</v>
      </c>
      <c r="CO157" s="4" t="s">
        <v>413</v>
      </c>
      <c r="CP157" s="5" t="s">
        <v>268</v>
      </c>
      <c r="CQ157" s="4" t="s">
        <v>269</v>
      </c>
      <c r="CR157" s="4" t="s">
        <v>270</v>
      </c>
      <c r="CS157" s="4" t="s">
        <v>293</v>
      </c>
      <c r="CT157" s="4" t="s">
        <v>241</v>
      </c>
      <c r="CU157" s="4">
        <v>6.7000000000000004E-2</v>
      </c>
      <c r="CV157" s="4" t="s">
        <v>271</v>
      </c>
      <c r="CW157" s="4" t="s">
        <v>272</v>
      </c>
      <c r="CX157" s="4" t="s">
        <v>347</v>
      </c>
      <c r="CY157" s="6">
        <f>0</f>
        <v>0</v>
      </c>
      <c r="CZ157" s="6">
        <f>1645056</f>
        <v>1645056</v>
      </c>
      <c r="DA157" s="6">
        <f>1204184</f>
        <v>1204184</v>
      </c>
      <c r="DC157" s="4" t="s">
        <v>241</v>
      </c>
      <c r="DD157" s="4" t="s">
        <v>241</v>
      </c>
      <c r="DF157" s="4" t="s">
        <v>241</v>
      </c>
      <c r="DG157" s="6">
        <f>0</f>
        <v>0</v>
      </c>
      <c r="DI157" s="4" t="s">
        <v>241</v>
      </c>
      <c r="DJ157" s="4" t="s">
        <v>241</v>
      </c>
      <c r="DK157" s="4" t="s">
        <v>241</v>
      </c>
      <c r="DL157" s="4" t="s">
        <v>241</v>
      </c>
      <c r="DM157" s="4" t="s">
        <v>278</v>
      </c>
      <c r="DN157" s="4" t="s">
        <v>278</v>
      </c>
      <c r="DO157" s="6" t="s">
        <v>241</v>
      </c>
      <c r="DP157" s="4" t="s">
        <v>241</v>
      </c>
      <c r="DQ157" s="4" t="s">
        <v>241</v>
      </c>
      <c r="DR157" s="4" t="s">
        <v>241</v>
      </c>
      <c r="DS157" s="4" t="s">
        <v>241</v>
      </c>
      <c r="DV157" s="4" t="s">
        <v>3170</v>
      </c>
      <c r="DW157" s="4" t="s">
        <v>323</v>
      </c>
      <c r="GN157" s="4" t="s">
        <v>3171</v>
      </c>
      <c r="HO157" s="4" t="s">
        <v>351</v>
      </c>
      <c r="HR157" s="4" t="s">
        <v>278</v>
      </c>
      <c r="HS157" s="4" t="s">
        <v>278</v>
      </c>
      <c r="HT157" s="4" t="s">
        <v>241</v>
      </c>
      <c r="HU157" s="4" t="s">
        <v>241</v>
      </c>
      <c r="HV157" s="4" t="s">
        <v>241</v>
      </c>
      <c r="HW157" s="4" t="s">
        <v>241</v>
      </c>
      <c r="HX157" s="4" t="s">
        <v>241</v>
      </c>
      <c r="HY157" s="4" t="s">
        <v>241</v>
      </c>
      <c r="HZ157" s="4" t="s">
        <v>241</v>
      </c>
      <c r="IA157" s="4" t="s">
        <v>241</v>
      </c>
      <c r="IB157" s="4" t="s">
        <v>241</v>
      </c>
      <c r="IC157" s="4" t="s">
        <v>241</v>
      </c>
      <c r="ID157" s="4" t="s">
        <v>241</v>
      </c>
      <c r="IE157" s="4" t="s">
        <v>241</v>
      </c>
      <c r="IF157" s="4" t="s">
        <v>241</v>
      </c>
    </row>
    <row r="158" spans="1:240" x14ac:dyDescent="0.4">
      <c r="A158" s="4">
        <v>2</v>
      </c>
      <c r="B158" s="4" t="s">
        <v>239</v>
      </c>
      <c r="C158" s="4">
        <v>165</v>
      </c>
      <c r="D158" s="4">
        <v>1</v>
      </c>
      <c r="E158" s="4">
        <v>1</v>
      </c>
      <c r="F158" s="4" t="s">
        <v>240</v>
      </c>
      <c r="G158" s="4" t="s">
        <v>241</v>
      </c>
      <c r="H158" s="4" t="s">
        <v>241</v>
      </c>
      <c r="I158" s="4" t="s">
        <v>3542</v>
      </c>
      <c r="J158" s="4" t="s">
        <v>247</v>
      </c>
      <c r="K158" s="4" t="s">
        <v>256</v>
      </c>
      <c r="L158" s="4" t="s">
        <v>250</v>
      </c>
      <c r="M158" s="5" t="s">
        <v>3543</v>
      </c>
      <c r="N158" s="4" t="s">
        <v>242</v>
      </c>
      <c r="O158" s="6">
        <f>10.64</f>
        <v>10.64</v>
      </c>
      <c r="P158" s="4" t="s">
        <v>276</v>
      </c>
      <c r="Q158" s="6">
        <f>1</f>
        <v>1</v>
      </c>
      <c r="R158" s="6">
        <f>638400</f>
        <v>638400</v>
      </c>
      <c r="S158" s="5" t="s">
        <v>248</v>
      </c>
      <c r="T158" s="4" t="s">
        <v>348</v>
      </c>
      <c r="U158" s="4" t="s">
        <v>275</v>
      </c>
      <c r="W158" s="6">
        <f>638399</f>
        <v>638399</v>
      </c>
      <c r="X158" s="4" t="s">
        <v>243</v>
      </c>
      <c r="Y158" s="4" t="s">
        <v>244</v>
      </c>
      <c r="Z158" s="4" t="s">
        <v>246</v>
      </c>
      <c r="AA158" s="4" t="s">
        <v>241</v>
      </c>
      <c r="AD158" s="4" t="s">
        <v>241</v>
      </c>
      <c r="AF158" s="5" t="s">
        <v>241</v>
      </c>
      <c r="AI158" s="5" t="s">
        <v>249</v>
      </c>
      <c r="AJ158" s="4" t="s">
        <v>251</v>
      </c>
      <c r="AK158" s="4" t="s">
        <v>252</v>
      </c>
      <c r="BA158" s="4" t="s">
        <v>254</v>
      </c>
      <c r="BB158" s="4" t="s">
        <v>241</v>
      </c>
      <c r="BC158" s="4" t="s">
        <v>255</v>
      </c>
      <c r="BD158" s="4" t="s">
        <v>241</v>
      </c>
      <c r="BE158" s="4" t="s">
        <v>257</v>
      </c>
      <c r="BF158" s="4" t="s">
        <v>241</v>
      </c>
      <c r="BH158" s="4" t="s">
        <v>258</v>
      </c>
      <c r="BJ158" s="4" t="s">
        <v>367</v>
      </c>
      <c r="BK158" s="5" t="s">
        <v>249</v>
      </c>
      <c r="BL158" s="4" t="s">
        <v>261</v>
      </c>
      <c r="BM158" s="4" t="s">
        <v>262</v>
      </c>
      <c r="BN158" s="4" t="s">
        <v>241</v>
      </c>
      <c r="BO158" s="6">
        <f>0</f>
        <v>0</v>
      </c>
      <c r="BP158" s="6">
        <f>0</f>
        <v>0</v>
      </c>
      <c r="BQ158" s="4" t="s">
        <v>263</v>
      </c>
      <c r="BR158" s="4" t="s">
        <v>264</v>
      </c>
      <c r="CF158" s="4" t="s">
        <v>241</v>
      </c>
      <c r="CG158" s="4" t="s">
        <v>241</v>
      </c>
      <c r="CK158" s="4" t="s">
        <v>265</v>
      </c>
      <c r="CL158" s="4" t="s">
        <v>266</v>
      </c>
      <c r="CM158" s="4" t="s">
        <v>241</v>
      </c>
      <c r="CO158" s="4" t="s">
        <v>267</v>
      </c>
      <c r="CP158" s="5" t="s">
        <v>268</v>
      </c>
      <c r="CQ158" s="4" t="s">
        <v>269</v>
      </c>
      <c r="CR158" s="4" t="s">
        <v>270</v>
      </c>
      <c r="CS158" s="4" t="s">
        <v>241</v>
      </c>
      <c r="CT158" s="4" t="s">
        <v>241</v>
      </c>
      <c r="CU158" s="4">
        <v>0</v>
      </c>
      <c r="CV158" s="4" t="s">
        <v>271</v>
      </c>
      <c r="CW158" s="4" t="s">
        <v>272</v>
      </c>
      <c r="CX158" s="4" t="s">
        <v>347</v>
      </c>
      <c r="CZ158" s="6">
        <f>638400</f>
        <v>638400</v>
      </c>
      <c r="DA158" s="6">
        <f>0</f>
        <v>0</v>
      </c>
      <c r="DC158" s="4" t="s">
        <v>241</v>
      </c>
      <c r="DD158" s="4" t="s">
        <v>241</v>
      </c>
      <c r="DF158" s="4" t="s">
        <v>241</v>
      </c>
      <c r="DI158" s="4" t="s">
        <v>241</v>
      </c>
      <c r="DJ158" s="4" t="s">
        <v>241</v>
      </c>
      <c r="DK158" s="4" t="s">
        <v>241</v>
      </c>
      <c r="DL158" s="4" t="s">
        <v>241</v>
      </c>
      <c r="DM158" s="4" t="s">
        <v>277</v>
      </c>
      <c r="DN158" s="4" t="s">
        <v>278</v>
      </c>
      <c r="DO158" s="6">
        <f>10.64</f>
        <v>10.64</v>
      </c>
      <c r="DP158" s="4" t="s">
        <v>241</v>
      </c>
      <c r="DQ158" s="4" t="s">
        <v>241</v>
      </c>
      <c r="DR158" s="4" t="s">
        <v>241</v>
      </c>
      <c r="DS158" s="4" t="s">
        <v>241</v>
      </c>
      <c r="DV158" s="4" t="s">
        <v>3544</v>
      </c>
      <c r="DW158" s="4" t="s">
        <v>277</v>
      </c>
      <c r="HO158" s="4" t="s">
        <v>277</v>
      </c>
      <c r="HR158" s="4" t="s">
        <v>278</v>
      </c>
      <c r="HS158" s="4" t="s">
        <v>278</v>
      </c>
    </row>
    <row r="159" spans="1:240" x14ac:dyDescent="0.4">
      <c r="A159" s="4">
        <v>2</v>
      </c>
      <c r="B159" s="4" t="s">
        <v>239</v>
      </c>
      <c r="C159" s="4">
        <v>166</v>
      </c>
      <c r="D159" s="4">
        <v>1</v>
      </c>
      <c r="E159" s="4">
        <v>1</v>
      </c>
      <c r="F159" s="4" t="s">
        <v>240</v>
      </c>
      <c r="G159" s="4" t="s">
        <v>241</v>
      </c>
      <c r="H159" s="4" t="s">
        <v>241</v>
      </c>
      <c r="I159" s="4" t="s">
        <v>3552</v>
      </c>
      <c r="J159" s="4" t="s">
        <v>247</v>
      </c>
      <c r="K159" s="4" t="s">
        <v>256</v>
      </c>
      <c r="L159" s="4" t="s">
        <v>250</v>
      </c>
      <c r="M159" s="5" t="s">
        <v>3553</v>
      </c>
      <c r="N159" s="4" t="s">
        <v>242</v>
      </c>
      <c r="O159" s="6">
        <f>21.28</f>
        <v>21.28</v>
      </c>
      <c r="P159" s="4" t="s">
        <v>276</v>
      </c>
      <c r="Q159" s="6">
        <f>1</f>
        <v>1</v>
      </c>
      <c r="R159" s="6">
        <f>1276800</f>
        <v>1276800</v>
      </c>
      <c r="S159" s="5" t="s">
        <v>248</v>
      </c>
      <c r="T159" s="4" t="s">
        <v>348</v>
      </c>
      <c r="U159" s="4" t="s">
        <v>275</v>
      </c>
      <c r="W159" s="6">
        <f>1276799</f>
        <v>1276799</v>
      </c>
      <c r="X159" s="4" t="s">
        <v>243</v>
      </c>
      <c r="Y159" s="4" t="s">
        <v>244</v>
      </c>
      <c r="Z159" s="4" t="s">
        <v>246</v>
      </c>
      <c r="AA159" s="4" t="s">
        <v>241</v>
      </c>
      <c r="AD159" s="4" t="s">
        <v>241</v>
      </c>
      <c r="AF159" s="5" t="s">
        <v>241</v>
      </c>
      <c r="AI159" s="5" t="s">
        <v>249</v>
      </c>
      <c r="AJ159" s="4" t="s">
        <v>251</v>
      </c>
      <c r="AK159" s="4" t="s">
        <v>252</v>
      </c>
      <c r="BA159" s="4" t="s">
        <v>254</v>
      </c>
      <c r="BB159" s="4" t="s">
        <v>241</v>
      </c>
      <c r="BC159" s="4" t="s">
        <v>255</v>
      </c>
      <c r="BD159" s="4" t="s">
        <v>241</v>
      </c>
      <c r="BE159" s="4" t="s">
        <v>257</v>
      </c>
      <c r="BF159" s="4" t="s">
        <v>241</v>
      </c>
      <c r="BH159" s="4" t="s">
        <v>258</v>
      </c>
      <c r="BJ159" s="4" t="s">
        <v>374</v>
      </c>
      <c r="BK159" s="5" t="s">
        <v>375</v>
      </c>
      <c r="BL159" s="4" t="s">
        <v>261</v>
      </c>
      <c r="BM159" s="4" t="s">
        <v>262</v>
      </c>
      <c r="BN159" s="4" t="s">
        <v>241</v>
      </c>
      <c r="BO159" s="6">
        <f>0</f>
        <v>0</v>
      </c>
      <c r="BP159" s="6">
        <f>0</f>
        <v>0</v>
      </c>
      <c r="BQ159" s="4" t="s">
        <v>263</v>
      </c>
      <c r="BR159" s="4" t="s">
        <v>264</v>
      </c>
      <c r="CF159" s="4" t="s">
        <v>241</v>
      </c>
      <c r="CG159" s="4" t="s">
        <v>241</v>
      </c>
      <c r="CK159" s="4" t="s">
        <v>265</v>
      </c>
      <c r="CL159" s="4" t="s">
        <v>266</v>
      </c>
      <c r="CM159" s="4" t="s">
        <v>241</v>
      </c>
      <c r="CO159" s="4" t="s">
        <v>267</v>
      </c>
      <c r="CP159" s="5" t="s">
        <v>268</v>
      </c>
      <c r="CQ159" s="4" t="s">
        <v>269</v>
      </c>
      <c r="CR159" s="4" t="s">
        <v>270</v>
      </c>
      <c r="CS159" s="4" t="s">
        <v>241</v>
      </c>
      <c r="CT159" s="4" t="s">
        <v>241</v>
      </c>
      <c r="CU159" s="4">
        <v>0</v>
      </c>
      <c r="CV159" s="4" t="s">
        <v>271</v>
      </c>
      <c r="CW159" s="4" t="s">
        <v>272</v>
      </c>
      <c r="CX159" s="4" t="s">
        <v>347</v>
      </c>
      <c r="CZ159" s="6">
        <f>1276800</f>
        <v>1276800</v>
      </c>
      <c r="DA159" s="6">
        <f>0</f>
        <v>0</v>
      </c>
      <c r="DC159" s="4" t="s">
        <v>241</v>
      </c>
      <c r="DD159" s="4" t="s">
        <v>241</v>
      </c>
      <c r="DF159" s="4" t="s">
        <v>241</v>
      </c>
      <c r="DI159" s="4" t="s">
        <v>241</v>
      </c>
      <c r="DJ159" s="4" t="s">
        <v>241</v>
      </c>
      <c r="DK159" s="4" t="s">
        <v>241</v>
      </c>
      <c r="DL159" s="4" t="s">
        <v>241</v>
      </c>
      <c r="DM159" s="4" t="s">
        <v>277</v>
      </c>
      <c r="DN159" s="4" t="s">
        <v>278</v>
      </c>
      <c r="DO159" s="6">
        <f>21.28</f>
        <v>21.28</v>
      </c>
      <c r="DP159" s="4" t="s">
        <v>241</v>
      </c>
      <c r="DQ159" s="4" t="s">
        <v>241</v>
      </c>
      <c r="DR159" s="4" t="s">
        <v>241</v>
      </c>
      <c r="DS159" s="4" t="s">
        <v>241</v>
      </c>
      <c r="DV159" s="4" t="s">
        <v>3554</v>
      </c>
      <c r="DW159" s="4" t="s">
        <v>277</v>
      </c>
      <c r="HO159" s="4" t="s">
        <v>277</v>
      </c>
      <c r="HR159" s="4" t="s">
        <v>278</v>
      </c>
      <c r="HS159" s="4" t="s">
        <v>278</v>
      </c>
    </row>
    <row r="160" spans="1:240" x14ac:dyDescent="0.4">
      <c r="A160" s="4">
        <v>2</v>
      </c>
      <c r="B160" s="4" t="s">
        <v>239</v>
      </c>
      <c r="C160" s="4">
        <v>167</v>
      </c>
      <c r="D160" s="4">
        <v>1</v>
      </c>
      <c r="E160" s="4">
        <v>1</v>
      </c>
      <c r="F160" s="4" t="s">
        <v>240</v>
      </c>
      <c r="G160" s="4" t="s">
        <v>241</v>
      </c>
      <c r="H160" s="4" t="s">
        <v>241</v>
      </c>
      <c r="I160" s="4" t="s">
        <v>3361</v>
      </c>
      <c r="J160" s="4" t="s">
        <v>247</v>
      </c>
      <c r="K160" s="4" t="s">
        <v>256</v>
      </c>
      <c r="L160" s="4" t="s">
        <v>250</v>
      </c>
      <c r="M160" s="5" t="s">
        <v>3362</v>
      </c>
      <c r="N160" s="4" t="s">
        <v>242</v>
      </c>
      <c r="O160" s="6">
        <f>7.79</f>
        <v>7.79</v>
      </c>
      <c r="P160" s="4" t="s">
        <v>276</v>
      </c>
      <c r="Q160" s="6">
        <f>1</f>
        <v>1</v>
      </c>
      <c r="R160" s="6">
        <f>467400</f>
        <v>467400</v>
      </c>
      <c r="S160" s="5" t="s">
        <v>248</v>
      </c>
      <c r="T160" s="4" t="s">
        <v>348</v>
      </c>
      <c r="U160" s="4" t="s">
        <v>275</v>
      </c>
      <c r="W160" s="6">
        <f>467399</f>
        <v>467399</v>
      </c>
      <c r="X160" s="4" t="s">
        <v>243</v>
      </c>
      <c r="Y160" s="4" t="s">
        <v>244</v>
      </c>
      <c r="Z160" s="4" t="s">
        <v>246</v>
      </c>
      <c r="AA160" s="4" t="s">
        <v>241</v>
      </c>
      <c r="AD160" s="4" t="s">
        <v>241</v>
      </c>
      <c r="AF160" s="5" t="s">
        <v>241</v>
      </c>
      <c r="AI160" s="5" t="s">
        <v>249</v>
      </c>
      <c r="AJ160" s="4" t="s">
        <v>251</v>
      </c>
      <c r="AK160" s="4" t="s">
        <v>252</v>
      </c>
      <c r="BA160" s="4" t="s">
        <v>254</v>
      </c>
      <c r="BB160" s="4" t="s">
        <v>241</v>
      </c>
      <c r="BC160" s="4" t="s">
        <v>255</v>
      </c>
      <c r="BD160" s="4" t="s">
        <v>241</v>
      </c>
      <c r="BE160" s="4" t="s">
        <v>257</v>
      </c>
      <c r="BF160" s="4" t="s">
        <v>241</v>
      </c>
      <c r="BH160" s="4" t="s">
        <v>258</v>
      </c>
      <c r="BJ160" s="4" t="s">
        <v>377</v>
      </c>
      <c r="BK160" s="5" t="s">
        <v>378</v>
      </c>
      <c r="BL160" s="4" t="s">
        <v>261</v>
      </c>
      <c r="BM160" s="4" t="s">
        <v>262</v>
      </c>
      <c r="BN160" s="4" t="s">
        <v>241</v>
      </c>
      <c r="BO160" s="6">
        <f>0</f>
        <v>0</v>
      </c>
      <c r="BP160" s="6">
        <f>0</f>
        <v>0</v>
      </c>
      <c r="BQ160" s="4" t="s">
        <v>263</v>
      </c>
      <c r="BR160" s="4" t="s">
        <v>264</v>
      </c>
      <c r="CF160" s="4" t="s">
        <v>241</v>
      </c>
      <c r="CG160" s="4" t="s">
        <v>241</v>
      </c>
      <c r="CK160" s="4" t="s">
        <v>265</v>
      </c>
      <c r="CL160" s="4" t="s">
        <v>266</v>
      </c>
      <c r="CM160" s="4" t="s">
        <v>241</v>
      </c>
      <c r="CO160" s="4" t="s">
        <v>267</v>
      </c>
      <c r="CP160" s="5" t="s">
        <v>268</v>
      </c>
      <c r="CQ160" s="4" t="s">
        <v>269</v>
      </c>
      <c r="CR160" s="4" t="s">
        <v>270</v>
      </c>
      <c r="CS160" s="4" t="s">
        <v>241</v>
      </c>
      <c r="CT160" s="4" t="s">
        <v>241</v>
      </c>
      <c r="CU160" s="4">
        <v>0</v>
      </c>
      <c r="CV160" s="4" t="s">
        <v>271</v>
      </c>
      <c r="CW160" s="4" t="s">
        <v>272</v>
      </c>
      <c r="CX160" s="4" t="s">
        <v>347</v>
      </c>
      <c r="CZ160" s="6">
        <f>467400</f>
        <v>467400</v>
      </c>
      <c r="DA160" s="6">
        <f>0</f>
        <v>0</v>
      </c>
      <c r="DC160" s="4" t="s">
        <v>241</v>
      </c>
      <c r="DD160" s="4" t="s">
        <v>241</v>
      </c>
      <c r="DF160" s="4" t="s">
        <v>241</v>
      </c>
      <c r="DI160" s="4" t="s">
        <v>241</v>
      </c>
      <c r="DJ160" s="4" t="s">
        <v>241</v>
      </c>
      <c r="DK160" s="4" t="s">
        <v>241</v>
      </c>
      <c r="DL160" s="4" t="s">
        <v>241</v>
      </c>
      <c r="DM160" s="4" t="s">
        <v>277</v>
      </c>
      <c r="DN160" s="4" t="s">
        <v>278</v>
      </c>
      <c r="DO160" s="6">
        <f>7.79</f>
        <v>7.79</v>
      </c>
      <c r="DP160" s="4" t="s">
        <v>241</v>
      </c>
      <c r="DQ160" s="4" t="s">
        <v>241</v>
      </c>
      <c r="DR160" s="4" t="s">
        <v>241</v>
      </c>
      <c r="DS160" s="4" t="s">
        <v>241</v>
      </c>
      <c r="DV160" s="4" t="s">
        <v>3363</v>
      </c>
      <c r="DW160" s="4" t="s">
        <v>277</v>
      </c>
      <c r="HO160" s="4" t="s">
        <v>277</v>
      </c>
      <c r="HR160" s="4" t="s">
        <v>278</v>
      </c>
      <c r="HS160" s="4" t="s">
        <v>278</v>
      </c>
    </row>
    <row r="161" spans="1:240" x14ac:dyDescent="0.4">
      <c r="A161" s="4">
        <v>2</v>
      </c>
      <c r="B161" s="4" t="s">
        <v>239</v>
      </c>
      <c r="C161" s="4">
        <v>168</v>
      </c>
      <c r="D161" s="4">
        <v>1</v>
      </c>
      <c r="E161" s="4">
        <v>1</v>
      </c>
      <c r="F161" s="4" t="s">
        <v>240</v>
      </c>
      <c r="G161" s="4" t="s">
        <v>241</v>
      </c>
      <c r="H161" s="4" t="s">
        <v>241</v>
      </c>
      <c r="I161" s="4" t="s">
        <v>3358</v>
      </c>
      <c r="J161" s="4" t="s">
        <v>247</v>
      </c>
      <c r="K161" s="4" t="s">
        <v>256</v>
      </c>
      <c r="L161" s="4" t="s">
        <v>250</v>
      </c>
      <c r="M161" s="5" t="s">
        <v>3359</v>
      </c>
      <c r="N161" s="4" t="s">
        <v>242</v>
      </c>
      <c r="O161" s="6">
        <f>19.87</f>
        <v>19.87</v>
      </c>
      <c r="P161" s="4" t="s">
        <v>276</v>
      </c>
      <c r="Q161" s="6">
        <f>1</f>
        <v>1</v>
      </c>
      <c r="R161" s="6">
        <f>1192200</f>
        <v>1192200</v>
      </c>
      <c r="S161" s="5" t="s">
        <v>248</v>
      </c>
      <c r="T161" s="4" t="s">
        <v>348</v>
      </c>
      <c r="U161" s="4" t="s">
        <v>275</v>
      </c>
      <c r="W161" s="6">
        <f>1192199</f>
        <v>1192199</v>
      </c>
      <c r="X161" s="4" t="s">
        <v>243</v>
      </c>
      <c r="Y161" s="4" t="s">
        <v>244</v>
      </c>
      <c r="Z161" s="4" t="s">
        <v>246</v>
      </c>
      <c r="AA161" s="4" t="s">
        <v>241</v>
      </c>
      <c r="AD161" s="4" t="s">
        <v>241</v>
      </c>
      <c r="AF161" s="5" t="s">
        <v>241</v>
      </c>
      <c r="AI161" s="5" t="s">
        <v>249</v>
      </c>
      <c r="AJ161" s="4" t="s">
        <v>251</v>
      </c>
      <c r="AK161" s="4" t="s">
        <v>252</v>
      </c>
      <c r="BA161" s="4" t="s">
        <v>254</v>
      </c>
      <c r="BB161" s="4" t="s">
        <v>241</v>
      </c>
      <c r="BC161" s="4" t="s">
        <v>255</v>
      </c>
      <c r="BD161" s="4" t="s">
        <v>241</v>
      </c>
      <c r="BE161" s="4" t="s">
        <v>257</v>
      </c>
      <c r="BF161" s="4" t="s">
        <v>241</v>
      </c>
      <c r="BH161" s="4" t="s">
        <v>258</v>
      </c>
      <c r="BJ161" s="4" t="s">
        <v>259</v>
      </c>
      <c r="BK161" s="5" t="s">
        <v>260</v>
      </c>
      <c r="BL161" s="4" t="s">
        <v>261</v>
      </c>
      <c r="BM161" s="4" t="s">
        <v>262</v>
      </c>
      <c r="BN161" s="4" t="s">
        <v>241</v>
      </c>
      <c r="BO161" s="6">
        <f>0</f>
        <v>0</v>
      </c>
      <c r="BP161" s="6">
        <f>0</f>
        <v>0</v>
      </c>
      <c r="BQ161" s="4" t="s">
        <v>263</v>
      </c>
      <c r="BR161" s="4" t="s">
        <v>264</v>
      </c>
      <c r="CF161" s="4" t="s">
        <v>241</v>
      </c>
      <c r="CG161" s="4" t="s">
        <v>241</v>
      </c>
      <c r="CK161" s="4" t="s">
        <v>265</v>
      </c>
      <c r="CL161" s="4" t="s">
        <v>266</v>
      </c>
      <c r="CM161" s="4" t="s">
        <v>241</v>
      </c>
      <c r="CO161" s="4" t="s">
        <v>267</v>
      </c>
      <c r="CP161" s="5" t="s">
        <v>268</v>
      </c>
      <c r="CQ161" s="4" t="s">
        <v>269</v>
      </c>
      <c r="CR161" s="4" t="s">
        <v>270</v>
      </c>
      <c r="CS161" s="4" t="s">
        <v>241</v>
      </c>
      <c r="CT161" s="4" t="s">
        <v>241</v>
      </c>
      <c r="CU161" s="4">
        <v>0</v>
      </c>
      <c r="CV161" s="4" t="s">
        <v>271</v>
      </c>
      <c r="CW161" s="4" t="s">
        <v>272</v>
      </c>
      <c r="CX161" s="4" t="s">
        <v>347</v>
      </c>
      <c r="CZ161" s="6">
        <f>1192200</f>
        <v>1192200</v>
      </c>
      <c r="DA161" s="6">
        <f>0</f>
        <v>0</v>
      </c>
      <c r="DC161" s="4" t="s">
        <v>241</v>
      </c>
      <c r="DD161" s="4" t="s">
        <v>241</v>
      </c>
      <c r="DF161" s="4" t="s">
        <v>241</v>
      </c>
      <c r="DI161" s="4" t="s">
        <v>241</v>
      </c>
      <c r="DJ161" s="4" t="s">
        <v>241</v>
      </c>
      <c r="DK161" s="4" t="s">
        <v>241</v>
      </c>
      <c r="DL161" s="4" t="s">
        <v>241</v>
      </c>
      <c r="DM161" s="4" t="s">
        <v>277</v>
      </c>
      <c r="DN161" s="4" t="s">
        <v>278</v>
      </c>
      <c r="DO161" s="6">
        <f>19.87</f>
        <v>19.87</v>
      </c>
      <c r="DP161" s="4" t="s">
        <v>241</v>
      </c>
      <c r="DQ161" s="4" t="s">
        <v>241</v>
      </c>
      <c r="DR161" s="4" t="s">
        <v>241</v>
      </c>
      <c r="DS161" s="4" t="s">
        <v>241</v>
      </c>
      <c r="DV161" s="4" t="s">
        <v>3360</v>
      </c>
      <c r="DW161" s="4" t="s">
        <v>277</v>
      </c>
      <c r="HO161" s="4" t="s">
        <v>277</v>
      </c>
      <c r="HR161" s="4" t="s">
        <v>278</v>
      </c>
      <c r="HS161" s="4" t="s">
        <v>278</v>
      </c>
    </row>
    <row r="162" spans="1:240" x14ac:dyDescent="0.4">
      <c r="A162" s="4">
        <v>2</v>
      </c>
      <c r="B162" s="4" t="s">
        <v>239</v>
      </c>
      <c r="C162" s="4">
        <v>169</v>
      </c>
      <c r="D162" s="4">
        <v>1</v>
      </c>
      <c r="E162" s="4">
        <v>1</v>
      </c>
      <c r="F162" s="4" t="s">
        <v>240</v>
      </c>
      <c r="G162" s="4" t="s">
        <v>241</v>
      </c>
      <c r="H162" s="4" t="s">
        <v>241</v>
      </c>
      <c r="I162" s="4" t="s">
        <v>3556</v>
      </c>
      <c r="J162" s="4" t="s">
        <v>247</v>
      </c>
      <c r="K162" s="4" t="s">
        <v>256</v>
      </c>
      <c r="L162" s="4" t="s">
        <v>250</v>
      </c>
      <c r="M162" s="5" t="s">
        <v>3558</v>
      </c>
      <c r="N162" s="4" t="s">
        <v>242</v>
      </c>
      <c r="O162" s="6">
        <f>17.82</f>
        <v>17.82</v>
      </c>
      <c r="P162" s="4" t="s">
        <v>276</v>
      </c>
      <c r="Q162" s="6">
        <f>1</f>
        <v>1</v>
      </c>
      <c r="R162" s="6">
        <f>1069200</f>
        <v>1069200</v>
      </c>
      <c r="S162" s="5" t="s">
        <v>3557</v>
      </c>
      <c r="T162" s="4" t="s">
        <v>274</v>
      </c>
      <c r="U162" s="4" t="s">
        <v>357</v>
      </c>
      <c r="W162" s="6">
        <f>1069199</f>
        <v>1069199</v>
      </c>
      <c r="X162" s="4" t="s">
        <v>243</v>
      </c>
      <c r="Y162" s="4" t="s">
        <v>244</v>
      </c>
      <c r="Z162" s="4" t="s">
        <v>246</v>
      </c>
      <c r="AA162" s="4" t="s">
        <v>241</v>
      </c>
      <c r="AD162" s="4" t="s">
        <v>241</v>
      </c>
      <c r="AF162" s="5" t="s">
        <v>241</v>
      </c>
      <c r="AI162" s="5" t="s">
        <v>249</v>
      </c>
      <c r="AJ162" s="4" t="s">
        <v>251</v>
      </c>
      <c r="AK162" s="4" t="s">
        <v>252</v>
      </c>
      <c r="BA162" s="4" t="s">
        <v>254</v>
      </c>
      <c r="BB162" s="4" t="s">
        <v>241</v>
      </c>
      <c r="BC162" s="4" t="s">
        <v>255</v>
      </c>
      <c r="BD162" s="4" t="s">
        <v>241</v>
      </c>
      <c r="BE162" s="4" t="s">
        <v>257</v>
      </c>
      <c r="BF162" s="4" t="s">
        <v>241</v>
      </c>
      <c r="BH162" s="4" t="s">
        <v>258</v>
      </c>
      <c r="BJ162" s="4" t="s">
        <v>367</v>
      </c>
      <c r="BK162" s="5" t="s">
        <v>249</v>
      </c>
      <c r="BL162" s="4" t="s">
        <v>261</v>
      </c>
      <c r="BM162" s="4" t="s">
        <v>262</v>
      </c>
      <c r="BN162" s="4" t="s">
        <v>241</v>
      </c>
      <c r="BO162" s="6">
        <f>0</f>
        <v>0</v>
      </c>
      <c r="BP162" s="6">
        <f>0</f>
        <v>0</v>
      </c>
      <c r="BQ162" s="4" t="s">
        <v>263</v>
      </c>
      <c r="BR162" s="4" t="s">
        <v>264</v>
      </c>
      <c r="CF162" s="4" t="s">
        <v>241</v>
      </c>
      <c r="CG162" s="4" t="s">
        <v>241</v>
      </c>
      <c r="CK162" s="4" t="s">
        <v>265</v>
      </c>
      <c r="CL162" s="4" t="s">
        <v>266</v>
      </c>
      <c r="CM162" s="4" t="s">
        <v>241</v>
      </c>
      <c r="CO162" s="4" t="s">
        <v>382</v>
      </c>
      <c r="CP162" s="5" t="s">
        <v>268</v>
      </c>
      <c r="CQ162" s="4" t="s">
        <v>269</v>
      </c>
      <c r="CR162" s="4" t="s">
        <v>270</v>
      </c>
      <c r="CS162" s="4" t="s">
        <v>241</v>
      </c>
      <c r="CT162" s="4" t="s">
        <v>241</v>
      </c>
      <c r="CU162" s="4">
        <v>0</v>
      </c>
      <c r="CV162" s="4" t="s">
        <v>271</v>
      </c>
      <c r="CW162" s="4" t="s">
        <v>272</v>
      </c>
      <c r="CX162" s="4" t="s">
        <v>273</v>
      </c>
      <c r="CZ162" s="6">
        <f>1069200</f>
        <v>1069200</v>
      </c>
      <c r="DA162" s="6">
        <f>0</f>
        <v>0</v>
      </c>
      <c r="DC162" s="4" t="s">
        <v>241</v>
      </c>
      <c r="DD162" s="4" t="s">
        <v>241</v>
      </c>
      <c r="DF162" s="4" t="s">
        <v>241</v>
      </c>
      <c r="DI162" s="4" t="s">
        <v>241</v>
      </c>
      <c r="DJ162" s="4" t="s">
        <v>241</v>
      </c>
      <c r="DK162" s="4" t="s">
        <v>241</v>
      </c>
      <c r="DL162" s="4" t="s">
        <v>241</v>
      </c>
      <c r="DM162" s="4" t="s">
        <v>277</v>
      </c>
      <c r="DN162" s="4" t="s">
        <v>278</v>
      </c>
      <c r="DO162" s="6">
        <f>17.82</f>
        <v>17.82</v>
      </c>
      <c r="DP162" s="4" t="s">
        <v>241</v>
      </c>
      <c r="DQ162" s="4" t="s">
        <v>241</v>
      </c>
      <c r="DR162" s="4" t="s">
        <v>241</v>
      </c>
      <c r="DS162" s="4" t="s">
        <v>241</v>
      </c>
      <c r="DV162" s="4" t="s">
        <v>3559</v>
      </c>
      <c r="DW162" s="4" t="s">
        <v>277</v>
      </c>
      <c r="HO162" s="4" t="s">
        <v>277</v>
      </c>
      <c r="HR162" s="4" t="s">
        <v>278</v>
      </c>
      <c r="HS162" s="4" t="s">
        <v>278</v>
      </c>
    </row>
    <row r="163" spans="1:240" x14ac:dyDescent="0.4">
      <c r="A163" s="4">
        <v>2</v>
      </c>
      <c r="B163" s="4" t="s">
        <v>239</v>
      </c>
      <c r="C163" s="4">
        <v>171</v>
      </c>
      <c r="D163" s="4">
        <v>1</v>
      </c>
      <c r="E163" s="4">
        <v>1</v>
      </c>
      <c r="F163" s="4" t="s">
        <v>240</v>
      </c>
      <c r="G163" s="4" t="s">
        <v>241</v>
      </c>
      <c r="H163" s="4" t="s">
        <v>241</v>
      </c>
      <c r="I163" s="4" t="s">
        <v>3560</v>
      </c>
      <c r="J163" s="4" t="s">
        <v>247</v>
      </c>
      <c r="K163" s="4" t="s">
        <v>256</v>
      </c>
      <c r="L163" s="4" t="s">
        <v>250</v>
      </c>
      <c r="M163" s="5" t="s">
        <v>3561</v>
      </c>
      <c r="N163" s="4" t="s">
        <v>242</v>
      </c>
      <c r="O163" s="6">
        <f>18.15</f>
        <v>18.149999999999999</v>
      </c>
      <c r="P163" s="4" t="s">
        <v>276</v>
      </c>
      <c r="Q163" s="6">
        <f>1</f>
        <v>1</v>
      </c>
      <c r="R163" s="6">
        <f>1089000</f>
        <v>1089000</v>
      </c>
      <c r="S163" s="5" t="s">
        <v>3557</v>
      </c>
      <c r="T163" s="4" t="s">
        <v>274</v>
      </c>
      <c r="U163" s="4" t="s">
        <v>357</v>
      </c>
      <c r="W163" s="6">
        <f>1088999</f>
        <v>1088999</v>
      </c>
      <c r="X163" s="4" t="s">
        <v>243</v>
      </c>
      <c r="Y163" s="4" t="s">
        <v>244</v>
      </c>
      <c r="Z163" s="4" t="s">
        <v>246</v>
      </c>
      <c r="AA163" s="4" t="s">
        <v>241</v>
      </c>
      <c r="AD163" s="4" t="s">
        <v>241</v>
      </c>
      <c r="AF163" s="5" t="s">
        <v>241</v>
      </c>
      <c r="AI163" s="5" t="s">
        <v>249</v>
      </c>
      <c r="AJ163" s="4" t="s">
        <v>251</v>
      </c>
      <c r="AK163" s="4" t="s">
        <v>252</v>
      </c>
      <c r="BA163" s="4" t="s">
        <v>254</v>
      </c>
      <c r="BB163" s="4" t="s">
        <v>241</v>
      </c>
      <c r="BC163" s="4" t="s">
        <v>255</v>
      </c>
      <c r="BD163" s="4" t="s">
        <v>241</v>
      </c>
      <c r="BE163" s="4" t="s">
        <v>257</v>
      </c>
      <c r="BF163" s="4" t="s">
        <v>241</v>
      </c>
      <c r="BH163" s="4" t="s">
        <v>258</v>
      </c>
      <c r="BJ163" s="4" t="s">
        <v>377</v>
      </c>
      <c r="BK163" s="5" t="s">
        <v>378</v>
      </c>
      <c r="BL163" s="4" t="s">
        <v>261</v>
      </c>
      <c r="BM163" s="4" t="s">
        <v>262</v>
      </c>
      <c r="BN163" s="4" t="s">
        <v>241</v>
      </c>
      <c r="BO163" s="6">
        <f>0</f>
        <v>0</v>
      </c>
      <c r="BP163" s="6">
        <f>0</f>
        <v>0</v>
      </c>
      <c r="BQ163" s="4" t="s">
        <v>263</v>
      </c>
      <c r="BR163" s="4" t="s">
        <v>264</v>
      </c>
      <c r="CF163" s="4" t="s">
        <v>241</v>
      </c>
      <c r="CG163" s="4" t="s">
        <v>241</v>
      </c>
      <c r="CK163" s="4" t="s">
        <v>265</v>
      </c>
      <c r="CL163" s="4" t="s">
        <v>266</v>
      </c>
      <c r="CM163" s="4" t="s">
        <v>241</v>
      </c>
      <c r="CO163" s="4" t="s">
        <v>382</v>
      </c>
      <c r="CP163" s="5" t="s">
        <v>268</v>
      </c>
      <c r="CQ163" s="4" t="s">
        <v>269</v>
      </c>
      <c r="CR163" s="4" t="s">
        <v>270</v>
      </c>
      <c r="CS163" s="4" t="s">
        <v>241</v>
      </c>
      <c r="CT163" s="4" t="s">
        <v>241</v>
      </c>
      <c r="CU163" s="4">
        <v>0</v>
      </c>
      <c r="CV163" s="4" t="s">
        <v>271</v>
      </c>
      <c r="CW163" s="4" t="s">
        <v>272</v>
      </c>
      <c r="CX163" s="4" t="s">
        <v>273</v>
      </c>
      <c r="CZ163" s="6">
        <f>1089000</f>
        <v>1089000</v>
      </c>
      <c r="DA163" s="6">
        <f>0</f>
        <v>0</v>
      </c>
      <c r="DC163" s="4" t="s">
        <v>241</v>
      </c>
      <c r="DD163" s="4" t="s">
        <v>241</v>
      </c>
      <c r="DF163" s="4" t="s">
        <v>241</v>
      </c>
      <c r="DI163" s="4" t="s">
        <v>241</v>
      </c>
      <c r="DJ163" s="4" t="s">
        <v>241</v>
      </c>
      <c r="DK163" s="4" t="s">
        <v>241</v>
      </c>
      <c r="DL163" s="4" t="s">
        <v>241</v>
      </c>
      <c r="DM163" s="4" t="s">
        <v>277</v>
      </c>
      <c r="DN163" s="4" t="s">
        <v>278</v>
      </c>
      <c r="DO163" s="6">
        <f>18.15</f>
        <v>18.149999999999999</v>
      </c>
      <c r="DP163" s="4" t="s">
        <v>241</v>
      </c>
      <c r="DQ163" s="4" t="s">
        <v>241</v>
      </c>
      <c r="DR163" s="4" t="s">
        <v>241</v>
      </c>
      <c r="DS163" s="4" t="s">
        <v>241</v>
      </c>
      <c r="DV163" s="4" t="s">
        <v>3562</v>
      </c>
      <c r="DW163" s="4" t="s">
        <v>277</v>
      </c>
      <c r="HO163" s="4" t="s">
        <v>277</v>
      </c>
      <c r="HR163" s="4" t="s">
        <v>278</v>
      </c>
      <c r="HS163" s="4" t="s">
        <v>278</v>
      </c>
    </row>
    <row r="164" spans="1:240" x14ac:dyDescent="0.4">
      <c r="A164" s="4">
        <v>2</v>
      </c>
      <c r="B164" s="4" t="s">
        <v>239</v>
      </c>
      <c r="C164" s="4">
        <v>172</v>
      </c>
      <c r="D164" s="4">
        <v>1</v>
      </c>
      <c r="E164" s="4">
        <v>1</v>
      </c>
      <c r="F164" s="4" t="s">
        <v>240</v>
      </c>
      <c r="G164" s="4" t="s">
        <v>241</v>
      </c>
      <c r="H164" s="4" t="s">
        <v>241</v>
      </c>
      <c r="I164" s="4" t="s">
        <v>3563</v>
      </c>
      <c r="J164" s="4" t="s">
        <v>247</v>
      </c>
      <c r="K164" s="4" t="s">
        <v>256</v>
      </c>
      <c r="L164" s="4" t="s">
        <v>250</v>
      </c>
      <c r="M164" s="5" t="s">
        <v>3565</v>
      </c>
      <c r="N164" s="4" t="s">
        <v>242</v>
      </c>
      <c r="O164" s="6">
        <f>15.4</f>
        <v>15.4</v>
      </c>
      <c r="P164" s="4" t="s">
        <v>276</v>
      </c>
      <c r="Q164" s="6">
        <f>1</f>
        <v>1</v>
      </c>
      <c r="R164" s="6">
        <f>2464000</f>
        <v>2464000</v>
      </c>
      <c r="S164" s="5" t="s">
        <v>3564</v>
      </c>
      <c r="T164" s="4" t="s">
        <v>274</v>
      </c>
      <c r="U164" s="4" t="s">
        <v>384</v>
      </c>
      <c r="W164" s="6">
        <f>2463999</f>
        <v>2463999</v>
      </c>
      <c r="X164" s="4" t="s">
        <v>243</v>
      </c>
      <c r="Y164" s="4" t="s">
        <v>244</v>
      </c>
      <c r="Z164" s="4" t="s">
        <v>246</v>
      </c>
      <c r="AA164" s="4" t="s">
        <v>241</v>
      </c>
      <c r="AD164" s="4" t="s">
        <v>241</v>
      </c>
      <c r="AF164" s="5" t="s">
        <v>241</v>
      </c>
      <c r="AI164" s="5" t="s">
        <v>249</v>
      </c>
      <c r="AJ164" s="4" t="s">
        <v>251</v>
      </c>
      <c r="AK164" s="4" t="s">
        <v>252</v>
      </c>
      <c r="BA164" s="4" t="s">
        <v>254</v>
      </c>
      <c r="BB164" s="4" t="s">
        <v>241</v>
      </c>
      <c r="BC164" s="4" t="s">
        <v>255</v>
      </c>
      <c r="BD164" s="4" t="s">
        <v>241</v>
      </c>
      <c r="BE164" s="4" t="s">
        <v>257</v>
      </c>
      <c r="BF164" s="4" t="s">
        <v>241</v>
      </c>
      <c r="BH164" s="4" t="s">
        <v>258</v>
      </c>
      <c r="BJ164" s="4" t="s">
        <v>259</v>
      </c>
      <c r="BK164" s="5" t="s">
        <v>260</v>
      </c>
      <c r="BL164" s="4" t="s">
        <v>261</v>
      </c>
      <c r="BM164" s="4" t="s">
        <v>262</v>
      </c>
      <c r="BN164" s="4" t="s">
        <v>241</v>
      </c>
      <c r="BO164" s="6">
        <f>0</f>
        <v>0</v>
      </c>
      <c r="BP164" s="6">
        <f>0</f>
        <v>0</v>
      </c>
      <c r="BQ164" s="4" t="s">
        <v>263</v>
      </c>
      <c r="BR164" s="4" t="s">
        <v>264</v>
      </c>
      <c r="CF164" s="4" t="s">
        <v>241</v>
      </c>
      <c r="CG164" s="4" t="s">
        <v>241</v>
      </c>
      <c r="CK164" s="4" t="s">
        <v>291</v>
      </c>
      <c r="CL164" s="4" t="s">
        <v>266</v>
      </c>
      <c r="CM164" s="4" t="s">
        <v>241</v>
      </c>
      <c r="CO164" s="4" t="s">
        <v>383</v>
      </c>
      <c r="CP164" s="5" t="s">
        <v>268</v>
      </c>
      <c r="CQ164" s="4" t="s">
        <v>269</v>
      </c>
      <c r="CR164" s="4" t="s">
        <v>270</v>
      </c>
      <c r="CS164" s="4" t="s">
        <v>241</v>
      </c>
      <c r="CT164" s="4" t="s">
        <v>241</v>
      </c>
      <c r="CU164" s="4">
        <v>0</v>
      </c>
      <c r="CV164" s="4" t="s">
        <v>271</v>
      </c>
      <c r="CW164" s="4" t="s">
        <v>272</v>
      </c>
      <c r="CX164" s="4" t="s">
        <v>273</v>
      </c>
      <c r="CZ164" s="6">
        <f>2464000</f>
        <v>2464000</v>
      </c>
      <c r="DA164" s="6">
        <f>0</f>
        <v>0</v>
      </c>
      <c r="DC164" s="4" t="s">
        <v>241</v>
      </c>
      <c r="DD164" s="4" t="s">
        <v>241</v>
      </c>
      <c r="DF164" s="4" t="s">
        <v>241</v>
      </c>
      <c r="DI164" s="4" t="s">
        <v>241</v>
      </c>
      <c r="DJ164" s="4" t="s">
        <v>241</v>
      </c>
      <c r="DK164" s="4" t="s">
        <v>241</v>
      </c>
      <c r="DL164" s="4" t="s">
        <v>241</v>
      </c>
      <c r="DM164" s="4" t="s">
        <v>277</v>
      </c>
      <c r="DN164" s="4" t="s">
        <v>278</v>
      </c>
      <c r="DO164" s="6">
        <f>15.4</f>
        <v>15.4</v>
      </c>
      <c r="DP164" s="4" t="s">
        <v>241</v>
      </c>
      <c r="DQ164" s="4" t="s">
        <v>241</v>
      </c>
      <c r="DR164" s="4" t="s">
        <v>241</v>
      </c>
      <c r="DS164" s="4" t="s">
        <v>241</v>
      </c>
      <c r="DV164" s="4" t="s">
        <v>3566</v>
      </c>
      <c r="DW164" s="4" t="s">
        <v>277</v>
      </c>
      <c r="HO164" s="4" t="s">
        <v>277</v>
      </c>
      <c r="HR164" s="4" t="s">
        <v>278</v>
      </c>
      <c r="HS164" s="4" t="s">
        <v>278</v>
      </c>
    </row>
    <row r="165" spans="1:240" x14ac:dyDescent="0.4">
      <c r="A165" s="4">
        <v>2</v>
      </c>
      <c r="B165" s="4" t="s">
        <v>239</v>
      </c>
      <c r="C165" s="4">
        <v>173</v>
      </c>
      <c r="D165" s="4">
        <v>1</v>
      </c>
      <c r="E165" s="4">
        <v>3</v>
      </c>
      <c r="F165" s="4" t="s">
        <v>240</v>
      </c>
      <c r="G165" s="4" t="s">
        <v>241</v>
      </c>
      <c r="H165" s="4" t="s">
        <v>241</v>
      </c>
      <c r="I165" s="4" t="s">
        <v>3172</v>
      </c>
      <c r="J165" s="4" t="s">
        <v>247</v>
      </c>
      <c r="K165" s="4" t="s">
        <v>256</v>
      </c>
      <c r="L165" s="4" t="s">
        <v>250</v>
      </c>
      <c r="M165" s="5" t="s">
        <v>3174</v>
      </c>
      <c r="N165" s="4" t="s">
        <v>242</v>
      </c>
      <c r="O165" s="6">
        <f>20.25</f>
        <v>20.25</v>
      </c>
      <c r="P165" s="4" t="s">
        <v>276</v>
      </c>
      <c r="Q165" s="6">
        <f>246240</f>
        <v>246240</v>
      </c>
      <c r="R165" s="6">
        <f>3240000</f>
        <v>3240000</v>
      </c>
      <c r="S165" s="5" t="s">
        <v>3173</v>
      </c>
      <c r="T165" s="4" t="s">
        <v>274</v>
      </c>
      <c r="U165" s="4" t="s">
        <v>361</v>
      </c>
      <c r="V165" s="6">
        <f>136080</f>
        <v>136080</v>
      </c>
      <c r="W165" s="6">
        <f>2993760</f>
        <v>2993760</v>
      </c>
      <c r="X165" s="4" t="s">
        <v>243</v>
      </c>
      <c r="Y165" s="4" t="s">
        <v>244</v>
      </c>
      <c r="Z165" s="4" t="s">
        <v>246</v>
      </c>
      <c r="AA165" s="4" t="s">
        <v>241</v>
      </c>
      <c r="AD165" s="4" t="s">
        <v>241</v>
      </c>
      <c r="AE165" s="5" t="s">
        <v>241</v>
      </c>
      <c r="AF165" s="5" t="s">
        <v>241</v>
      </c>
      <c r="AH165" s="5" t="s">
        <v>241</v>
      </c>
      <c r="AI165" s="5" t="s">
        <v>249</v>
      </c>
      <c r="AJ165" s="4" t="s">
        <v>251</v>
      </c>
      <c r="AK165" s="4" t="s">
        <v>252</v>
      </c>
      <c r="AQ165" s="4" t="s">
        <v>241</v>
      </c>
      <c r="AR165" s="4" t="s">
        <v>241</v>
      </c>
      <c r="AS165" s="4" t="s">
        <v>241</v>
      </c>
      <c r="AT165" s="5" t="s">
        <v>241</v>
      </c>
      <c r="AU165" s="5" t="s">
        <v>241</v>
      </c>
      <c r="AV165" s="5" t="s">
        <v>241</v>
      </c>
      <c r="AY165" s="4" t="s">
        <v>286</v>
      </c>
      <c r="AZ165" s="4" t="s">
        <v>286</v>
      </c>
      <c r="BA165" s="4" t="s">
        <v>254</v>
      </c>
      <c r="BB165" s="4" t="s">
        <v>287</v>
      </c>
      <c r="BC165" s="4" t="s">
        <v>255</v>
      </c>
      <c r="BD165" s="4" t="s">
        <v>241</v>
      </c>
      <c r="BE165" s="4" t="s">
        <v>257</v>
      </c>
      <c r="BF165" s="4" t="s">
        <v>241</v>
      </c>
      <c r="BH165" s="4" t="s">
        <v>258</v>
      </c>
      <c r="BJ165" s="4" t="s">
        <v>288</v>
      </c>
      <c r="BK165" s="5" t="s">
        <v>289</v>
      </c>
      <c r="BL165" s="4" t="s">
        <v>290</v>
      </c>
      <c r="BM165" s="4" t="s">
        <v>290</v>
      </c>
      <c r="BN165" s="4" t="s">
        <v>241</v>
      </c>
      <c r="BO165" s="6">
        <f>0</f>
        <v>0</v>
      </c>
      <c r="BP165" s="6">
        <f>-136080</f>
        <v>-136080</v>
      </c>
      <c r="BQ165" s="4" t="s">
        <v>263</v>
      </c>
      <c r="BR165" s="4" t="s">
        <v>264</v>
      </c>
      <c r="BS165" s="4" t="s">
        <v>241</v>
      </c>
      <c r="BT165" s="4" t="s">
        <v>241</v>
      </c>
      <c r="BU165" s="4" t="s">
        <v>241</v>
      </c>
      <c r="BV165" s="4" t="s">
        <v>241</v>
      </c>
      <c r="CE165" s="4" t="s">
        <v>264</v>
      </c>
      <c r="CF165" s="4" t="s">
        <v>241</v>
      </c>
      <c r="CG165" s="4" t="s">
        <v>241</v>
      </c>
      <c r="CK165" s="4" t="s">
        <v>291</v>
      </c>
      <c r="CL165" s="4" t="s">
        <v>266</v>
      </c>
      <c r="CM165" s="4" t="s">
        <v>241</v>
      </c>
      <c r="CO165" s="4" t="s">
        <v>360</v>
      </c>
      <c r="CP165" s="5" t="s">
        <v>268</v>
      </c>
      <c r="CQ165" s="4" t="s">
        <v>269</v>
      </c>
      <c r="CR165" s="4" t="s">
        <v>270</v>
      </c>
      <c r="CS165" s="4" t="s">
        <v>293</v>
      </c>
      <c r="CT165" s="4" t="s">
        <v>241</v>
      </c>
      <c r="CU165" s="4">
        <v>4.2000000000000003E-2</v>
      </c>
      <c r="CV165" s="4" t="s">
        <v>271</v>
      </c>
      <c r="CW165" s="4" t="s">
        <v>272</v>
      </c>
      <c r="CX165" s="4" t="s">
        <v>273</v>
      </c>
      <c r="CY165" s="6">
        <f>0</f>
        <v>0</v>
      </c>
      <c r="CZ165" s="6">
        <f>3240000</f>
        <v>3240000</v>
      </c>
      <c r="DA165" s="6">
        <f>246240</f>
        <v>246240</v>
      </c>
      <c r="DC165" s="4" t="s">
        <v>241</v>
      </c>
      <c r="DD165" s="4" t="s">
        <v>241</v>
      </c>
      <c r="DF165" s="4" t="s">
        <v>241</v>
      </c>
      <c r="DG165" s="6">
        <f>0</f>
        <v>0</v>
      </c>
      <c r="DI165" s="4" t="s">
        <v>241</v>
      </c>
      <c r="DJ165" s="4" t="s">
        <v>241</v>
      </c>
      <c r="DK165" s="4" t="s">
        <v>241</v>
      </c>
      <c r="DL165" s="4" t="s">
        <v>241</v>
      </c>
      <c r="DM165" s="4" t="s">
        <v>277</v>
      </c>
      <c r="DN165" s="4" t="s">
        <v>278</v>
      </c>
      <c r="DO165" s="6">
        <f>20.25</f>
        <v>20.25</v>
      </c>
      <c r="DP165" s="4" t="s">
        <v>241</v>
      </c>
      <c r="DQ165" s="4" t="s">
        <v>241</v>
      </c>
      <c r="DR165" s="4" t="s">
        <v>241</v>
      </c>
      <c r="DS165" s="4" t="s">
        <v>241</v>
      </c>
      <c r="DV165" s="4" t="s">
        <v>3175</v>
      </c>
      <c r="DW165" s="4" t="s">
        <v>277</v>
      </c>
      <c r="GN165" s="4" t="s">
        <v>3176</v>
      </c>
      <c r="HO165" s="4" t="s">
        <v>300</v>
      </c>
      <c r="HR165" s="4" t="s">
        <v>278</v>
      </c>
      <c r="HS165" s="4" t="s">
        <v>278</v>
      </c>
      <c r="HT165" s="4" t="s">
        <v>241</v>
      </c>
      <c r="HU165" s="4" t="s">
        <v>241</v>
      </c>
      <c r="HV165" s="4" t="s">
        <v>241</v>
      </c>
      <c r="HW165" s="4" t="s">
        <v>241</v>
      </c>
      <c r="HX165" s="4" t="s">
        <v>241</v>
      </c>
      <c r="HY165" s="4" t="s">
        <v>241</v>
      </c>
      <c r="HZ165" s="4" t="s">
        <v>241</v>
      </c>
      <c r="IA165" s="4" t="s">
        <v>241</v>
      </c>
      <c r="IB165" s="4" t="s">
        <v>241</v>
      </c>
      <c r="IC165" s="4" t="s">
        <v>241</v>
      </c>
      <c r="ID165" s="4" t="s">
        <v>241</v>
      </c>
      <c r="IE165" s="4" t="s">
        <v>241</v>
      </c>
      <c r="IF165" s="4" t="s">
        <v>241</v>
      </c>
    </row>
    <row r="166" spans="1:240" x14ac:dyDescent="0.4">
      <c r="A166" s="4">
        <v>2</v>
      </c>
      <c r="B166" s="4" t="s">
        <v>239</v>
      </c>
      <c r="C166" s="4">
        <v>174</v>
      </c>
      <c r="D166" s="4">
        <v>1</v>
      </c>
      <c r="E166" s="4">
        <v>3</v>
      </c>
      <c r="F166" s="4" t="s">
        <v>240</v>
      </c>
      <c r="G166" s="4" t="s">
        <v>241</v>
      </c>
      <c r="H166" s="4" t="s">
        <v>241</v>
      </c>
      <c r="I166" s="4" t="s">
        <v>3177</v>
      </c>
      <c r="J166" s="4" t="s">
        <v>247</v>
      </c>
      <c r="K166" s="4" t="s">
        <v>256</v>
      </c>
      <c r="L166" s="4" t="s">
        <v>250</v>
      </c>
      <c r="M166" s="5" t="s">
        <v>3178</v>
      </c>
      <c r="N166" s="4" t="s">
        <v>242</v>
      </c>
      <c r="O166" s="6">
        <f>21.6</f>
        <v>21.6</v>
      </c>
      <c r="P166" s="4" t="s">
        <v>276</v>
      </c>
      <c r="Q166" s="6">
        <f>698112</f>
        <v>698112</v>
      </c>
      <c r="R166" s="6">
        <f>3456000</f>
        <v>3456000</v>
      </c>
      <c r="S166" s="5" t="s">
        <v>1127</v>
      </c>
      <c r="T166" s="4" t="s">
        <v>274</v>
      </c>
      <c r="U166" s="4" t="s">
        <v>365</v>
      </c>
      <c r="V166" s="6">
        <f>145152</f>
        <v>145152</v>
      </c>
      <c r="W166" s="6">
        <f>2757888</f>
        <v>2757888</v>
      </c>
      <c r="X166" s="4" t="s">
        <v>243</v>
      </c>
      <c r="Y166" s="4" t="s">
        <v>244</v>
      </c>
      <c r="Z166" s="4" t="s">
        <v>246</v>
      </c>
      <c r="AA166" s="4" t="s">
        <v>241</v>
      </c>
      <c r="AD166" s="4" t="s">
        <v>241</v>
      </c>
      <c r="AE166" s="5" t="s">
        <v>241</v>
      </c>
      <c r="AF166" s="5" t="s">
        <v>241</v>
      </c>
      <c r="AH166" s="5" t="s">
        <v>241</v>
      </c>
      <c r="AI166" s="5" t="s">
        <v>249</v>
      </c>
      <c r="AJ166" s="4" t="s">
        <v>251</v>
      </c>
      <c r="AK166" s="4" t="s">
        <v>252</v>
      </c>
      <c r="AQ166" s="4" t="s">
        <v>241</v>
      </c>
      <c r="AR166" s="4" t="s">
        <v>241</v>
      </c>
      <c r="AS166" s="4" t="s">
        <v>241</v>
      </c>
      <c r="AT166" s="5" t="s">
        <v>241</v>
      </c>
      <c r="AU166" s="5" t="s">
        <v>241</v>
      </c>
      <c r="AV166" s="5" t="s">
        <v>241</v>
      </c>
      <c r="AY166" s="4" t="s">
        <v>286</v>
      </c>
      <c r="AZ166" s="4" t="s">
        <v>286</v>
      </c>
      <c r="BA166" s="4" t="s">
        <v>254</v>
      </c>
      <c r="BB166" s="4" t="s">
        <v>287</v>
      </c>
      <c r="BC166" s="4" t="s">
        <v>255</v>
      </c>
      <c r="BD166" s="4" t="s">
        <v>241</v>
      </c>
      <c r="BE166" s="4" t="s">
        <v>257</v>
      </c>
      <c r="BF166" s="4" t="s">
        <v>241</v>
      </c>
      <c r="BH166" s="4" t="s">
        <v>258</v>
      </c>
      <c r="BJ166" s="4" t="s">
        <v>288</v>
      </c>
      <c r="BK166" s="5" t="s">
        <v>289</v>
      </c>
      <c r="BL166" s="4" t="s">
        <v>290</v>
      </c>
      <c r="BM166" s="4" t="s">
        <v>290</v>
      </c>
      <c r="BN166" s="4" t="s">
        <v>241</v>
      </c>
      <c r="BO166" s="6">
        <f>0</f>
        <v>0</v>
      </c>
      <c r="BP166" s="6">
        <f>-145152</f>
        <v>-145152</v>
      </c>
      <c r="BQ166" s="4" t="s">
        <v>263</v>
      </c>
      <c r="BR166" s="4" t="s">
        <v>264</v>
      </c>
      <c r="BS166" s="4" t="s">
        <v>241</v>
      </c>
      <c r="BT166" s="4" t="s">
        <v>241</v>
      </c>
      <c r="BU166" s="4" t="s">
        <v>241</v>
      </c>
      <c r="BV166" s="4" t="s">
        <v>241</v>
      </c>
      <c r="CE166" s="4" t="s">
        <v>264</v>
      </c>
      <c r="CF166" s="4" t="s">
        <v>241</v>
      </c>
      <c r="CG166" s="4" t="s">
        <v>241</v>
      </c>
      <c r="CK166" s="4" t="s">
        <v>291</v>
      </c>
      <c r="CL166" s="4" t="s">
        <v>266</v>
      </c>
      <c r="CM166" s="4" t="s">
        <v>241</v>
      </c>
      <c r="CO166" s="4" t="s">
        <v>364</v>
      </c>
      <c r="CP166" s="5" t="s">
        <v>268</v>
      </c>
      <c r="CQ166" s="4" t="s">
        <v>269</v>
      </c>
      <c r="CR166" s="4" t="s">
        <v>270</v>
      </c>
      <c r="CS166" s="4" t="s">
        <v>293</v>
      </c>
      <c r="CT166" s="4" t="s">
        <v>241</v>
      </c>
      <c r="CU166" s="4">
        <v>4.2000000000000003E-2</v>
      </c>
      <c r="CV166" s="4" t="s">
        <v>271</v>
      </c>
      <c r="CW166" s="4" t="s">
        <v>272</v>
      </c>
      <c r="CX166" s="4" t="s">
        <v>273</v>
      </c>
      <c r="CY166" s="6">
        <f>0</f>
        <v>0</v>
      </c>
      <c r="CZ166" s="6">
        <f>3456000</f>
        <v>3456000</v>
      </c>
      <c r="DA166" s="6">
        <f>698112</f>
        <v>698112</v>
      </c>
      <c r="DC166" s="4" t="s">
        <v>241</v>
      </c>
      <c r="DD166" s="4" t="s">
        <v>241</v>
      </c>
      <c r="DF166" s="4" t="s">
        <v>241</v>
      </c>
      <c r="DG166" s="6">
        <f>0</f>
        <v>0</v>
      </c>
      <c r="DI166" s="4" t="s">
        <v>241</v>
      </c>
      <c r="DJ166" s="4" t="s">
        <v>241</v>
      </c>
      <c r="DK166" s="4" t="s">
        <v>241</v>
      </c>
      <c r="DL166" s="4" t="s">
        <v>241</v>
      </c>
      <c r="DM166" s="4" t="s">
        <v>277</v>
      </c>
      <c r="DN166" s="4" t="s">
        <v>278</v>
      </c>
      <c r="DO166" s="6">
        <f>21.6</f>
        <v>21.6</v>
      </c>
      <c r="DP166" s="4" t="s">
        <v>241</v>
      </c>
      <c r="DQ166" s="4" t="s">
        <v>241</v>
      </c>
      <c r="DR166" s="4" t="s">
        <v>241</v>
      </c>
      <c r="DS166" s="4" t="s">
        <v>241</v>
      </c>
      <c r="DV166" s="4" t="s">
        <v>3179</v>
      </c>
      <c r="DW166" s="4" t="s">
        <v>277</v>
      </c>
      <c r="GN166" s="4" t="s">
        <v>3180</v>
      </c>
      <c r="HO166" s="4" t="s">
        <v>300</v>
      </c>
      <c r="HR166" s="4" t="s">
        <v>278</v>
      </c>
      <c r="HS166" s="4" t="s">
        <v>278</v>
      </c>
      <c r="HT166" s="4" t="s">
        <v>241</v>
      </c>
      <c r="HU166" s="4" t="s">
        <v>241</v>
      </c>
      <c r="HV166" s="4" t="s">
        <v>241</v>
      </c>
      <c r="HW166" s="4" t="s">
        <v>241</v>
      </c>
      <c r="HX166" s="4" t="s">
        <v>241</v>
      </c>
      <c r="HY166" s="4" t="s">
        <v>241</v>
      </c>
      <c r="HZ166" s="4" t="s">
        <v>241</v>
      </c>
      <c r="IA166" s="4" t="s">
        <v>241</v>
      </c>
      <c r="IB166" s="4" t="s">
        <v>241</v>
      </c>
      <c r="IC166" s="4" t="s">
        <v>241</v>
      </c>
      <c r="ID166" s="4" t="s">
        <v>241</v>
      </c>
      <c r="IE166" s="4" t="s">
        <v>241</v>
      </c>
      <c r="IF166" s="4" t="s">
        <v>241</v>
      </c>
    </row>
    <row r="167" spans="1:240" x14ac:dyDescent="0.4">
      <c r="A167" s="4">
        <v>2</v>
      </c>
      <c r="B167" s="4" t="s">
        <v>239</v>
      </c>
      <c r="C167" s="4">
        <v>175</v>
      </c>
      <c r="D167" s="4">
        <v>1</v>
      </c>
      <c r="E167" s="4">
        <v>3</v>
      </c>
      <c r="F167" s="4" t="s">
        <v>240</v>
      </c>
      <c r="G167" s="4" t="s">
        <v>241</v>
      </c>
      <c r="H167" s="4" t="s">
        <v>241</v>
      </c>
      <c r="I167" s="4" t="s">
        <v>3181</v>
      </c>
      <c r="J167" s="4" t="s">
        <v>247</v>
      </c>
      <c r="K167" s="4" t="s">
        <v>256</v>
      </c>
      <c r="L167" s="4" t="s">
        <v>250</v>
      </c>
      <c r="M167" s="5" t="s">
        <v>3182</v>
      </c>
      <c r="N167" s="4" t="s">
        <v>242</v>
      </c>
      <c r="O167" s="6">
        <f>23.76</f>
        <v>23.76</v>
      </c>
      <c r="P167" s="4" t="s">
        <v>276</v>
      </c>
      <c r="Q167" s="6">
        <f>927594</f>
        <v>927594</v>
      </c>
      <c r="R167" s="6">
        <f>3801600</f>
        <v>3801600</v>
      </c>
      <c r="S167" s="5" t="s">
        <v>364</v>
      </c>
      <c r="T167" s="4" t="s">
        <v>274</v>
      </c>
      <c r="U167" s="4" t="s">
        <v>401</v>
      </c>
      <c r="V167" s="6">
        <f>159667</f>
        <v>159667</v>
      </c>
      <c r="W167" s="6">
        <f>2874006</f>
        <v>2874006</v>
      </c>
      <c r="X167" s="4" t="s">
        <v>243</v>
      </c>
      <c r="Y167" s="4" t="s">
        <v>244</v>
      </c>
      <c r="Z167" s="4" t="s">
        <v>246</v>
      </c>
      <c r="AA167" s="4" t="s">
        <v>241</v>
      </c>
      <c r="AD167" s="4" t="s">
        <v>241</v>
      </c>
      <c r="AE167" s="5" t="s">
        <v>241</v>
      </c>
      <c r="AF167" s="5" t="s">
        <v>241</v>
      </c>
      <c r="AH167" s="5" t="s">
        <v>241</v>
      </c>
      <c r="AI167" s="5" t="s">
        <v>249</v>
      </c>
      <c r="AJ167" s="4" t="s">
        <v>251</v>
      </c>
      <c r="AK167" s="4" t="s">
        <v>252</v>
      </c>
      <c r="AQ167" s="4" t="s">
        <v>241</v>
      </c>
      <c r="AR167" s="4" t="s">
        <v>241</v>
      </c>
      <c r="AS167" s="4" t="s">
        <v>241</v>
      </c>
      <c r="AT167" s="5" t="s">
        <v>241</v>
      </c>
      <c r="AU167" s="5" t="s">
        <v>241</v>
      </c>
      <c r="AV167" s="5" t="s">
        <v>241</v>
      </c>
      <c r="AY167" s="4" t="s">
        <v>286</v>
      </c>
      <c r="AZ167" s="4" t="s">
        <v>286</v>
      </c>
      <c r="BA167" s="4" t="s">
        <v>254</v>
      </c>
      <c r="BB167" s="4" t="s">
        <v>287</v>
      </c>
      <c r="BC167" s="4" t="s">
        <v>255</v>
      </c>
      <c r="BD167" s="4" t="s">
        <v>241</v>
      </c>
      <c r="BE167" s="4" t="s">
        <v>257</v>
      </c>
      <c r="BF167" s="4" t="s">
        <v>241</v>
      </c>
      <c r="BH167" s="4" t="s">
        <v>258</v>
      </c>
      <c r="BJ167" s="4" t="s">
        <v>288</v>
      </c>
      <c r="BK167" s="5" t="s">
        <v>289</v>
      </c>
      <c r="BL167" s="4" t="s">
        <v>290</v>
      </c>
      <c r="BM167" s="4" t="s">
        <v>290</v>
      </c>
      <c r="BN167" s="4" t="s">
        <v>241</v>
      </c>
      <c r="BO167" s="6">
        <f>0</f>
        <v>0</v>
      </c>
      <c r="BP167" s="6">
        <f>-159667</f>
        <v>-159667</v>
      </c>
      <c r="BQ167" s="4" t="s">
        <v>263</v>
      </c>
      <c r="BR167" s="4" t="s">
        <v>264</v>
      </c>
      <c r="BS167" s="4" t="s">
        <v>241</v>
      </c>
      <c r="BT167" s="4" t="s">
        <v>241</v>
      </c>
      <c r="BU167" s="4" t="s">
        <v>241</v>
      </c>
      <c r="BV167" s="4" t="s">
        <v>241</v>
      </c>
      <c r="CE167" s="4" t="s">
        <v>264</v>
      </c>
      <c r="CF167" s="4" t="s">
        <v>241</v>
      </c>
      <c r="CG167" s="4" t="s">
        <v>241</v>
      </c>
      <c r="CK167" s="4" t="s">
        <v>291</v>
      </c>
      <c r="CL167" s="4" t="s">
        <v>266</v>
      </c>
      <c r="CM167" s="4" t="s">
        <v>241</v>
      </c>
      <c r="CO167" s="4" t="s">
        <v>446</v>
      </c>
      <c r="CP167" s="5" t="s">
        <v>268</v>
      </c>
      <c r="CQ167" s="4" t="s">
        <v>269</v>
      </c>
      <c r="CR167" s="4" t="s">
        <v>270</v>
      </c>
      <c r="CS167" s="4" t="s">
        <v>293</v>
      </c>
      <c r="CT167" s="4" t="s">
        <v>241</v>
      </c>
      <c r="CU167" s="4">
        <v>4.2000000000000003E-2</v>
      </c>
      <c r="CV167" s="4" t="s">
        <v>271</v>
      </c>
      <c r="CW167" s="4" t="s">
        <v>272</v>
      </c>
      <c r="CX167" s="4" t="s">
        <v>273</v>
      </c>
      <c r="CY167" s="6">
        <f>0</f>
        <v>0</v>
      </c>
      <c r="CZ167" s="6">
        <f>3801600</f>
        <v>3801600</v>
      </c>
      <c r="DA167" s="6">
        <f>927594</f>
        <v>927594</v>
      </c>
      <c r="DC167" s="4" t="s">
        <v>241</v>
      </c>
      <c r="DD167" s="4" t="s">
        <v>241</v>
      </c>
      <c r="DF167" s="4" t="s">
        <v>241</v>
      </c>
      <c r="DG167" s="6">
        <f>0</f>
        <v>0</v>
      </c>
      <c r="DI167" s="4" t="s">
        <v>241</v>
      </c>
      <c r="DJ167" s="4" t="s">
        <v>241</v>
      </c>
      <c r="DK167" s="4" t="s">
        <v>241</v>
      </c>
      <c r="DL167" s="4" t="s">
        <v>241</v>
      </c>
      <c r="DM167" s="4" t="s">
        <v>277</v>
      </c>
      <c r="DN167" s="4" t="s">
        <v>278</v>
      </c>
      <c r="DO167" s="6">
        <f>23.76</f>
        <v>23.76</v>
      </c>
      <c r="DP167" s="4" t="s">
        <v>241</v>
      </c>
      <c r="DQ167" s="4" t="s">
        <v>241</v>
      </c>
      <c r="DR167" s="4" t="s">
        <v>241</v>
      </c>
      <c r="DS167" s="4" t="s">
        <v>241</v>
      </c>
      <c r="DV167" s="4" t="s">
        <v>3183</v>
      </c>
      <c r="DW167" s="4" t="s">
        <v>277</v>
      </c>
      <c r="GN167" s="4" t="s">
        <v>3184</v>
      </c>
      <c r="HO167" s="4" t="s">
        <v>300</v>
      </c>
      <c r="HR167" s="4" t="s">
        <v>278</v>
      </c>
      <c r="HS167" s="4" t="s">
        <v>278</v>
      </c>
      <c r="HT167" s="4" t="s">
        <v>241</v>
      </c>
      <c r="HU167" s="4" t="s">
        <v>241</v>
      </c>
      <c r="HV167" s="4" t="s">
        <v>241</v>
      </c>
      <c r="HW167" s="4" t="s">
        <v>241</v>
      </c>
      <c r="HX167" s="4" t="s">
        <v>241</v>
      </c>
      <c r="HY167" s="4" t="s">
        <v>241</v>
      </c>
      <c r="HZ167" s="4" t="s">
        <v>241</v>
      </c>
      <c r="IA167" s="4" t="s">
        <v>241</v>
      </c>
      <c r="IB167" s="4" t="s">
        <v>241</v>
      </c>
      <c r="IC167" s="4" t="s">
        <v>241</v>
      </c>
      <c r="ID167" s="4" t="s">
        <v>241</v>
      </c>
      <c r="IE167" s="4" t="s">
        <v>241</v>
      </c>
      <c r="IF167" s="4" t="s">
        <v>241</v>
      </c>
    </row>
    <row r="168" spans="1:240" x14ac:dyDescent="0.4">
      <c r="A168" s="4">
        <v>2</v>
      </c>
      <c r="B168" s="4" t="s">
        <v>239</v>
      </c>
      <c r="C168" s="4">
        <v>176</v>
      </c>
      <c r="D168" s="4">
        <v>1</v>
      </c>
      <c r="E168" s="4">
        <v>3</v>
      </c>
      <c r="F168" s="4" t="s">
        <v>240</v>
      </c>
      <c r="G168" s="4" t="s">
        <v>241</v>
      </c>
      <c r="H168" s="4" t="s">
        <v>241</v>
      </c>
      <c r="I168" s="4" t="s">
        <v>3181</v>
      </c>
      <c r="J168" s="4" t="s">
        <v>247</v>
      </c>
      <c r="K168" s="4" t="s">
        <v>256</v>
      </c>
      <c r="L168" s="4" t="s">
        <v>250</v>
      </c>
      <c r="M168" s="5" t="s">
        <v>3182</v>
      </c>
      <c r="N168" s="4" t="s">
        <v>242</v>
      </c>
      <c r="O168" s="6">
        <f>23.76</f>
        <v>23.76</v>
      </c>
      <c r="P168" s="4" t="s">
        <v>276</v>
      </c>
      <c r="Q168" s="6">
        <f>1087261</f>
        <v>1087261</v>
      </c>
      <c r="R168" s="6">
        <f>3801600</f>
        <v>3801600</v>
      </c>
      <c r="S168" s="5" t="s">
        <v>3185</v>
      </c>
      <c r="T168" s="4" t="s">
        <v>274</v>
      </c>
      <c r="U168" s="4" t="s">
        <v>371</v>
      </c>
      <c r="V168" s="6">
        <f>159667</f>
        <v>159667</v>
      </c>
      <c r="W168" s="6">
        <f>2714339</f>
        <v>2714339</v>
      </c>
      <c r="X168" s="4" t="s">
        <v>243</v>
      </c>
      <c r="Y168" s="4" t="s">
        <v>244</v>
      </c>
      <c r="Z168" s="4" t="s">
        <v>246</v>
      </c>
      <c r="AA168" s="4" t="s">
        <v>241</v>
      </c>
      <c r="AD168" s="4" t="s">
        <v>241</v>
      </c>
      <c r="AE168" s="5" t="s">
        <v>241</v>
      </c>
      <c r="AF168" s="5" t="s">
        <v>241</v>
      </c>
      <c r="AH168" s="5" t="s">
        <v>241</v>
      </c>
      <c r="AI168" s="5" t="s">
        <v>249</v>
      </c>
      <c r="AJ168" s="4" t="s">
        <v>251</v>
      </c>
      <c r="AK168" s="4" t="s">
        <v>252</v>
      </c>
      <c r="AQ168" s="4" t="s">
        <v>241</v>
      </c>
      <c r="AR168" s="4" t="s">
        <v>241</v>
      </c>
      <c r="AS168" s="4" t="s">
        <v>241</v>
      </c>
      <c r="AT168" s="5" t="s">
        <v>241</v>
      </c>
      <c r="AU168" s="5" t="s">
        <v>241</v>
      </c>
      <c r="AV168" s="5" t="s">
        <v>241</v>
      </c>
      <c r="AY168" s="4" t="s">
        <v>286</v>
      </c>
      <c r="AZ168" s="4" t="s">
        <v>286</v>
      </c>
      <c r="BA168" s="4" t="s">
        <v>254</v>
      </c>
      <c r="BB168" s="4" t="s">
        <v>287</v>
      </c>
      <c r="BC168" s="4" t="s">
        <v>255</v>
      </c>
      <c r="BD168" s="4" t="s">
        <v>241</v>
      </c>
      <c r="BE168" s="4" t="s">
        <v>257</v>
      </c>
      <c r="BF168" s="4" t="s">
        <v>241</v>
      </c>
      <c r="BJ168" s="4" t="s">
        <v>288</v>
      </c>
      <c r="BK168" s="5" t="s">
        <v>289</v>
      </c>
      <c r="BL168" s="4" t="s">
        <v>290</v>
      </c>
      <c r="BM168" s="4" t="s">
        <v>290</v>
      </c>
      <c r="BN168" s="4" t="s">
        <v>241</v>
      </c>
      <c r="BO168" s="6">
        <f>0</f>
        <v>0</v>
      </c>
      <c r="BP168" s="6">
        <f>-159667</f>
        <v>-159667</v>
      </c>
      <c r="BQ168" s="4" t="s">
        <v>263</v>
      </c>
      <c r="BR168" s="4" t="s">
        <v>264</v>
      </c>
      <c r="BS168" s="4" t="s">
        <v>241</v>
      </c>
      <c r="BT168" s="4" t="s">
        <v>241</v>
      </c>
      <c r="BU168" s="4" t="s">
        <v>241</v>
      </c>
      <c r="BV168" s="4" t="s">
        <v>241</v>
      </c>
      <c r="CE168" s="4" t="s">
        <v>264</v>
      </c>
      <c r="CF168" s="4" t="s">
        <v>241</v>
      </c>
      <c r="CG168" s="4" t="s">
        <v>241</v>
      </c>
      <c r="CK168" s="4" t="s">
        <v>291</v>
      </c>
      <c r="CL168" s="4" t="s">
        <v>266</v>
      </c>
      <c r="CM168" s="4" t="s">
        <v>241</v>
      </c>
      <c r="CO168" s="4" t="s">
        <v>407</v>
      </c>
      <c r="CP168" s="5" t="s">
        <v>268</v>
      </c>
      <c r="CQ168" s="4" t="s">
        <v>269</v>
      </c>
      <c r="CR168" s="4" t="s">
        <v>270</v>
      </c>
      <c r="CS168" s="4" t="s">
        <v>293</v>
      </c>
      <c r="CT168" s="4" t="s">
        <v>241</v>
      </c>
      <c r="CU168" s="4">
        <v>4.2000000000000003E-2</v>
      </c>
      <c r="CV168" s="4" t="s">
        <v>271</v>
      </c>
      <c r="CW168" s="4" t="s">
        <v>272</v>
      </c>
      <c r="CX168" s="4" t="s">
        <v>273</v>
      </c>
      <c r="CY168" s="6">
        <f>0</f>
        <v>0</v>
      </c>
      <c r="CZ168" s="6">
        <f>3801600</f>
        <v>3801600</v>
      </c>
      <c r="DA168" s="6">
        <f>1087261</f>
        <v>1087261</v>
      </c>
      <c r="DC168" s="4" t="s">
        <v>241</v>
      </c>
      <c r="DD168" s="4" t="s">
        <v>241</v>
      </c>
      <c r="DF168" s="4" t="s">
        <v>241</v>
      </c>
      <c r="DG168" s="6">
        <f>0</f>
        <v>0</v>
      </c>
      <c r="DI168" s="4" t="s">
        <v>241</v>
      </c>
      <c r="DJ168" s="4" t="s">
        <v>241</v>
      </c>
      <c r="DK168" s="4" t="s">
        <v>241</v>
      </c>
      <c r="DL168" s="4" t="s">
        <v>241</v>
      </c>
      <c r="DM168" s="4" t="s">
        <v>277</v>
      </c>
      <c r="DN168" s="4" t="s">
        <v>278</v>
      </c>
      <c r="DO168" s="6">
        <f>23.76</f>
        <v>23.76</v>
      </c>
      <c r="DP168" s="4" t="s">
        <v>241</v>
      </c>
      <c r="DQ168" s="4" t="s">
        <v>241</v>
      </c>
      <c r="DR168" s="4" t="s">
        <v>241</v>
      </c>
      <c r="DS168" s="4" t="s">
        <v>241</v>
      </c>
      <c r="DV168" s="4" t="s">
        <v>3183</v>
      </c>
      <c r="DW168" s="4" t="s">
        <v>323</v>
      </c>
      <c r="GN168" s="4" t="s">
        <v>3186</v>
      </c>
      <c r="HO168" s="4" t="s">
        <v>300</v>
      </c>
      <c r="HR168" s="4" t="s">
        <v>278</v>
      </c>
      <c r="HS168" s="4" t="s">
        <v>278</v>
      </c>
      <c r="HT168" s="4" t="s">
        <v>241</v>
      </c>
      <c r="HU168" s="4" t="s">
        <v>241</v>
      </c>
      <c r="HV168" s="4" t="s">
        <v>241</v>
      </c>
      <c r="HW168" s="4" t="s">
        <v>241</v>
      </c>
      <c r="HX168" s="4" t="s">
        <v>241</v>
      </c>
      <c r="HY168" s="4" t="s">
        <v>241</v>
      </c>
      <c r="HZ168" s="4" t="s">
        <v>241</v>
      </c>
      <c r="IA168" s="4" t="s">
        <v>241</v>
      </c>
      <c r="IB168" s="4" t="s">
        <v>241</v>
      </c>
      <c r="IC168" s="4" t="s">
        <v>241</v>
      </c>
      <c r="ID168" s="4" t="s">
        <v>241</v>
      </c>
      <c r="IE168" s="4" t="s">
        <v>241</v>
      </c>
      <c r="IF168" s="4" t="s">
        <v>241</v>
      </c>
    </row>
    <row r="169" spans="1:240" x14ac:dyDescent="0.4">
      <c r="A169" s="4">
        <v>2</v>
      </c>
      <c r="B169" s="4" t="s">
        <v>239</v>
      </c>
      <c r="C169" s="4">
        <v>177</v>
      </c>
      <c r="D169" s="4">
        <v>1</v>
      </c>
      <c r="E169" s="4">
        <v>1</v>
      </c>
      <c r="F169" s="4" t="s">
        <v>240</v>
      </c>
      <c r="G169" s="4" t="s">
        <v>241</v>
      </c>
      <c r="H169" s="4" t="s">
        <v>241</v>
      </c>
      <c r="I169" s="4" t="s">
        <v>3567</v>
      </c>
      <c r="J169" s="4" t="s">
        <v>247</v>
      </c>
      <c r="K169" s="4" t="s">
        <v>256</v>
      </c>
      <c r="L169" s="4" t="s">
        <v>250</v>
      </c>
      <c r="M169" s="5" t="s">
        <v>3569</v>
      </c>
      <c r="N169" s="4" t="s">
        <v>242</v>
      </c>
      <c r="O169" s="6">
        <f>18.15</f>
        <v>18.149999999999999</v>
      </c>
      <c r="P169" s="4" t="s">
        <v>276</v>
      </c>
      <c r="Q169" s="6">
        <f>1</f>
        <v>1</v>
      </c>
      <c r="R169" s="6">
        <f>1089000</f>
        <v>1089000</v>
      </c>
      <c r="S169" s="5" t="s">
        <v>3568</v>
      </c>
      <c r="T169" s="4" t="s">
        <v>274</v>
      </c>
      <c r="U169" s="4" t="s">
        <v>333</v>
      </c>
      <c r="W169" s="6">
        <f>1088999</f>
        <v>1088999</v>
      </c>
      <c r="X169" s="4" t="s">
        <v>243</v>
      </c>
      <c r="Y169" s="4" t="s">
        <v>244</v>
      </c>
      <c r="Z169" s="4" t="s">
        <v>246</v>
      </c>
      <c r="AA169" s="4" t="s">
        <v>241</v>
      </c>
      <c r="AD169" s="4" t="s">
        <v>241</v>
      </c>
      <c r="AF169" s="5" t="s">
        <v>241</v>
      </c>
      <c r="AI169" s="5" t="s">
        <v>249</v>
      </c>
      <c r="AJ169" s="4" t="s">
        <v>251</v>
      </c>
      <c r="AK169" s="4" t="s">
        <v>252</v>
      </c>
      <c r="BA169" s="4" t="s">
        <v>254</v>
      </c>
      <c r="BB169" s="4" t="s">
        <v>241</v>
      </c>
      <c r="BC169" s="4" t="s">
        <v>255</v>
      </c>
      <c r="BD169" s="4" t="s">
        <v>241</v>
      </c>
      <c r="BE169" s="4" t="s">
        <v>257</v>
      </c>
      <c r="BF169" s="4" t="s">
        <v>241</v>
      </c>
      <c r="BH169" s="4" t="s">
        <v>258</v>
      </c>
      <c r="BJ169" s="4" t="s">
        <v>367</v>
      </c>
      <c r="BK169" s="5" t="s">
        <v>249</v>
      </c>
      <c r="BL169" s="4" t="s">
        <v>261</v>
      </c>
      <c r="BM169" s="4" t="s">
        <v>262</v>
      </c>
      <c r="BN169" s="4" t="s">
        <v>241</v>
      </c>
      <c r="BO169" s="6">
        <f>0</f>
        <v>0</v>
      </c>
      <c r="BP169" s="6">
        <f>0</f>
        <v>0</v>
      </c>
      <c r="BQ169" s="4" t="s">
        <v>263</v>
      </c>
      <c r="BR169" s="4" t="s">
        <v>264</v>
      </c>
      <c r="CF169" s="4" t="s">
        <v>241</v>
      </c>
      <c r="CG169" s="4" t="s">
        <v>241</v>
      </c>
      <c r="CK169" s="4" t="s">
        <v>265</v>
      </c>
      <c r="CL169" s="4" t="s">
        <v>266</v>
      </c>
      <c r="CM169" s="4" t="s">
        <v>241</v>
      </c>
      <c r="CO169" s="4" t="s">
        <v>368</v>
      </c>
      <c r="CP169" s="5" t="s">
        <v>268</v>
      </c>
      <c r="CQ169" s="4" t="s">
        <v>269</v>
      </c>
      <c r="CR169" s="4" t="s">
        <v>270</v>
      </c>
      <c r="CS169" s="4" t="s">
        <v>241</v>
      </c>
      <c r="CT169" s="4" t="s">
        <v>241</v>
      </c>
      <c r="CU169" s="4">
        <v>0</v>
      </c>
      <c r="CV169" s="4" t="s">
        <v>271</v>
      </c>
      <c r="CW169" s="4" t="s">
        <v>272</v>
      </c>
      <c r="CX169" s="4" t="s">
        <v>273</v>
      </c>
      <c r="CZ169" s="6">
        <f>1089000</f>
        <v>1089000</v>
      </c>
      <c r="DA169" s="6">
        <f>0</f>
        <v>0</v>
      </c>
      <c r="DC169" s="4" t="s">
        <v>241</v>
      </c>
      <c r="DD169" s="4" t="s">
        <v>241</v>
      </c>
      <c r="DF169" s="4" t="s">
        <v>241</v>
      </c>
      <c r="DI169" s="4" t="s">
        <v>241</v>
      </c>
      <c r="DJ169" s="4" t="s">
        <v>241</v>
      </c>
      <c r="DK169" s="4" t="s">
        <v>241</v>
      </c>
      <c r="DL169" s="4" t="s">
        <v>241</v>
      </c>
      <c r="DM169" s="4" t="s">
        <v>277</v>
      </c>
      <c r="DN169" s="4" t="s">
        <v>278</v>
      </c>
      <c r="DO169" s="6">
        <f>18.15</f>
        <v>18.149999999999999</v>
      </c>
      <c r="DP169" s="4" t="s">
        <v>241</v>
      </c>
      <c r="DQ169" s="4" t="s">
        <v>241</v>
      </c>
      <c r="DR169" s="4" t="s">
        <v>241</v>
      </c>
      <c r="DS169" s="4" t="s">
        <v>241</v>
      </c>
      <c r="DV169" s="4" t="s">
        <v>3570</v>
      </c>
      <c r="DW169" s="4" t="s">
        <v>277</v>
      </c>
      <c r="HO169" s="4" t="s">
        <v>277</v>
      </c>
      <c r="HR169" s="4" t="s">
        <v>278</v>
      </c>
      <c r="HS169" s="4" t="s">
        <v>278</v>
      </c>
    </row>
    <row r="170" spans="1:240" x14ac:dyDescent="0.4">
      <c r="A170" s="4">
        <v>2</v>
      </c>
      <c r="B170" s="4" t="s">
        <v>239</v>
      </c>
      <c r="C170" s="4">
        <v>178</v>
      </c>
      <c r="D170" s="4">
        <v>1</v>
      </c>
      <c r="E170" s="4">
        <v>1</v>
      </c>
      <c r="F170" s="4" t="s">
        <v>240</v>
      </c>
      <c r="G170" s="4" t="s">
        <v>241</v>
      </c>
      <c r="H170" s="4" t="s">
        <v>241</v>
      </c>
      <c r="I170" s="4" t="s">
        <v>3576</v>
      </c>
      <c r="J170" s="4" t="s">
        <v>247</v>
      </c>
      <c r="K170" s="4" t="s">
        <v>256</v>
      </c>
      <c r="L170" s="4" t="s">
        <v>250</v>
      </c>
      <c r="M170" s="5" t="s">
        <v>3577</v>
      </c>
      <c r="N170" s="4" t="s">
        <v>242</v>
      </c>
      <c r="O170" s="6">
        <f>21.6</f>
        <v>21.6</v>
      </c>
      <c r="P170" s="4" t="s">
        <v>276</v>
      </c>
      <c r="Q170" s="6">
        <f>1</f>
        <v>1</v>
      </c>
      <c r="R170" s="6">
        <f>1296000</f>
        <v>1296000</v>
      </c>
      <c r="S170" s="5" t="s">
        <v>248</v>
      </c>
      <c r="T170" s="4" t="s">
        <v>274</v>
      </c>
      <c r="U170" s="4" t="s">
        <v>275</v>
      </c>
      <c r="W170" s="6">
        <f>1295999</f>
        <v>1295999</v>
      </c>
      <c r="X170" s="4" t="s">
        <v>243</v>
      </c>
      <c r="Y170" s="4" t="s">
        <v>244</v>
      </c>
      <c r="Z170" s="4" t="s">
        <v>246</v>
      </c>
      <c r="AA170" s="4" t="s">
        <v>241</v>
      </c>
      <c r="AD170" s="4" t="s">
        <v>241</v>
      </c>
      <c r="AF170" s="5" t="s">
        <v>241</v>
      </c>
      <c r="AI170" s="5" t="s">
        <v>249</v>
      </c>
      <c r="AJ170" s="4" t="s">
        <v>251</v>
      </c>
      <c r="AK170" s="4" t="s">
        <v>252</v>
      </c>
      <c r="BA170" s="4" t="s">
        <v>254</v>
      </c>
      <c r="BB170" s="4" t="s">
        <v>241</v>
      </c>
      <c r="BC170" s="4" t="s">
        <v>255</v>
      </c>
      <c r="BD170" s="4" t="s">
        <v>241</v>
      </c>
      <c r="BE170" s="4" t="s">
        <v>257</v>
      </c>
      <c r="BF170" s="4" t="s">
        <v>241</v>
      </c>
      <c r="BH170" s="4" t="s">
        <v>258</v>
      </c>
      <c r="BJ170" s="4" t="s">
        <v>367</v>
      </c>
      <c r="BK170" s="5" t="s">
        <v>249</v>
      </c>
      <c r="BL170" s="4" t="s">
        <v>261</v>
      </c>
      <c r="BM170" s="4" t="s">
        <v>262</v>
      </c>
      <c r="BN170" s="4" t="s">
        <v>241</v>
      </c>
      <c r="BO170" s="6">
        <f>0</f>
        <v>0</v>
      </c>
      <c r="BP170" s="6">
        <f>0</f>
        <v>0</v>
      </c>
      <c r="BQ170" s="4" t="s">
        <v>263</v>
      </c>
      <c r="BR170" s="4" t="s">
        <v>264</v>
      </c>
      <c r="CF170" s="4" t="s">
        <v>241</v>
      </c>
      <c r="CG170" s="4" t="s">
        <v>241</v>
      </c>
      <c r="CK170" s="4" t="s">
        <v>265</v>
      </c>
      <c r="CL170" s="4" t="s">
        <v>266</v>
      </c>
      <c r="CM170" s="4" t="s">
        <v>241</v>
      </c>
      <c r="CO170" s="4" t="s">
        <v>267</v>
      </c>
      <c r="CP170" s="5" t="s">
        <v>268</v>
      </c>
      <c r="CQ170" s="4" t="s">
        <v>269</v>
      </c>
      <c r="CR170" s="4" t="s">
        <v>270</v>
      </c>
      <c r="CS170" s="4" t="s">
        <v>241</v>
      </c>
      <c r="CT170" s="4" t="s">
        <v>241</v>
      </c>
      <c r="CU170" s="4">
        <v>0</v>
      </c>
      <c r="CV170" s="4" t="s">
        <v>271</v>
      </c>
      <c r="CW170" s="4" t="s">
        <v>272</v>
      </c>
      <c r="CX170" s="4" t="s">
        <v>273</v>
      </c>
      <c r="CZ170" s="6">
        <f>1296000</f>
        <v>1296000</v>
      </c>
      <c r="DA170" s="6">
        <f>0</f>
        <v>0</v>
      </c>
      <c r="DC170" s="4" t="s">
        <v>241</v>
      </c>
      <c r="DD170" s="4" t="s">
        <v>241</v>
      </c>
      <c r="DF170" s="4" t="s">
        <v>241</v>
      </c>
      <c r="DI170" s="4" t="s">
        <v>241</v>
      </c>
      <c r="DJ170" s="4" t="s">
        <v>241</v>
      </c>
      <c r="DK170" s="4" t="s">
        <v>241</v>
      </c>
      <c r="DL170" s="4" t="s">
        <v>241</v>
      </c>
      <c r="DM170" s="4" t="s">
        <v>277</v>
      </c>
      <c r="DN170" s="4" t="s">
        <v>278</v>
      </c>
      <c r="DO170" s="6">
        <f>21.6</f>
        <v>21.6</v>
      </c>
      <c r="DP170" s="4" t="s">
        <v>241</v>
      </c>
      <c r="DQ170" s="4" t="s">
        <v>241</v>
      </c>
      <c r="DR170" s="4" t="s">
        <v>241</v>
      </c>
      <c r="DS170" s="4" t="s">
        <v>241</v>
      </c>
      <c r="DV170" s="4" t="s">
        <v>3578</v>
      </c>
      <c r="DW170" s="4" t="s">
        <v>277</v>
      </c>
      <c r="HO170" s="4" t="s">
        <v>277</v>
      </c>
      <c r="HR170" s="4" t="s">
        <v>278</v>
      </c>
      <c r="HS170" s="4" t="s">
        <v>278</v>
      </c>
    </row>
    <row r="171" spans="1:240" x14ac:dyDescent="0.4">
      <c r="A171" s="4">
        <v>2</v>
      </c>
      <c r="B171" s="4" t="s">
        <v>239</v>
      </c>
      <c r="C171" s="4">
        <v>180</v>
      </c>
      <c r="D171" s="4">
        <v>1</v>
      </c>
      <c r="E171" s="4">
        <v>3</v>
      </c>
      <c r="F171" s="4" t="s">
        <v>326</v>
      </c>
      <c r="G171" s="4" t="s">
        <v>241</v>
      </c>
      <c r="H171" s="4" t="s">
        <v>241</v>
      </c>
      <c r="I171" s="4" t="s">
        <v>3188</v>
      </c>
      <c r="J171" s="4" t="s">
        <v>247</v>
      </c>
      <c r="K171" s="4" t="s">
        <v>256</v>
      </c>
      <c r="L171" s="4" t="s">
        <v>241</v>
      </c>
      <c r="M171" s="5" t="s">
        <v>2016</v>
      </c>
      <c r="N171" s="4" t="s">
        <v>3187</v>
      </c>
      <c r="O171" s="6">
        <f>0</f>
        <v>0</v>
      </c>
      <c r="P171" s="4" t="s">
        <v>276</v>
      </c>
      <c r="Q171" s="6">
        <f>722100</f>
        <v>722100</v>
      </c>
      <c r="R171" s="6">
        <f>826200</f>
        <v>826200</v>
      </c>
      <c r="S171" s="5" t="s">
        <v>830</v>
      </c>
      <c r="T171" s="4" t="s">
        <v>274</v>
      </c>
      <c r="U171" s="4" t="s">
        <v>323</v>
      </c>
      <c r="V171" s="6">
        <f>34700</f>
        <v>34700</v>
      </c>
      <c r="W171" s="6">
        <f>104100</f>
        <v>104100</v>
      </c>
      <c r="X171" s="4" t="s">
        <v>243</v>
      </c>
      <c r="Y171" s="4" t="s">
        <v>244</v>
      </c>
      <c r="Z171" s="4" t="s">
        <v>246</v>
      </c>
      <c r="AA171" s="4" t="s">
        <v>241</v>
      </c>
      <c r="AD171" s="4" t="s">
        <v>241</v>
      </c>
      <c r="AE171" s="5" t="s">
        <v>241</v>
      </c>
      <c r="AF171" s="5" t="s">
        <v>241</v>
      </c>
      <c r="AH171" s="5" t="s">
        <v>241</v>
      </c>
      <c r="AI171" s="5" t="s">
        <v>249</v>
      </c>
      <c r="AJ171" s="4" t="s">
        <v>251</v>
      </c>
      <c r="AK171" s="4" t="s">
        <v>252</v>
      </c>
      <c r="AQ171" s="4" t="s">
        <v>241</v>
      </c>
      <c r="AR171" s="4" t="s">
        <v>241</v>
      </c>
      <c r="AS171" s="4" t="s">
        <v>241</v>
      </c>
      <c r="AT171" s="5" t="s">
        <v>241</v>
      </c>
      <c r="AU171" s="5" t="s">
        <v>241</v>
      </c>
      <c r="AV171" s="5" t="s">
        <v>241</v>
      </c>
      <c r="AY171" s="4" t="s">
        <v>286</v>
      </c>
      <c r="AZ171" s="4" t="s">
        <v>286</v>
      </c>
      <c r="BA171" s="4" t="s">
        <v>254</v>
      </c>
      <c r="BB171" s="4" t="s">
        <v>287</v>
      </c>
      <c r="BC171" s="4" t="s">
        <v>255</v>
      </c>
      <c r="BD171" s="4" t="s">
        <v>241</v>
      </c>
      <c r="BE171" s="4" t="s">
        <v>257</v>
      </c>
      <c r="BF171" s="4" t="s">
        <v>241</v>
      </c>
      <c r="BJ171" s="4" t="s">
        <v>288</v>
      </c>
      <c r="BK171" s="5" t="s">
        <v>289</v>
      </c>
      <c r="BL171" s="4" t="s">
        <v>290</v>
      </c>
      <c r="BM171" s="4" t="s">
        <v>290</v>
      </c>
      <c r="BN171" s="4" t="s">
        <v>241</v>
      </c>
      <c r="BP171" s="6">
        <f>-34700</f>
        <v>-34700</v>
      </c>
      <c r="BQ171" s="4" t="s">
        <v>263</v>
      </c>
      <c r="BR171" s="4" t="s">
        <v>264</v>
      </c>
      <c r="BS171" s="4" t="s">
        <v>241</v>
      </c>
      <c r="BT171" s="4" t="s">
        <v>241</v>
      </c>
      <c r="BU171" s="4" t="s">
        <v>241</v>
      </c>
      <c r="BV171" s="4" t="s">
        <v>241</v>
      </c>
      <c r="CE171" s="4" t="s">
        <v>264</v>
      </c>
      <c r="CF171" s="4" t="s">
        <v>241</v>
      </c>
      <c r="CG171" s="4" t="s">
        <v>241</v>
      </c>
      <c r="CK171" s="4" t="s">
        <v>291</v>
      </c>
      <c r="CL171" s="4" t="s">
        <v>266</v>
      </c>
      <c r="CM171" s="4" t="s">
        <v>241</v>
      </c>
      <c r="CO171" s="4" t="s">
        <v>421</v>
      </c>
      <c r="CP171" s="5" t="s">
        <v>268</v>
      </c>
      <c r="CQ171" s="4" t="s">
        <v>269</v>
      </c>
      <c r="CR171" s="4" t="s">
        <v>270</v>
      </c>
      <c r="CS171" s="4" t="s">
        <v>293</v>
      </c>
      <c r="CT171" s="4" t="s">
        <v>241</v>
      </c>
      <c r="CU171" s="4">
        <v>4.2000000000000003E-2</v>
      </c>
      <c r="CV171" s="4" t="s">
        <v>271</v>
      </c>
      <c r="CW171" s="4" t="s">
        <v>272</v>
      </c>
      <c r="CX171" s="4" t="s">
        <v>273</v>
      </c>
      <c r="CY171" s="6">
        <f>0</f>
        <v>0</v>
      </c>
      <c r="CZ171" s="6">
        <f>826200</f>
        <v>826200</v>
      </c>
      <c r="DA171" s="6">
        <f>722100</f>
        <v>722100</v>
      </c>
      <c r="DC171" s="4" t="s">
        <v>241</v>
      </c>
      <c r="DD171" s="4" t="s">
        <v>241</v>
      </c>
      <c r="DF171" s="4" t="s">
        <v>241</v>
      </c>
      <c r="DG171" s="6">
        <f>0</f>
        <v>0</v>
      </c>
      <c r="DI171" s="4" t="s">
        <v>241</v>
      </c>
      <c r="DJ171" s="4" t="s">
        <v>241</v>
      </c>
      <c r="DK171" s="4" t="s">
        <v>241</v>
      </c>
      <c r="DL171" s="4" t="s">
        <v>241</v>
      </c>
      <c r="DM171" s="4" t="s">
        <v>278</v>
      </c>
      <c r="DN171" s="4" t="s">
        <v>278</v>
      </c>
      <c r="DO171" s="6" t="s">
        <v>241</v>
      </c>
      <c r="DP171" s="4" t="s">
        <v>241</v>
      </c>
      <c r="DQ171" s="4" t="s">
        <v>241</v>
      </c>
      <c r="DR171" s="4" t="s">
        <v>241</v>
      </c>
      <c r="DS171" s="4" t="s">
        <v>241</v>
      </c>
      <c r="DV171" s="4" t="s">
        <v>3189</v>
      </c>
      <c r="DW171" s="4" t="s">
        <v>323</v>
      </c>
      <c r="GN171" s="4" t="s">
        <v>3190</v>
      </c>
      <c r="HO171" s="4" t="s">
        <v>336</v>
      </c>
      <c r="HR171" s="4" t="s">
        <v>278</v>
      </c>
      <c r="HS171" s="4" t="s">
        <v>278</v>
      </c>
      <c r="HT171" s="4" t="s">
        <v>241</v>
      </c>
      <c r="HU171" s="4" t="s">
        <v>241</v>
      </c>
      <c r="HV171" s="4" t="s">
        <v>241</v>
      </c>
      <c r="HW171" s="4" t="s">
        <v>241</v>
      </c>
      <c r="HX171" s="4" t="s">
        <v>241</v>
      </c>
      <c r="HY171" s="4" t="s">
        <v>241</v>
      </c>
      <c r="HZ171" s="4" t="s">
        <v>241</v>
      </c>
      <c r="IA171" s="4" t="s">
        <v>241</v>
      </c>
      <c r="IB171" s="4" t="s">
        <v>241</v>
      </c>
      <c r="IC171" s="4" t="s">
        <v>241</v>
      </c>
      <c r="ID171" s="4" t="s">
        <v>241</v>
      </c>
      <c r="IE171" s="4" t="s">
        <v>241</v>
      </c>
      <c r="IF171" s="4" t="s">
        <v>241</v>
      </c>
    </row>
    <row r="172" spans="1:240" x14ac:dyDescent="0.4">
      <c r="A172" s="4">
        <v>2</v>
      </c>
      <c r="B172" s="4" t="s">
        <v>239</v>
      </c>
      <c r="C172" s="4">
        <v>181</v>
      </c>
      <c r="D172" s="4">
        <v>1</v>
      </c>
      <c r="E172" s="4">
        <v>1</v>
      </c>
      <c r="F172" s="4" t="s">
        <v>326</v>
      </c>
      <c r="G172" s="4" t="s">
        <v>241</v>
      </c>
      <c r="H172" s="4" t="s">
        <v>241</v>
      </c>
      <c r="I172" s="4" t="s">
        <v>3188</v>
      </c>
      <c r="J172" s="4" t="s">
        <v>247</v>
      </c>
      <c r="K172" s="4" t="s">
        <v>256</v>
      </c>
      <c r="L172" s="4" t="s">
        <v>3752</v>
      </c>
      <c r="M172" s="5" t="s">
        <v>2016</v>
      </c>
      <c r="N172" s="4" t="s">
        <v>242</v>
      </c>
      <c r="O172" s="6">
        <f>20</f>
        <v>20</v>
      </c>
      <c r="P172" s="4" t="s">
        <v>276</v>
      </c>
      <c r="Q172" s="6">
        <f>1</f>
        <v>1</v>
      </c>
      <c r="R172" s="6">
        <f>1069200</f>
        <v>1069200</v>
      </c>
      <c r="S172" s="5" t="s">
        <v>3751</v>
      </c>
      <c r="T172" s="4" t="s">
        <v>274</v>
      </c>
      <c r="U172" s="4" t="s">
        <v>777</v>
      </c>
      <c r="W172" s="6">
        <f>1069199</f>
        <v>1069199</v>
      </c>
      <c r="X172" s="4" t="s">
        <v>243</v>
      </c>
      <c r="Y172" s="4" t="s">
        <v>244</v>
      </c>
      <c r="Z172" s="4" t="s">
        <v>241</v>
      </c>
      <c r="AA172" s="4" t="s">
        <v>241</v>
      </c>
      <c r="AD172" s="4" t="s">
        <v>241</v>
      </c>
      <c r="AF172" s="5" t="s">
        <v>241</v>
      </c>
      <c r="AI172" s="5" t="s">
        <v>249</v>
      </c>
      <c r="AJ172" s="4" t="s">
        <v>251</v>
      </c>
      <c r="AK172" s="4" t="s">
        <v>252</v>
      </c>
      <c r="BA172" s="4" t="s">
        <v>254</v>
      </c>
      <c r="BB172" s="4" t="s">
        <v>241</v>
      </c>
      <c r="BC172" s="4" t="s">
        <v>255</v>
      </c>
      <c r="BD172" s="4" t="s">
        <v>241</v>
      </c>
      <c r="BE172" s="4" t="s">
        <v>257</v>
      </c>
      <c r="BF172" s="4" t="s">
        <v>241</v>
      </c>
      <c r="BJ172" s="4" t="s">
        <v>377</v>
      </c>
      <c r="BK172" s="5" t="s">
        <v>378</v>
      </c>
      <c r="BL172" s="4" t="s">
        <v>261</v>
      </c>
      <c r="BM172" s="4" t="s">
        <v>410</v>
      </c>
      <c r="BN172" s="4" t="s">
        <v>241</v>
      </c>
      <c r="BO172" s="6">
        <f>0</f>
        <v>0</v>
      </c>
      <c r="BP172" s="6">
        <f>0</f>
        <v>0</v>
      </c>
      <c r="BQ172" s="4" t="s">
        <v>263</v>
      </c>
      <c r="BR172" s="4" t="s">
        <v>264</v>
      </c>
      <c r="CF172" s="4" t="s">
        <v>241</v>
      </c>
      <c r="CG172" s="4" t="s">
        <v>241</v>
      </c>
      <c r="CK172" s="4" t="s">
        <v>265</v>
      </c>
      <c r="CL172" s="4" t="s">
        <v>266</v>
      </c>
      <c r="CM172" s="4" t="s">
        <v>241</v>
      </c>
      <c r="CO172" s="4" t="s">
        <v>841</v>
      </c>
      <c r="CP172" s="5" t="s">
        <v>268</v>
      </c>
      <c r="CQ172" s="4" t="s">
        <v>269</v>
      </c>
      <c r="CR172" s="4" t="s">
        <v>270</v>
      </c>
      <c r="CS172" s="4" t="s">
        <v>241</v>
      </c>
      <c r="CT172" s="4" t="s">
        <v>241</v>
      </c>
      <c r="CU172" s="4">
        <v>0</v>
      </c>
      <c r="CV172" s="4" t="s">
        <v>271</v>
      </c>
      <c r="CW172" s="4" t="s">
        <v>272</v>
      </c>
      <c r="CX172" s="4" t="s">
        <v>273</v>
      </c>
      <c r="CZ172" s="6">
        <f>1069200</f>
        <v>1069200</v>
      </c>
      <c r="DA172" s="6">
        <f>0</f>
        <v>0</v>
      </c>
      <c r="DC172" s="4" t="s">
        <v>241</v>
      </c>
      <c r="DD172" s="4" t="s">
        <v>241</v>
      </c>
      <c r="DF172" s="4" t="s">
        <v>241</v>
      </c>
      <c r="DI172" s="4" t="s">
        <v>241</v>
      </c>
      <c r="DJ172" s="4" t="s">
        <v>241</v>
      </c>
      <c r="DK172" s="4" t="s">
        <v>241</v>
      </c>
      <c r="DL172" s="4" t="s">
        <v>241</v>
      </c>
      <c r="DM172" s="4" t="s">
        <v>278</v>
      </c>
      <c r="DN172" s="4" t="s">
        <v>278</v>
      </c>
      <c r="DO172" s="6">
        <f>20</f>
        <v>20</v>
      </c>
      <c r="DP172" s="4" t="s">
        <v>241</v>
      </c>
      <c r="DQ172" s="4" t="s">
        <v>241</v>
      </c>
      <c r="DR172" s="4" t="s">
        <v>241</v>
      </c>
      <c r="DS172" s="4" t="s">
        <v>241</v>
      </c>
      <c r="DV172" s="4" t="s">
        <v>3189</v>
      </c>
      <c r="DW172" s="4" t="s">
        <v>297</v>
      </c>
      <c r="HO172" s="4" t="s">
        <v>277</v>
      </c>
      <c r="HR172" s="4" t="s">
        <v>278</v>
      </c>
      <c r="HS172" s="4" t="s">
        <v>278</v>
      </c>
    </row>
    <row r="173" spans="1:240" x14ac:dyDescent="0.4">
      <c r="A173" s="4">
        <v>2</v>
      </c>
      <c r="B173" s="4" t="s">
        <v>239</v>
      </c>
      <c r="C173" s="4">
        <v>182</v>
      </c>
      <c r="D173" s="4">
        <v>1</v>
      </c>
      <c r="E173" s="4">
        <v>1</v>
      </c>
      <c r="F173" s="4" t="s">
        <v>240</v>
      </c>
      <c r="G173" s="4" t="s">
        <v>241</v>
      </c>
      <c r="H173" s="4" t="s">
        <v>241</v>
      </c>
      <c r="I173" s="4" t="s">
        <v>3580</v>
      </c>
      <c r="J173" s="4" t="s">
        <v>247</v>
      </c>
      <c r="K173" s="4" t="s">
        <v>256</v>
      </c>
      <c r="L173" s="4" t="s">
        <v>250</v>
      </c>
      <c r="M173" s="5" t="s">
        <v>3581</v>
      </c>
      <c r="N173" s="4" t="s">
        <v>242</v>
      </c>
      <c r="O173" s="6">
        <f>9.94</f>
        <v>9.94</v>
      </c>
      <c r="P173" s="4" t="s">
        <v>276</v>
      </c>
      <c r="Q173" s="6">
        <f>1</f>
        <v>1</v>
      </c>
      <c r="R173" s="6">
        <f>596220</f>
        <v>596220</v>
      </c>
      <c r="S173" s="5" t="s">
        <v>248</v>
      </c>
      <c r="T173" s="4" t="s">
        <v>274</v>
      </c>
      <c r="U173" s="4" t="s">
        <v>275</v>
      </c>
      <c r="W173" s="6">
        <f>596219</f>
        <v>596219</v>
      </c>
      <c r="X173" s="4" t="s">
        <v>243</v>
      </c>
      <c r="Y173" s="4" t="s">
        <v>244</v>
      </c>
      <c r="Z173" s="4" t="s">
        <v>246</v>
      </c>
      <c r="AA173" s="4" t="s">
        <v>241</v>
      </c>
      <c r="AD173" s="4" t="s">
        <v>241</v>
      </c>
      <c r="AF173" s="5" t="s">
        <v>241</v>
      </c>
      <c r="AI173" s="5" t="s">
        <v>249</v>
      </c>
      <c r="AJ173" s="4" t="s">
        <v>251</v>
      </c>
      <c r="AK173" s="4" t="s">
        <v>252</v>
      </c>
      <c r="BA173" s="4" t="s">
        <v>254</v>
      </c>
      <c r="BB173" s="4" t="s">
        <v>241</v>
      </c>
      <c r="BC173" s="4" t="s">
        <v>255</v>
      </c>
      <c r="BD173" s="4" t="s">
        <v>241</v>
      </c>
      <c r="BE173" s="4" t="s">
        <v>257</v>
      </c>
      <c r="BF173" s="4" t="s">
        <v>241</v>
      </c>
      <c r="BH173" s="4" t="s">
        <v>258</v>
      </c>
      <c r="BJ173" s="4" t="s">
        <v>259</v>
      </c>
      <c r="BK173" s="5" t="s">
        <v>260</v>
      </c>
      <c r="BL173" s="4" t="s">
        <v>261</v>
      </c>
      <c r="BM173" s="4" t="s">
        <v>262</v>
      </c>
      <c r="BN173" s="4" t="s">
        <v>241</v>
      </c>
      <c r="BO173" s="6">
        <f>0</f>
        <v>0</v>
      </c>
      <c r="BP173" s="6">
        <f>0</f>
        <v>0</v>
      </c>
      <c r="BQ173" s="4" t="s">
        <v>263</v>
      </c>
      <c r="BR173" s="4" t="s">
        <v>264</v>
      </c>
      <c r="CF173" s="4" t="s">
        <v>241</v>
      </c>
      <c r="CG173" s="4" t="s">
        <v>241</v>
      </c>
      <c r="CK173" s="4" t="s">
        <v>265</v>
      </c>
      <c r="CL173" s="4" t="s">
        <v>266</v>
      </c>
      <c r="CM173" s="4" t="s">
        <v>241</v>
      </c>
      <c r="CO173" s="4" t="s">
        <v>267</v>
      </c>
      <c r="CP173" s="5" t="s">
        <v>268</v>
      </c>
      <c r="CQ173" s="4" t="s">
        <v>269</v>
      </c>
      <c r="CR173" s="4" t="s">
        <v>270</v>
      </c>
      <c r="CS173" s="4" t="s">
        <v>241</v>
      </c>
      <c r="CT173" s="4" t="s">
        <v>241</v>
      </c>
      <c r="CU173" s="4">
        <v>0</v>
      </c>
      <c r="CV173" s="4" t="s">
        <v>271</v>
      </c>
      <c r="CW173" s="4" t="s">
        <v>272</v>
      </c>
      <c r="CX173" s="4" t="s">
        <v>273</v>
      </c>
      <c r="CZ173" s="6">
        <f>596220</f>
        <v>596220</v>
      </c>
      <c r="DA173" s="6">
        <f>0</f>
        <v>0</v>
      </c>
      <c r="DC173" s="4" t="s">
        <v>241</v>
      </c>
      <c r="DD173" s="4" t="s">
        <v>241</v>
      </c>
      <c r="DF173" s="4" t="s">
        <v>241</v>
      </c>
      <c r="DI173" s="4" t="s">
        <v>241</v>
      </c>
      <c r="DJ173" s="4" t="s">
        <v>241</v>
      </c>
      <c r="DK173" s="4" t="s">
        <v>241</v>
      </c>
      <c r="DL173" s="4" t="s">
        <v>241</v>
      </c>
      <c r="DM173" s="4" t="s">
        <v>277</v>
      </c>
      <c r="DN173" s="4" t="s">
        <v>278</v>
      </c>
      <c r="DO173" s="6">
        <f>9.94</f>
        <v>9.94</v>
      </c>
      <c r="DP173" s="4" t="s">
        <v>241</v>
      </c>
      <c r="DQ173" s="4" t="s">
        <v>241</v>
      </c>
      <c r="DR173" s="4" t="s">
        <v>241</v>
      </c>
      <c r="DS173" s="4" t="s">
        <v>241</v>
      </c>
      <c r="DV173" s="4" t="s">
        <v>3582</v>
      </c>
      <c r="DW173" s="4" t="s">
        <v>277</v>
      </c>
      <c r="HO173" s="4" t="s">
        <v>277</v>
      </c>
      <c r="HR173" s="4" t="s">
        <v>278</v>
      </c>
      <c r="HS173" s="4" t="s">
        <v>278</v>
      </c>
    </row>
    <row r="174" spans="1:240" x14ac:dyDescent="0.4">
      <c r="A174" s="4">
        <v>2</v>
      </c>
      <c r="B174" s="4" t="s">
        <v>239</v>
      </c>
      <c r="C174" s="4">
        <v>183</v>
      </c>
      <c r="D174" s="4">
        <v>1</v>
      </c>
      <c r="E174" s="4">
        <v>3</v>
      </c>
      <c r="F174" s="4" t="s">
        <v>240</v>
      </c>
      <c r="G174" s="4" t="s">
        <v>241</v>
      </c>
      <c r="H174" s="4" t="s">
        <v>241</v>
      </c>
      <c r="I174" s="4" t="s">
        <v>3191</v>
      </c>
      <c r="J174" s="4" t="s">
        <v>247</v>
      </c>
      <c r="K174" s="4" t="s">
        <v>256</v>
      </c>
      <c r="L174" s="4" t="s">
        <v>250</v>
      </c>
      <c r="M174" s="5" t="s">
        <v>3192</v>
      </c>
      <c r="N174" s="4" t="s">
        <v>242</v>
      </c>
      <c r="O174" s="6">
        <f>23.76</f>
        <v>23.76</v>
      </c>
      <c r="P174" s="4" t="s">
        <v>276</v>
      </c>
      <c r="Q174" s="6">
        <f>608260</f>
        <v>608260</v>
      </c>
      <c r="R174" s="6">
        <f>3801600</f>
        <v>3801600</v>
      </c>
      <c r="S174" s="5" t="s">
        <v>449</v>
      </c>
      <c r="T174" s="4" t="s">
        <v>274</v>
      </c>
      <c r="U174" s="4" t="s">
        <v>379</v>
      </c>
      <c r="V174" s="6">
        <f>159667</f>
        <v>159667</v>
      </c>
      <c r="W174" s="6">
        <f>3193340</f>
        <v>3193340</v>
      </c>
      <c r="X174" s="4" t="s">
        <v>243</v>
      </c>
      <c r="Y174" s="4" t="s">
        <v>244</v>
      </c>
      <c r="Z174" s="4" t="s">
        <v>246</v>
      </c>
      <c r="AA174" s="4" t="s">
        <v>241</v>
      </c>
      <c r="AD174" s="4" t="s">
        <v>241</v>
      </c>
      <c r="AE174" s="5" t="s">
        <v>241</v>
      </c>
      <c r="AF174" s="5" t="s">
        <v>241</v>
      </c>
      <c r="AH174" s="5" t="s">
        <v>241</v>
      </c>
      <c r="AI174" s="5" t="s">
        <v>249</v>
      </c>
      <c r="AJ174" s="4" t="s">
        <v>251</v>
      </c>
      <c r="AK174" s="4" t="s">
        <v>252</v>
      </c>
      <c r="AQ174" s="4" t="s">
        <v>241</v>
      </c>
      <c r="AR174" s="4" t="s">
        <v>241</v>
      </c>
      <c r="AS174" s="4" t="s">
        <v>241</v>
      </c>
      <c r="AT174" s="5" t="s">
        <v>241</v>
      </c>
      <c r="AU174" s="5" t="s">
        <v>241</v>
      </c>
      <c r="AV174" s="5" t="s">
        <v>241</v>
      </c>
      <c r="AY174" s="4" t="s">
        <v>286</v>
      </c>
      <c r="AZ174" s="4" t="s">
        <v>286</v>
      </c>
      <c r="BA174" s="4" t="s">
        <v>254</v>
      </c>
      <c r="BB174" s="4" t="s">
        <v>287</v>
      </c>
      <c r="BC174" s="4" t="s">
        <v>255</v>
      </c>
      <c r="BD174" s="4" t="s">
        <v>241</v>
      </c>
      <c r="BE174" s="4" t="s">
        <v>257</v>
      </c>
      <c r="BF174" s="4" t="s">
        <v>241</v>
      </c>
      <c r="BH174" s="4" t="s">
        <v>258</v>
      </c>
      <c r="BJ174" s="4" t="s">
        <v>288</v>
      </c>
      <c r="BK174" s="5" t="s">
        <v>289</v>
      </c>
      <c r="BL174" s="4" t="s">
        <v>290</v>
      </c>
      <c r="BM174" s="4" t="s">
        <v>290</v>
      </c>
      <c r="BN174" s="4" t="s">
        <v>241</v>
      </c>
      <c r="BO174" s="6">
        <f>0</f>
        <v>0</v>
      </c>
      <c r="BP174" s="6">
        <f>-159667</f>
        <v>-159667</v>
      </c>
      <c r="BQ174" s="4" t="s">
        <v>263</v>
      </c>
      <c r="BR174" s="4" t="s">
        <v>264</v>
      </c>
      <c r="BS174" s="4" t="s">
        <v>241</v>
      </c>
      <c r="BT174" s="4" t="s">
        <v>241</v>
      </c>
      <c r="BU174" s="4" t="s">
        <v>241</v>
      </c>
      <c r="BV174" s="4" t="s">
        <v>241</v>
      </c>
      <c r="CE174" s="4" t="s">
        <v>264</v>
      </c>
      <c r="CF174" s="4" t="s">
        <v>241</v>
      </c>
      <c r="CG174" s="4" t="s">
        <v>241</v>
      </c>
      <c r="CK174" s="4" t="s">
        <v>291</v>
      </c>
      <c r="CL174" s="4" t="s">
        <v>266</v>
      </c>
      <c r="CM174" s="4" t="s">
        <v>241</v>
      </c>
      <c r="CO174" s="4" t="s">
        <v>1127</v>
      </c>
      <c r="CP174" s="5" t="s">
        <v>268</v>
      </c>
      <c r="CQ174" s="4" t="s">
        <v>269</v>
      </c>
      <c r="CR174" s="4" t="s">
        <v>270</v>
      </c>
      <c r="CS174" s="4" t="s">
        <v>293</v>
      </c>
      <c r="CT174" s="4" t="s">
        <v>241</v>
      </c>
      <c r="CU174" s="4">
        <v>4.2000000000000003E-2</v>
      </c>
      <c r="CV174" s="4" t="s">
        <v>271</v>
      </c>
      <c r="CW174" s="4" t="s">
        <v>272</v>
      </c>
      <c r="CX174" s="4" t="s">
        <v>273</v>
      </c>
      <c r="CY174" s="6">
        <f>0</f>
        <v>0</v>
      </c>
      <c r="CZ174" s="6">
        <f>3801600</f>
        <v>3801600</v>
      </c>
      <c r="DA174" s="6">
        <f>608260</f>
        <v>608260</v>
      </c>
      <c r="DC174" s="4" t="s">
        <v>241</v>
      </c>
      <c r="DD174" s="4" t="s">
        <v>241</v>
      </c>
      <c r="DF174" s="4" t="s">
        <v>241</v>
      </c>
      <c r="DG174" s="6">
        <f>0</f>
        <v>0</v>
      </c>
      <c r="DI174" s="4" t="s">
        <v>241</v>
      </c>
      <c r="DJ174" s="4" t="s">
        <v>241</v>
      </c>
      <c r="DK174" s="4" t="s">
        <v>241</v>
      </c>
      <c r="DL174" s="4" t="s">
        <v>241</v>
      </c>
      <c r="DM174" s="4" t="s">
        <v>277</v>
      </c>
      <c r="DN174" s="4" t="s">
        <v>278</v>
      </c>
      <c r="DO174" s="6">
        <f>23.76</f>
        <v>23.76</v>
      </c>
      <c r="DP174" s="4" t="s">
        <v>241</v>
      </c>
      <c r="DQ174" s="4" t="s">
        <v>241</v>
      </c>
      <c r="DR174" s="4" t="s">
        <v>241</v>
      </c>
      <c r="DS174" s="4" t="s">
        <v>241</v>
      </c>
      <c r="DV174" s="4" t="s">
        <v>3193</v>
      </c>
      <c r="DW174" s="4" t="s">
        <v>277</v>
      </c>
      <c r="GN174" s="4" t="s">
        <v>3194</v>
      </c>
      <c r="HO174" s="4" t="s">
        <v>300</v>
      </c>
      <c r="HR174" s="4" t="s">
        <v>278</v>
      </c>
      <c r="HS174" s="4" t="s">
        <v>278</v>
      </c>
      <c r="HT174" s="4" t="s">
        <v>241</v>
      </c>
      <c r="HU174" s="4" t="s">
        <v>241</v>
      </c>
      <c r="HV174" s="4" t="s">
        <v>241</v>
      </c>
      <c r="HW174" s="4" t="s">
        <v>241</v>
      </c>
      <c r="HX174" s="4" t="s">
        <v>241</v>
      </c>
      <c r="HY174" s="4" t="s">
        <v>241</v>
      </c>
      <c r="HZ174" s="4" t="s">
        <v>241</v>
      </c>
      <c r="IA174" s="4" t="s">
        <v>241</v>
      </c>
      <c r="IB174" s="4" t="s">
        <v>241</v>
      </c>
      <c r="IC174" s="4" t="s">
        <v>241</v>
      </c>
      <c r="ID174" s="4" t="s">
        <v>241</v>
      </c>
      <c r="IE174" s="4" t="s">
        <v>241</v>
      </c>
      <c r="IF174" s="4" t="s">
        <v>241</v>
      </c>
    </row>
    <row r="175" spans="1:240" x14ac:dyDescent="0.4">
      <c r="A175" s="4">
        <v>2</v>
      </c>
      <c r="B175" s="4" t="s">
        <v>239</v>
      </c>
      <c r="C175" s="4">
        <v>184</v>
      </c>
      <c r="D175" s="4">
        <v>1</v>
      </c>
      <c r="E175" s="4">
        <v>3</v>
      </c>
      <c r="F175" s="4" t="s">
        <v>240</v>
      </c>
      <c r="G175" s="4" t="s">
        <v>241</v>
      </c>
      <c r="H175" s="4" t="s">
        <v>241</v>
      </c>
      <c r="I175" s="4" t="s">
        <v>3195</v>
      </c>
      <c r="J175" s="4" t="s">
        <v>247</v>
      </c>
      <c r="K175" s="4" t="s">
        <v>256</v>
      </c>
      <c r="L175" s="4" t="s">
        <v>250</v>
      </c>
      <c r="M175" s="5" t="s">
        <v>3196</v>
      </c>
      <c r="N175" s="4" t="s">
        <v>242</v>
      </c>
      <c r="O175" s="6">
        <f>23.76</f>
        <v>23.76</v>
      </c>
      <c r="P175" s="4" t="s">
        <v>276</v>
      </c>
      <c r="Q175" s="6">
        <f>1087261</f>
        <v>1087261</v>
      </c>
      <c r="R175" s="6">
        <f>3801600</f>
        <v>3801600</v>
      </c>
      <c r="S175" s="5" t="s">
        <v>446</v>
      </c>
      <c r="T175" s="4" t="s">
        <v>274</v>
      </c>
      <c r="U175" s="4" t="s">
        <v>371</v>
      </c>
      <c r="V175" s="6">
        <f>159667</f>
        <v>159667</v>
      </c>
      <c r="W175" s="6">
        <f>2714339</f>
        <v>2714339</v>
      </c>
      <c r="X175" s="4" t="s">
        <v>243</v>
      </c>
      <c r="Y175" s="4" t="s">
        <v>244</v>
      </c>
      <c r="Z175" s="4" t="s">
        <v>246</v>
      </c>
      <c r="AA175" s="4" t="s">
        <v>241</v>
      </c>
      <c r="AD175" s="4" t="s">
        <v>241</v>
      </c>
      <c r="AE175" s="5" t="s">
        <v>241</v>
      </c>
      <c r="AF175" s="5" t="s">
        <v>241</v>
      </c>
      <c r="AH175" s="5" t="s">
        <v>241</v>
      </c>
      <c r="AI175" s="5" t="s">
        <v>249</v>
      </c>
      <c r="AJ175" s="4" t="s">
        <v>251</v>
      </c>
      <c r="AK175" s="4" t="s">
        <v>252</v>
      </c>
      <c r="AQ175" s="4" t="s">
        <v>241</v>
      </c>
      <c r="AR175" s="4" t="s">
        <v>241</v>
      </c>
      <c r="AS175" s="4" t="s">
        <v>241</v>
      </c>
      <c r="AT175" s="5" t="s">
        <v>241</v>
      </c>
      <c r="AU175" s="5" t="s">
        <v>241</v>
      </c>
      <c r="AV175" s="5" t="s">
        <v>241</v>
      </c>
      <c r="AY175" s="4" t="s">
        <v>286</v>
      </c>
      <c r="AZ175" s="4" t="s">
        <v>286</v>
      </c>
      <c r="BA175" s="4" t="s">
        <v>254</v>
      </c>
      <c r="BB175" s="4" t="s">
        <v>287</v>
      </c>
      <c r="BC175" s="4" t="s">
        <v>255</v>
      </c>
      <c r="BD175" s="4" t="s">
        <v>241</v>
      </c>
      <c r="BE175" s="4" t="s">
        <v>257</v>
      </c>
      <c r="BF175" s="4" t="s">
        <v>241</v>
      </c>
      <c r="BH175" s="4" t="s">
        <v>258</v>
      </c>
      <c r="BJ175" s="4" t="s">
        <v>288</v>
      </c>
      <c r="BK175" s="5" t="s">
        <v>289</v>
      </c>
      <c r="BL175" s="4" t="s">
        <v>290</v>
      </c>
      <c r="BM175" s="4" t="s">
        <v>290</v>
      </c>
      <c r="BN175" s="4" t="s">
        <v>241</v>
      </c>
      <c r="BO175" s="6">
        <f>0</f>
        <v>0</v>
      </c>
      <c r="BP175" s="6">
        <f>-159667</f>
        <v>-159667</v>
      </c>
      <c r="BQ175" s="4" t="s">
        <v>263</v>
      </c>
      <c r="BR175" s="4" t="s">
        <v>264</v>
      </c>
      <c r="BS175" s="4" t="s">
        <v>241</v>
      </c>
      <c r="BT175" s="4" t="s">
        <v>241</v>
      </c>
      <c r="BU175" s="4" t="s">
        <v>241</v>
      </c>
      <c r="BV175" s="4" t="s">
        <v>241</v>
      </c>
      <c r="CE175" s="4" t="s">
        <v>264</v>
      </c>
      <c r="CF175" s="4" t="s">
        <v>241</v>
      </c>
      <c r="CG175" s="4" t="s">
        <v>241</v>
      </c>
      <c r="CK175" s="4" t="s">
        <v>291</v>
      </c>
      <c r="CL175" s="4" t="s">
        <v>266</v>
      </c>
      <c r="CM175" s="4" t="s">
        <v>241</v>
      </c>
      <c r="CO175" s="4" t="s">
        <v>407</v>
      </c>
      <c r="CP175" s="5" t="s">
        <v>268</v>
      </c>
      <c r="CQ175" s="4" t="s">
        <v>269</v>
      </c>
      <c r="CR175" s="4" t="s">
        <v>270</v>
      </c>
      <c r="CS175" s="4" t="s">
        <v>293</v>
      </c>
      <c r="CT175" s="4" t="s">
        <v>241</v>
      </c>
      <c r="CU175" s="4">
        <v>4.2000000000000003E-2</v>
      </c>
      <c r="CV175" s="4" t="s">
        <v>271</v>
      </c>
      <c r="CW175" s="4" t="s">
        <v>272</v>
      </c>
      <c r="CX175" s="4" t="s">
        <v>273</v>
      </c>
      <c r="CY175" s="6">
        <f>0</f>
        <v>0</v>
      </c>
      <c r="CZ175" s="6">
        <f>3801600</f>
        <v>3801600</v>
      </c>
      <c r="DA175" s="6">
        <f>1087261</f>
        <v>1087261</v>
      </c>
      <c r="DC175" s="4" t="s">
        <v>241</v>
      </c>
      <c r="DD175" s="4" t="s">
        <v>241</v>
      </c>
      <c r="DF175" s="4" t="s">
        <v>241</v>
      </c>
      <c r="DG175" s="6">
        <f>0</f>
        <v>0</v>
      </c>
      <c r="DI175" s="4" t="s">
        <v>241</v>
      </c>
      <c r="DJ175" s="4" t="s">
        <v>241</v>
      </c>
      <c r="DK175" s="4" t="s">
        <v>241</v>
      </c>
      <c r="DL175" s="4" t="s">
        <v>241</v>
      </c>
      <c r="DM175" s="4" t="s">
        <v>277</v>
      </c>
      <c r="DN175" s="4" t="s">
        <v>278</v>
      </c>
      <c r="DO175" s="6">
        <f>23.76</f>
        <v>23.76</v>
      </c>
      <c r="DP175" s="4" t="s">
        <v>241</v>
      </c>
      <c r="DQ175" s="4" t="s">
        <v>241</v>
      </c>
      <c r="DR175" s="4" t="s">
        <v>241</v>
      </c>
      <c r="DS175" s="4" t="s">
        <v>241</v>
      </c>
      <c r="DV175" s="4" t="s">
        <v>3197</v>
      </c>
      <c r="DW175" s="4" t="s">
        <v>277</v>
      </c>
      <c r="GN175" s="4" t="s">
        <v>3198</v>
      </c>
      <c r="HO175" s="4" t="s">
        <v>300</v>
      </c>
      <c r="HR175" s="4" t="s">
        <v>278</v>
      </c>
      <c r="HS175" s="4" t="s">
        <v>278</v>
      </c>
      <c r="HT175" s="4" t="s">
        <v>241</v>
      </c>
      <c r="HU175" s="4" t="s">
        <v>241</v>
      </c>
      <c r="HV175" s="4" t="s">
        <v>241</v>
      </c>
      <c r="HW175" s="4" t="s">
        <v>241</v>
      </c>
      <c r="HX175" s="4" t="s">
        <v>241</v>
      </c>
      <c r="HY175" s="4" t="s">
        <v>241</v>
      </c>
      <c r="HZ175" s="4" t="s">
        <v>241</v>
      </c>
      <c r="IA175" s="4" t="s">
        <v>241</v>
      </c>
      <c r="IB175" s="4" t="s">
        <v>241</v>
      </c>
      <c r="IC175" s="4" t="s">
        <v>241</v>
      </c>
      <c r="ID175" s="4" t="s">
        <v>241</v>
      </c>
      <c r="IE175" s="4" t="s">
        <v>241</v>
      </c>
      <c r="IF175" s="4" t="s">
        <v>241</v>
      </c>
    </row>
    <row r="176" spans="1:240" x14ac:dyDescent="0.4">
      <c r="A176" s="4">
        <v>2</v>
      </c>
      <c r="B176" s="4" t="s">
        <v>239</v>
      </c>
      <c r="C176" s="4">
        <v>185</v>
      </c>
      <c r="D176" s="4">
        <v>1</v>
      </c>
      <c r="E176" s="4">
        <v>1</v>
      </c>
      <c r="F176" s="4" t="s">
        <v>240</v>
      </c>
      <c r="G176" s="4" t="s">
        <v>241</v>
      </c>
      <c r="H176" s="4" t="s">
        <v>241</v>
      </c>
      <c r="I176" s="4" t="s">
        <v>3589</v>
      </c>
      <c r="J176" s="4" t="s">
        <v>247</v>
      </c>
      <c r="K176" s="4" t="s">
        <v>256</v>
      </c>
      <c r="L176" s="4" t="s">
        <v>250</v>
      </c>
      <c r="M176" s="5" t="s">
        <v>3590</v>
      </c>
      <c r="N176" s="4" t="s">
        <v>242</v>
      </c>
      <c r="O176" s="6">
        <f>43.07</f>
        <v>43.07</v>
      </c>
      <c r="P176" s="4" t="s">
        <v>276</v>
      </c>
      <c r="Q176" s="6">
        <f>1</f>
        <v>1</v>
      </c>
      <c r="R176" s="6">
        <f>2584200</f>
        <v>2584200</v>
      </c>
      <c r="S176" s="5" t="s">
        <v>248</v>
      </c>
      <c r="T176" s="4" t="s">
        <v>348</v>
      </c>
      <c r="U176" s="4" t="s">
        <v>275</v>
      </c>
      <c r="W176" s="6">
        <f>2584199</f>
        <v>2584199</v>
      </c>
      <c r="X176" s="4" t="s">
        <v>243</v>
      </c>
      <c r="Y176" s="4" t="s">
        <v>244</v>
      </c>
      <c r="Z176" s="4" t="s">
        <v>246</v>
      </c>
      <c r="AA176" s="4" t="s">
        <v>241</v>
      </c>
      <c r="AD176" s="4" t="s">
        <v>241</v>
      </c>
      <c r="AF176" s="5" t="s">
        <v>241</v>
      </c>
      <c r="AI176" s="5" t="s">
        <v>249</v>
      </c>
      <c r="AJ176" s="4" t="s">
        <v>251</v>
      </c>
      <c r="AK176" s="4" t="s">
        <v>252</v>
      </c>
      <c r="BA176" s="4" t="s">
        <v>254</v>
      </c>
      <c r="BB176" s="4" t="s">
        <v>241</v>
      </c>
      <c r="BC176" s="4" t="s">
        <v>255</v>
      </c>
      <c r="BD176" s="4" t="s">
        <v>241</v>
      </c>
      <c r="BE176" s="4" t="s">
        <v>257</v>
      </c>
      <c r="BF176" s="4" t="s">
        <v>241</v>
      </c>
      <c r="BH176" s="4" t="s">
        <v>258</v>
      </c>
      <c r="BJ176" s="4" t="s">
        <v>367</v>
      </c>
      <c r="BK176" s="5" t="s">
        <v>249</v>
      </c>
      <c r="BL176" s="4" t="s">
        <v>261</v>
      </c>
      <c r="BM176" s="4" t="s">
        <v>262</v>
      </c>
      <c r="BN176" s="4" t="s">
        <v>241</v>
      </c>
      <c r="BO176" s="6">
        <f>0</f>
        <v>0</v>
      </c>
      <c r="BP176" s="6">
        <f>0</f>
        <v>0</v>
      </c>
      <c r="BQ176" s="4" t="s">
        <v>263</v>
      </c>
      <c r="BR176" s="4" t="s">
        <v>264</v>
      </c>
      <c r="CF176" s="4" t="s">
        <v>241</v>
      </c>
      <c r="CG176" s="4" t="s">
        <v>241</v>
      </c>
      <c r="CK176" s="4" t="s">
        <v>265</v>
      </c>
      <c r="CL176" s="4" t="s">
        <v>266</v>
      </c>
      <c r="CM176" s="4" t="s">
        <v>241</v>
      </c>
      <c r="CO176" s="4" t="s">
        <v>267</v>
      </c>
      <c r="CP176" s="5" t="s">
        <v>268</v>
      </c>
      <c r="CQ176" s="4" t="s">
        <v>269</v>
      </c>
      <c r="CR176" s="4" t="s">
        <v>270</v>
      </c>
      <c r="CS176" s="4" t="s">
        <v>241</v>
      </c>
      <c r="CT176" s="4" t="s">
        <v>241</v>
      </c>
      <c r="CU176" s="4">
        <v>0</v>
      </c>
      <c r="CV176" s="4" t="s">
        <v>271</v>
      </c>
      <c r="CW176" s="4" t="s">
        <v>272</v>
      </c>
      <c r="CX176" s="4" t="s">
        <v>347</v>
      </c>
      <c r="CZ176" s="6">
        <f>2584200</f>
        <v>2584200</v>
      </c>
      <c r="DA176" s="6">
        <f>0</f>
        <v>0</v>
      </c>
      <c r="DC176" s="4" t="s">
        <v>241</v>
      </c>
      <c r="DD176" s="4" t="s">
        <v>241</v>
      </c>
      <c r="DF176" s="4" t="s">
        <v>241</v>
      </c>
      <c r="DI176" s="4" t="s">
        <v>241</v>
      </c>
      <c r="DJ176" s="4" t="s">
        <v>241</v>
      </c>
      <c r="DK176" s="4" t="s">
        <v>241</v>
      </c>
      <c r="DL176" s="4" t="s">
        <v>241</v>
      </c>
      <c r="DM176" s="4" t="s">
        <v>323</v>
      </c>
      <c r="DN176" s="4" t="s">
        <v>278</v>
      </c>
      <c r="DO176" s="6">
        <f>43.07</f>
        <v>43.07</v>
      </c>
      <c r="DP176" s="4" t="s">
        <v>241</v>
      </c>
      <c r="DQ176" s="4" t="s">
        <v>241</v>
      </c>
      <c r="DR176" s="4" t="s">
        <v>241</v>
      </c>
      <c r="DS176" s="4" t="s">
        <v>241</v>
      </c>
      <c r="DV176" s="4" t="s">
        <v>3591</v>
      </c>
      <c r="DW176" s="4" t="s">
        <v>277</v>
      </c>
      <c r="HO176" s="4" t="s">
        <v>277</v>
      </c>
      <c r="HR176" s="4" t="s">
        <v>278</v>
      </c>
      <c r="HS176" s="4" t="s">
        <v>278</v>
      </c>
    </row>
    <row r="177" spans="1:240" x14ac:dyDescent="0.4">
      <c r="A177" s="4">
        <v>2</v>
      </c>
      <c r="B177" s="4" t="s">
        <v>239</v>
      </c>
      <c r="C177" s="4">
        <v>186</v>
      </c>
      <c r="D177" s="4">
        <v>1</v>
      </c>
      <c r="E177" s="4">
        <v>1</v>
      </c>
      <c r="F177" s="4" t="s">
        <v>240</v>
      </c>
      <c r="G177" s="4" t="s">
        <v>241</v>
      </c>
      <c r="H177" s="4" t="s">
        <v>241</v>
      </c>
      <c r="I177" s="4" t="s">
        <v>3604</v>
      </c>
      <c r="J177" s="4" t="s">
        <v>247</v>
      </c>
      <c r="K177" s="4" t="s">
        <v>256</v>
      </c>
      <c r="L177" s="4" t="s">
        <v>3027</v>
      </c>
      <c r="M177" s="5" t="s">
        <v>3605</v>
      </c>
      <c r="N177" s="4" t="s">
        <v>3027</v>
      </c>
      <c r="O177" s="6">
        <f>29.81</f>
        <v>29.81</v>
      </c>
      <c r="P177" s="4" t="s">
        <v>276</v>
      </c>
      <c r="Q177" s="6">
        <f>1</f>
        <v>1</v>
      </c>
      <c r="R177" s="6">
        <f>1788600</f>
        <v>1788600</v>
      </c>
      <c r="S177" s="5" t="s">
        <v>248</v>
      </c>
      <c r="T177" s="4" t="s">
        <v>348</v>
      </c>
      <c r="U177" s="4" t="s">
        <v>275</v>
      </c>
      <c r="W177" s="6">
        <f>1788599</f>
        <v>1788599</v>
      </c>
      <c r="X177" s="4" t="s">
        <v>243</v>
      </c>
      <c r="Y177" s="4" t="s">
        <v>244</v>
      </c>
      <c r="Z177" s="4" t="s">
        <v>246</v>
      </c>
      <c r="AA177" s="4" t="s">
        <v>241</v>
      </c>
      <c r="AD177" s="4" t="s">
        <v>241</v>
      </c>
      <c r="AF177" s="5" t="s">
        <v>241</v>
      </c>
      <c r="AI177" s="5" t="s">
        <v>249</v>
      </c>
      <c r="AJ177" s="4" t="s">
        <v>251</v>
      </c>
      <c r="AK177" s="4" t="s">
        <v>252</v>
      </c>
      <c r="BA177" s="4" t="s">
        <v>254</v>
      </c>
      <c r="BB177" s="4" t="s">
        <v>241</v>
      </c>
      <c r="BC177" s="4" t="s">
        <v>255</v>
      </c>
      <c r="BD177" s="4" t="s">
        <v>241</v>
      </c>
      <c r="BE177" s="4" t="s">
        <v>257</v>
      </c>
      <c r="BF177" s="4" t="s">
        <v>241</v>
      </c>
      <c r="BH177" s="4" t="s">
        <v>258</v>
      </c>
      <c r="BJ177" s="4" t="s">
        <v>374</v>
      </c>
      <c r="BK177" s="5" t="s">
        <v>375</v>
      </c>
      <c r="BL177" s="4" t="s">
        <v>261</v>
      </c>
      <c r="BM177" s="4" t="s">
        <v>262</v>
      </c>
      <c r="BN177" s="4" t="s">
        <v>241</v>
      </c>
      <c r="BO177" s="6">
        <f>0</f>
        <v>0</v>
      </c>
      <c r="BP177" s="6">
        <f>0</f>
        <v>0</v>
      </c>
      <c r="BQ177" s="4" t="s">
        <v>263</v>
      </c>
      <c r="BR177" s="4" t="s">
        <v>264</v>
      </c>
      <c r="CF177" s="4" t="s">
        <v>241</v>
      </c>
      <c r="CG177" s="4" t="s">
        <v>241</v>
      </c>
      <c r="CK177" s="4" t="s">
        <v>265</v>
      </c>
      <c r="CL177" s="4" t="s">
        <v>266</v>
      </c>
      <c r="CM177" s="4" t="s">
        <v>241</v>
      </c>
      <c r="CO177" s="4" t="s">
        <v>267</v>
      </c>
      <c r="CP177" s="5" t="s">
        <v>268</v>
      </c>
      <c r="CQ177" s="4" t="s">
        <v>269</v>
      </c>
      <c r="CR177" s="4" t="s">
        <v>270</v>
      </c>
      <c r="CS177" s="4" t="s">
        <v>241</v>
      </c>
      <c r="CT177" s="4" t="s">
        <v>241</v>
      </c>
      <c r="CU177" s="4">
        <v>0</v>
      </c>
      <c r="CV177" s="4" t="s">
        <v>271</v>
      </c>
      <c r="CW177" s="4" t="s">
        <v>272</v>
      </c>
      <c r="CX177" s="4" t="s">
        <v>347</v>
      </c>
      <c r="CZ177" s="6">
        <f>1788600</f>
        <v>1788600</v>
      </c>
      <c r="DA177" s="6">
        <f>0</f>
        <v>0</v>
      </c>
      <c r="DC177" s="4" t="s">
        <v>241</v>
      </c>
      <c r="DD177" s="4" t="s">
        <v>241</v>
      </c>
      <c r="DF177" s="4" t="s">
        <v>241</v>
      </c>
      <c r="DI177" s="4" t="s">
        <v>241</v>
      </c>
      <c r="DJ177" s="4" t="s">
        <v>241</v>
      </c>
      <c r="DK177" s="4" t="s">
        <v>241</v>
      </c>
      <c r="DL177" s="4" t="s">
        <v>241</v>
      </c>
      <c r="DM177" s="4" t="s">
        <v>277</v>
      </c>
      <c r="DN177" s="4" t="s">
        <v>278</v>
      </c>
      <c r="DO177" s="6">
        <f>29.81</f>
        <v>29.81</v>
      </c>
      <c r="DP177" s="4" t="s">
        <v>241</v>
      </c>
      <c r="DQ177" s="4" t="s">
        <v>241</v>
      </c>
      <c r="DR177" s="4" t="s">
        <v>241</v>
      </c>
      <c r="DS177" s="4" t="s">
        <v>241</v>
      </c>
      <c r="DV177" s="4" t="s">
        <v>3606</v>
      </c>
      <c r="DW177" s="4" t="s">
        <v>277</v>
      </c>
      <c r="HO177" s="4" t="s">
        <v>277</v>
      </c>
      <c r="HR177" s="4" t="s">
        <v>278</v>
      </c>
      <c r="HS177" s="4" t="s">
        <v>278</v>
      </c>
    </row>
    <row r="178" spans="1:240" x14ac:dyDescent="0.4">
      <c r="A178" s="4">
        <v>2</v>
      </c>
      <c r="B178" s="4" t="s">
        <v>239</v>
      </c>
      <c r="C178" s="4">
        <v>187</v>
      </c>
      <c r="D178" s="4">
        <v>1</v>
      </c>
      <c r="E178" s="4">
        <v>1</v>
      </c>
      <c r="F178" s="4" t="s">
        <v>240</v>
      </c>
      <c r="G178" s="4" t="s">
        <v>241</v>
      </c>
      <c r="H178" s="4" t="s">
        <v>241</v>
      </c>
      <c r="I178" s="4" t="s">
        <v>3607</v>
      </c>
      <c r="J178" s="4" t="s">
        <v>247</v>
      </c>
      <c r="K178" s="4" t="s">
        <v>256</v>
      </c>
      <c r="L178" s="4" t="s">
        <v>250</v>
      </c>
      <c r="M178" s="5" t="s">
        <v>3608</v>
      </c>
      <c r="N178" s="4" t="s">
        <v>242</v>
      </c>
      <c r="O178" s="6">
        <f>75.35</f>
        <v>75.349999999999994</v>
      </c>
      <c r="P178" s="4" t="s">
        <v>276</v>
      </c>
      <c r="Q178" s="6">
        <f>1</f>
        <v>1</v>
      </c>
      <c r="R178" s="6">
        <f>4521000</f>
        <v>4521000</v>
      </c>
      <c r="S178" s="5" t="s">
        <v>248</v>
      </c>
      <c r="T178" s="4" t="s">
        <v>348</v>
      </c>
      <c r="U178" s="4" t="s">
        <v>275</v>
      </c>
      <c r="W178" s="6">
        <f>4520999</f>
        <v>4520999</v>
      </c>
      <c r="X178" s="4" t="s">
        <v>243</v>
      </c>
      <c r="Y178" s="4" t="s">
        <v>244</v>
      </c>
      <c r="Z178" s="4" t="s">
        <v>246</v>
      </c>
      <c r="AA178" s="4" t="s">
        <v>241</v>
      </c>
      <c r="AD178" s="4" t="s">
        <v>241</v>
      </c>
      <c r="AF178" s="5" t="s">
        <v>241</v>
      </c>
      <c r="AI178" s="5" t="s">
        <v>249</v>
      </c>
      <c r="AJ178" s="4" t="s">
        <v>251</v>
      </c>
      <c r="AK178" s="4" t="s">
        <v>252</v>
      </c>
      <c r="BA178" s="4" t="s">
        <v>254</v>
      </c>
      <c r="BB178" s="4" t="s">
        <v>241</v>
      </c>
      <c r="BC178" s="4" t="s">
        <v>255</v>
      </c>
      <c r="BD178" s="4" t="s">
        <v>241</v>
      </c>
      <c r="BE178" s="4" t="s">
        <v>257</v>
      </c>
      <c r="BF178" s="4" t="s">
        <v>241</v>
      </c>
      <c r="BH178" s="4" t="s">
        <v>258</v>
      </c>
      <c r="BJ178" s="4" t="s">
        <v>377</v>
      </c>
      <c r="BK178" s="5" t="s">
        <v>378</v>
      </c>
      <c r="BL178" s="4" t="s">
        <v>261</v>
      </c>
      <c r="BM178" s="4" t="s">
        <v>262</v>
      </c>
      <c r="BN178" s="4" t="s">
        <v>241</v>
      </c>
      <c r="BO178" s="6">
        <f>0</f>
        <v>0</v>
      </c>
      <c r="BP178" s="6">
        <f>0</f>
        <v>0</v>
      </c>
      <c r="BQ178" s="4" t="s">
        <v>263</v>
      </c>
      <c r="BR178" s="4" t="s">
        <v>264</v>
      </c>
      <c r="CF178" s="4" t="s">
        <v>241</v>
      </c>
      <c r="CG178" s="4" t="s">
        <v>241</v>
      </c>
      <c r="CK178" s="4" t="s">
        <v>265</v>
      </c>
      <c r="CL178" s="4" t="s">
        <v>266</v>
      </c>
      <c r="CM178" s="4" t="s">
        <v>241</v>
      </c>
      <c r="CO178" s="4" t="s">
        <v>267</v>
      </c>
      <c r="CP178" s="5" t="s">
        <v>268</v>
      </c>
      <c r="CQ178" s="4" t="s">
        <v>269</v>
      </c>
      <c r="CR178" s="4" t="s">
        <v>270</v>
      </c>
      <c r="CS178" s="4" t="s">
        <v>241</v>
      </c>
      <c r="CT178" s="4" t="s">
        <v>241</v>
      </c>
      <c r="CU178" s="4">
        <v>0</v>
      </c>
      <c r="CV178" s="4" t="s">
        <v>271</v>
      </c>
      <c r="CW178" s="4" t="s">
        <v>272</v>
      </c>
      <c r="CX178" s="4" t="s">
        <v>347</v>
      </c>
      <c r="CZ178" s="6">
        <f>4521000</f>
        <v>4521000</v>
      </c>
      <c r="DA178" s="6">
        <f>0</f>
        <v>0</v>
      </c>
      <c r="DC178" s="4" t="s">
        <v>241</v>
      </c>
      <c r="DD178" s="4" t="s">
        <v>241</v>
      </c>
      <c r="DF178" s="4" t="s">
        <v>241</v>
      </c>
      <c r="DI178" s="4" t="s">
        <v>241</v>
      </c>
      <c r="DJ178" s="4" t="s">
        <v>241</v>
      </c>
      <c r="DK178" s="4" t="s">
        <v>241</v>
      </c>
      <c r="DL178" s="4" t="s">
        <v>241</v>
      </c>
      <c r="DM178" s="4" t="s">
        <v>277</v>
      </c>
      <c r="DN178" s="4" t="s">
        <v>278</v>
      </c>
      <c r="DO178" s="6">
        <f>75.35</f>
        <v>75.349999999999994</v>
      </c>
      <c r="DP178" s="4" t="s">
        <v>241</v>
      </c>
      <c r="DQ178" s="4" t="s">
        <v>241</v>
      </c>
      <c r="DR178" s="4" t="s">
        <v>241</v>
      </c>
      <c r="DS178" s="4" t="s">
        <v>241</v>
      </c>
      <c r="DV178" s="4" t="s">
        <v>3609</v>
      </c>
      <c r="DW178" s="4" t="s">
        <v>277</v>
      </c>
      <c r="HO178" s="4" t="s">
        <v>277</v>
      </c>
      <c r="HR178" s="4" t="s">
        <v>278</v>
      </c>
      <c r="HS178" s="4" t="s">
        <v>278</v>
      </c>
    </row>
    <row r="179" spans="1:240" x14ac:dyDescent="0.4">
      <c r="A179" s="4">
        <v>2</v>
      </c>
      <c r="B179" s="4" t="s">
        <v>239</v>
      </c>
      <c r="C179" s="4">
        <v>188</v>
      </c>
      <c r="D179" s="4">
        <v>1</v>
      </c>
      <c r="E179" s="4">
        <v>1</v>
      </c>
      <c r="F179" s="4" t="s">
        <v>240</v>
      </c>
      <c r="G179" s="4" t="s">
        <v>241</v>
      </c>
      <c r="H179" s="4" t="s">
        <v>241</v>
      </c>
      <c r="I179" s="4" t="s">
        <v>3610</v>
      </c>
      <c r="J179" s="4" t="s">
        <v>247</v>
      </c>
      <c r="K179" s="4" t="s">
        <v>256</v>
      </c>
      <c r="L179" s="4" t="s">
        <v>250</v>
      </c>
      <c r="M179" s="5" t="s">
        <v>3611</v>
      </c>
      <c r="N179" s="4" t="s">
        <v>242</v>
      </c>
      <c r="O179" s="6">
        <f>41.69</f>
        <v>41.69</v>
      </c>
      <c r="P179" s="4" t="s">
        <v>276</v>
      </c>
      <c r="Q179" s="6">
        <f>1</f>
        <v>1</v>
      </c>
      <c r="R179" s="6">
        <f>2501400</f>
        <v>2501400</v>
      </c>
      <c r="S179" s="5" t="s">
        <v>248</v>
      </c>
      <c r="T179" s="4" t="s">
        <v>348</v>
      </c>
      <c r="U179" s="4" t="s">
        <v>275</v>
      </c>
      <c r="W179" s="6">
        <f>2501399</f>
        <v>2501399</v>
      </c>
      <c r="X179" s="4" t="s">
        <v>243</v>
      </c>
      <c r="Y179" s="4" t="s">
        <v>244</v>
      </c>
      <c r="Z179" s="4" t="s">
        <v>246</v>
      </c>
      <c r="AA179" s="4" t="s">
        <v>241</v>
      </c>
      <c r="AD179" s="4" t="s">
        <v>241</v>
      </c>
      <c r="AF179" s="5" t="s">
        <v>241</v>
      </c>
      <c r="AI179" s="5" t="s">
        <v>249</v>
      </c>
      <c r="AJ179" s="4" t="s">
        <v>251</v>
      </c>
      <c r="AK179" s="4" t="s">
        <v>252</v>
      </c>
      <c r="BA179" s="4" t="s">
        <v>254</v>
      </c>
      <c r="BB179" s="4" t="s">
        <v>241</v>
      </c>
      <c r="BC179" s="4" t="s">
        <v>255</v>
      </c>
      <c r="BD179" s="4" t="s">
        <v>241</v>
      </c>
      <c r="BE179" s="4" t="s">
        <v>257</v>
      </c>
      <c r="BF179" s="4" t="s">
        <v>241</v>
      </c>
      <c r="BH179" s="4" t="s">
        <v>258</v>
      </c>
      <c r="BJ179" s="4" t="s">
        <v>259</v>
      </c>
      <c r="BK179" s="5" t="s">
        <v>260</v>
      </c>
      <c r="BL179" s="4" t="s">
        <v>261</v>
      </c>
      <c r="BM179" s="4" t="s">
        <v>262</v>
      </c>
      <c r="BN179" s="4" t="s">
        <v>241</v>
      </c>
      <c r="BO179" s="6">
        <f>0</f>
        <v>0</v>
      </c>
      <c r="BP179" s="6">
        <f>0</f>
        <v>0</v>
      </c>
      <c r="BQ179" s="4" t="s">
        <v>263</v>
      </c>
      <c r="BR179" s="4" t="s">
        <v>264</v>
      </c>
      <c r="CF179" s="4" t="s">
        <v>241</v>
      </c>
      <c r="CG179" s="4" t="s">
        <v>241</v>
      </c>
      <c r="CK179" s="4" t="s">
        <v>265</v>
      </c>
      <c r="CL179" s="4" t="s">
        <v>266</v>
      </c>
      <c r="CM179" s="4" t="s">
        <v>241</v>
      </c>
      <c r="CO179" s="4" t="s">
        <v>267</v>
      </c>
      <c r="CP179" s="5" t="s">
        <v>268</v>
      </c>
      <c r="CQ179" s="4" t="s">
        <v>269</v>
      </c>
      <c r="CR179" s="4" t="s">
        <v>270</v>
      </c>
      <c r="CS179" s="4" t="s">
        <v>241</v>
      </c>
      <c r="CT179" s="4" t="s">
        <v>241</v>
      </c>
      <c r="CU179" s="4">
        <v>0</v>
      </c>
      <c r="CV179" s="4" t="s">
        <v>271</v>
      </c>
      <c r="CW179" s="4" t="s">
        <v>272</v>
      </c>
      <c r="CX179" s="4" t="s">
        <v>347</v>
      </c>
      <c r="CZ179" s="6">
        <f>2501400</f>
        <v>2501400</v>
      </c>
      <c r="DA179" s="6">
        <f>0</f>
        <v>0</v>
      </c>
      <c r="DC179" s="4" t="s">
        <v>241</v>
      </c>
      <c r="DD179" s="4" t="s">
        <v>241</v>
      </c>
      <c r="DF179" s="4" t="s">
        <v>241</v>
      </c>
      <c r="DI179" s="4" t="s">
        <v>241</v>
      </c>
      <c r="DJ179" s="4" t="s">
        <v>241</v>
      </c>
      <c r="DK179" s="4" t="s">
        <v>241</v>
      </c>
      <c r="DL179" s="4" t="s">
        <v>241</v>
      </c>
      <c r="DM179" s="4" t="s">
        <v>277</v>
      </c>
      <c r="DN179" s="4" t="s">
        <v>278</v>
      </c>
      <c r="DO179" s="6">
        <f>41.69</f>
        <v>41.69</v>
      </c>
      <c r="DP179" s="4" t="s">
        <v>241</v>
      </c>
      <c r="DQ179" s="4" t="s">
        <v>241</v>
      </c>
      <c r="DR179" s="4" t="s">
        <v>241</v>
      </c>
      <c r="DS179" s="4" t="s">
        <v>241</v>
      </c>
      <c r="DV179" s="4" t="s">
        <v>3612</v>
      </c>
      <c r="DW179" s="4" t="s">
        <v>277</v>
      </c>
      <c r="HO179" s="4" t="s">
        <v>277</v>
      </c>
      <c r="HR179" s="4" t="s">
        <v>278</v>
      </c>
      <c r="HS179" s="4" t="s">
        <v>278</v>
      </c>
    </row>
    <row r="180" spans="1:240" x14ac:dyDescent="0.4">
      <c r="A180" s="4">
        <v>2</v>
      </c>
      <c r="B180" s="4" t="s">
        <v>239</v>
      </c>
      <c r="C180" s="4">
        <v>189</v>
      </c>
      <c r="D180" s="4">
        <v>1</v>
      </c>
      <c r="E180" s="4">
        <v>1</v>
      </c>
      <c r="F180" s="4" t="s">
        <v>240</v>
      </c>
      <c r="G180" s="4" t="s">
        <v>241</v>
      </c>
      <c r="H180" s="4" t="s">
        <v>241</v>
      </c>
      <c r="I180" s="4" t="s">
        <v>3613</v>
      </c>
      <c r="J180" s="4" t="s">
        <v>247</v>
      </c>
      <c r="K180" s="4" t="s">
        <v>256</v>
      </c>
      <c r="L180" s="4" t="s">
        <v>250</v>
      </c>
      <c r="M180" s="5" t="s">
        <v>3614</v>
      </c>
      <c r="N180" s="4" t="s">
        <v>242</v>
      </c>
      <c r="O180" s="6">
        <f>36.43</f>
        <v>36.43</v>
      </c>
      <c r="P180" s="4" t="s">
        <v>276</v>
      </c>
      <c r="Q180" s="6">
        <f>1</f>
        <v>1</v>
      </c>
      <c r="R180" s="6">
        <f>2185800</f>
        <v>2185800</v>
      </c>
      <c r="S180" s="5" t="s">
        <v>248</v>
      </c>
      <c r="T180" s="4" t="s">
        <v>348</v>
      </c>
      <c r="U180" s="4" t="s">
        <v>275</v>
      </c>
      <c r="W180" s="6">
        <f>2185799</f>
        <v>2185799</v>
      </c>
      <c r="X180" s="4" t="s">
        <v>243</v>
      </c>
      <c r="Y180" s="4" t="s">
        <v>244</v>
      </c>
      <c r="Z180" s="4" t="s">
        <v>246</v>
      </c>
      <c r="AA180" s="4" t="s">
        <v>241</v>
      </c>
      <c r="AD180" s="4" t="s">
        <v>241</v>
      </c>
      <c r="AF180" s="5" t="s">
        <v>241</v>
      </c>
      <c r="AI180" s="5" t="s">
        <v>249</v>
      </c>
      <c r="AJ180" s="4" t="s">
        <v>251</v>
      </c>
      <c r="AK180" s="4" t="s">
        <v>252</v>
      </c>
      <c r="BA180" s="4" t="s">
        <v>254</v>
      </c>
      <c r="BB180" s="4" t="s">
        <v>241</v>
      </c>
      <c r="BC180" s="4" t="s">
        <v>255</v>
      </c>
      <c r="BD180" s="4" t="s">
        <v>241</v>
      </c>
      <c r="BE180" s="4" t="s">
        <v>257</v>
      </c>
      <c r="BF180" s="4" t="s">
        <v>241</v>
      </c>
      <c r="BH180" s="4" t="s">
        <v>258</v>
      </c>
      <c r="BJ180" s="4" t="s">
        <v>367</v>
      </c>
      <c r="BK180" s="5" t="s">
        <v>249</v>
      </c>
      <c r="BL180" s="4" t="s">
        <v>261</v>
      </c>
      <c r="BM180" s="4" t="s">
        <v>262</v>
      </c>
      <c r="BN180" s="4" t="s">
        <v>241</v>
      </c>
      <c r="BO180" s="6">
        <f>0</f>
        <v>0</v>
      </c>
      <c r="BP180" s="6">
        <f>0</f>
        <v>0</v>
      </c>
      <c r="BQ180" s="4" t="s">
        <v>263</v>
      </c>
      <c r="BR180" s="4" t="s">
        <v>264</v>
      </c>
      <c r="CF180" s="4" t="s">
        <v>241</v>
      </c>
      <c r="CG180" s="4" t="s">
        <v>241</v>
      </c>
      <c r="CK180" s="4" t="s">
        <v>265</v>
      </c>
      <c r="CL180" s="4" t="s">
        <v>266</v>
      </c>
      <c r="CM180" s="4" t="s">
        <v>241</v>
      </c>
      <c r="CO180" s="4" t="s">
        <v>267</v>
      </c>
      <c r="CP180" s="5" t="s">
        <v>268</v>
      </c>
      <c r="CQ180" s="4" t="s">
        <v>269</v>
      </c>
      <c r="CR180" s="4" t="s">
        <v>270</v>
      </c>
      <c r="CS180" s="4" t="s">
        <v>241</v>
      </c>
      <c r="CT180" s="4" t="s">
        <v>241</v>
      </c>
      <c r="CU180" s="4">
        <v>0</v>
      </c>
      <c r="CV180" s="4" t="s">
        <v>271</v>
      </c>
      <c r="CW180" s="4" t="s">
        <v>272</v>
      </c>
      <c r="CX180" s="4" t="s">
        <v>347</v>
      </c>
      <c r="CZ180" s="6">
        <f>2185800</f>
        <v>2185800</v>
      </c>
      <c r="DA180" s="6">
        <f>0</f>
        <v>0</v>
      </c>
      <c r="DC180" s="4" t="s">
        <v>241</v>
      </c>
      <c r="DD180" s="4" t="s">
        <v>241</v>
      </c>
      <c r="DF180" s="4" t="s">
        <v>241</v>
      </c>
      <c r="DI180" s="4" t="s">
        <v>241</v>
      </c>
      <c r="DJ180" s="4" t="s">
        <v>241</v>
      </c>
      <c r="DK180" s="4" t="s">
        <v>241</v>
      </c>
      <c r="DL180" s="4" t="s">
        <v>241</v>
      </c>
      <c r="DM180" s="4" t="s">
        <v>277</v>
      </c>
      <c r="DN180" s="4" t="s">
        <v>278</v>
      </c>
      <c r="DO180" s="6">
        <f>36.43</f>
        <v>36.43</v>
      </c>
      <c r="DP180" s="4" t="s">
        <v>241</v>
      </c>
      <c r="DQ180" s="4" t="s">
        <v>241</v>
      </c>
      <c r="DR180" s="4" t="s">
        <v>241</v>
      </c>
      <c r="DS180" s="4" t="s">
        <v>241</v>
      </c>
      <c r="DV180" s="4" t="s">
        <v>3615</v>
      </c>
      <c r="DW180" s="4" t="s">
        <v>277</v>
      </c>
      <c r="HO180" s="4" t="s">
        <v>277</v>
      </c>
      <c r="HR180" s="4" t="s">
        <v>278</v>
      </c>
      <c r="HS180" s="4" t="s">
        <v>278</v>
      </c>
    </row>
    <row r="181" spans="1:240" x14ac:dyDescent="0.4">
      <c r="A181" s="4">
        <v>2</v>
      </c>
      <c r="B181" s="4" t="s">
        <v>239</v>
      </c>
      <c r="C181" s="4">
        <v>190</v>
      </c>
      <c r="D181" s="4">
        <v>1</v>
      </c>
      <c r="E181" s="4">
        <v>1</v>
      </c>
      <c r="F181" s="4" t="s">
        <v>240</v>
      </c>
      <c r="G181" s="4" t="s">
        <v>241</v>
      </c>
      <c r="H181" s="4" t="s">
        <v>241</v>
      </c>
      <c r="I181" s="4" t="s">
        <v>3616</v>
      </c>
      <c r="J181" s="4" t="s">
        <v>247</v>
      </c>
      <c r="K181" s="4" t="s">
        <v>256</v>
      </c>
      <c r="L181" s="4" t="s">
        <v>250</v>
      </c>
      <c r="M181" s="5" t="s">
        <v>3617</v>
      </c>
      <c r="N181" s="4" t="s">
        <v>242</v>
      </c>
      <c r="O181" s="6">
        <f>45.45</f>
        <v>45.45</v>
      </c>
      <c r="P181" s="4" t="s">
        <v>276</v>
      </c>
      <c r="Q181" s="6">
        <f>1</f>
        <v>1</v>
      </c>
      <c r="R181" s="6">
        <f>2727000</f>
        <v>2727000</v>
      </c>
      <c r="S181" s="5" t="s">
        <v>248</v>
      </c>
      <c r="T181" s="4" t="s">
        <v>348</v>
      </c>
      <c r="U181" s="4" t="s">
        <v>275</v>
      </c>
      <c r="W181" s="6">
        <f>2726999</f>
        <v>2726999</v>
      </c>
      <c r="X181" s="4" t="s">
        <v>243</v>
      </c>
      <c r="Y181" s="4" t="s">
        <v>244</v>
      </c>
      <c r="Z181" s="4" t="s">
        <v>246</v>
      </c>
      <c r="AA181" s="4" t="s">
        <v>241</v>
      </c>
      <c r="AD181" s="4" t="s">
        <v>241</v>
      </c>
      <c r="AF181" s="5" t="s">
        <v>241</v>
      </c>
      <c r="AI181" s="5" t="s">
        <v>249</v>
      </c>
      <c r="AJ181" s="4" t="s">
        <v>251</v>
      </c>
      <c r="AK181" s="4" t="s">
        <v>252</v>
      </c>
      <c r="BA181" s="4" t="s">
        <v>254</v>
      </c>
      <c r="BB181" s="4" t="s">
        <v>241</v>
      </c>
      <c r="BC181" s="4" t="s">
        <v>255</v>
      </c>
      <c r="BD181" s="4" t="s">
        <v>241</v>
      </c>
      <c r="BE181" s="4" t="s">
        <v>257</v>
      </c>
      <c r="BF181" s="4" t="s">
        <v>241</v>
      </c>
      <c r="BH181" s="4" t="s">
        <v>258</v>
      </c>
      <c r="BJ181" s="4" t="s">
        <v>374</v>
      </c>
      <c r="BK181" s="5" t="s">
        <v>375</v>
      </c>
      <c r="BL181" s="4" t="s">
        <v>261</v>
      </c>
      <c r="BM181" s="4" t="s">
        <v>262</v>
      </c>
      <c r="BN181" s="4" t="s">
        <v>241</v>
      </c>
      <c r="BO181" s="6">
        <f>0</f>
        <v>0</v>
      </c>
      <c r="BP181" s="6">
        <f>0</f>
        <v>0</v>
      </c>
      <c r="BQ181" s="4" t="s">
        <v>263</v>
      </c>
      <c r="BR181" s="4" t="s">
        <v>264</v>
      </c>
      <c r="CF181" s="4" t="s">
        <v>241</v>
      </c>
      <c r="CG181" s="4" t="s">
        <v>241</v>
      </c>
      <c r="CK181" s="4" t="s">
        <v>265</v>
      </c>
      <c r="CL181" s="4" t="s">
        <v>266</v>
      </c>
      <c r="CM181" s="4" t="s">
        <v>241</v>
      </c>
      <c r="CO181" s="4" t="s">
        <v>267</v>
      </c>
      <c r="CP181" s="5" t="s">
        <v>268</v>
      </c>
      <c r="CQ181" s="4" t="s">
        <v>269</v>
      </c>
      <c r="CR181" s="4" t="s">
        <v>270</v>
      </c>
      <c r="CS181" s="4" t="s">
        <v>241</v>
      </c>
      <c r="CT181" s="4" t="s">
        <v>241</v>
      </c>
      <c r="CU181" s="4">
        <v>0</v>
      </c>
      <c r="CV181" s="4" t="s">
        <v>271</v>
      </c>
      <c r="CW181" s="4" t="s">
        <v>272</v>
      </c>
      <c r="CX181" s="4" t="s">
        <v>347</v>
      </c>
      <c r="CZ181" s="6">
        <f>2727000</f>
        <v>2727000</v>
      </c>
      <c r="DA181" s="6">
        <f>0</f>
        <v>0</v>
      </c>
      <c r="DC181" s="4" t="s">
        <v>241</v>
      </c>
      <c r="DD181" s="4" t="s">
        <v>241</v>
      </c>
      <c r="DF181" s="4" t="s">
        <v>241</v>
      </c>
      <c r="DI181" s="4" t="s">
        <v>241</v>
      </c>
      <c r="DJ181" s="4" t="s">
        <v>241</v>
      </c>
      <c r="DK181" s="4" t="s">
        <v>241</v>
      </c>
      <c r="DL181" s="4" t="s">
        <v>241</v>
      </c>
      <c r="DM181" s="4" t="s">
        <v>277</v>
      </c>
      <c r="DN181" s="4" t="s">
        <v>278</v>
      </c>
      <c r="DO181" s="6">
        <f>45.45</f>
        <v>45.45</v>
      </c>
      <c r="DP181" s="4" t="s">
        <v>241</v>
      </c>
      <c r="DQ181" s="4" t="s">
        <v>241</v>
      </c>
      <c r="DR181" s="4" t="s">
        <v>241</v>
      </c>
      <c r="DS181" s="4" t="s">
        <v>241</v>
      </c>
      <c r="DV181" s="4" t="s">
        <v>3618</v>
      </c>
      <c r="DW181" s="4" t="s">
        <v>277</v>
      </c>
      <c r="HO181" s="4" t="s">
        <v>277</v>
      </c>
      <c r="HR181" s="4" t="s">
        <v>278</v>
      </c>
      <c r="HS181" s="4" t="s">
        <v>278</v>
      </c>
    </row>
    <row r="182" spans="1:240" x14ac:dyDescent="0.4">
      <c r="A182" s="4">
        <v>2</v>
      </c>
      <c r="B182" s="4" t="s">
        <v>239</v>
      </c>
      <c r="C182" s="4">
        <v>191</v>
      </c>
      <c r="D182" s="4">
        <v>1</v>
      </c>
      <c r="E182" s="4">
        <v>1</v>
      </c>
      <c r="F182" s="4" t="s">
        <v>240</v>
      </c>
      <c r="G182" s="4" t="s">
        <v>241</v>
      </c>
      <c r="H182" s="4" t="s">
        <v>241</v>
      </c>
      <c r="I182" s="4" t="s">
        <v>3619</v>
      </c>
      <c r="J182" s="4" t="s">
        <v>247</v>
      </c>
      <c r="K182" s="4" t="s">
        <v>256</v>
      </c>
      <c r="L182" s="4" t="s">
        <v>250</v>
      </c>
      <c r="M182" s="5" t="s">
        <v>3620</v>
      </c>
      <c r="N182" s="4" t="s">
        <v>242</v>
      </c>
      <c r="O182" s="6">
        <f>41.69</f>
        <v>41.69</v>
      </c>
      <c r="P182" s="4" t="s">
        <v>276</v>
      </c>
      <c r="Q182" s="6">
        <f>1</f>
        <v>1</v>
      </c>
      <c r="R182" s="6">
        <f>2501400</f>
        <v>2501400</v>
      </c>
      <c r="S182" s="5" t="s">
        <v>248</v>
      </c>
      <c r="T182" s="4" t="s">
        <v>348</v>
      </c>
      <c r="U182" s="4" t="s">
        <v>275</v>
      </c>
      <c r="W182" s="6">
        <f>2501399</f>
        <v>2501399</v>
      </c>
      <c r="X182" s="4" t="s">
        <v>243</v>
      </c>
      <c r="Y182" s="4" t="s">
        <v>244</v>
      </c>
      <c r="Z182" s="4" t="s">
        <v>246</v>
      </c>
      <c r="AA182" s="4" t="s">
        <v>241</v>
      </c>
      <c r="AD182" s="4" t="s">
        <v>241</v>
      </c>
      <c r="AF182" s="5" t="s">
        <v>241</v>
      </c>
      <c r="AI182" s="5" t="s">
        <v>249</v>
      </c>
      <c r="AJ182" s="4" t="s">
        <v>251</v>
      </c>
      <c r="AK182" s="4" t="s">
        <v>252</v>
      </c>
      <c r="BA182" s="4" t="s">
        <v>254</v>
      </c>
      <c r="BB182" s="4" t="s">
        <v>241</v>
      </c>
      <c r="BC182" s="4" t="s">
        <v>255</v>
      </c>
      <c r="BD182" s="4" t="s">
        <v>241</v>
      </c>
      <c r="BE182" s="4" t="s">
        <v>257</v>
      </c>
      <c r="BF182" s="4" t="s">
        <v>241</v>
      </c>
      <c r="BH182" s="4" t="s">
        <v>258</v>
      </c>
      <c r="BJ182" s="4" t="s">
        <v>377</v>
      </c>
      <c r="BK182" s="5" t="s">
        <v>378</v>
      </c>
      <c r="BL182" s="4" t="s">
        <v>261</v>
      </c>
      <c r="BM182" s="4" t="s">
        <v>262</v>
      </c>
      <c r="BN182" s="4" t="s">
        <v>241</v>
      </c>
      <c r="BO182" s="6">
        <f>0</f>
        <v>0</v>
      </c>
      <c r="BP182" s="6">
        <f>0</f>
        <v>0</v>
      </c>
      <c r="BQ182" s="4" t="s">
        <v>263</v>
      </c>
      <c r="BR182" s="4" t="s">
        <v>264</v>
      </c>
      <c r="CF182" s="4" t="s">
        <v>241</v>
      </c>
      <c r="CG182" s="4" t="s">
        <v>241</v>
      </c>
      <c r="CK182" s="4" t="s">
        <v>265</v>
      </c>
      <c r="CL182" s="4" t="s">
        <v>266</v>
      </c>
      <c r="CM182" s="4" t="s">
        <v>241</v>
      </c>
      <c r="CO182" s="4" t="s">
        <v>267</v>
      </c>
      <c r="CP182" s="5" t="s">
        <v>268</v>
      </c>
      <c r="CQ182" s="4" t="s">
        <v>269</v>
      </c>
      <c r="CR182" s="4" t="s">
        <v>270</v>
      </c>
      <c r="CS182" s="4" t="s">
        <v>241</v>
      </c>
      <c r="CT182" s="4" t="s">
        <v>241</v>
      </c>
      <c r="CU182" s="4">
        <v>0</v>
      </c>
      <c r="CV182" s="4" t="s">
        <v>271</v>
      </c>
      <c r="CW182" s="4" t="s">
        <v>272</v>
      </c>
      <c r="CX182" s="4" t="s">
        <v>347</v>
      </c>
      <c r="CZ182" s="6">
        <f>2501400</f>
        <v>2501400</v>
      </c>
      <c r="DA182" s="6">
        <f>0</f>
        <v>0</v>
      </c>
      <c r="DC182" s="4" t="s">
        <v>241</v>
      </c>
      <c r="DD182" s="4" t="s">
        <v>241</v>
      </c>
      <c r="DF182" s="4" t="s">
        <v>241</v>
      </c>
      <c r="DI182" s="4" t="s">
        <v>241</v>
      </c>
      <c r="DJ182" s="4" t="s">
        <v>241</v>
      </c>
      <c r="DK182" s="4" t="s">
        <v>241</v>
      </c>
      <c r="DL182" s="4" t="s">
        <v>241</v>
      </c>
      <c r="DM182" s="4" t="s">
        <v>277</v>
      </c>
      <c r="DN182" s="4" t="s">
        <v>278</v>
      </c>
      <c r="DO182" s="6">
        <f>41.69</f>
        <v>41.69</v>
      </c>
      <c r="DP182" s="4" t="s">
        <v>241</v>
      </c>
      <c r="DQ182" s="4" t="s">
        <v>241</v>
      </c>
      <c r="DR182" s="4" t="s">
        <v>241</v>
      </c>
      <c r="DS182" s="4" t="s">
        <v>241</v>
      </c>
      <c r="DV182" s="4" t="s">
        <v>3621</v>
      </c>
      <c r="DW182" s="4" t="s">
        <v>277</v>
      </c>
      <c r="HO182" s="4" t="s">
        <v>277</v>
      </c>
      <c r="HR182" s="4" t="s">
        <v>278</v>
      </c>
      <c r="HS182" s="4" t="s">
        <v>278</v>
      </c>
    </row>
    <row r="183" spans="1:240" x14ac:dyDescent="0.4">
      <c r="A183" s="4">
        <v>2</v>
      </c>
      <c r="B183" s="4" t="s">
        <v>239</v>
      </c>
      <c r="C183" s="4">
        <v>192</v>
      </c>
      <c r="D183" s="4">
        <v>1</v>
      </c>
      <c r="E183" s="4">
        <v>1</v>
      </c>
      <c r="F183" s="4" t="s">
        <v>240</v>
      </c>
      <c r="G183" s="4" t="s">
        <v>241</v>
      </c>
      <c r="H183" s="4" t="s">
        <v>241</v>
      </c>
      <c r="I183" s="4" t="s">
        <v>3622</v>
      </c>
      <c r="J183" s="4" t="s">
        <v>247</v>
      </c>
      <c r="K183" s="4" t="s">
        <v>256</v>
      </c>
      <c r="L183" s="4" t="s">
        <v>250</v>
      </c>
      <c r="M183" s="5" t="s">
        <v>3623</v>
      </c>
      <c r="N183" s="4" t="s">
        <v>242</v>
      </c>
      <c r="O183" s="6">
        <f>49.68</f>
        <v>49.68</v>
      </c>
      <c r="P183" s="4" t="s">
        <v>276</v>
      </c>
      <c r="Q183" s="6">
        <f>1</f>
        <v>1</v>
      </c>
      <c r="R183" s="6">
        <f>2980800</f>
        <v>2980800</v>
      </c>
      <c r="S183" s="5" t="s">
        <v>248</v>
      </c>
      <c r="T183" s="4" t="s">
        <v>348</v>
      </c>
      <c r="U183" s="4" t="s">
        <v>275</v>
      </c>
      <c r="W183" s="6">
        <f>2980799</f>
        <v>2980799</v>
      </c>
      <c r="X183" s="4" t="s">
        <v>243</v>
      </c>
      <c r="Y183" s="4" t="s">
        <v>244</v>
      </c>
      <c r="Z183" s="4" t="s">
        <v>246</v>
      </c>
      <c r="AA183" s="4" t="s">
        <v>241</v>
      </c>
      <c r="AD183" s="4" t="s">
        <v>241</v>
      </c>
      <c r="AF183" s="5" t="s">
        <v>241</v>
      </c>
      <c r="AI183" s="5" t="s">
        <v>249</v>
      </c>
      <c r="AJ183" s="4" t="s">
        <v>251</v>
      </c>
      <c r="AK183" s="4" t="s">
        <v>252</v>
      </c>
      <c r="BA183" s="4" t="s">
        <v>254</v>
      </c>
      <c r="BB183" s="4" t="s">
        <v>241</v>
      </c>
      <c r="BC183" s="4" t="s">
        <v>255</v>
      </c>
      <c r="BD183" s="4" t="s">
        <v>241</v>
      </c>
      <c r="BE183" s="4" t="s">
        <v>257</v>
      </c>
      <c r="BF183" s="4" t="s">
        <v>241</v>
      </c>
      <c r="BH183" s="4" t="s">
        <v>258</v>
      </c>
      <c r="BJ183" s="4" t="s">
        <v>259</v>
      </c>
      <c r="BK183" s="5" t="s">
        <v>260</v>
      </c>
      <c r="BL183" s="4" t="s">
        <v>261</v>
      </c>
      <c r="BM183" s="4" t="s">
        <v>262</v>
      </c>
      <c r="BN183" s="4" t="s">
        <v>241</v>
      </c>
      <c r="BO183" s="6">
        <f>0</f>
        <v>0</v>
      </c>
      <c r="BP183" s="6">
        <f>0</f>
        <v>0</v>
      </c>
      <c r="BQ183" s="4" t="s">
        <v>263</v>
      </c>
      <c r="BR183" s="4" t="s">
        <v>264</v>
      </c>
      <c r="CF183" s="4" t="s">
        <v>241</v>
      </c>
      <c r="CG183" s="4" t="s">
        <v>241</v>
      </c>
      <c r="CK183" s="4" t="s">
        <v>265</v>
      </c>
      <c r="CL183" s="4" t="s">
        <v>266</v>
      </c>
      <c r="CM183" s="4" t="s">
        <v>241</v>
      </c>
      <c r="CO183" s="4" t="s">
        <v>267</v>
      </c>
      <c r="CP183" s="5" t="s">
        <v>268</v>
      </c>
      <c r="CQ183" s="4" t="s">
        <v>269</v>
      </c>
      <c r="CR183" s="4" t="s">
        <v>270</v>
      </c>
      <c r="CS183" s="4" t="s">
        <v>241</v>
      </c>
      <c r="CT183" s="4" t="s">
        <v>241</v>
      </c>
      <c r="CU183" s="4">
        <v>0</v>
      </c>
      <c r="CV183" s="4" t="s">
        <v>271</v>
      </c>
      <c r="CW183" s="4" t="s">
        <v>272</v>
      </c>
      <c r="CX183" s="4" t="s">
        <v>347</v>
      </c>
      <c r="CZ183" s="6">
        <f>2980800</f>
        <v>2980800</v>
      </c>
      <c r="DA183" s="6">
        <f>0</f>
        <v>0</v>
      </c>
      <c r="DC183" s="4" t="s">
        <v>241</v>
      </c>
      <c r="DD183" s="4" t="s">
        <v>241</v>
      </c>
      <c r="DF183" s="4" t="s">
        <v>241</v>
      </c>
      <c r="DI183" s="4" t="s">
        <v>241</v>
      </c>
      <c r="DJ183" s="4" t="s">
        <v>241</v>
      </c>
      <c r="DK183" s="4" t="s">
        <v>241</v>
      </c>
      <c r="DL183" s="4" t="s">
        <v>241</v>
      </c>
      <c r="DM183" s="4" t="s">
        <v>277</v>
      </c>
      <c r="DN183" s="4" t="s">
        <v>278</v>
      </c>
      <c r="DO183" s="6">
        <f>49.68</f>
        <v>49.68</v>
      </c>
      <c r="DP183" s="4" t="s">
        <v>241</v>
      </c>
      <c r="DQ183" s="4" t="s">
        <v>241</v>
      </c>
      <c r="DR183" s="4" t="s">
        <v>241</v>
      </c>
      <c r="DS183" s="4" t="s">
        <v>241</v>
      </c>
      <c r="DV183" s="4" t="s">
        <v>3624</v>
      </c>
      <c r="DW183" s="4" t="s">
        <v>277</v>
      </c>
      <c r="HO183" s="4" t="s">
        <v>277</v>
      </c>
      <c r="HR183" s="4" t="s">
        <v>278</v>
      </c>
      <c r="HS183" s="4" t="s">
        <v>278</v>
      </c>
    </row>
    <row r="184" spans="1:240" x14ac:dyDescent="0.4">
      <c r="A184" s="4">
        <v>2</v>
      </c>
      <c r="B184" s="4" t="s">
        <v>239</v>
      </c>
      <c r="C184" s="4">
        <v>193</v>
      </c>
      <c r="D184" s="4">
        <v>1</v>
      </c>
      <c r="E184" s="4">
        <v>1</v>
      </c>
      <c r="F184" s="4" t="s">
        <v>240</v>
      </c>
      <c r="G184" s="4" t="s">
        <v>241</v>
      </c>
      <c r="H184" s="4" t="s">
        <v>241</v>
      </c>
      <c r="I184" s="4" t="s">
        <v>3625</v>
      </c>
      <c r="J184" s="4" t="s">
        <v>247</v>
      </c>
      <c r="K184" s="4" t="s">
        <v>256</v>
      </c>
      <c r="L184" s="4" t="s">
        <v>250</v>
      </c>
      <c r="M184" s="5" t="s">
        <v>3626</v>
      </c>
      <c r="N184" s="4" t="s">
        <v>242</v>
      </c>
      <c r="O184" s="6">
        <f>55.78</f>
        <v>55.78</v>
      </c>
      <c r="P184" s="4" t="s">
        <v>276</v>
      </c>
      <c r="Q184" s="6">
        <f>1</f>
        <v>1</v>
      </c>
      <c r="R184" s="6">
        <f>3346800</f>
        <v>3346800</v>
      </c>
      <c r="S184" s="5" t="s">
        <v>248</v>
      </c>
      <c r="T184" s="4" t="s">
        <v>348</v>
      </c>
      <c r="U184" s="4" t="s">
        <v>275</v>
      </c>
      <c r="W184" s="6">
        <f>3346799</f>
        <v>3346799</v>
      </c>
      <c r="X184" s="4" t="s">
        <v>243</v>
      </c>
      <c r="Y184" s="4" t="s">
        <v>244</v>
      </c>
      <c r="Z184" s="4" t="s">
        <v>246</v>
      </c>
      <c r="AA184" s="4" t="s">
        <v>241</v>
      </c>
      <c r="AD184" s="4" t="s">
        <v>241</v>
      </c>
      <c r="AF184" s="5" t="s">
        <v>241</v>
      </c>
      <c r="AI184" s="5" t="s">
        <v>249</v>
      </c>
      <c r="AJ184" s="4" t="s">
        <v>251</v>
      </c>
      <c r="AK184" s="4" t="s">
        <v>252</v>
      </c>
      <c r="BA184" s="4" t="s">
        <v>254</v>
      </c>
      <c r="BB184" s="4" t="s">
        <v>241</v>
      </c>
      <c r="BC184" s="4" t="s">
        <v>255</v>
      </c>
      <c r="BD184" s="4" t="s">
        <v>241</v>
      </c>
      <c r="BE184" s="4" t="s">
        <v>257</v>
      </c>
      <c r="BF184" s="4" t="s">
        <v>241</v>
      </c>
      <c r="BH184" s="4" t="s">
        <v>258</v>
      </c>
      <c r="BJ184" s="4" t="s">
        <v>367</v>
      </c>
      <c r="BK184" s="5" t="s">
        <v>249</v>
      </c>
      <c r="BL184" s="4" t="s">
        <v>261</v>
      </c>
      <c r="BM184" s="4" t="s">
        <v>262</v>
      </c>
      <c r="BN184" s="4" t="s">
        <v>241</v>
      </c>
      <c r="BO184" s="6">
        <f>0</f>
        <v>0</v>
      </c>
      <c r="BP184" s="6">
        <f>0</f>
        <v>0</v>
      </c>
      <c r="BQ184" s="4" t="s">
        <v>263</v>
      </c>
      <c r="BR184" s="4" t="s">
        <v>264</v>
      </c>
      <c r="CF184" s="4" t="s">
        <v>241</v>
      </c>
      <c r="CG184" s="4" t="s">
        <v>241</v>
      </c>
      <c r="CK184" s="4" t="s">
        <v>265</v>
      </c>
      <c r="CL184" s="4" t="s">
        <v>266</v>
      </c>
      <c r="CM184" s="4" t="s">
        <v>241</v>
      </c>
      <c r="CO184" s="4" t="s">
        <v>267</v>
      </c>
      <c r="CP184" s="5" t="s">
        <v>268</v>
      </c>
      <c r="CQ184" s="4" t="s">
        <v>269</v>
      </c>
      <c r="CR184" s="4" t="s">
        <v>270</v>
      </c>
      <c r="CS184" s="4" t="s">
        <v>241</v>
      </c>
      <c r="CT184" s="4" t="s">
        <v>241</v>
      </c>
      <c r="CU184" s="4">
        <v>0</v>
      </c>
      <c r="CV184" s="4" t="s">
        <v>271</v>
      </c>
      <c r="CW184" s="4" t="s">
        <v>272</v>
      </c>
      <c r="CX184" s="4" t="s">
        <v>347</v>
      </c>
      <c r="CZ184" s="6">
        <f>3346800</f>
        <v>3346800</v>
      </c>
      <c r="DA184" s="6">
        <f>0</f>
        <v>0</v>
      </c>
      <c r="DC184" s="4" t="s">
        <v>241</v>
      </c>
      <c r="DD184" s="4" t="s">
        <v>241</v>
      </c>
      <c r="DF184" s="4" t="s">
        <v>241</v>
      </c>
      <c r="DI184" s="4" t="s">
        <v>241</v>
      </c>
      <c r="DJ184" s="4" t="s">
        <v>241</v>
      </c>
      <c r="DK184" s="4" t="s">
        <v>241</v>
      </c>
      <c r="DL184" s="4" t="s">
        <v>241</v>
      </c>
      <c r="DM184" s="4" t="s">
        <v>277</v>
      </c>
      <c r="DN184" s="4" t="s">
        <v>278</v>
      </c>
      <c r="DO184" s="6">
        <f>55.78</f>
        <v>55.78</v>
      </c>
      <c r="DP184" s="4" t="s">
        <v>241</v>
      </c>
      <c r="DQ184" s="4" t="s">
        <v>241</v>
      </c>
      <c r="DR184" s="4" t="s">
        <v>241</v>
      </c>
      <c r="DS184" s="4" t="s">
        <v>241</v>
      </c>
      <c r="DV184" s="4" t="s">
        <v>3627</v>
      </c>
      <c r="DW184" s="4" t="s">
        <v>277</v>
      </c>
      <c r="HO184" s="4" t="s">
        <v>277</v>
      </c>
      <c r="HR184" s="4" t="s">
        <v>278</v>
      </c>
      <c r="HS184" s="4" t="s">
        <v>278</v>
      </c>
    </row>
    <row r="185" spans="1:240" x14ac:dyDescent="0.4">
      <c r="A185" s="4">
        <v>2</v>
      </c>
      <c r="B185" s="4" t="s">
        <v>239</v>
      </c>
      <c r="C185" s="4">
        <v>194</v>
      </c>
      <c r="D185" s="4">
        <v>1</v>
      </c>
      <c r="E185" s="4">
        <v>1</v>
      </c>
      <c r="F185" s="4" t="s">
        <v>240</v>
      </c>
      <c r="G185" s="4" t="s">
        <v>241</v>
      </c>
      <c r="H185" s="4" t="s">
        <v>241</v>
      </c>
      <c r="I185" s="4" t="s">
        <v>3545</v>
      </c>
      <c r="J185" s="4" t="s">
        <v>247</v>
      </c>
      <c r="K185" s="4" t="s">
        <v>256</v>
      </c>
      <c r="L185" s="4" t="s">
        <v>250</v>
      </c>
      <c r="M185" s="5" t="s">
        <v>3546</v>
      </c>
      <c r="N185" s="4" t="s">
        <v>242</v>
      </c>
      <c r="O185" s="6">
        <f>41.69</f>
        <v>41.69</v>
      </c>
      <c r="P185" s="4" t="s">
        <v>276</v>
      </c>
      <c r="Q185" s="6">
        <f>1</f>
        <v>1</v>
      </c>
      <c r="R185" s="6">
        <f>2501400</f>
        <v>2501400</v>
      </c>
      <c r="S185" s="5" t="s">
        <v>248</v>
      </c>
      <c r="T185" s="4" t="s">
        <v>348</v>
      </c>
      <c r="U185" s="4" t="s">
        <v>275</v>
      </c>
      <c r="W185" s="6">
        <f>2501399</f>
        <v>2501399</v>
      </c>
      <c r="X185" s="4" t="s">
        <v>243</v>
      </c>
      <c r="Y185" s="4" t="s">
        <v>244</v>
      </c>
      <c r="Z185" s="4" t="s">
        <v>246</v>
      </c>
      <c r="AA185" s="4" t="s">
        <v>241</v>
      </c>
      <c r="AD185" s="4" t="s">
        <v>241</v>
      </c>
      <c r="AF185" s="5" t="s">
        <v>241</v>
      </c>
      <c r="AI185" s="5" t="s">
        <v>249</v>
      </c>
      <c r="AJ185" s="4" t="s">
        <v>251</v>
      </c>
      <c r="AK185" s="4" t="s">
        <v>252</v>
      </c>
      <c r="BA185" s="4" t="s">
        <v>254</v>
      </c>
      <c r="BB185" s="4" t="s">
        <v>241</v>
      </c>
      <c r="BC185" s="4" t="s">
        <v>255</v>
      </c>
      <c r="BD185" s="4" t="s">
        <v>241</v>
      </c>
      <c r="BE185" s="4" t="s">
        <v>257</v>
      </c>
      <c r="BF185" s="4" t="s">
        <v>241</v>
      </c>
      <c r="BH185" s="4" t="s">
        <v>258</v>
      </c>
      <c r="BJ185" s="4" t="s">
        <v>374</v>
      </c>
      <c r="BK185" s="5" t="s">
        <v>375</v>
      </c>
      <c r="BL185" s="4" t="s">
        <v>261</v>
      </c>
      <c r="BM185" s="4" t="s">
        <v>262</v>
      </c>
      <c r="BN185" s="4" t="s">
        <v>241</v>
      </c>
      <c r="BO185" s="6">
        <f>0</f>
        <v>0</v>
      </c>
      <c r="BP185" s="6">
        <f>0</f>
        <v>0</v>
      </c>
      <c r="BQ185" s="4" t="s">
        <v>263</v>
      </c>
      <c r="BR185" s="4" t="s">
        <v>264</v>
      </c>
      <c r="CF185" s="4" t="s">
        <v>241</v>
      </c>
      <c r="CG185" s="4" t="s">
        <v>241</v>
      </c>
      <c r="CK185" s="4" t="s">
        <v>265</v>
      </c>
      <c r="CL185" s="4" t="s">
        <v>266</v>
      </c>
      <c r="CM185" s="4" t="s">
        <v>241</v>
      </c>
      <c r="CO185" s="4" t="s">
        <v>267</v>
      </c>
      <c r="CP185" s="5" t="s">
        <v>268</v>
      </c>
      <c r="CQ185" s="4" t="s">
        <v>269</v>
      </c>
      <c r="CR185" s="4" t="s">
        <v>270</v>
      </c>
      <c r="CS185" s="4" t="s">
        <v>241</v>
      </c>
      <c r="CT185" s="4" t="s">
        <v>241</v>
      </c>
      <c r="CU185" s="4">
        <v>0</v>
      </c>
      <c r="CV185" s="4" t="s">
        <v>271</v>
      </c>
      <c r="CW185" s="4" t="s">
        <v>272</v>
      </c>
      <c r="CX185" s="4" t="s">
        <v>347</v>
      </c>
      <c r="CZ185" s="6">
        <f>2501400</f>
        <v>2501400</v>
      </c>
      <c r="DA185" s="6">
        <f>0</f>
        <v>0</v>
      </c>
      <c r="DC185" s="4" t="s">
        <v>241</v>
      </c>
      <c r="DD185" s="4" t="s">
        <v>241</v>
      </c>
      <c r="DF185" s="4" t="s">
        <v>241</v>
      </c>
      <c r="DI185" s="4" t="s">
        <v>241</v>
      </c>
      <c r="DJ185" s="4" t="s">
        <v>241</v>
      </c>
      <c r="DK185" s="4" t="s">
        <v>241</v>
      </c>
      <c r="DL185" s="4" t="s">
        <v>241</v>
      </c>
      <c r="DM185" s="4" t="s">
        <v>277</v>
      </c>
      <c r="DN185" s="4" t="s">
        <v>278</v>
      </c>
      <c r="DO185" s="6">
        <f>41.69</f>
        <v>41.69</v>
      </c>
      <c r="DP185" s="4" t="s">
        <v>241</v>
      </c>
      <c r="DQ185" s="4" t="s">
        <v>241</v>
      </c>
      <c r="DR185" s="4" t="s">
        <v>241</v>
      </c>
      <c r="DS185" s="4" t="s">
        <v>241</v>
      </c>
      <c r="DV185" s="4" t="s">
        <v>3547</v>
      </c>
      <c r="DW185" s="4" t="s">
        <v>277</v>
      </c>
      <c r="HO185" s="4" t="s">
        <v>277</v>
      </c>
      <c r="HR185" s="4" t="s">
        <v>278</v>
      </c>
      <c r="HS185" s="4" t="s">
        <v>278</v>
      </c>
    </row>
    <row r="186" spans="1:240" x14ac:dyDescent="0.4">
      <c r="A186" s="4">
        <v>2</v>
      </c>
      <c r="B186" s="4" t="s">
        <v>239</v>
      </c>
      <c r="C186" s="4">
        <v>195</v>
      </c>
      <c r="D186" s="4">
        <v>1</v>
      </c>
      <c r="E186" s="4">
        <v>3</v>
      </c>
      <c r="F186" s="4" t="s">
        <v>240</v>
      </c>
      <c r="G186" s="4" t="s">
        <v>241</v>
      </c>
      <c r="H186" s="4" t="s">
        <v>241</v>
      </c>
      <c r="I186" s="4" t="s">
        <v>3203</v>
      </c>
      <c r="J186" s="4" t="s">
        <v>247</v>
      </c>
      <c r="K186" s="4" t="s">
        <v>256</v>
      </c>
      <c r="L186" s="4" t="s">
        <v>250</v>
      </c>
      <c r="M186" s="5" t="s">
        <v>3205</v>
      </c>
      <c r="N186" s="4" t="s">
        <v>242</v>
      </c>
      <c r="O186" s="6">
        <f>23.19</f>
        <v>23.19</v>
      </c>
      <c r="P186" s="4" t="s">
        <v>276</v>
      </c>
      <c r="Q186" s="6">
        <f>175410</f>
        <v>175410</v>
      </c>
      <c r="R186" s="6">
        <f>2829180</f>
        <v>2829180</v>
      </c>
      <c r="S186" s="5" t="s">
        <v>3204</v>
      </c>
      <c r="T186" s="4" t="s">
        <v>348</v>
      </c>
      <c r="U186" s="4" t="s">
        <v>322</v>
      </c>
      <c r="V186" s="6">
        <f>189555</f>
        <v>189555</v>
      </c>
      <c r="W186" s="6">
        <f>2653770</f>
        <v>2653770</v>
      </c>
      <c r="X186" s="4" t="s">
        <v>243</v>
      </c>
      <c r="Y186" s="4" t="s">
        <v>244</v>
      </c>
      <c r="Z186" s="4" t="s">
        <v>246</v>
      </c>
      <c r="AA186" s="4" t="s">
        <v>241</v>
      </c>
      <c r="AD186" s="4" t="s">
        <v>241</v>
      </c>
      <c r="AE186" s="5" t="s">
        <v>241</v>
      </c>
      <c r="AF186" s="5" t="s">
        <v>241</v>
      </c>
      <c r="AH186" s="5" t="s">
        <v>241</v>
      </c>
      <c r="AI186" s="5" t="s">
        <v>249</v>
      </c>
      <c r="AJ186" s="4" t="s">
        <v>251</v>
      </c>
      <c r="AK186" s="4" t="s">
        <v>252</v>
      </c>
      <c r="AQ186" s="4" t="s">
        <v>241</v>
      </c>
      <c r="AR186" s="4" t="s">
        <v>241</v>
      </c>
      <c r="AS186" s="4" t="s">
        <v>241</v>
      </c>
      <c r="AT186" s="5" t="s">
        <v>241</v>
      </c>
      <c r="AU186" s="5" t="s">
        <v>241</v>
      </c>
      <c r="AV186" s="5" t="s">
        <v>241</v>
      </c>
      <c r="AY186" s="4" t="s">
        <v>286</v>
      </c>
      <c r="AZ186" s="4" t="s">
        <v>286</v>
      </c>
      <c r="BA186" s="4" t="s">
        <v>254</v>
      </c>
      <c r="BB186" s="4" t="s">
        <v>287</v>
      </c>
      <c r="BC186" s="4" t="s">
        <v>255</v>
      </c>
      <c r="BD186" s="4" t="s">
        <v>241</v>
      </c>
      <c r="BE186" s="4" t="s">
        <v>257</v>
      </c>
      <c r="BF186" s="4" t="s">
        <v>241</v>
      </c>
      <c r="BH186" s="4" t="s">
        <v>258</v>
      </c>
      <c r="BJ186" s="4" t="s">
        <v>288</v>
      </c>
      <c r="BK186" s="5" t="s">
        <v>289</v>
      </c>
      <c r="BL186" s="4" t="s">
        <v>290</v>
      </c>
      <c r="BM186" s="4" t="s">
        <v>290</v>
      </c>
      <c r="BN186" s="4" t="s">
        <v>241</v>
      </c>
      <c r="BO186" s="6">
        <f>0</f>
        <v>0</v>
      </c>
      <c r="BP186" s="6">
        <f>-189555</f>
        <v>-189555</v>
      </c>
      <c r="BQ186" s="4" t="s">
        <v>263</v>
      </c>
      <c r="BR186" s="4" t="s">
        <v>264</v>
      </c>
      <c r="BS186" s="4" t="s">
        <v>241</v>
      </c>
      <c r="BT186" s="4" t="s">
        <v>241</v>
      </c>
      <c r="BU186" s="4" t="s">
        <v>241</v>
      </c>
      <c r="BV186" s="4" t="s">
        <v>241</v>
      </c>
      <c r="CE186" s="4" t="s">
        <v>264</v>
      </c>
      <c r="CF186" s="4" t="s">
        <v>241</v>
      </c>
      <c r="CG186" s="4" t="s">
        <v>241</v>
      </c>
      <c r="CK186" s="4" t="s">
        <v>291</v>
      </c>
      <c r="CL186" s="4" t="s">
        <v>266</v>
      </c>
      <c r="CM186" s="4" t="s">
        <v>241</v>
      </c>
      <c r="CO186" s="4" t="s">
        <v>321</v>
      </c>
      <c r="CP186" s="5" t="s">
        <v>268</v>
      </c>
      <c r="CQ186" s="4" t="s">
        <v>269</v>
      </c>
      <c r="CR186" s="4" t="s">
        <v>270</v>
      </c>
      <c r="CS186" s="4" t="s">
        <v>293</v>
      </c>
      <c r="CT186" s="4" t="s">
        <v>241</v>
      </c>
      <c r="CU186" s="4">
        <v>6.7000000000000004E-2</v>
      </c>
      <c r="CV186" s="4" t="s">
        <v>271</v>
      </c>
      <c r="CW186" s="4" t="s">
        <v>272</v>
      </c>
      <c r="CX186" s="4" t="s">
        <v>347</v>
      </c>
      <c r="CY186" s="6">
        <f>0</f>
        <v>0</v>
      </c>
      <c r="CZ186" s="6">
        <f>2829180</f>
        <v>2829180</v>
      </c>
      <c r="DA186" s="6">
        <f>175410</f>
        <v>175410</v>
      </c>
      <c r="DC186" s="4" t="s">
        <v>241</v>
      </c>
      <c r="DD186" s="4" t="s">
        <v>241</v>
      </c>
      <c r="DF186" s="4" t="s">
        <v>241</v>
      </c>
      <c r="DG186" s="6">
        <f>0</f>
        <v>0</v>
      </c>
      <c r="DI186" s="4" t="s">
        <v>241</v>
      </c>
      <c r="DJ186" s="4" t="s">
        <v>241</v>
      </c>
      <c r="DK186" s="4" t="s">
        <v>241</v>
      </c>
      <c r="DL186" s="4" t="s">
        <v>241</v>
      </c>
      <c r="DM186" s="4" t="s">
        <v>277</v>
      </c>
      <c r="DN186" s="4" t="s">
        <v>278</v>
      </c>
      <c r="DO186" s="6">
        <f>23.19</f>
        <v>23.19</v>
      </c>
      <c r="DP186" s="4" t="s">
        <v>241</v>
      </c>
      <c r="DQ186" s="4" t="s">
        <v>241</v>
      </c>
      <c r="DR186" s="4" t="s">
        <v>241</v>
      </c>
      <c r="DS186" s="4" t="s">
        <v>241</v>
      </c>
      <c r="DV186" s="4" t="s">
        <v>3206</v>
      </c>
      <c r="DW186" s="4" t="s">
        <v>277</v>
      </c>
      <c r="GN186" s="4" t="s">
        <v>3207</v>
      </c>
      <c r="HO186" s="4" t="s">
        <v>300</v>
      </c>
      <c r="HR186" s="4" t="s">
        <v>278</v>
      </c>
      <c r="HS186" s="4" t="s">
        <v>278</v>
      </c>
      <c r="HT186" s="4" t="s">
        <v>241</v>
      </c>
      <c r="HU186" s="4" t="s">
        <v>241</v>
      </c>
      <c r="HV186" s="4" t="s">
        <v>241</v>
      </c>
      <c r="HW186" s="4" t="s">
        <v>241</v>
      </c>
      <c r="HX186" s="4" t="s">
        <v>241</v>
      </c>
      <c r="HY186" s="4" t="s">
        <v>241</v>
      </c>
      <c r="HZ186" s="4" t="s">
        <v>241</v>
      </c>
      <c r="IA186" s="4" t="s">
        <v>241</v>
      </c>
      <c r="IB186" s="4" t="s">
        <v>241</v>
      </c>
      <c r="IC186" s="4" t="s">
        <v>241</v>
      </c>
      <c r="ID186" s="4" t="s">
        <v>241</v>
      </c>
      <c r="IE186" s="4" t="s">
        <v>241</v>
      </c>
      <c r="IF186" s="4" t="s">
        <v>241</v>
      </c>
    </row>
    <row r="187" spans="1:240" x14ac:dyDescent="0.4">
      <c r="A187" s="4">
        <v>2</v>
      </c>
      <c r="B187" s="4" t="s">
        <v>239</v>
      </c>
      <c r="C187" s="4">
        <v>196</v>
      </c>
      <c r="D187" s="4">
        <v>1</v>
      </c>
      <c r="E187" s="4">
        <v>1</v>
      </c>
      <c r="F187" s="4" t="s">
        <v>240</v>
      </c>
      <c r="G187" s="4" t="s">
        <v>241</v>
      </c>
      <c r="H187" s="4" t="s">
        <v>241</v>
      </c>
      <c r="I187" s="4" t="s">
        <v>3628</v>
      </c>
      <c r="J187" s="4" t="s">
        <v>247</v>
      </c>
      <c r="K187" s="4" t="s">
        <v>256</v>
      </c>
      <c r="L187" s="4" t="s">
        <v>250</v>
      </c>
      <c r="M187" s="5" t="s">
        <v>3629</v>
      </c>
      <c r="N187" s="4" t="s">
        <v>242</v>
      </c>
      <c r="O187" s="6">
        <f>98.54</f>
        <v>98.54</v>
      </c>
      <c r="P187" s="4" t="s">
        <v>276</v>
      </c>
      <c r="Q187" s="6">
        <f>1</f>
        <v>1</v>
      </c>
      <c r="R187" s="6">
        <f>5912400</f>
        <v>5912400</v>
      </c>
      <c r="S187" s="5" t="s">
        <v>248</v>
      </c>
      <c r="T187" s="4" t="s">
        <v>348</v>
      </c>
      <c r="U187" s="4" t="s">
        <v>275</v>
      </c>
      <c r="W187" s="6">
        <f>5912399</f>
        <v>5912399</v>
      </c>
      <c r="X187" s="4" t="s">
        <v>243</v>
      </c>
      <c r="Y187" s="4" t="s">
        <v>244</v>
      </c>
      <c r="Z187" s="4" t="s">
        <v>246</v>
      </c>
      <c r="AA187" s="4" t="s">
        <v>241</v>
      </c>
      <c r="AD187" s="4" t="s">
        <v>241</v>
      </c>
      <c r="AF187" s="5" t="s">
        <v>241</v>
      </c>
      <c r="AI187" s="5" t="s">
        <v>249</v>
      </c>
      <c r="AJ187" s="4" t="s">
        <v>251</v>
      </c>
      <c r="AK187" s="4" t="s">
        <v>252</v>
      </c>
      <c r="BA187" s="4" t="s">
        <v>254</v>
      </c>
      <c r="BB187" s="4" t="s">
        <v>241</v>
      </c>
      <c r="BC187" s="4" t="s">
        <v>255</v>
      </c>
      <c r="BD187" s="4" t="s">
        <v>241</v>
      </c>
      <c r="BE187" s="4" t="s">
        <v>257</v>
      </c>
      <c r="BF187" s="4" t="s">
        <v>241</v>
      </c>
      <c r="BH187" s="4" t="s">
        <v>258</v>
      </c>
      <c r="BJ187" s="4" t="s">
        <v>259</v>
      </c>
      <c r="BK187" s="5" t="s">
        <v>260</v>
      </c>
      <c r="BL187" s="4" t="s">
        <v>261</v>
      </c>
      <c r="BM187" s="4" t="s">
        <v>262</v>
      </c>
      <c r="BN187" s="4" t="s">
        <v>241</v>
      </c>
      <c r="BO187" s="6">
        <f>0</f>
        <v>0</v>
      </c>
      <c r="BP187" s="6">
        <f>0</f>
        <v>0</v>
      </c>
      <c r="BQ187" s="4" t="s">
        <v>263</v>
      </c>
      <c r="BR187" s="4" t="s">
        <v>264</v>
      </c>
      <c r="CF187" s="4" t="s">
        <v>241</v>
      </c>
      <c r="CG187" s="4" t="s">
        <v>241</v>
      </c>
      <c r="CK187" s="4" t="s">
        <v>265</v>
      </c>
      <c r="CL187" s="4" t="s">
        <v>266</v>
      </c>
      <c r="CM187" s="4" t="s">
        <v>241</v>
      </c>
      <c r="CO187" s="4" t="s">
        <v>267</v>
      </c>
      <c r="CP187" s="5" t="s">
        <v>268</v>
      </c>
      <c r="CQ187" s="4" t="s">
        <v>269</v>
      </c>
      <c r="CR187" s="4" t="s">
        <v>270</v>
      </c>
      <c r="CS187" s="4" t="s">
        <v>241</v>
      </c>
      <c r="CT187" s="4" t="s">
        <v>241</v>
      </c>
      <c r="CU187" s="4">
        <v>0</v>
      </c>
      <c r="CV187" s="4" t="s">
        <v>271</v>
      </c>
      <c r="CW187" s="4" t="s">
        <v>272</v>
      </c>
      <c r="CX187" s="4" t="s">
        <v>347</v>
      </c>
      <c r="CZ187" s="6">
        <f>5912400</f>
        <v>5912400</v>
      </c>
      <c r="DA187" s="6">
        <f>0</f>
        <v>0</v>
      </c>
      <c r="DC187" s="4" t="s">
        <v>241</v>
      </c>
      <c r="DD187" s="4" t="s">
        <v>241</v>
      </c>
      <c r="DF187" s="4" t="s">
        <v>241</v>
      </c>
      <c r="DI187" s="4" t="s">
        <v>241</v>
      </c>
      <c r="DJ187" s="4" t="s">
        <v>241</v>
      </c>
      <c r="DK187" s="4" t="s">
        <v>241</v>
      </c>
      <c r="DL187" s="4" t="s">
        <v>241</v>
      </c>
      <c r="DM187" s="4" t="s">
        <v>277</v>
      </c>
      <c r="DN187" s="4" t="s">
        <v>278</v>
      </c>
      <c r="DO187" s="6">
        <f>98.54</f>
        <v>98.54</v>
      </c>
      <c r="DP187" s="4" t="s">
        <v>241</v>
      </c>
      <c r="DQ187" s="4" t="s">
        <v>241</v>
      </c>
      <c r="DR187" s="4" t="s">
        <v>241</v>
      </c>
      <c r="DS187" s="4" t="s">
        <v>241</v>
      </c>
      <c r="DV187" s="4" t="s">
        <v>3630</v>
      </c>
      <c r="DW187" s="4" t="s">
        <v>277</v>
      </c>
      <c r="HO187" s="4" t="s">
        <v>277</v>
      </c>
      <c r="HR187" s="4" t="s">
        <v>278</v>
      </c>
      <c r="HS187" s="4" t="s">
        <v>278</v>
      </c>
    </row>
    <row r="188" spans="1:240" x14ac:dyDescent="0.4">
      <c r="A188" s="4">
        <v>2</v>
      </c>
      <c r="B188" s="4" t="s">
        <v>239</v>
      </c>
      <c r="C188" s="4">
        <v>197</v>
      </c>
      <c r="D188" s="4">
        <v>1</v>
      </c>
      <c r="E188" s="4">
        <v>1</v>
      </c>
      <c r="F188" s="4" t="s">
        <v>240</v>
      </c>
      <c r="G188" s="4" t="s">
        <v>241</v>
      </c>
      <c r="H188" s="4" t="s">
        <v>241</v>
      </c>
      <c r="I188" s="4" t="s">
        <v>3631</v>
      </c>
      <c r="J188" s="4" t="s">
        <v>247</v>
      </c>
      <c r="K188" s="4" t="s">
        <v>256</v>
      </c>
      <c r="L188" s="4" t="s">
        <v>250</v>
      </c>
      <c r="M188" s="5" t="s">
        <v>3632</v>
      </c>
      <c r="N188" s="4" t="s">
        <v>242</v>
      </c>
      <c r="O188" s="6">
        <f>21.3</f>
        <v>21.3</v>
      </c>
      <c r="P188" s="4" t="s">
        <v>276</v>
      </c>
      <c r="Q188" s="6">
        <f>1</f>
        <v>1</v>
      </c>
      <c r="R188" s="6">
        <f>1278000</f>
        <v>1278000</v>
      </c>
      <c r="S188" s="5" t="s">
        <v>248</v>
      </c>
      <c r="T188" s="4" t="s">
        <v>348</v>
      </c>
      <c r="U188" s="4" t="s">
        <v>275</v>
      </c>
      <c r="W188" s="6">
        <f>1277999</f>
        <v>1277999</v>
      </c>
      <c r="X188" s="4" t="s">
        <v>243</v>
      </c>
      <c r="Y188" s="4" t="s">
        <v>244</v>
      </c>
      <c r="Z188" s="4" t="s">
        <v>246</v>
      </c>
      <c r="AA188" s="4" t="s">
        <v>241</v>
      </c>
      <c r="AD188" s="4" t="s">
        <v>241</v>
      </c>
      <c r="AF188" s="5" t="s">
        <v>241</v>
      </c>
      <c r="AI188" s="5" t="s">
        <v>249</v>
      </c>
      <c r="AJ188" s="4" t="s">
        <v>251</v>
      </c>
      <c r="AK188" s="4" t="s">
        <v>252</v>
      </c>
      <c r="BA188" s="4" t="s">
        <v>254</v>
      </c>
      <c r="BB188" s="4" t="s">
        <v>241</v>
      </c>
      <c r="BC188" s="4" t="s">
        <v>255</v>
      </c>
      <c r="BD188" s="4" t="s">
        <v>241</v>
      </c>
      <c r="BE188" s="4" t="s">
        <v>257</v>
      </c>
      <c r="BF188" s="4" t="s">
        <v>241</v>
      </c>
      <c r="BH188" s="4" t="s">
        <v>258</v>
      </c>
      <c r="BJ188" s="4" t="s">
        <v>367</v>
      </c>
      <c r="BK188" s="5" t="s">
        <v>249</v>
      </c>
      <c r="BL188" s="4" t="s">
        <v>261</v>
      </c>
      <c r="BM188" s="4" t="s">
        <v>262</v>
      </c>
      <c r="BN188" s="4" t="s">
        <v>241</v>
      </c>
      <c r="BO188" s="6">
        <f>0</f>
        <v>0</v>
      </c>
      <c r="BP188" s="6">
        <f>0</f>
        <v>0</v>
      </c>
      <c r="BQ188" s="4" t="s">
        <v>263</v>
      </c>
      <c r="BR188" s="4" t="s">
        <v>264</v>
      </c>
      <c r="CF188" s="4" t="s">
        <v>241</v>
      </c>
      <c r="CG188" s="4" t="s">
        <v>241</v>
      </c>
      <c r="CK188" s="4" t="s">
        <v>265</v>
      </c>
      <c r="CL188" s="4" t="s">
        <v>266</v>
      </c>
      <c r="CM188" s="4" t="s">
        <v>241</v>
      </c>
      <c r="CO188" s="4" t="s">
        <v>267</v>
      </c>
      <c r="CP188" s="5" t="s">
        <v>268</v>
      </c>
      <c r="CQ188" s="4" t="s">
        <v>269</v>
      </c>
      <c r="CR188" s="4" t="s">
        <v>270</v>
      </c>
      <c r="CS188" s="4" t="s">
        <v>241</v>
      </c>
      <c r="CT188" s="4" t="s">
        <v>241</v>
      </c>
      <c r="CU188" s="4">
        <v>0</v>
      </c>
      <c r="CV188" s="4" t="s">
        <v>271</v>
      </c>
      <c r="CW188" s="4" t="s">
        <v>272</v>
      </c>
      <c r="CX188" s="4" t="s">
        <v>347</v>
      </c>
      <c r="CZ188" s="6">
        <f>1278000</f>
        <v>1278000</v>
      </c>
      <c r="DA188" s="6">
        <f>0</f>
        <v>0</v>
      </c>
      <c r="DC188" s="4" t="s">
        <v>241</v>
      </c>
      <c r="DD188" s="4" t="s">
        <v>241</v>
      </c>
      <c r="DF188" s="4" t="s">
        <v>241</v>
      </c>
      <c r="DI188" s="4" t="s">
        <v>241</v>
      </c>
      <c r="DJ188" s="4" t="s">
        <v>241</v>
      </c>
      <c r="DK188" s="4" t="s">
        <v>241</v>
      </c>
      <c r="DL188" s="4" t="s">
        <v>241</v>
      </c>
      <c r="DM188" s="4" t="s">
        <v>277</v>
      </c>
      <c r="DN188" s="4" t="s">
        <v>278</v>
      </c>
      <c r="DO188" s="6">
        <f>21.3</f>
        <v>21.3</v>
      </c>
      <c r="DP188" s="4" t="s">
        <v>241</v>
      </c>
      <c r="DQ188" s="4" t="s">
        <v>241</v>
      </c>
      <c r="DR188" s="4" t="s">
        <v>241</v>
      </c>
      <c r="DS188" s="4" t="s">
        <v>241</v>
      </c>
      <c r="DV188" s="4" t="s">
        <v>3633</v>
      </c>
      <c r="DW188" s="4" t="s">
        <v>277</v>
      </c>
      <c r="HO188" s="4" t="s">
        <v>277</v>
      </c>
      <c r="HR188" s="4" t="s">
        <v>278</v>
      </c>
      <c r="HS188" s="4" t="s">
        <v>278</v>
      </c>
    </row>
    <row r="189" spans="1:240" x14ac:dyDescent="0.4">
      <c r="A189" s="4">
        <v>2</v>
      </c>
      <c r="B189" s="4" t="s">
        <v>239</v>
      </c>
      <c r="C189" s="4">
        <v>198</v>
      </c>
      <c r="D189" s="4">
        <v>1</v>
      </c>
      <c r="E189" s="4">
        <v>1</v>
      </c>
      <c r="F189" s="4" t="s">
        <v>240</v>
      </c>
      <c r="G189" s="4" t="s">
        <v>241</v>
      </c>
      <c r="H189" s="4" t="s">
        <v>241</v>
      </c>
      <c r="I189" s="4" t="s">
        <v>3634</v>
      </c>
      <c r="J189" s="4" t="s">
        <v>247</v>
      </c>
      <c r="K189" s="4" t="s">
        <v>256</v>
      </c>
      <c r="L189" s="4" t="s">
        <v>250</v>
      </c>
      <c r="M189" s="5" t="s">
        <v>3214</v>
      </c>
      <c r="N189" s="4" t="s">
        <v>242</v>
      </c>
      <c r="O189" s="6">
        <f>10.8</f>
        <v>10.8</v>
      </c>
      <c r="P189" s="4" t="s">
        <v>276</v>
      </c>
      <c r="Q189" s="6">
        <f>1</f>
        <v>1</v>
      </c>
      <c r="R189" s="6">
        <f>648000</f>
        <v>648000</v>
      </c>
      <c r="S189" s="5" t="s">
        <v>248</v>
      </c>
      <c r="T189" s="4" t="s">
        <v>274</v>
      </c>
      <c r="U189" s="4" t="s">
        <v>275</v>
      </c>
      <c r="W189" s="6">
        <f>647999</f>
        <v>647999</v>
      </c>
      <c r="X189" s="4" t="s">
        <v>243</v>
      </c>
      <c r="Y189" s="4" t="s">
        <v>244</v>
      </c>
      <c r="Z189" s="4" t="s">
        <v>246</v>
      </c>
      <c r="AA189" s="4" t="s">
        <v>241</v>
      </c>
      <c r="AD189" s="4" t="s">
        <v>241</v>
      </c>
      <c r="AF189" s="5" t="s">
        <v>241</v>
      </c>
      <c r="AI189" s="5" t="s">
        <v>249</v>
      </c>
      <c r="AJ189" s="4" t="s">
        <v>251</v>
      </c>
      <c r="AK189" s="4" t="s">
        <v>252</v>
      </c>
      <c r="BA189" s="4" t="s">
        <v>254</v>
      </c>
      <c r="BB189" s="4" t="s">
        <v>241</v>
      </c>
      <c r="BC189" s="4" t="s">
        <v>255</v>
      </c>
      <c r="BD189" s="4" t="s">
        <v>241</v>
      </c>
      <c r="BE189" s="4" t="s">
        <v>257</v>
      </c>
      <c r="BF189" s="4" t="s">
        <v>241</v>
      </c>
      <c r="BH189" s="4" t="s">
        <v>258</v>
      </c>
      <c r="BJ189" s="4" t="s">
        <v>374</v>
      </c>
      <c r="BK189" s="5" t="s">
        <v>375</v>
      </c>
      <c r="BL189" s="4" t="s">
        <v>261</v>
      </c>
      <c r="BM189" s="4" t="s">
        <v>262</v>
      </c>
      <c r="BN189" s="4" t="s">
        <v>241</v>
      </c>
      <c r="BO189" s="6">
        <f>0</f>
        <v>0</v>
      </c>
      <c r="BP189" s="6">
        <f>0</f>
        <v>0</v>
      </c>
      <c r="BQ189" s="4" t="s">
        <v>263</v>
      </c>
      <c r="BR189" s="4" t="s">
        <v>264</v>
      </c>
      <c r="CF189" s="4" t="s">
        <v>241</v>
      </c>
      <c r="CG189" s="4" t="s">
        <v>241</v>
      </c>
      <c r="CK189" s="4" t="s">
        <v>265</v>
      </c>
      <c r="CL189" s="4" t="s">
        <v>266</v>
      </c>
      <c r="CM189" s="4" t="s">
        <v>241</v>
      </c>
      <c r="CO189" s="4" t="s">
        <v>267</v>
      </c>
      <c r="CP189" s="5" t="s">
        <v>268</v>
      </c>
      <c r="CQ189" s="4" t="s">
        <v>269</v>
      </c>
      <c r="CR189" s="4" t="s">
        <v>270</v>
      </c>
      <c r="CS189" s="4" t="s">
        <v>241</v>
      </c>
      <c r="CT189" s="4" t="s">
        <v>241</v>
      </c>
      <c r="CU189" s="4">
        <v>0</v>
      </c>
      <c r="CV189" s="4" t="s">
        <v>271</v>
      </c>
      <c r="CW189" s="4" t="s">
        <v>272</v>
      </c>
      <c r="CX189" s="4" t="s">
        <v>273</v>
      </c>
      <c r="CZ189" s="6">
        <f>648000</f>
        <v>648000</v>
      </c>
      <c r="DA189" s="6">
        <f>0</f>
        <v>0</v>
      </c>
      <c r="DC189" s="4" t="s">
        <v>241</v>
      </c>
      <c r="DD189" s="4" t="s">
        <v>241</v>
      </c>
      <c r="DF189" s="4" t="s">
        <v>241</v>
      </c>
      <c r="DI189" s="4" t="s">
        <v>241</v>
      </c>
      <c r="DJ189" s="4" t="s">
        <v>241</v>
      </c>
      <c r="DK189" s="4" t="s">
        <v>241</v>
      </c>
      <c r="DL189" s="4" t="s">
        <v>241</v>
      </c>
      <c r="DM189" s="4" t="s">
        <v>277</v>
      </c>
      <c r="DN189" s="4" t="s">
        <v>278</v>
      </c>
      <c r="DO189" s="6">
        <f>10.8</f>
        <v>10.8</v>
      </c>
      <c r="DP189" s="4" t="s">
        <v>241</v>
      </c>
      <c r="DQ189" s="4" t="s">
        <v>241</v>
      </c>
      <c r="DR189" s="4" t="s">
        <v>241</v>
      </c>
      <c r="DS189" s="4" t="s">
        <v>241</v>
      </c>
      <c r="DV189" s="4" t="s">
        <v>3635</v>
      </c>
      <c r="DW189" s="4" t="s">
        <v>277</v>
      </c>
      <c r="HO189" s="4" t="s">
        <v>277</v>
      </c>
      <c r="HR189" s="4" t="s">
        <v>278</v>
      </c>
      <c r="HS189" s="4" t="s">
        <v>278</v>
      </c>
    </row>
    <row r="190" spans="1:240" x14ac:dyDescent="0.4">
      <c r="A190" s="4">
        <v>2</v>
      </c>
      <c r="B190" s="4" t="s">
        <v>239</v>
      </c>
      <c r="C190" s="4">
        <v>199</v>
      </c>
      <c r="D190" s="4">
        <v>1</v>
      </c>
      <c r="E190" s="4">
        <v>1</v>
      </c>
      <c r="F190" s="4" t="s">
        <v>240</v>
      </c>
      <c r="G190" s="4" t="s">
        <v>241</v>
      </c>
      <c r="H190" s="4" t="s">
        <v>241</v>
      </c>
      <c r="I190" s="4" t="s">
        <v>3636</v>
      </c>
      <c r="J190" s="4" t="s">
        <v>247</v>
      </c>
      <c r="K190" s="4" t="s">
        <v>256</v>
      </c>
      <c r="L190" s="4" t="s">
        <v>250</v>
      </c>
      <c r="M190" s="5" t="s">
        <v>3637</v>
      </c>
      <c r="N190" s="4" t="s">
        <v>242</v>
      </c>
      <c r="O190" s="6">
        <f>16.8</f>
        <v>16.8</v>
      </c>
      <c r="P190" s="4" t="s">
        <v>276</v>
      </c>
      <c r="Q190" s="6">
        <f>1</f>
        <v>1</v>
      </c>
      <c r="R190" s="6">
        <f>1008000</f>
        <v>1008000</v>
      </c>
      <c r="S190" s="5" t="s">
        <v>248</v>
      </c>
      <c r="T190" s="4" t="s">
        <v>274</v>
      </c>
      <c r="U190" s="4" t="s">
        <v>275</v>
      </c>
      <c r="W190" s="6">
        <f>1007999</f>
        <v>1007999</v>
      </c>
      <c r="X190" s="4" t="s">
        <v>243</v>
      </c>
      <c r="Y190" s="4" t="s">
        <v>244</v>
      </c>
      <c r="Z190" s="4" t="s">
        <v>246</v>
      </c>
      <c r="AA190" s="4" t="s">
        <v>241</v>
      </c>
      <c r="AD190" s="4" t="s">
        <v>241</v>
      </c>
      <c r="AF190" s="5" t="s">
        <v>241</v>
      </c>
      <c r="AI190" s="5" t="s">
        <v>249</v>
      </c>
      <c r="AJ190" s="4" t="s">
        <v>251</v>
      </c>
      <c r="AK190" s="4" t="s">
        <v>252</v>
      </c>
      <c r="BA190" s="4" t="s">
        <v>254</v>
      </c>
      <c r="BB190" s="4" t="s">
        <v>241</v>
      </c>
      <c r="BC190" s="4" t="s">
        <v>255</v>
      </c>
      <c r="BD190" s="4" t="s">
        <v>241</v>
      </c>
      <c r="BE190" s="4" t="s">
        <v>257</v>
      </c>
      <c r="BF190" s="4" t="s">
        <v>241</v>
      </c>
      <c r="BH190" s="4" t="s">
        <v>258</v>
      </c>
      <c r="BJ190" s="4" t="s">
        <v>377</v>
      </c>
      <c r="BK190" s="5" t="s">
        <v>378</v>
      </c>
      <c r="BL190" s="4" t="s">
        <v>261</v>
      </c>
      <c r="BM190" s="4" t="s">
        <v>262</v>
      </c>
      <c r="BN190" s="4" t="s">
        <v>241</v>
      </c>
      <c r="BO190" s="6">
        <f>0</f>
        <v>0</v>
      </c>
      <c r="BP190" s="6">
        <f>0</f>
        <v>0</v>
      </c>
      <c r="BQ190" s="4" t="s">
        <v>263</v>
      </c>
      <c r="BR190" s="4" t="s">
        <v>264</v>
      </c>
      <c r="CF190" s="4" t="s">
        <v>241</v>
      </c>
      <c r="CG190" s="4" t="s">
        <v>241</v>
      </c>
      <c r="CK190" s="4" t="s">
        <v>265</v>
      </c>
      <c r="CL190" s="4" t="s">
        <v>266</v>
      </c>
      <c r="CM190" s="4" t="s">
        <v>241</v>
      </c>
      <c r="CO190" s="4" t="s">
        <v>267</v>
      </c>
      <c r="CP190" s="5" t="s">
        <v>268</v>
      </c>
      <c r="CQ190" s="4" t="s">
        <v>269</v>
      </c>
      <c r="CR190" s="4" t="s">
        <v>270</v>
      </c>
      <c r="CS190" s="4" t="s">
        <v>241</v>
      </c>
      <c r="CT190" s="4" t="s">
        <v>241</v>
      </c>
      <c r="CU190" s="4">
        <v>0</v>
      </c>
      <c r="CV190" s="4" t="s">
        <v>271</v>
      </c>
      <c r="CW190" s="4" t="s">
        <v>272</v>
      </c>
      <c r="CX190" s="4" t="s">
        <v>273</v>
      </c>
      <c r="CZ190" s="6">
        <f>1008000</f>
        <v>1008000</v>
      </c>
      <c r="DA190" s="6">
        <f>0</f>
        <v>0</v>
      </c>
      <c r="DC190" s="4" t="s">
        <v>241</v>
      </c>
      <c r="DD190" s="4" t="s">
        <v>241</v>
      </c>
      <c r="DF190" s="4" t="s">
        <v>241</v>
      </c>
      <c r="DI190" s="4" t="s">
        <v>241</v>
      </c>
      <c r="DJ190" s="4" t="s">
        <v>241</v>
      </c>
      <c r="DK190" s="4" t="s">
        <v>241</v>
      </c>
      <c r="DL190" s="4" t="s">
        <v>241</v>
      </c>
      <c r="DM190" s="4" t="s">
        <v>277</v>
      </c>
      <c r="DN190" s="4" t="s">
        <v>278</v>
      </c>
      <c r="DO190" s="6">
        <f>16.8</f>
        <v>16.8</v>
      </c>
      <c r="DP190" s="4" t="s">
        <v>241</v>
      </c>
      <c r="DQ190" s="4" t="s">
        <v>241</v>
      </c>
      <c r="DR190" s="4" t="s">
        <v>241</v>
      </c>
      <c r="DS190" s="4" t="s">
        <v>241</v>
      </c>
      <c r="DV190" s="4" t="s">
        <v>3638</v>
      </c>
      <c r="DW190" s="4" t="s">
        <v>277</v>
      </c>
      <c r="HO190" s="4" t="s">
        <v>277</v>
      </c>
      <c r="HR190" s="4" t="s">
        <v>278</v>
      </c>
      <c r="HS190" s="4" t="s">
        <v>278</v>
      </c>
    </row>
    <row r="191" spans="1:240" x14ac:dyDescent="0.4">
      <c r="A191" s="4">
        <v>2</v>
      </c>
      <c r="B191" s="4" t="s">
        <v>239</v>
      </c>
      <c r="C191" s="4">
        <v>200</v>
      </c>
      <c r="D191" s="4">
        <v>1</v>
      </c>
      <c r="E191" s="4">
        <v>1</v>
      </c>
      <c r="F191" s="4" t="s">
        <v>240</v>
      </c>
      <c r="G191" s="4" t="s">
        <v>241</v>
      </c>
      <c r="H191" s="4" t="s">
        <v>241</v>
      </c>
      <c r="I191" s="4" t="s">
        <v>3639</v>
      </c>
      <c r="J191" s="4" t="s">
        <v>247</v>
      </c>
      <c r="K191" s="4" t="s">
        <v>256</v>
      </c>
      <c r="L191" s="4" t="s">
        <v>250</v>
      </c>
      <c r="M191" s="5" t="s">
        <v>3640</v>
      </c>
      <c r="N191" s="4" t="s">
        <v>242</v>
      </c>
      <c r="O191" s="6">
        <f>23.38</f>
        <v>23.38</v>
      </c>
      <c r="P191" s="4" t="s">
        <v>276</v>
      </c>
      <c r="Q191" s="6">
        <f>1</f>
        <v>1</v>
      </c>
      <c r="R191" s="6">
        <f>1402800</f>
        <v>1402800</v>
      </c>
      <c r="S191" s="5" t="s">
        <v>248</v>
      </c>
      <c r="T191" s="4" t="s">
        <v>274</v>
      </c>
      <c r="U191" s="4" t="s">
        <v>275</v>
      </c>
      <c r="W191" s="6">
        <f>1402799</f>
        <v>1402799</v>
      </c>
      <c r="X191" s="4" t="s">
        <v>243</v>
      </c>
      <c r="Y191" s="4" t="s">
        <v>244</v>
      </c>
      <c r="Z191" s="4" t="s">
        <v>246</v>
      </c>
      <c r="AA191" s="4" t="s">
        <v>241</v>
      </c>
      <c r="AD191" s="4" t="s">
        <v>241</v>
      </c>
      <c r="AF191" s="5" t="s">
        <v>241</v>
      </c>
      <c r="AI191" s="5" t="s">
        <v>249</v>
      </c>
      <c r="AJ191" s="4" t="s">
        <v>251</v>
      </c>
      <c r="AK191" s="4" t="s">
        <v>252</v>
      </c>
      <c r="BA191" s="4" t="s">
        <v>254</v>
      </c>
      <c r="BB191" s="4" t="s">
        <v>241</v>
      </c>
      <c r="BC191" s="4" t="s">
        <v>255</v>
      </c>
      <c r="BD191" s="4" t="s">
        <v>241</v>
      </c>
      <c r="BE191" s="4" t="s">
        <v>257</v>
      </c>
      <c r="BF191" s="4" t="s">
        <v>241</v>
      </c>
      <c r="BH191" s="4" t="s">
        <v>258</v>
      </c>
      <c r="BJ191" s="4" t="s">
        <v>259</v>
      </c>
      <c r="BK191" s="5" t="s">
        <v>260</v>
      </c>
      <c r="BL191" s="4" t="s">
        <v>261</v>
      </c>
      <c r="BM191" s="4" t="s">
        <v>262</v>
      </c>
      <c r="BN191" s="4" t="s">
        <v>241</v>
      </c>
      <c r="BO191" s="6">
        <f>0</f>
        <v>0</v>
      </c>
      <c r="BP191" s="6">
        <f>0</f>
        <v>0</v>
      </c>
      <c r="BQ191" s="4" t="s">
        <v>263</v>
      </c>
      <c r="BR191" s="4" t="s">
        <v>264</v>
      </c>
      <c r="CF191" s="4" t="s">
        <v>241</v>
      </c>
      <c r="CG191" s="4" t="s">
        <v>241</v>
      </c>
      <c r="CK191" s="4" t="s">
        <v>265</v>
      </c>
      <c r="CL191" s="4" t="s">
        <v>266</v>
      </c>
      <c r="CM191" s="4" t="s">
        <v>241</v>
      </c>
      <c r="CO191" s="4" t="s">
        <v>267</v>
      </c>
      <c r="CP191" s="5" t="s">
        <v>268</v>
      </c>
      <c r="CQ191" s="4" t="s">
        <v>269</v>
      </c>
      <c r="CR191" s="4" t="s">
        <v>270</v>
      </c>
      <c r="CS191" s="4" t="s">
        <v>241</v>
      </c>
      <c r="CT191" s="4" t="s">
        <v>241</v>
      </c>
      <c r="CU191" s="4">
        <v>0</v>
      </c>
      <c r="CV191" s="4" t="s">
        <v>271</v>
      </c>
      <c r="CW191" s="4" t="s">
        <v>272</v>
      </c>
      <c r="CX191" s="4" t="s">
        <v>273</v>
      </c>
      <c r="CZ191" s="6">
        <f>1402800</f>
        <v>1402800</v>
      </c>
      <c r="DA191" s="6">
        <f>0</f>
        <v>0</v>
      </c>
      <c r="DC191" s="4" t="s">
        <v>241</v>
      </c>
      <c r="DD191" s="4" t="s">
        <v>241</v>
      </c>
      <c r="DF191" s="4" t="s">
        <v>241</v>
      </c>
      <c r="DI191" s="4" t="s">
        <v>241</v>
      </c>
      <c r="DJ191" s="4" t="s">
        <v>241</v>
      </c>
      <c r="DK191" s="4" t="s">
        <v>241</v>
      </c>
      <c r="DL191" s="4" t="s">
        <v>241</v>
      </c>
      <c r="DM191" s="4" t="s">
        <v>323</v>
      </c>
      <c r="DN191" s="4" t="s">
        <v>278</v>
      </c>
      <c r="DO191" s="6">
        <f>23.38</f>
        <v>23.38</v>
      </c>
      <c r="DP191" s="4" t="s">
        <v>241</v>
      </c>
      <c r="DQ191" s="4" t="s">
        <v>241</v>
      </c>
      <c r="DR191" s="4" t="s">
        <v>241</v>
      </c>
      <c r="DS191" s="4" t="s">
        <v>241</v>
      </c>
      <c r="DV191" s="4" t="s">
        <v>3641</v>
      </c>
      <c r="DW191" s="4" t="s">
        <v>277</v>
      </c>
      <c r="HO191" s="4" t="s">
        <v>277</v>
      </c>
      <c r="HR191" s="4" t="s">
        <v>278</v>
      </c>
      <c r="HS191" s="4" t="s">
        <v>278</v>
      </c>
    </row>
    <row r="192" spans="1:240" x14ac:dyDescent="0.4">
      <c r="A192" s="4">
        <v>2</v>
      </c>
      <c r="B192" s="4" t="s">
        <v>239</v>
      </c>
      <c r="C192" s="4">
        <v>201</v>
      </c>
      <c r="D192" s="4">
        <v>1</v>
      </c>
      <c r="E192" s="4">
        <v>1</v>
      </c>
      <c r="F192" s="4" t="s">
        <v>240</v>
      </c>
      <c r="G192" s="4" t="s">
        <v>241</v>
      </c>
      <c r="H192" s="4" t="s">
        <v>241</v>
      </c>
      <c r="I192" s="4" t="s">
        <v>3642</v>
      </c>
      <c r="J192" s="4" t="s">
        <v>247</v>
      </c>
      <c r="K192" s="4" t="s">
        <v>256</v>
      </c>
      <c r="L192" s="4" t="s">
        <v>250</v>
      </c>
      <c r="M192" s="5" t="s">
        <v>3643</v>
      </c>
      <c r="N192" s="4" t="s">
        <v>242</v>
      </c>
      <c r="O192" s="6">
        <f>9.97</f>
        <v>9.9700000000000006</v>
      </c>
      <c r="P192" s="4" t="s">
        <v>276</v>
      </c>
      <c r="Q192" s="6">
        <f>1</f>
        <v>1</v>
      </c>
      <c r="R192" s="6">
        <f>697900</f>
        <v>697900</v>
      </c>
      <c r="S192" s="5" t="s">
        <v>248</v>
      </c>
      <c r="T192" s="4" t="s">
        <v>357</v>
      </c>
      <c r="U192" s="4" t="s">
        <v>275</v>
      </c>
      <c r="W192" s="6">
        <f>697899</f>
        <v>697899</v>
      </c>
      <c r="X192" s="4" t="s">
        <v>243</v>
      </c>
      <c r="Y192" s="4" t="s">
        <v>244</v>
      </c>
      <c r="Z192" s="4" t="s">
        <v>246</v>
      </c>
      <c r="AA192" s="4" t="s">
        <v>241</v>
      </c>
      <c r="AD192" s="4" t="s">
        <v>241</v>
      </c>
      <c r="AF192" s="5" t="s">
        <v>241</v>
      </c>
      <c r="AI192" s="5" t="s">
        <v>249</v>
      </c>
      <c r="AJ192" s="4" t="s">
        <v>251</v>
      </c>
      <c r="AK192" s="4" t="s">
        <v>252</v>
      </c>
      <c r="BA192" s="4" t="s">
        <v>254</v>
      </c>
      <c r="BB192" s="4" t="s">
        <v>241</v>
      </c>
      <c r="BC192" s="4" t="s">
        <v>255</v>
      </c>
      <c r="BD192" s="4" t="s">
        <v>241</v>
      </c>
      <c r="BE192" s="4" t="s">
        <v>257</v>
      </c>
      <c r="BF192" s="4" t="s">
        <v>241</v>
      </c>
      <c r="BH192" s="4" t="s">
        <v>258</v>
      </c>
      <c r="BJ192" s="4" t="s">
        <v>367</v>
      </c>
      <c r="BK192" s="5" t="s">
        <v>249</v>
      </c>
      <c r="BL192" s="4" t="s">
        <v>261</v>
      </c>
      <c r="BM192" s="4" t="s">
        <v>262</v>
      </c>
      <c r="BN192" s="4" t="s">
        <v>241</v>
      </c>
      <c r="BO192" s="6">
        <f>0</f>
        <v>0</v>
      </c>
      <c r="BP192" s="6">
        <f>0</f>
        <v>0</v>
      </c>
      <c r="BQ192" s="4" t="s">
        <v>263</v>
      </c>
      <c r="BR192" s="4" t="s">
        <v>264</v>
      </c>
      <c r="CF192" s="4" t="s">
        <v>241</v>
      </c>
      <c r="CG192" s="4" t="s">
        <v>241</v>
      </c>
      <c r="CK192" s="4" t="s">
        <v>265</v>
      </c>
      <c r="CL192" s="4" t="s">
        <v>266</v>
      </c>
      <c r="CM192" s="4" t="s">
        <v>241</v>
      </c>
      <c r="CO192" s="4" t="s">
        <v>267</v>
      </c>
      <c r="CP192" s="5" t="s">
        <v>268</v>
      </c>
      <c r="CQ192" s="4" t="s">
        <v>269</v>
      </c>
      <c r="CR192" s="4" t="s">
        <v>270</v>
      </c>
      <c r="CS192" s="4" t="s">
        <v>241</v>
      </c>
      <c r="CT192" s="4" t="s">
        <v>241</v>
      </c>
      <c r="CU192" s="4">
        <v>0</v>
      </c>
      <c r="CV192" s="4" t="s">
        <v>271</v>
      </c>
      <c r="CW192" s="4" t="s">
        <v>272</v>
      </c>
      <c r="CX192" s="4" t="s">
        <v>356</v>
      </c>
      <c r="CZ192" s="6">
        <f>697900</f>
        <v>697900</v>
      </c>
      <c r="DA192" s="6">
        <f>0</f>
        <v>0</v>
      </c>
      <c r="DC192" s="4" t="s">
        <v>241</v>
      </c>
      <c r="DD192" s="4" t="s">
        <v>241</v>
      </c>
      <c r="DF192" s="4" t="s">
        <v>241</v>
      </c>
      <c r="DI192" s="4" t="s">
        <v>241</v>
      </c>
      <c r="DJ192" s="4" t="s">
        <v>241</v>
      </c>
      <c r="DK192" s="4" t="s">
        <v>241</v>
      </c>
      <c r="DL192" s="4" t="s">
        <v>241</v>
      </c>
      <c r="DM192" s="4" t="s">
        <v>277</v>
      </c>
      <c r="DN192" s="4" t="s">
        <v>278</v>
      </c>
      <c r="DO192" s="6">
        <f>9.97</f>
        <v>9.9700000000000006</v>
      </c>
      <c r="DP192" s="4" t="s">
        <v>241</v>
      </c>
      <c r="DQ192" s="4" t="s">
        <v>241</v>
      </c>
      <c r="DR192" s="4" t="s">
        <v>241</v>
      </c>
      <c r="DS192" s="4" t="s">
        <v>241</v>
      </c>
      <c r="DV192" s="4" t="s">
        <v>3644</v>
      </c>
      <c r="DW192" s="4" t="s">
        <v>277</v>
      </c>
      <c r="HO192" s="4" t="s">
        <v>277</v>
      </c>
      <c r="HR192" s="4" t="s">
        <v>278</v>
      </c>
      <c r="HS192" s="4" t="s">
        <v>278</v>
      </c>
    </row>
    <row r="193" spans="1:227" x14ac:dyDescent="0.4">
      <c r="A193" s="4">
        <v>2</v>
      </c>
      <c r="B193" s="4" t="s">
        <v>239</v>
      </c>
      <c r="C193" s="4">
        <v>202</v>
      </c>
      <c r="D193" s="4">
        <v>1</v>
      </c>
      <c r="E193" s="4">
        <v>1</v>
      </c>
      <c r="F193" s="4" t="s">
        <v>240</v>
      </c>
      <c r="G193" s="4" t="s">
        <v>241</v>
      </c>
      <c r="H193" s="4" t="s">
        <v>241</v>
      </c>
      <c r="I193" s="4" t="s">
        <v>3645</v>
      </c>
      <c r="J193" s="4" t="s">
        <v>247</v>
      </c>
      <c r="K193" s="4" t="s">
        <v>256</v>
      </c>
      <c r="L193" s="4" t="s">
        <v>250</v>
      </c>
      <c r="M193" s="5" t="s">
        <v>3646</v>
      </c>
      <c r="N193" s="4" t="s">
        <v>242</v>
      </c>
      <c r="O193" s="6">
        <f>23.38</f>
        <v>23.38</v>
      </c>
      <c r="P193" s="4" t="s">
        <v>276</v>
      </c>
      <c r="Q193" s="6">
        <f>1</f>
        <v>1</v>
      </c>
      <c r="R193" s="6">
        <f>1402800</f>
        <v>1402800</v>
      </c>
      <c r="S193" s="5" t="s">
        <v>248</v>
      </c>
      <c r="T193" s="4" t="s">
        <v>274</v>
      </c>
      <c r="U193" s="4" t="s">
        <v>275</v>
      </c>
      <c r="W193" s="6">
        <f>1402799</f>
        <v>1402799</v>
      </c>
      <c r="X193" s="4" t="s">
        <v>243</v>
      </c>
      <c r="Y193" s="4" t="s">
        <v>244</v>
      </c>
      <c r="Z193" s="4" t="s">
        <v>246</v>
      </c>
      <c r="AA193" s="4" t="s">
        <v>241</v>
      </c>
      <c r="AD193" s="4" t="s">
        <v>241</v>
      </c>
      <c r="AF193" s="5" t="s">
        <v>241</v>
      </c>
      <c r="AI193" s="5" t="s">
        <v>249</v>
      </c>
      <c r="AJ193" s="4" t="s">
        <v>251</v>
      </c>
      <c r="AK193" s="4" t="s">
        <v>252</v>
      </c>
      <c r="BA193" s="4" t="s">
        <v>254</v>
      </c>
      <c r="BB193" s="4" t="s">
        <v>241</v>
      </c>
      <c r="BC193" s="4" t="s">
        <v>255</v>
      </c>
      <c r="BD193" s="4" t="s">
        <v>241</v>
      </c>
      <c r="BE193" s="4" t="s">
        <v>257</v>
      </c>
      <c r="BF193" s="4" t="s">
        <v>241</v>
      </c>
      <c r="BH193" s="4" t="s">
        <v>258</v>
      </c>
      <c r="BJ193" s="4" t="s">
        <v>367</v>
      </c>
      <c r="BK193" s="5" t="s">
        <v>249</v>
      </c>
      <c r="BL193" s="4" t="s">
        <v>261</v>
      </c>
      <c r="BM193" s="4" t="s">
        <v>262</v>
      </c>
      <c r="BN193" s="4" t="s">
        <v>241</v>
      </c>
      <c r="BO193" s="6">
        <f>0</f>
        <v>0</v>
      </c>
      <c r="BP193" s="6">
        <f>0</f>
        <v>0</v>
      </c>
      <c r="BQ193" s="4" t="s">
        <v>263</v>
      </c>
      <c r="BR193" s="4" t="s">
        <v>264</v>
      </c>
      <c r="CF193" s="4" t="s">
        <v>241</v>
      </c>
      <c r="CG193" s="4" t="s">
        <v>241</v>
      </c>
      <c r="CK193" s="4" t="s">
        <v>265</v>
      </c>
      <c r="CL193" s="4" t="s">
        <v>266</v>
      </c>
      <c r="CM193" s="4" t="s">
        <v>241</v>
      </c>
      <c r="CO193" s="4" t="s">
        <v>267</v>
      </c>
      <c r="CP193" s="5" t="s">
        <v>268</v>
      </c>
      <c r="CQ193" s="4" t="s">
        <v>269</v>
      </c>
      <c r="CR193" s="4" t="s">
        <v>270</v>
      </c>
      <c r="CS193" s="4" t="s">
        <v>241</v>
      </c>
      <c r="CT193" s="4" t="s">
        <v>241</v>
      </c>
      <c r="CU193" s="4">
        <v>0</v>
      </c>
      <c r="CV193" s="4" t="s">
        <v>271</v>
      </c>
      <c r="CW193" s="4" t="s">
        <v>272</v>
      </c>
      <c r="CX193" s="4" t="s">
        <v>273</v>
      </c>
      <c r="CZ193" s="6">
        <f>1402800</f>
        <v>1402800</v>
      </c>
      <c r="DA193" s="6">
        <f>0</f>
        <v>0</v>
      </c>
      <c r="DC193" s="4" t="s">
        <v>241</v>
      </c>
      <c r="DD193" s="4" t="s">
        <v>241</v>
      </c>
      <c r="DF193" s="4" t="s">
        <v>241</v>
      </c>
      <c r="DI193" s="4" t="s">
        <v>241</v>
      </c>
      <c r="DJ193" s="4" t="s">
        <v>241</v>
      </c>
      <c r="DK193" s="4" t="s">
        <v>241</v>
      </c>
      <c r="DL193" s="4" t="s">
        <v>241</v>
      </c>
      <c r="DM193" s="4" t="s">
        <v>277</v>
      </c>
      <c r="DN193" s="4" t="s">
        <v>278</v>
      </c>
      <c r="DO193" s="6">
        <f>23.38</f>
        <v>23.38</v>
      </c>
      <c r="DP193" s="4" t="s">
        <v>241</v>
      </c>
      <c r="DQ193" s="4" t="s">
        <v>241</v>
      </c>
      <c r="DR193" s="4" t="s">
        <v>241</v>
      </c>
      <c r="DS193" s="4" t="s">
        <v>241</v>
      </c>
      <c r="DV193" s="4" t="s">
        <v>3647</v>
      </c>
      <c r="DW193" s="4" t="s">
        <v>277</v>
      </c>
      <c r="HO193" s="4" t="s">
        <v>277</v>
      </c>
      <c r="HR193" s="4" t="s">
        <v>278</v>
      </c>
      <c r="HS193" s="4" t="s">
        <v>278</v>
      </c>
    </row>
    <row r="194" spans="1:227" x14ac:dyDescent="0.4">
      <c r="A194" s="4">
        <v>2</v>
      </c>
      <c r="B194" s="4" t="s">
        <v>239</v>
      </c>
      <c r="C194" s="4">
        <v>203</v>
      </c>
      <c r="D194" s="4">
        <v>1</v>
      </c>
      <c r="E194" s="4">
        <v>1</v>
      </c>
      <c r="F194" s="4" t="s">
        <v>240</v>
      </c>
      <c r="G194" s="4" t="s">
        <v>241</v>
      </c>
      <c r="H194" s="4" t="s">
        <v>241</v>
      </c>
      <c r="I194" s="4" t="s">
        <v>3648</v>
      </c>
      <c r="J194" s="4" t="s">
        <v>247</v>
      </c>
      <c r="K194" s="4" t="s">
        <v>256</v>
      </c>
      <c r="L194" s="4" t="s">
        <v>250</v>
      </c>
      <c r="M194" s="5" t="s">
        <v>3649</v>
      </c>
      <c r="N194" s="4" t="s">
        <v>242</v>
      </c>
      <c r="O194" s="6">
        <f>19.87</f>
        <v>19.87</v>
      </c>
      <c r="P194" s="4" t="s">
        <v>276</v>
      </c>
      <c r="Q194" s="6">
        <f>1</f>
        <v>1</v>
      </c>
      <c r="R194" s="6">
        <f>1192200</f>
        <v>1192200</v>
      </c>
      <c r="S194" s="5" t="s">
        <v>248</v>
      </c>
      <c r="T194" s="4" t="s">
        <v>348</v>
      </c>
      <c r="U194" s="4" t="s">
        <v>275</v>
      </c>
      <c r="W194" s="6">
        <f>1192199</f>
        <v>1192199</v>
      </c>
      <c r="X194" s="4" t="s">
        <v>243</v>
      </c>
      <c r="Y194" s="4" t="s">
        <v>244</v>
      </c>
      <c r="Z194" s="4" t="s">
        <v>246</v>
      </c>
      <c r="AA194" s="4" t="s">
        <v>241</v>
      </c>
      <c r="AD194" s="4" t="s">
        <v>241</v>
      </c>
      <c r="AF194" s="5" t="s">
        <v>241</v>
      </c>
      <c r="AI194" s="5" t="s">
        <v>249</v>
      </c>
      <c r="AJ194" s="4" t="s">
        <v>251</v>
      </c>
      <c r="AK194" s="4" t="s">
        <v>252</v>
      </c>
      <c r="BA194" s="4" t="s">
        <v>254</v>
      </c>
      <c r="BB194" s="4" t="s">
        <v>241</v>
      </c>
      <c r="BC194" s="4" t="s">
        <v>255</v>
      </c>
      <c r="BD194" s="4" t="s">
        <v>241</v>
      </c>
      <c r="BE194" s="4" t="s">
        <v>257</v>
      </c>
      <c r="BF194" s="4" t="s">
        <v>241</v>
      </c>
      <c r="BH194" s="4" t="s">
        <v>258</v>
      </c>
      <c r="BJ194" s="4" t="s">
        <v>374</v>
      </c>
      <c r="BK194" s="5" t="s">
        <v>375</v>
      </c>
      <c r="BL194" s="4" t="s">
        <v>261</v>
      </c>
      <c r="BM194" s="4" t="s">
        <v>262</v>
      </c>
      <c r="BN194" s="4" t="s">
        <v>241</v>
      </c>
      <c r="BO194" s="6">
        <f>0</f>
        <v>0</v>
      </c>
      <c r="BP194" s="6">
        <f>0</f>
        <v>0</v>
      </c>
      <c r="BQ194" s="4" t="s">
        <v>263</v>
      </c>
      <c r="BR194" s="4" t="s">
        <v>264</v>
      </c>
      <c r="CF194" s="4" t="s">
        <v>241</v>
      </c>
      <c r="CG194" s="4" t="s">
        <v>241</v>
      </c>
      <c r="CK194" s="4" t="s">
        <v>265</v>
      </c>
      <c r="CL194" s="4" t="s">
        <v>266</v>
      </c>
      <c r="CM194" s="4" t="s">
        <v>241</v>
      </c>
      <c r="CO194" s="4" t="s">
        <v>267</v>
      </c>
      <c r="CP194" s="5" t="s">
        <v>268</v>
      </c>
      <c r="CQ194" s="4" t="s">
        <v>269</v>
      </c>
      <c r="CR194" s="4" t="s">
        <v>270</v>
      </c>
      <c r="CS194" s="4" t="s">
        <v>241</v>
      </c>
      <c r="CT194" s="4" t="s">
        <v>241</v>
      </c>
      <c r="CU194" s="4">
        <v>0</v>
      </c>
      <c r="CV194" s="4" t="s">
        <v>271</v>
      </c>
      <c r="CW194" s="4" t="s">
        <v>272</v>
      </c>
      <c r="CX194" s="4" t="s">
        <v>347</v>
      </c>
      <c r="CZ194" s="6">
        <f>1192200</f>
        <v>1192200</v>
      </c>
      <c r="DA194" s="6">
        <f>0</f>
        <v>0</v>
      </c>
      <c r="DC194" s="4" t="s">
        <v>241</v>
      </c>
      <c r="DD194" s="4" t="s">
        <v>241</v>
      </c>
      <c r="DF194" s="4" t="s">
        <v>241</v>
      </c>
      <c r="DI194" s="4" t="s">
        <v>241</v>
      </c>
      <c r="DJ194" s="4" t="s">
        <v>241</v>
      </c>
      <c r="DK194" s="4" t="s">
        <v>241</v>
      </c>
      <c r="DL194" s="4" t="s">
        <v>241</v>
      </c>
      <c r="DM194" s="4" t="s">
        <v>277</v>
      </c>
      <c r="DN194" s="4" t="s">
        <v>278</v>
      </c>
      <c r="DO194" s="6">
        <f>19.87</f>
        <v>19.87</v>
      </c>
      <c r="DP194" s="4" t="s">
        <v>241</v>
      </c>
      <c r="DQ194" s="4" t="s">
        <v>241</v>
      </c>
      <c r="DR194" s="4" t="s">
        <v>241</v>
      </c>
      <c r="DS194" s="4" t="s">
        <v>241</v>
      </c>
      <c r="DV194" s="4" t="s">
        <v>3650</v>
      </c>
      <c r="DW194" s="4" t="s">
        <v>277</v>
      </c>
      <c r="HO194" s="4" t="s">
        <v>277</v>
      </c>
      <c r="HR194" s="4" t="s">
        <v>278</v>
      </c>
      <c r="HS194" s="4" t="s">
        <v>278</v>
      </c>
    </row>
    <row r="195" spans="1:227" x14ac:dyDescent="0.4">
      <c r="A195" s="4">
        <v>2</v>
      </c>
      <c r="B195" s="4" t="s">
        <v>239</v>
      </c>
      <c r="C195" s="4">
        <v>204</v>
      </c>
      <c r="D195" s="4">
        <v>1</v>
      </c>
      <c r="E195" s="4">
        <v>1</v>
      </c>
      <c r="F195" s="4" t="s">
        <v>240</v>
      </c>
      <c r="G195" s="4" t="s">
        <v>241</v>
      </c>
      <c r="H195" s="4" t="s">
        <v>241</v>
      </c>
      <c r="I195" s="4" t="s">
        <v>3651</v>
      </c>
      <c r="J195" s="4" t="s">
        <v>247</v>
      </c>
      <c r="K195" s="4" t="s">
        <v>256</v>
      </c>
      <c r="L195" s="4" t="s">
        <v>250</v>
      </c>
      <c r="M195" s="5" t="s">
        <v>486</v>
      </c>
      <c r="N195" s="4" t="s">
        <v>242</v>
      </c>
      <c r="O195" s="6">
        <f>46.8</f>
        <v>46.8</v>
      </c>
      <c r="P195" s="4" t="s">
        <v>276</v>
      </c>
      <c r="Q195" s="6">
        <f>1</f>
        <v>1</v>
      </c>
      <c r="R195" s="6">
        <f>2808000</f>
        <v>2808000</v>
      </c>
      <c r="S195" s="5" t="s">
        <v>248</v>
      </c>
      <c r="T195" s="4" t="s">
        <v>441</v>
      </c>
      <c r="U195" s="4" t="s">
        <v>275</v>
      </c>
      <c r="W195" s="6">
        <f>2807999</f>
        <v>2807999</v>
      </c>
      <c r="X195" s="4" t="s">
        <v>243</v>
      </c>
      <c r="Y195" s="4" t="s">
        <v>244</v>
      </c>
      <c r="Z195" s="4" t="s">
        <v>246</v>
      </c>
      <c r="AA195" s="4" t="s">
        <v>241</v>
      </c>
      <c r="AD195" s="4" t="s">
        <v>241</v>
      </c>
      <c r="AF195" s="5" t="s">
        <v>241</v>
      </c>
      <c r="AI195" s="5" t="s">
        <v>249</v>
      </c>
      <c r="AJ195" s="4" t="s">
        <v>251</v>
      </c>
      <c r="AK195" s="4" t="s">
        <v>252</v>
      </c>
      <c r="BA195" s="4" t="s">
        <v>254</v>
      </c>
      <c r="BB195" s="4" t="s">
        <v>241</v>
      </c>
      <c r="BC195" s="4" t="s">
        <v>255</v>
      </c>
      <c r="BD195" s="4" t="s">
        <v>241</v>
      </c>
      <c r="BE195" s="4" t="s">
        <v>257</v>
      </c>
      <c r="BF195" s="4" t="s">
        <v>241</v>
      </c>
      <c r="BH195" s="4" t="s">
        <v>258</v>
      </c>
      <c r="BJ195" s="4" t="s">
        <v>377</v>
      </c>
      <c r="BK195" s="5" t="s">
        <v>378</v>
      </c>
      <c r="BL195" s="4" t="s">
        <v>261</v>
      </c>
      <c r="BM195" s="4" t="s">
        <v>262</v>
      </c>
      <c r="BN195" s="4" t="s">
        <v>241</v>
      </c>
      <c r="BO195" s="6">
        <f>0</f>
        <v>0</v>
      </c>
      <c r="BP195" s="6">
        <f>0</f>
        <v>0</v>
      </c>
      <c r="BQ195" s="4" t="s">
        <v>263</v>
      </c>
      <c r="BR195" s="4" t="s">
        <v>264</v>
      </c>
      <c r="CF195" s="4" t="s">
        <v>241</v>
      </c>
      <c r="CG195" s="4" t="s">
        <v>241</v>
      </c>
      <c r="CK195" s="4" t="s">
        <v>265</v>
      </c>
      <c r="CL195" s="4" t="s">
        <v>266</v>
      </c>
      <c r="CM195" s="4" t="s">
        <v>241</v>
      </c>
      <c r="CO195" s="4" t="s">
        <v>267</v>
      </c>
      <c r="CP195" s="5" t="s">
        <v>268</v>
      </c>
      <c r="CQ195" s="4" t="s">
        <v>269</v>
      </c>
      <c r="CR195" s="4" t="s">
        <v>270</v>
      </c>
      <c r="CS195" s="4" t="s">
        <v>241</v>
      </c>
      <c r="CT195" s="4" t="s">
        <v>241</v>
      </c>
      <c r="CU195" s="4">
        <v>0</v>
      </c>
      <c r="CV195" s="4" t="s">
        <v>271</v>
      </c>
      <c r="CW195" s="4" t="s">
        <v>272</v>
      </c>
      <c r="CX195" s="4" t="s">
        <v>487</v>
      </c>
      <c r="CZ195" s="6">
        <f>2808000</f>
        <v>2808000</v>
      </c>
      <c r="DA195" s="6">
        <f>0</f>
        <v>0</v>
      </c>
      <c r="DC195" s="4" t="s">
        <v>241</v>
      </c>
      <c r="DD195" s="4" t="s">
        <v>241</v>
      </c>
      <c r="DF195" s="4" t="s">
        <v>241</v>
      </c>
      <c r="DI195" s="4" t="s">
        <v>241</v>
      </c>
      <c r="DJ195" s="4" t="s">
        <v>241</v>
      </c>
      <c r="DK195" s="4" t="s">
        <v>241</v>
      </c>
      <c r="DL195" s="4" t="s">
        <v>241</v>
      </c>
      <c r="DM195" s="4" t="s">
        <v>277</v>
      </c>
      <c r="DN195" s="4" t="s">
        <v>278</v>
      </c>
      <c r="DO195" s="6">
        <f>46.8</f>
        <v>46.8</v>
      </c>
      <c r="DP195" s="4" t="s">
        <v>241</v>
      </c>
      <c r="DQ195" s="4" t="s">
        <v>241</v>
      </c>
      <c r="DR195" s="4" t="s">
        <v>241</v>
      </c>
      <c r="DS195" s="4" t="s">
        <v>241</v>
      </c>
      <c r="DV195" s="4" t="s">
        <v>3652</v>
      </c>
      <c r="DW195" s="4" t="s">
        <v>277</v>
      </c>
      <c r="HO195" s="4" t="s">
        <v>277</v>
      </c>
      <c r="HR195" s="4" t="s">
        <v>278</v>
      </c>
      <c r="HS195" s="4" t="s">
        <v>278</v>
      </c>
    </row>
    <row r="196" spans="1:227" x14ac:dyDescent="0.4">
      <c r="A196" s="4">
        <v>2</v>
      </c>
      <c r="B196" s="4" t="s">
        <v>239</v>
      </c>
      <c r="C196" s="4">
        <v>205</v>
      </c>
      <c r="D196" s="4">
        <v>1</v>
      </c>
      <c r="E196" s="4">
        <v>1</v>
      </c>
      <c r="F196" s="4" t="s">
        <v>240</v>
      </c>
      <c r="G196" s="4" t="s">
        <v>241</v>
      </c>
      <c r="H196" s="4" t="s">
        <v>241</v>
      </c>
      <c r="I196" s="4" t="s">
        <v>3653</v>
      </c>
      <c r="J196" s="4" t="s">
        <v>247</v>
      </c>
      <c r="K196" s="4" t="s">
        <v>256</v>
      </c>
      <c r="L196" s="4" t="s">
        <v>250</v>
      </c>
      <c r="M196" s="5" t="s">
        <v>3654</v>
      </c>
      <c r="N196" s="4" t="s">
        <v>242</v>
      </c>
      <c r="O196" s="6">
        <f>28.98</f>
        <v>28.98</v>
      </c>
      <c r="P196" s="4" t="s">
        <v>276</v>
      </c>
      <c r="Q196" s="6">
        <f>1</f>
        <v>1</v>
      </c>
      <c r="R196" s="6">
        <f>1738800</f>
        <v>1738800</v>
      </c>
      <c r="S196" s="5" t="s">
        <v>248</v>
      </c>
      <c r="T196" s="4" t="s">
        <v>348</v>
      </c>
      <c r="U196" s="4" t="s">
        <v>275</v>
      </c>
      <c r="W196" s="6">
        <f>1738799</f>
        <v>1738799</v>
      </c>
      <c r="X196" s="4" t="s">
        <v>243</v>
      </c>
      <c r="Y196" s="4" t="s">
        <v>244</v>
      </c>
      <c r="Z196" s="4" t="s">
        <v>246</v>
      </c>
      <c r="AA196" s="4" t="s">
        <v>241</v>
      </c>
      <c r="AD196" s="4" t="s">
        <v>241</v>
      </c>
      <c r="AF196" s="5" t="s">
        <v>241</v>
      </c>
      <c r="AI196" s="5" t="s">
        <v>249</v>
      </c>
      <c r="AJ196" s="4" t="s">
        <v>251</v>
      </c>
      <c r="AK196" s="4" t="s">
        <v>252</v>
      </c>
      <c r="BA196" s="4" t="s">
        <v>254</v>
      </c>
      <c r="BB196" s="4" t="s">
        <v>241</v>
      </c>
      <c r="BC196" s="4" t="s">
        <v>255</v>
      </c>
      <c r="BD196" s="4" t="s">
        <v>241</v>
      </c>
      <c r="BE196" s="4" t="s">
        <v>257</v>
      </c>
      <c r="BF196" s="4" t="s">
        <v>241</v>
      </c>
      <c r="BH196" s="4" t="s">
        <v>258</v>
      </c>
      <c r="BJ196" s="4" t="s">
        <v>367</v>
      </c>
      <c r="BK196" s="5" t="s">
        <v>249</v>
      </c>
      <c r="BL196" s="4" t="s">
        <v>261</v>
      </c>
      <c r="BM196" s="4" t="s">
        <v>262</v>
      </c>
      <c r="BN196" s="4" t="s">
        <v>241</v>
      </c>
      <c r="BO196" s="6">
        <f>0</f>
        <v>0</v>
      </c>
      <c r="BP196" s="6">
        <f>0</f>
        <v>0</v>
      </c>
      <c r="BQ196" s="4" t="s">
        <v>263</v>
      </c>
      <c r="BR196" s="4" t="s">
        <v>264</v>
      </c>
      <c r="CF196" s="4" t="s">
        <v>241</v>
      </c>
      <c r="CG196" s="4" t="s">
        <v>241</v>
      </c>
      <c r="CK196" s="4" t="s">
        <v>265</v>
      </c>
      <c r="CL196" s="4" t="s">
        <v>266</v>
      </c>
      <c r="CM196" s="4" t="s">
        <v>241</v>
      </c>
      <c r="CO196" s="4" t="s">
        <v>267</v>
      </c>
      <c r="CP196" s="5" t="s">
        <v>268</v>
      </c>
      <c r="CQ196" s="4" t="s">
        <v>269</v>
      </c>
      <c r="CR196" s="4" t="s">
        <v>270</v>
      </c>
      <c r="CS196" s="4" t="s">
        <v>241</v>
      </c>
      <c r="CT196" s="4" t="s">
        <v>241</v>
      </c>
      <c r="CU196" s="4">
        <v>0</v>
      </c>
      <c r="CV196" s="4" t="s">
        <v>271</v>
      </c>
      <c r="CW196" s="4" t="s">
        <v>272</v>
      </c>
      <c r="CX196" s="4" t="s">
        <v>347</v>
      </c>
      <c r="CZ196" s="6">
        <f>1738800</f>
        <v>1738800</v>
      </c>
      <c r="DA196" s="6">
        <f>0</f>
        <v>0</v>
      </c>
      <c r="DC196" s="4" t="s">
        <v>241</v>
      </c>
      <c r="DD196" s="4" t="s">
        <v>241</v>
      </c>
      <c r="DF196" s="4" t="s">
        <v>241</v>
      </c>
      <c r="DI196" s="4" t="s">
        <v>241</v>
      </c>
      <c r="DJ196" s="4" t="s">
        <v>241</v>
      </c>
      <c r="DK196" s="4" t="s">
        <v>241</v>
      </c>
      <c r="DL196" s="4" t="s">
        <v>241</v>
      </c>
      <c r="DM196" s="4" t="s">
        <v>277</v>
      </c>
      <c r="DN196" s="4" t="s">
        <v>278</v>
      </c>
      <c r="DO196" s="6">
        <f>28.98</f>
        <v>28.98</v>
      </c>
      <c r="DP196" s="4" t="s">
        <v>241</v>
      </c>
      <c r="DQ196" s="4" t="s">
        <v>241</v>
      </c>
      <c r="DR196" s="4" t="s">
        <v>241</v>
      </c>
      <c r="DS196" s="4" t="s">
        <v>241</v>
      </c>
      <c r="DV196" s="4" t="s">
        <v>3655</v>
      </c>
      <c r="DW196" s="4" t="s">
        <v>277</v>
      </c>
      <c r="HO196" s="4" t="s">
        <v>277</v>
      </c>
      <c r="HR196" s="4" t="s">
        <v>278</v>
      </c>
      <c r="HS196" s="4" t="s">
        <v>278</v>
      </c>
    </row>
    <row r="197" spans="1:227" x14ac:dyDescent="0.4">
      <c r="A197" s="4">
        <v>2</v>
      </c>
      <c r="B197" s="4" t="s">
        <v>239</v>
      </c>
      <c r="C197" s="4">
        <v>206</v>
      </c>
      <c r="D197" s="4">
        <v>1</v>
      </c>
      <c r="E197" s="4">
        <v>1</v>
      </c>
      <c r="F197" s="4" t="s">
        <v>240</v>
      </c>
      <c r="G197" s="4" t="s">
        <v>241</v>
      </c>
      <c r="H197" s="4" t="s">
        <v>241</v>
      </c>
      <c r="I197" s="4" t="s">
        <v>3656</v>
      </c>
      <c r="J197" s="4" t="s">
        <v>247</v>
      </c>
      <c r="K197" s="4" t="s">
        <v>256</v>
      </c>
      <c r="L197" s="4" t="s">
        <v>250</v>
      </c>
      <c r="M197" s="5" t="s">
        <v>3657</v>
      </c>
      <c r="N197" s="4" t="s">
        <v>242</v>
      </c>
      <c r="O197" s="6">
        <f>19.87</f>
        <v>19.87</v>
      </c>
      <c r="P197" s="4" t="s">
        <v>276</v>
      </c>
      <c r="Q197" s="6">
        <f>1</f>
        <v>1</v>
      </c>
      <c r="R197" s="6">
        <f>1192200</f>
        <v>1192200</v>
      </c>
      <c r="S197" s="5" t="s">
        <v>248</v>
      </c>
      <c r="T197" s="4" t="s">
        <v>348</v>
      </c>
      <c r="U197" s="4" t="s">
        <v>275</v>
      </c>
      <c r="W197" s="6">
        <f>1192199</f>
        <v>1192199</v>
      </c>
      <c r="X197" s="4" t="s">
        <v>243</v>
      </c>
      <c r="Y197" s="4" t="s">
        <v>244</v>
      </c>
      <c r="Z197" s="4" t="s">
        <v>246</v>
      </c>
      <c r="AA197" s="4" t="s">
        <v>241</v>
      </c>
      <c r="AD197" s="4" t="s">
        <v>241</v>
      </c>
      <c r="AF197" s="5" t="s">
        <v>241</v>
      </c>
      <c r="AI197" s="5" t="s">
        <v>249</v>
      </c>
      <c r="AJ197" s="4" t="s">
        <v>251</v>
      </c>
      <c r="AK197" s="4" t="s">
        <v>252</v>
      </c>
      <c r="BA197" s="4" t="s">
        <v>254</v>
      </c>
      <c r="BB197" s="4" t="s">
        <v>241</v>
      </c>
      <c r="BC197" s="4" t="s">
        <v>255</v>
      </c>
      <c r="BD197" s="4" t="s">
        <v>241</v>
      </c>
      <c r="BE197" s="4" t="s">
        <v>257</v>
      </c>
      <c r="BF197" s="4" t="s">
        <v>241</v>
      </c>
      <c r="BH197" s="4" t="s">
        <v>258</v>
      </c>
      <c r="BJ197" s="4" t="s">
        <v>367</v>
      </c>
      <c r="BK197" s="5" t="s">
        <v>249</v>
      </c>
      <c r="BL197" s="4" t="s">
        <v>261</v>
      </c>
      <c r="BM197" s="4" t="s">
        <v>262</v>
      </c>
      <c r="BN197" s="4" t="s">
        <v>241</v>
      </c>
      <c r="BO197" s="6">
        <f>0</f>
        <v>0</v>
      </c>
      <c r="BP197" s="6">
        <f>0</f>
        <v>0</v>
      </c>
      <c r="BQ197" s="4" t="s">
        <v>263</v>
      </c>
      <c r="BR197" s="4" t="s">
        <v>264</v>
      </c>
      <c r="CF197" s="4" t="s">
        <v>241</v>
      </c>
      <c r="CG197" s="4" t="s">
        <v>241</v>
      </c>
      <c r="CK197" s="4" t="s">
        <v>265</v>
      </c>
      <c r="CL197" s="4" t="s">
        <v>266</v>
      </c>
      <c r="CM197" s="4" t="s">
        <v>241</v>
      </c>
      <c r="CO197" s="4" t="s">
        <v>267</v>
      </c>
      <c r="CP197" s="5" t="s">
        <v>268</v>
      </c>
      <c r="CQ197" s="4" t="s">
        <v>269</v>
      </c>
      <c r="CR197" s="4" t="s">
        <v>270</v>
      </c>
      <c r="CS197" s="4" t="s">
        <v>241</v>
      </c>
      <c r="CT197" s="4" t="s">
        <v>241</v>
      </c>
      <c r="CU197" s="4">
        <v>0</v>
      </c>
      <c r="CV197" s="4" t="s">
        <v>271</v>
      </c>
      <c r="CW197" s="4" t="s">
        <v>272</v>
      </c>
      <c r="CX197" s="4" t="s">
        <v>347</v>
      </c>
      <c r="CZ197" s="6">
        <f>1192200</f>
        <v>1192200</v>
      </c>
      <c r="DA197" s="6">
        <f>0</f>
        <v>0</v>
      </c>
      <c r="DC197" s="4" t="s">
        <v>241</v>
      </c>
      <c r="DD197" s="4" t="s">
        <v>241</v>
      </c>
      <c r="DF197" s="4" t="s">
        <v>241</v>
      </c>
      <c r="DI197" s="4" t="s">
        <v>241</v>
      </c>
      <c r="DJ197" s="4" t="s">
        <v>241</v>
      </c>
      <c r="DK197" s="4" t="s">
        <v>241</v>
      </c>
      <c r="DL197" s="4" t="s">
        <v>241</v>
      </c>
      <c r="DM197" s="4" t="s">
        <v>277</v>
      </c>
      <c r="DN197" s="4" t="s">
        <v>278</v>
      </c>
      <c r="DO197" s="6">
        <f>19.87</f>
        <v>19.87</v>
      </c>
      <c r="DP197" s="4" t="s">
        <v>241</v>
      </c>
      <c r="DQ197" s="4" t="s">
        <v>241</v>
      </c>
      <c r="DR197" s="4" t="s">
        <v>241</v>
      </c>
      <c r="DS197" s="4" t="s">
        <v>241</v>
      </c>
      <c r="DV197" s="4" t="s">
        <v>3658</v>
      </c>
      <c r="DW197" s="4" t="s">
        <v>277</v>
      </c>
      <c r="HO197" s="4" t="s">
        <v>277</v>
      </c>
      <c r="HR197" s="4" t="s">
        <v>278</v>
      </c>
      <c r="HS197" s="4" t="s">
        <v>278</v>
      </c>
    </row>
    <row r="198" spans="1:227" x14ac:dyDescent="0.4">
      <c r="A198" s="4">
        <v>2</v>
      </c>
      <c r="B198" s="4" t="s">
        <v>239</v>
      </c>
      <c r="C198" s="4">
        <v>207</v>
      </c>
      <c r="D198" s="4">
        <v>1</v>
      </c>
      <c r="E198" s="4">
        <v>1</v>
      </c>
      <c r="F198" s="4" t="s">
        <v>240</v>
      </c>
      <c r="G198" s="4" t="s">
        <v>241</v>
      </c>
      <c r="H198" s="4" t="s">
        <v>241</v>
      </c>
      <c r="I198" s="4" t="s">
        <v>3659</v>
      </c>
      <c r="J198" s="4" t="s">
        <v>247</v>
      </c>
      <c r="K198" s="4" t="s">
        <v>256</v>
      </c>
      <c r="L198" s="4" t="s">
        <v>250</v>
      </c>
      <c r="M198" s="5" t="s">
        <v>395</v>
      </c>
      <c r="N198" s="4" t="s">
        <v>242</v>
      </c>
      <c r="O198" s="6">
        <f>19.87</f>
        <v>19.87</v>
      </c>
      <c r="P198" s="4" t="s">
        <v>276</v>
      </c>
      <c r="Q198" s="6">
        <f>1</f>
        <v>1</v>
      </c>
      <c r="R198" s="6">
        <f>1192200</f>
        <v>1192200</v>
      </c>
      <c r="S198" s="5" t="s">
        <v>248</v>
      </c>
      <c r="T198" s="4" t="s">
        <v>348</v>
      </c>
      <c r="U198" s="4" t="s">
        <v>275</v>
      </c>
      <c r="W198" s="6">
        <f>1192199</f>
        <v>1192199</v>
      </c>
      <c r="X198" s="4" t="s">
        <v>243</v>
      </c>
      <c r="Y198" s="4" t="s">
        <v>244</v>
      </c>
      <c r="Z198" s="4" t="s">
        <v>246</v>
      </c>
      <c r="AA198" s="4" t="s">
        <v>241</v>
      </c>
      <c r="AD198" s="4" t="s">
        <v>241</v>
      </c>
      <c r="AF198" s="5" t="s">
        <v>241</v>
      </c>
      <c r="AI198" s="5" t="s">
        <v>249</v>
      </c>
      <c r="AJ198" s="4" t="s">
        <v>251</v>
      </c>
      <c r="AK198" s="4" t="s">
        <v>252</v>
      </c>
      <c r="BA198" s="4" t="s">
        <v>254</v>
      </c>
      <c r="BB198" s="4" t="s">
        <v>241</v>
      </c>
      <c r="BC198" s="4" t="s">
        <v>255</v>
      </c>
      <c r="BD198" s="4" t="s">
        <v>241</v>
      </c>
      <c r="BE198" s="4" t="s">
        <v>257</v>
      </c>
      <c r="BF198" s="4" t="s">
        <v>241</v>
      </c>
      <c r="BH198" s="4" t="s">
        <v>258</v>
      </c>
      <c r="BJ198" s="4" t="s">
        <v>374</v>
      </c>
      <c r="BK198" s="5" t="s">
        <v>375</v>
      </c>
      <c r="BL198" s="4" t="s">
        <v>261</v>
      </c>
      <c r="BM198" s="4" t="s">
        <v>262</v>
      </c>
      <c r="BN198" s="4" t="s">
        <v>241</v>
      </c>
      <c r="BO198" s="6">
        <f>0</f>
        <v>0</v>
      </c>
      <c r="BP198" s="6">
        <f>0</f>
        <v>0</v>
      </c>
      <c r="BQ198" s="4" t="s">
        <v>263</v>
      </c>
      <c r="BR198" s="4" t="s">
        <v>264</v>
      </c>
      <c r="CF198" s="4" t="s">
        <v>241</v>
      </c>
      <c r="CG198" s="4" t="s">
        <v>241</v>
      </c>
      <c r="CK198" s="4" t="s">
        <v>265</v>
      </c>
      <c r="CL198" s="4" t="s">
        <v>266</v>
      </c>
      <c r="CM198" s="4" t="s">
        <v>241</v>
      </c>
      <c r="CO198" s="4" t="s">
        <v>267</v>
      </c>
      <c r="CP198" s="5" t="s">
        <v>268</v>
      </c>
      <c r="CQ198" s="4" t="s">
        <v>269</v>
      </c>
      <c r="CR198" s="4" t="s">
        <v>270</v>
      </c>
      <c r="CS198" s="4" t="s">
        <v>241</v>
      </c>
      <c r="CT198" s="4" t="s">
        <v>241</v>
      </c>
      <c r="CU198" s="4">
        <v>0</v>
      </c>
      <c r="CV198" s="4" t="s">
        <v>271</v>
      </c>
      <c r="CW198" s="4" t="s">
        <v>272</v>
      </c>
      <c r="CX198" s="4" t="s">
        <v>347</v>
      </c>
      <c r="CZ198" s="6">
        <f>1192200</f>
        <v>1192200</v>
      </c>
      <c r="DA198" s="6">
        <f>0</f>
        <v>0</v>
      </c>
      <c r="DC198" s="4" t="s">
        <v>241</v>
      </c>
      <c r="DD198" s="4" t="s">
        <v>241</v>
      </c>
      <c r="DF198" s="4" t="s">
        <v>241</v>
      </c>
      <c r="DI198" s="4" t="s">
        <v>241</v>
      </c>
      <c r="DJ198" s="4" t="s">
        <v>241</v>
      </c>
      <c r="DK198" s="4" t="s">
        <v>241</v>
      </c>
      <c r="DL198" s="4" t="s">
        <v>241</v>
      </c>
      <c r="DM198" s="4" t="s">
        <v>277</v>
      </c>
      <c r="DN198" s="4" t="s">
        <v>278</v>
      </c>
      <c r="DO198" s="6">
        <f>19.87</f>
        <v>19.87</v>
      </c>
      <c r="DP198" s="4" t="s">
        <v>241</v>
      </c>
      <c r="DQ198" s="4" t="s">
        <v>241</v>
      </c>
      <c r="DR198" s="4" t="s">
        <v>241</v>
      </c>
      <c r="DS198" s="4" t="s">
        <v>241</v>
      </c>
      <c r="DV198" s="4" t="s">
        <v>3660</v>
      </c>
      <c r="DW198" s="4" t="s">
        <v>277</v>
      </c>
      <c r="HO198" s="4" t="s">
        <v>277</v>
      </c>
      <c r="HR198" s="4" t="s">
        <v>278</v>
      </c>
      <c r="HS198" s="4" t="s">
        <v>278</v>
      </c>
    </row>
    <row r="199" spans="1:227" x14ac:dyDescent="0.4">
      <c r="A199" s="4">
        <v>2</v>
      </c>
      <c r="B199" s="4" t="s">
        <v>239</v>
      </c>
      <c r="C199" s="4">
        <v>208</v>
      </c>
      <c r="D199" s="4">
        <v>1</v>
      </c>
      <c r="E199" s="4">
        <v>1</v>
      </c>
      <c r="F199" s="4" t="s">
        <v>240</v>
      </c>
      <c r="G199" s="4" t="s">
        <v>241</v>
      </c>
      <c r="H199" s="4" t="s">
        <v>241</v>
      </c>
      <c r="I199" s="4" t="s">
        <v>3661</v>
      </c>
      <c r="J199" s="4" t="s">
        <v>247</v>
      </c>
      <c r="K199" s="4" t="s">
        <v>256</v>
      </c>
      <c r="L199" s="4" t="s">
        <v>250</v>
      </c>
      <c r="M199" s="5" t="s">
        <v>3662</v>
      </c>
      <c r="N199" s="4" t="s">
        <v>242</v>
      </c>
      <c r="O199" s="6">
        <f>19.87</f>
        <v>19.87</v>
      </c>
      <c r="P199" s="4" t="s">
        <v>276</v>
      </c>
      <c r="Q199" s="6">
        <f>1</f>
        <v>1</v>
      </c>
      <c r="R199" s="6">
        <f>1192200</f>
        <v>1192200</v>
      </c>
      <c r="S199" s="5" t="s">
        <v>248</v>
      </c>
      <c r="T199" s="4" t="s">
        <v>348</v>
      </c>
      <c r="U199" s="4" t="s">
        <v>275</v>
      </c>
      <c r="W199" s="6">
        <f>1192199</f>
        <v>1192199</v>
      </c>
      <c r="X199" s="4" t="s">
        <v>243</v>
      </c>
      <c r="Y199" s="4" t="s">
        <v>244</v>
      </c>
      <c r="Z199" s="4" t="s">
        <v>246</v>
      </c>
      <c r="AA199" s="4" t="s">
        <v>241</v>
      </c>
      <c r="AD199" s="4" t="s">
        <v>241</v>
      </c>
      <c r="AF199" s="5" t="s">
        <v>241</v>
      </c>
      <c r="AI199" s="5" t="s">
        <v>249</v>
      </c>
      <c r="AJ199" s="4" t="s">
        <v>251</v>
      </c>
      <c r="AK199" s="4" t="s">
        <v>252</v>
      </c>
      <c r="BA199" s="4" t="s">
        <v>254</v>
      </c>
      <c r="BB199" s="4" t="s">
        <v>241</v>
      </c>
      <c r="BC199" s="4" t="s">
        <v>255</v>
      </c>
      <c r="BD199" s="4" t="s">
        <v>241</v>
      </c>
      <c r="BE199" s="4" t="s">
        <v>257</v>
      </c>
      <c r="BF199" s="4" t="s">
        <v>241</v>
      </c>
      <c r="BH199" s="4" t="s">
        <v>258</v>
      </c>
      <c r="BJ199" s="4" t="s">
        <v>377</v>
      </c>
      <c r="BK199" s="5" t="s">
        <v>378</v>
      </c>
      <c r="BL199" s="4" t="s">
        <v>261</v>
      </c>
      <c r="BM199" s="4" t="s">
        <v>262</v>
      </c>
      <c r="BN199" s="4" t="s">
        <v>241</v>
      </c>
      <c r="BO199" s="6">
        <f>0</f>
        <v>0</v>
      </c>
      <c r="BP199" s="6">
        <f>0</f>
        <v>0</v>
      </c>
      <c r="BQ199" s="4" t="s">
        <v>263</v>
      </c>
      <c r="BR199" s="4" t="s">
        <v>264</v>
      </c>
      <c r="CF199" s="4" t="s">
        <v>241</v>
      </c>
      <c r="CG199" s="4" t="s">
        <v>241</v>
      </c>
      <c r="CK199" s="4" t="s">
        <v>265</v>
      </c>
      <c r="CL199" s="4" t="s">
        <v>266</v>
      </c>
      <c r="CM199" s="4" t="s">
        <v>241</v>
      </c>
      <c r="CO199" s="4" t="s">
        <v>267</v>
      </c>
      <c r="CP199" s="5" t="s">
        <v>268</v>
      </c>
      <c r="CQ199" s="4" t="s">
        <v>269</v>
      </c>
      <c r="CR199" s="4" t="s">
        <v>270</v>
      </c>
      <c r="CS199" s="4" t="s">
        <v>241</v>
      </c>
      <c r="CT199" s="4" t="s">
        <v>241</v>
      </c>
      <c r="CU199" s="4">
        <v>0</v>
      </c>
      <c r="CV199" s="4" t="s">
        <v>271</v>
      </c>
      <c r="CW199" s="4" t="s">
        <v>272</v>
      </c>
      <c r="CX199" s="4" t="s">
        <v>347</v>
      </c>
      <c r="CZ199" s="6">
        <f>1192200</f>
        <v>1192200</v>
      </c>
      <c r="DA199" s="6">
        <f>0</f>
        <v>0</v>
      </c>
      <c r="DC199" s="4" t="s">
        <v>241</v>
      </c>
      <c r="DD199" s="4" t="s">
        <v>241</v>
      </c>
      <c r="DF199" s="4" t="s">
        <v>241</v>
      </c>
      <c r="DI199" s="4" t="s">
        <v>241</v>
      </c>
      <c r="DJ199" s="4" t="s">
        <v>241</v>
      </c>
      <c r="DK199" s="4" t="s">
        <v>241</v>
      </c>
      <c r="DL199" s="4" t="s">
        <v>241</v>
      </c>
      <c r="DM199" s="4" t="s">
        <v>277</v>
      </c>
      <c r="DN199" s="4" t="s">
        <v>278</v>
      </c>
      <c r="DO199" s="6">
        <f>19.87</f>
        <v>19.87</v>
      </c>
      <c r="DP199" s="4" t="s">
        <v>241</v>
      </c>
      <c r="DQ199" s="4" t="s">
        <v>241</v>
      </c>
      <c r="DR199" s="4" t="s">
        <v>241</v>
      </c>
      <c r="DS199" s="4" t="s">
        <v>241</v>
      </c>
      <c r="DV199" s="4" t="s">
        <v>3663</v>
      </c>
      <c r="DW199" s="4" t="s">
        <v>277</v>
      </c>
      <c r="HO199" s="4" t="s">
        <v>277</v>
      </c>
      <c r="HR199" s="4" t="s">
        <v>278</v>
      </c>
      <c r="HS199" s="4" t="s">
        <v>278</v>
      </c>
    </row>
    <row r="200" spans="1:227" x14ac:dyDescent="0.4">
      <c r="A200" s="4">
        <v>2</v>
      </c>
      <c r="B200" s="4" t="s">
        <v>239</v>
      </c>
      <c r="C200" s="4">
        <v>209</v>
      </c>
      <c r="D200" s="4">
        <v>1</v>
      </c>
      <c r="E200" s="4">
        <v>1</v>
      </c>
      <c r="F200" s="4" t="s">
        <v>240</v>
      </c>
      <c r="G200" s="4" t="s">
        <v>241</v>
      </c>
      <c r="H200" s="4" t="s">
        <v>241</v>
      </c>
      <c r="I200" s="4" t="s">
        <v>3664</v>
      </c>
      <c r="J200" s="4" t="s">
        <v>247</v>
      </c>
      <c r="K200" s="4" t="s">
        <v>256</v>
      </c>
      <c r="L200" s="4" t="s">
        <v>250</v>
      </c>
      <c r="M200" s="5" t="s">
        <v>3665</v>
      </c>
      <c r="N200" s="4" t="s">
        <v>242</v>
      </c>
      <c r="O200" s="6">
        <f>11.34</f>
        <v>11.34</v>
      </c>
      <c r="P200" s="4" t="s">
        <v>276</v>
      </c>
      <c r="Q200" s="6">
        <f>1</f>
        <v>1</v>
      </c>
      <c r="R200" s="6">
        <f>793800</f>
        <v>793800</v>
      </c>
      <c r="S200" s="5" t="s">
        <v>248</v>
      </c>
      <c r="T200" s="4" t="s">
        <v>357</v>
      </c>
      <c r="U200" s="4" t="s">
        <v>275</v>
      </c>
      <c r="W200" s="6">
        <f>793799</f>
        <v>793799</v>
      </c>
      <c r="X200" s="4" t="s">
        <v>243</v>
      </c>
      <c r="Y200" s="4" t="s">
        <v>244</v>
      </c>
      <c r="Z200" s="4" t="s">
        <v>246</v>
      </c>
      <c r="AA200" s="4" t="s">
        <v>241</v>
      </c>
      <c r="AD200" s="4" t="s">
        <v>241</v>
      </c>
      <c r="AF200" s="5" t="s">
        <v>241</v>
      </c>
      <c r="AI200" s="5" t="s">
        <v>249</v>
      </c>
      <c r="AJ200" s="4" t="s">
        <v>251</v>
      </c>
      <c r="AK200" s="4" t="s">
        <v>252</v>
      </c>
      <c r="BA200" s="4" t="s">
        <v>254</v>
      </c>
      <c r="BB200" s="4" t="s">
        <v>241</v>
      </c>
      <c r="BC200" s="4" t="s">
        <v>255</v>
      </c>
      <c r="BD200" s="4" t="s">
        <v>241</v>
      </c>
      <c r="BE200" s="4" t="s">
        <v>257</v>
      </c>
      <c r="BF200" s="4" t="s">
        <v>241</v>
      </c>
      <c r="BH200" s="4" t="s">
        <v>258</v>
      </c>
      <c r="BJ200" s="4" t="s">
        <v>259</v>
      </c>
      <c r="BK200" s="5" t="s">
        <v>260</v>
      </c>
      <c r="BL200" s="4" t="s">
        <v>261</v>
      </c>
      <c r="BM200" s="4" t="s">
        <v>262</v>
      </c>
      <c r="BN200" s="4" t="s">
        <v>241</v>
      </c>
      <c r="BO200" s="6">
        <f>0</f>
        <v>0</v>
      </c>
      <c r="BP200" s="6">
        <f>0</f>
        <v>0</v>
      </c>
      <c r="BQ200" s="4" t="s">
        <v>263</v>
      </c>
      <c r="BR200" s="4" t="s">
        <v>264</v>
      </c>
      <c r="CF200" s="4" t="s">
        <v>241</v>
      </c>
      <c r="CG200" s="4" t="s">
        <v>241</v>
      </c>
      <c r="CK200" s="4" t="s">
        <v>265</v>
      </c>
      <c r="CL200" s="4" t="s">
        <v>266</v>
      </c>
      <c r="CM200" s="4" t="s">
        <v>241</v>
      </c>
      <c r="CO200" s="4" t="s">
        <v>267</v>
      </c>
      <c r="CP200" s="5" t="s">
        <v>268</v>
      </c>
      <c r="CQ200" s="4" t="s">
        <v>269</v>
      </c>
      <c r="CR200" s="4" t="s">
        <v>270</v>
      </c>
      <c r="CS200" s="4" t="s">
        <v>241</v>
      </c>
      <c r="CT200" s="4" t="s">
        <v>241</v>
      </c>
      <c r="CU200" s="4">
        <v>0</v>
      </c>
      <c r="CV200" s="4" t="s">
        <v>271</v>
      </c>
      <c r="CW200" s="4" t="s">
        <v>272</v>
      </c>
      <c r="CX200" s="4" t="s">
        <v>356</v>
      </c>
      <c r="CZ200" s="6">
        <f>793800</f>
        <v>793800</v>
      </c>
      <c r="DA200" s="6">
        <f>0</f>
        <v>0</v>
      </c>
      <c r="DC200" s="4" t="s">
        <v>241</v>
      </c>
      <c r="DD200" s="4" t="s">
        <v>241</v>
      </c>
      <c r="DF200" s="4" t="s">
        <v>241</v>
      </c>
      <c r="DI200" s="4" t="s">
        <v>241</v>
      </c>
      <c r="DJ200" s="4" t="s">
        <v>241</v>
      </c>
      <c r="DK200" s="4" t="s">
        <v>241</v>
      </c>
      <c r="DL200" s="4" t="s">
        <v>241</v>
      </c>
      <c r="DM200" s="4" t="s">
        <v>277</v>
      </c>
      <c r="DN200" s="4" t="s">
        <v>278</v>
      </c>
      <c r="DO200" s="6">
        <f>11.34</f>
        <v>11.34</v>
      </c>
      <c r="DP200" s="4" t="s">
        <v>241</v>
      </c>
      <c r="DQ200" s="4" t="s">
        <v>241</v>
      </c>
      <c r="DR200" s="4" t="s">
        <v>241</v>
      </c>
      <c r="DS200" s="4" t="s">
        <v>241</v>
      </c>
      <c r="DV200" s="4" t="s">
        <v>3666</v>
      </c>
      <c r="DW200" s="4" t="s">
        <v>277</v>
      </c>
      <c r="HO200" s="4" t="s">
        <v>277</v>
      </c>
      <c r="HR200" s="4" t="s">
        <v>278</v>
      </c>
      <c r="HS200" s="4" t="s">
        <v>278</v>
      </c>
    </row>
    <row r="201" spans="1:227" x14ac:dyDescent="0.4">
      <c r="A201" s="4">
        <v>2</v>
      </c>
      <c r="B201" s="4" t="s">
        <v>239</v>
      </c>
      <c r="C201" s="4">
        <v>210</v>
      </c>
      <c r="D201" s="4">
        <v>1</v>
      </c>
      <c r="E201" s="4">
        <v>1</v>
      </c>
      <c r="F201" s="4" t="s">
        <v>240</v>
      </c>
      <c r="G201" s="4" t="s">
        <v>241</v>
      </c>
      <c r="H201" s="4" t="s">
        <v>241</v>
      </c>
      <c r="I201" s="4" t="s">
        <v>3667</v>
      </c>
      <c r="J201" s="4" t="s">
        <v>247</v>
      </c>
      <c r="K201" s="4" t="s">
        <v>256</v>
      </c>
      <c r="L201" s="4" t="s">
        <v>250</v>
      </c>
      <c r="M201" s="5" t="s">
        <v>1334</v>
      </c>
      <c r="N201" s="4" t="s">
        <v>242</v>
      </c>
      <c r="O201" s="6">
        <f>31.06</f>
        <v>31.06</v>
      </c>
      <c r="P201" s="4" t="s">
        <v>276</v>
      </c>
      <c r="Q201" s="6">
        <f>1</f>
        <v>1</v>
      </c>
      <c r="R201" s="6">
        <f>1863600</f>
        <v>1863600</v>
      </c>
      <c r="S201" s="5" t="s">
        <v>248</v>
      </c>
      <c r="T201" s="4" t="s">
        <v>274</v>
      </c>
      <c r="U201" s="4" t="s">
        <v>275</v>
      </c>
      <c r="W201" s="6">
        <f>1863599</f>
        <v>1863599</v>
      </c>
      <c r="X201" s="4" t="s">
        <v>243</v>
      </c>
      <c r="Y201" s="4" t="s">
        <v>244</v>
      </c>
      <c r="Z201" s="4" t="s">
        <v>246</v>
      </c>
      <c r="AA201" s="4" t="s">
        <v>241</v>
      </c>
      <c r="AD201" s="4" t="s">
        <v>241</v>
      </c>
      <c r="AF201" s="5" t="s">
        <v>241</v>
      </c>
      <c r="AI201" s="5" t="s">
        <v>249</v>
      </c>
      <c r="AJ201" s="4" t="s">
        <v>251</v>
      </c>
      <c r="AK201" s="4" t="s">
        <v>252</v>
      </c>
      <c r="BA201" s="4" t="s">
        <v>254</v>
      </c>
      <c r="BB201" s="4" t="s">
        <v>241</v>
      </c>
      <c r="BC201" s="4" t="s">
        <v>255</v>
      </c>
      <c r="BD201" s="4" t="s">
        <v>241</v>
      </c>
      <c r="BE201" s="4" t="s">
        <v>257</v>
      </c>
      <c r="BF201" s="4" t="s">
        <v>241</v>
      </c>
      <c r="BH201" s="4" t="s">
        <v>258</v>
      </c>
      <c r="BJ201" s="4" t="s">
        <v>367</v>
      </c>
      <c r="BK201" s="5" t="s">
        <v>249</v>
      </c>
      <c r="BL201" s="4" t="s">
        <v>261</v>
      </c>
      <c r="BM201" s="4" t="s">
        <v>262</v>
      </c>
      <c r="BN201" s="4" t="s">
        <v>241</v>
      </c>
      <c r="BO201" s="6">
        <f>0</f>
        <v>0</v>
      </c>
      <c r="BP201" s="6">
        <f>0</f>
        <v>0</v>
      </c>
      <c r="BQ201" s="4" t="s">
        <v>263</v>
      </c>
      <c r="BR201" s="4" t="s">
        <v>264</v>
      </c>
      <c r="CF201" s="4" t="s">
        <v>241</v>
      </c>
      <c r="CG201" s="4" t="s">
        <v>241</v>
      </c>
      <c r="CK201" s="4" t="s">
        <v>265</v>
      </c>
      <c r="CL201" s="4" t="s">
        <v>266</v>
      </c>
      <c r="CM201" s="4" t="s">
        <v>241</v>
      </c>
      <c r="CO201" s="4" t="s">
        <v>267</v>
      </c>
      <c r="CP201" s="5" t="s">
        <v>268</v>
      </c>
      <c r="CQ201" s="4" t="s">
        <v>269</v>
      </c>
      <c r="CR201" s="4" t="s">
        <v>270</v>
      </c>
      <c r="CS201" s="4" t="s">
        <v>241</v>
      </c>
      <c r="CT201" s="4" t="s">
        <v>241</v>
      </c>
      <c r="CU201" s="4">
        <v>0</v>
      </c>
      <c r="CV201" s="4" t="s">
        <v>271</v>
      </c>
      <c r="CW201" s="4" t="s">
        <v>272</v>
      </c>
      <c r="CX201" s="4" t="s">
        <v>273</v>
      </c>
      <c r="CZ201" s="6">
        <f>1863600</f>
        <v>1863600</v>
      </c>
      <c r="DA201" s="6">
        <f>0</f>
        <v>0</v>
      </c>
      <c r="DC201" s="4" t="s">
        <v>241</v>
      </c>
      <c r="DD201" s="4" t="s">
        <v>241</v>
      </c>
      <c r="DF201" s="4" t="s">
        <v>241</v>
      </c>
      <c r="DI201" s="4" t="s">
        <v>241</v>
      </c>
      <c r="DJ201" s="4" t="s">
        <v>241</v>
      </c>
      <c r="DK201" s="4" t="s">
        <v>241</v>
      </c>
      <c r="DL201" s="4" t="s">
        <v>241</v>
      </c>
      <c r="DM201" s="4" t="s">
        <v>277</v>
      </c>
      <c r="DN201" s="4" t="s">
        <v>278</v>
      </c>
      <c r="DO201" s="6">
        <f>31.06</f>
        <v>31.06</v>
      </c>
      <c r="DP201" s="4" t="s">
        <v>241</v>
      </c>
      <c r="DQ201" s="4" t="s">
        <v>241</v>
      </c>
      <c r="DR201" s="4" t="s">
        <v>241</v>
      </c>
      <c r="DS201" s="4" t="s">
        <v>241</v>
      </c>
      <c r="DV201" s="4" t="s">
        <v>3668</v>
      </c>
      <c r="DW201" s="4" t="s">
        <v>277</v>
      </c>
      <c r="HO201" s="4" t="s">
        <v>277</v>
      </c>
      <c r="HR201" s="4" t="s">
        <v>278</v>
      </c>
      <c r="HS201" s="4" t="s">
        <v>278</v>
      </c>
    </row>
    <row r="202" spans="1:227" x14ac:dyDescent="0.4">
      <c r="A202" s="4">
        <v>2</v>
      </c>
      <c r="B202" s="4" t="s">
        <v>239</v>
      </c>
      <c r="C202" s="4">
        <v>211</v>
      </c>
      <c r="D202" s="4">
        <v>1</v>
      </c>
      <c r="E202" s="4">
        <v>1</v>
      </c>
      <c r="F202" s="4" t="s">
        <v>240</v>
      </c>
      <c r="G202" s="4" t="s">
        <v>241</v>
      </c>
      <c r="H202" s="4" t="s">
        <v>241</v>
      </c>
      <c r="I202" s="4" t="s">
        <v>3669</v>
      </c>
      <c r="J202" s="4" t="s">
        <v>247</v>
      </c>
      <c r="K202" s="4" t="s">
        <v>256</v>
      </c>
      <c r="L202" s="4" t="s">
        <v>250</v>
      </c>
      <c r="M202" s="5" t="s">
        <v>3670</v>
      </c>
      <c r="N202" s="4" t="s">
        <v>242</v>
      </c>
      <c r="O202" s="6">
        <f>31.06</f>
        <v>31.06</v>
      </c>
      <c r="P202" s="4" t="s">
        <v>276</v>
      </c>
      <c r="Q202" s="6">
        <f>1</f>
        <v>1</v>
      </c>
      <c r="R202" s="6">
        <f>1863600</f>
        <v>1863600</v>
      </c>
      <c r="S202" s="5" t="s">
        <v>248</v>
      </c>
      <c r="T202" s="4" t="s">
        <v>274</v>
      </c>
      <c r="U202" s="4" t="s">
        <v>275</v>
      </c>
      <c r="W202" s="6">
        <f>1863599</f>
        <v>1863599</v>
      </c>
      <c r="X202" s="4" t="s">
        <v>243</v>
      </c>
      <c r="Y202" s="4" t="s">
        <v>244</v>
      </c>
      <c r="Z202" s="4" t="s">
        <v>246</v>
      </c>
      <c r="AA202" s="4" t="s">
        <v>241</v>
      </c>
      <c r="AD202" s="4" t="s">
        <v>241</v>
      </c>
      <c r="AF202" s="5" t="s">
        <v>241</v>
      </c>
      <c r="AI202" s="5" t="s">
        <v>249</v>
      </c>
      <c r="AJ202" s="4" t="s">
        <v>251</v>
      </c>
      <c r="AK202" s="4" t="s">
        <v>252</v>
      </c>
      <c r="BA202" s="4" t="s">
        <v>254</v>
      </c>
      <c r="BB202" s="4" t="s">
        <v>241</v>
      </c>
      <c r="BC202" s="4" t="s">
        <v>255</v>
      </c>
      <c r="BD202" s="4" t="s">
        <v>241</v>
      </c>
      <c r="BE202" s="4" t="s">
        <v>257</v>
      </c>
      <c r="BF202" s="4" t="s">
        <v>241</v>
      </c>
      <c r="BH202" s="4" t="s">
        <v>258</v>
      </c>
      <c r="BJ202" s="4" t="s">
        <v>374</v>
      </c>
      <c r="BK202" s="5" t="s">
        <v>375</v>
      </c>
      <c r="BL202" s="4" t="s">
        <v>261</v>
      </c>
      <c r="BM202" s="4" t="s">
        <v>262</v>
      </c>
      <c r="BN202" s="4" t="s">
        <v>241</v>
      </c>
      <c r="BO202" s="6">
        <f>0</f>
        <v>0</v>
      </c>
      <c r="BP202" s="6">
        <f>0</f>
        <v>0</v>
      </c>
      <c r="BQ202" s="4" t="s">
        <v>263</v>
      </c>
      <c r="BR202" s="4" t="s">
        <v>264</v>
      </c>
      <c r="CF202" s="4" t="s">
        <v>241</v>
      </c>
      <c r="CG202" s="4" t="s">
        <v>241</v>
      </c>
      <c r="CK202" s="4" t="s">
        <v>265</v>
      </c>
      <c r="CL202" s="4" t="s">
        <v>266</v>
      </c>
      <c r="CM202" s="4" t="s">
        <v>241</v>
      </c>
      <c r="CO202" s="4" t="s">
        <v>267</v>
      </c>
      <c r="CP202" s="5" t="s">
        <v>268</v>
      </c>
      <c r="CQ202" s="4" t="s">
        <v>269</v>
      </c>
      <c r="CR202" s="4" t="s">
        <v>270</v>
      </c>
      <c r="CS202" s="4" t="s">
        <v>241</v>
      </c>
      <c r="CT202" s="4" t="s">
        <v>241</v>
      </c>
      <c r="CU202" s="4">
        <v>0</v>
      </c>
      <c r="CV202" s="4" t="s">
        <v>271</v>
      </c>
      <c r="CW202" s="4" t="s">
        <v>272</v>
      </c>
      <c r="CX202" s="4" t="s">
        <v>273</v>
      </c>
      <c r="CZ202" s="6">
        <f>1863600</f>
        <v>1863600</v>
      </c>
      <c r="DA202" s="6">
        <f>0</f>
        <v>0</v>
      </c>
      <c r="DC202" s="4" t="s">
        <v>241</v>
      </c>
      <c r="DD202" s="4" t="s">
        <v>241</v>
      </c>
      <c r="DF202" s="4" t="s">
        <v>241</v>
      </c>
      <c r="DI202" s="4" t="s">
        <v>241</v>
      </c>
      <c r="DJ202" s="4" t="s">
        <v>241</v>
      </c>
      <c r="DK202" s="4" t="s">
        <v>241</v>
      </c>
      <c r="DL202" s="4" t="s">
        <v>241</v>
      </c>
      <c r="DM202" s="4" t="s">
        <v>277</v>
      </c>
      <c r="DN202" s="4" t="s">
        <v>278</v>
      </c>
      <c r="DO202" s="6">
        <f>31.06</f>
        <v>31.06</v>
      </c>
      <c r="DP202" s="4" t="s">
        <v>241</v>
      </c>
      <c r="DQ202" s="4" t="s">
        <v>241</v>
      </c>
      <c r="DR202" s="4" t="s">
        <v>241</v>
      </c>
      <c r="DS202" s="4" t="s">
        <v>241</v>
      </c>
      <c r="DV202" s="4" t="s">
        <v>3671</v>
      </c>
      <c r="DW202" s="4" t="s">
        <v>277</v>
      </c>
      <c r="HO202" s="4" t="s">
        <v>277</v>
      </c>
      <c r="HR202" s="4" t="s">
        <v>278</v>
      </c>
      <c r="HS202" s="4" t="s">
        <v>278</v>
      </c>
    </row>
    <row r="203" spans="1:227" x14ac:dyDescent="0.4">
      <c r="A203" s="4">
        <v>2</v>
      </c>
      <c r="B203" s="4" t="s">
        <v>239</v>
      </c>
      <c r="C203" s="4">
        <v>212</v>
      </c>
      <c r="D203" s="4">
        <v>1</v>
      </c>
      <c r="E203" s="4">
        <v>1</v>
      </c>
      <c r="F203" s="4" t="s">
        <v>240</v>
      </c>
      <c r="G203" s="4" t="s">
        <v>241</v>
      </c>
      <c r="H203" s="4" t="s">
        <v>241</v>
      </c>
      <c r="I203" s="4" t="s">
        <v>3345</v>
      </c>
      <c r="J203" s="4" t="s">
        <v>247</v>
      </c>
      <c r="K203" s="4" t="s">
        <v>256</v>
      </c>
      <c r="L203" s="4" t="s">
        <v>250</v>
      </c>
      <c r="M203" s="5" t="s">
        <v>3346</v>
      </c>
      <c r="N203" s="4" t="s">
        <v>242</v>
      </c>
      <c r="O203" s="6">
        <f>30.71</f>
        <v>30.71</v>
      </c>
      <c r="P203" s="4" t="s">
        <v>276</v>
      </c>
      <c r="Q203" s="6">
        <f>1</f>
        <v>1</v>
      </c>
      <c r="R203" s="6">
        <f>1842600</f>
        <v>1842600</v>
      </c>
      <c r="S203" s="5" t="s">
        <v>248</v>
      </c>
      <c r="T203" s="4" t="s">
        <v>274</v>
      </c>
      <c r="U203" s="4" t="s">
        <v>275</v>
      </c>
      <c r="W203" s="6">
        <f>1842599</f>
        <v>1842599</v>
      </c>
      <c r="X203" s="4" t="s">
        <v>243</v>
      </c>
      <c r="Y203" s="4" t="s">
        <v>244</v>
      </c>
      <c r="Z203" s="4" t="s">
        <v>246</v>
      </c>
      <c r="AA203" s="4" t="s">
        <v>241</v>
      </c>
      <c r="AD203" s="4" t="s">
        <v>241</v>
      </c>
      <c r="AF203" s="5" t="s">
        <v>241</v>
      </c>
      <c r="AI203" s="5" t="s">
        <v>249</v>
      </c>
      <c r="AJ203" s="4" t="s">
        <v>251</v>
      </c>
      <c r="AK203" s="4" t="s">
        <v>252</v>
      </c>
      <c r="BA203" s="4" t="s">
        <v>254</v>
      </c>
      <c r="BB203" s="4" t="s">
        <v>241</v>
      </c>
      <c r="BC203" s="4" t="s">
        <v>255</v>
      </c>
      <c r="BD203" s="4" t="s">
        <v>241</v>
      </c>
      <c r="BE203" s="4" t="s">
        <v>257</v>
      </c>
      <c r="BF203" s="4" t="s">
        <v>241</v>
      </c>
      <c r="BH203" s="4" t="s">
        <v>258</v>
      </c>
      <c r="BJ203" s="4" t="s">
        <v>377</v>
      </c>
      <c r="BK203" s="5" t="s">
        <v>378</v>
      </c>
      <c r="BL203" s="4" t="s">
        <v>261</v>
      </c>
      <c r="BM203" s="4" t="s">
        <v>262</v>
      </c>
      <c r="BN203" s="4" t="s">
        <v>241</v>
      </c>
      <c r="BO203" s="6">
        <f>0</f>
        <v>0</v>
      </c>
      <c r="BP203" s="6">
        <f>0</f>
        <v>0</v>
      </c>
      <c r="BQ203" s="4" t="s">
        <v>263</v>
      </c>
      <c r="BR203" s="4" t="s">
        <v>264</v>
      </c>
      <c r="CF203" s="4" t="s">
        <v>241</v>
      </c>
      <c r="CG203" s="4" t="s">
        <v>241</v>
      </c>
      <c r="CK203" s="4" t="s">
        <v>265</v>
      </c>
      <c r="CL203" s="4" t="s">
        <v>266</v>
      </c>
      <c r="CM203" s="4" t="s">
        <v>241</v>
      </c>
      <c r="CO203" s="4" t="s">
        <v>267</v>
      </c>
      <c r="CP203" s="5" t="s">
        <v>268</v>
      </c>
      <c r="CQ203" s="4" t="s">
        <v>269</v>
      </c>
      <c r="CR203" s="4" t="s">
        <v>270</v>
      </c>
      <c r="CS203" s="4" t="s">
        <v>241</v>
      </c>
      <c r="CT203" s="4" t="s">
        <v>241</v>
      </c>
      <c r="CU203" s="4">
        <v>0</v>
      </c>
      <c r="CV203" s="4" t="s">
        <v>271</v>
      </c>
      <c r="CW203" s="4" t="s">
        <v>272</v>
      </c>
      <c r="CX203" s="4" t="s">
        <v>273</v>
      </c>
      <c r="CZ203" s="6">
        <f>1842600</f>
        <v>1842600</v>
      </c>
      <c r="DA203" s="6">
        <f>0</f>
        <v>0</v>
      </c>
      <c r="DC203" s="4" t="s">
        <v>241</v>
      </c>
      <c r="DD203" s="4" t="s">
        <v>241</v>
      </c>
      <c r="DF203" s="4" t="s">
        <v>241</v>
      </c>
      <c r="DI203" s="4" t="s">
        <v>241</v>
      </c>
      <c r="DJ203" s="4" t="s">
        <v>241</v>
      </c>
      <c r="DK203" s="4" t="s">
        <v>241</v>
      </c>
      <c r="DL203" s="4" t="s">
        <v>241</v>
      </c>
      <c r="DM203" s="4" t="s">
        <v>277</v>
      </c>
      <c r="DN203" s="4" t="s">
        <v>278</v>
      </c>
      <c r="DO203" s="6">
        <f>30.71</f>
        <v>30.71</v>
      </c>
      <c r="DP203" s="4" t="s">
        <v>241</v>
      </c>
      <c r="DQ203" s="4" t="s">
        <v>241</v>
      </c>
      <c r="DR203" s="4" t="s">
        <v>241</v>
      </c>
      <c r="DS203" s="4" t="s">
        <v>241</v>
      </c>
      <c r="DV203" s="4" t="s">
        <v>3347</v>
      </c>
      <c r="DW203" s="4" t="s">
        <v>277</v>
      </c>
      <c r="HO203" s="4" t="s">
        <v>277</v>
      </c>
      <c r="HR203" s="4" t="s">
        <v>278</v>
      </c>
      <c r="HS203" s="4" t="s">
        <v>278</v>
      </c>
    </row>
    <row r="204" spans="1:227" x14ac:dyDescent="0.4">
      <c r="A204" s="4">
        <v>2</v>
      </c>
      <c r="B204" s="4" t="s">
        <v>239</v>
      </c>
      <c r="C204" s="4">
        <v>213</v>
      </c>
      <c r="D204" s="4">
        <v>1</v>
      </c>
      <c r="E204" s="4">
        <v>1</v>
      </c>
      <c r="F204" s="4" t="s">
        <v>240</v>
      </c>
      <c r="G204" s="4" t="s">
        <v>241</v>
      </c>
      <c r="H204" s="4" t="s">
        <v>241</v>
      </c>
      <c r="I204" s="4" t="s">
        <v>3312</v>
      </c>
      <c r="J204" s="4" t="s">
        <v>247</v>
      </c>
      <c r="K204" s="4" t="s">
        <v>256</v>
      </c>
      <c r="L204" s="4" t="s">
        <v>250</v>
      </c>
      <c r="M204" s="5" t="s">
        <v>3313</v>
      </c>
      <c r="N204" s="4" t="s">
        <v>242</v>
      </c>
      <c r="O204" s="6">
        <f>19.87</f>
        <v>19.87</v>
      </c>
      <c r="P204" s="4" t="s">
        <v>276</v>
      </c>
      <c r="Q204" s="6">
        <f>1</f>
        <v>1</v>
      </c>
      <c r="R204" s="6">
        <f>1192200</f>
        <v>1192200</v>
      </c>
      <c r="S204" s="5" t="s">
        <v>248</v>
      </c>
      <c r="T204" s="4" t="s">
        <v>348</v>
      </c>
      <c r="U204" s="4" t="s">
        <v>275</v>
      </c>
      <c r="W204" s="6">
        <f>1192199</f>
        <v>1192199</v>
      </c>
      <c r="X204" s="4" t="s">
        <v>243</v>
      </c>
      <c r="Y204" s="4" t="s">
        <v>244</v>
      </c>
      <c r="Z204" s="4" t="s">
        <v>246</v>
      </c>
      <c r="AA204" s="4" t="s">
        <v>241</v>
      </c>
      <c r="AD204" s="4" t="s">
        <v>241</v>
      </c>
      <c r="AF204" s="5" t="s">
        <v>241</v>
      </c>
      <c r="AI204" s="5" t="s">
        <v>249</v>
      </c>
      <c r="AJ204" s="4" t="s">
        <v>251</v>
      </c>
      <c r="AK204" s="4" t="s">
        <v>252</v>
      </c>
      <c r="BA204" s="4" t="s">
        <v>254</v>
      </c>
      <c r="BB204" s="4" t="s">
        <v>241</v>
      </c>
      <c r="BC204" s="4" t="s">
        <v>255</v>
      </c>
      <c r="BD204" s="4" t="s">
        <v>241</v>
      </c>
      <c r="BE204" s="4" t="s">
        <v>257</v>
      </c>
      <c r="BF204" s="4" t="s">
        <v>241</v>
      </c>
      <c r="BH204" s="4" t="s">
        <v>258</v>
      </c>
      <c r="BJ204" s="4" t="s">
        <v>259</v>
      </c>
      <c r="BK204" s="5" t="s">
        <v>260</v>
      </c>
      <c r="BL204" s="4" t="s">
        <v>261</v>
      </c>
      <c r="BM204" s="4" t="s">
        <v>262</v>
      </c>
      <c r="BN204" s="4" t="s">
        <v>241</v>
      </c>
      <c r="BO204" s="6">
        <f>0</f>
        <v>0</v>
      </c>
      <c r="BP204" s="6">
        <f>0</f>
        <v>0</v>
      </c>
      <c r="BQ204" s="4" t="s">
        <v>263</v>
      </c>
      <c r="BR204" s="4" t="s">
        <v>264</v>
      </c>
      <c r="CF204" s="4" t="s">
        <v>241</v>
      </c>
      <c r="CG204" s="4" t="s">
        <v>241</v>
      </c>
      <c r="CK204" s="4" t="s">
        <v>265</v>
      </c>
      <c r="CL204" s="4" t="s">
        <v>266</v>
      </c>
      <c r="CM204" s="4" t="s">
        <v>241</v>
      </c>
      <c r="CO204" s="4" t="s">
        <v>267</v>
      </c>
      <c r="CP204" s="5" t="s">
        <v>268</v>
      </c>
      <c r="CQ204" s="4" t="s">
        <v>269</v>
      </c>
      <c r="CR204" s="4" t="s">
        <v>270</v>
      </c>
      <c r="CS204" s="4" t="s">
        <v>241</v>
      </c>
      <c r="CT204" s="4" t="s">
        <v>241</v>
      </c>
      <c r="CU204" s="4">
        <v>0</v>
      </c>
      <c r="CV204" s="4" t="s">
        <v>271</v>
      </c>
      <c r="CW204" s="4" t="s">
        <v>272</v>
      </c>
      <c r="CX204" s="4" t="s">
        <v>347</v>
      </c>
      <c r="CZ204" s="6">
        <f>1192200</f>
        <v>1192200</v>
      </c>
      <c r="DA204" s="6">
        <f>0</f>
        <v>0</v>
      </c>
      <c r="DC204" s="4" t="s">
        <v>241</v>
      </c>
      <c r="DD204" s="4" t="s">
        <v>241</v>
      </c>
      <c r="DF204" s="4" t="s">
        <v>241</v>
      </c>
      <c r="DI204" s="4" t="s">
        <v>241</v>
      </c>
      <c r="DJ204" s="4" t="s">
        <v>241</v>
      </c>
      <c r="DK204" s="4" t="s">
        <v>241</v>
      </c>
      <c r="DL204" s="4" t="s">
        <v>241</v>
      </c>
      <c r="DM204" s="4" t="s">
        <v>277</v>
      </c>
      <c r="DN204" s="4" t="s">
        <v>278</v>
      </c>
      <c r="DO204" s="6">
        <f>19.87</f>
        <v>19.87</v>
      </c>
      <c r="DP204" s="4" t="s">
        <v>241</v>
      </c>
      <c r="DQ204" s="4" t="s">
        <v>241</v>
      </c>
      <c r="DR204" s="4" t="s">
        <v>241</v>
      </c>
      <c r="DS204" s="4" t="s">
        <v>241</v>
      </c>
      <c r="DV204" s="4" t="s">
        <v>3314</v>
      </c>
      <c r="DW204" s="4" t="s">
        <v>277</v>
      </c>
      <c r="HO204" s="4" t="s">
        <v>277</v>
      </c>
      <c r="HR204" s="4" t="s">
        <v>278</v>
      </c>
      <c r="HS204" s="4" t="s">
        <v>278</v>
      </c>
    </row>
    <row r="205" spans="1:227" x14ac:dyDescent="0.4">
      <c r="A205" s="4">
        <v>2</v>
      </c>
      <c r="B205" s="4" t="s">
        <v>239</v>
      </c>
      <c r="C205" s="4">
        <v>214</v>
      </c>
      <c r="D205" s="4">
        <v>1</v>
      </c>
      <c r="E205" s="4">
        <v>1</v>
      </c>
      <c r="F205" s="4" t="s">
        <v>240</v>
      </c>
      <c r="G205" s="4" t="s">
        <v>241</v>
      </c>
      <c r="H205" s="4" t="s">
        <v>241</v>
      </c>
      <c r="I205" s="4" t="s">
        <v>3672</v>
      </c>
      <c r="J205" s="4" t="s">
        <v>247</v>
      </c>
      <c r="K205" s="4" t="s">
        <v>256</v>
      </c>
      <c r="L205" s="4" t="s">
        <v>250</v>
      </c>
      <c r="M205" s="5" t="s">
        <v>3673</v>
      </c>
      <c r="N205" s="4" t="s">
        <v>242</v>
      </c>
      <c r="O205" s="6">
        <f>9.99</f>
        <v>9.99</v>
      </c>
      <c r="P205" s="4" t="s">
        <v>276</v>
      </c>
      <c r="Q205" s="6">
        <f>1</f>
        <v>1</v>
      </c>
      <c r="R205" s="6">
        <f>699300</f>
        <v>699300</v>
      </c>
      <c r="S205" s="5" t="s">
        <v>248</v>
      </c>
      <c r="T205" s="4" t="s">
        <v>357</v>
      </c>
      <c r="U205" s="4" t="s">
        <v>275</v>
      </c>
      <c r="W205" s="6">
        <f>699299</f>
        <v>699299</v>
      </c>
      <c r="X205" s="4" t="s">
        <v>243</v>
      </c>
      <c r="Y205" s="4" t="s">
        <v>244</v>
      </c>
      <c r="Z205" s="4" t="s">
        <v>246</v>
      </c>
      <c r="AA205" s="4" t="s">
        <v>241</v>
      </c>
      <c r="AD205" s="4" t="s">
        <v>241</v>
      </c>
      <c r="AF205" s="5" t="s">
        <v>241</v>
      </c>
      <c r="AI205" s="5" t="s">
        <v>249</v>
      </c>
      <c r="AJ205" s="4" t="s">
        <v>251</v>
      </c>
      <c r="AK205" s="4" t="s">
        <v>252</v>
      </c>
      <c r="BA205" s="4" t="s">
        <v>254</v>
      </c>
      <c r="BB205" s="4" t="s">
        <v>241</v>
      </c>
      <c r="BC205" s="4" t="s">
        <v>255</v>
      </c>
      <c r="BD205" s="4" t="s">
        <v>241</v>
      </c>
      <c r="BE205" s="4" t="s">
        <v>257</v>
      </c>
      <c r="BF205" s="4" t="s">
        <v>241</v>
      </c>
      <c r="BH205" s="4" t="s">
        <v>258</v>
      </c>
      <c r="BJ205" s="4" t="s">
        <v>367</v>
      </c>
      <c r="BK205" s="5" t="s">
        <v>249</v>
      </c>
      <c r="BL205" s="4" t="s">
        <v>261</v>
      </c>
      <c r="BM205" s="4" t="s">
        <v>262</v>
      </c>
      <c r="BN205" s="4" t="s">
        <v>241</v>
      </c>
      <c r="BO205" s="6">
        <f>0</f>
        <v>0</v>
      </c>
      <c r="BP205" s="6">
        <f>0</f>
        <v>0</v>
      </c>
      <c r="BQ205" s="4" t="s">
        <v>263</v>
      </c>
      <c r="BR205" s="4" t="s">
        <v>264</v>
      </c>
      <c r="CF205" s="4" t="s">
        <v>241</v>
      </c>
      <c r="CG205" s="4" t="s">
        <v>241</v>
      </c>
      <c r="CK205" s="4" t="s">
        <v>265</v>
      </c>
      <c r="CL205" s="4" t="s">
        <v>266</v>
      </c>
      <c r="CM205" s="4" t="s">
        <v>241</v>
      </c>
      <c r="CO205" s="4" t="s">
        <v>267</v>
      </c>
      <c r="CP205" s="5" t="s">
        <v>268</v>
      </c>
      <c r="CQ205" s="4" t="s">
        <v>269</v>
      </c>
      <c r="CR205" s="4" t="s">
        <v>270</v>
      </c>
      <c r="CS205" s="4" t="s">
        <v>241</v>
      </c>
      <c r="CT205" s="4" t="s">
        <v>241</v>
      </c>
      <c r="CU205" s="4">
        <v>0</v>
      </c>
      <c r="CV205" s="4" t="s">
        <v>271</v>
      </c>
      <c r="CW205" s="4" t="s">
        <v>272</v>
      </c>
      <c r="CX205" s="4" t="s">
        <v>356</v>
      </c>
      <c r="CZ205" s="6">
        <f>699300</f>
        <v>699300</v>
      </c>
      <c r="DA205" s="6">
        <f>0</f>
        <v>0</v>
      </c>
      <c r="DC205" s="4" t="s">
        <v>241</v>
      </c>
      <c r="DD205" s="4" t="s">
        <v>241</v>
      </c>
      <c r="DF205" s="4" t="s">
        <v>241</v>
      </c>
      <c r="DI205" s="4" t="s">
        <v>241</v>
      </c>
      <c r="DJ205" s="4" t="s">
        <v>241</v>
      </c>
      <c r="DK205" s="4" t="s">
        <v>241</v>
      </c>
      <c r="DL205" s="4" t="s">
        <v>241</v>
      </c>
      <c r="DM205" s="4" t="s">
        <v>277</v>
      </c>
      <c r="DN205" s="4" t="s">
        <v>278</v>
      </c>
      <c r="DO205" s="6">
        <f>9.99</f>
        <v>9.99</v>
      </c>
      <c r="DP205" s="4" t="s">
        <v>241</v>
      </c>
      <c r="DQ205" s="4" t="s">
        <v>241</v>
      </c>
      <c r="DR205" s="4" t="s">
        <v>241</v>
      </c>
      <c r="DS205" s="4" t="s">
        <v>241</v>
      </c>
      <c r="DV205" s="4" t="s">
        <v>3674</v>
      </c>
      <c r="DW205" s="4" t="s">
        <v>277</v>
      </c>
      <c r="HO205" s="4" t="s">
        <v>277</v>
      </c>
      <c r="HR205" s="4" t="s">
        <v>278</v>
      </c>
      <c r="HS205" s="4" t="s">
        <v>278</v>
      </c>
    </row>
    <row r="206" spans="1:227" x14ac:dyDescent="0.4">
      <c r="A206" s="4">
        <v>2</v>
      </c>
      <c r="B206" s="4" t="s">
        <v>239</v>
      </c>
      <c r="C206" s="4">
        <v>215</v>
      </c>
      <c r="D206" s="4">
        <v>1</v>
      </c>
      <c r="E206" s="4">
        <v>1</v>
      </c>
      <c r="F206" s="4" t="s">
        <v>240</v>
      </c>
      <c r="G206" s="4" t="s">
        <v>241</v>
      </c>
      <c r="H206" s="4" t="s">
        <v>241</v>
      </c>
      <c r="I206" s="4" t="s">
        <v>3675</v>
      </c>
      <c r="J206" s="4" t="s">
        <v>247</v>
      </c>
      <c r="K206" s="4" t="s">
        <v>256</v>
      </c>
      <c r="L206" s="4" t="s">
        <v>250</v>
      </c>
      <c r="M206" s="5" t="s">
        <v>3676</v>
      </c>
      <c r="N206" s="4" t="s">
        <v>242</v>
      </c>
      <c r="O206" s="6">
        <f>19.87</f>
        <v>19.87</v>
      </c>
      <c r="P206" s="4" t="s">
        <v>276</v>
      </c>
      <c r="Q206" s="6">
        <f>1</f>
        <v>1</v>
      </c>
      <c r="R206" s="6">
        <f>1192200</f>
        <v>1192200</v>
      </c>
      <c r="S206" s="5" t="s">
        <v>248</v>
      </c>
      <c r="T206" s="4" t="s">
        <v>348</v>
      </c>
      <c r="U206" s="4" t="s">
        <v>275</v>
      </c>
      <c r="W206" s="6">
        <f>1192199</f>
        <v>1192199</v>
      </c>
      <c r="X206" s="4" t="s">
        <v>243</v>
      </c>
      <c r="Y206" s="4" t="s">
        <v>244</v>
      </c>
      <c r="Z206" s="4" t="s">
        <v>246</v>
      </c>
      <c r="AA206" s="4" t="s">
        <v>241</v>
      </c>
      <c r="AD206" s="4" t="s">
        <v>241</v>
      </c>
      <c r="AF206" s="5" t="s">
        <v>241</v>
      </c>
      <c r="AI206" s="5" t="s">
        <v>249</v>
      </c>
      <c r="AJ206" s="4" t="s">
        <v>251</v>
      </c>
      <c r="AK206" s="4" t="s">
        <v>252</v>
      </c>
      <c r="BA206" s="4" t="s">
        <v>254</v>
      </c>
      <c r="BB206" s="4" t="s">
        <v>241</v>
      </c>
      <c r="BC206" s="4" t="s">
        <v>255</v>
      </c>
      <c r="BD206" s="4" t="s">
        <v>241</v>
      </c>
      <c r="BE206" s="4" t="s">
        <v>257</v>
      </c>
      <c r="BF206" s="4" t="s">
        <v>241</v>
      </c>
      <c r="BH206" s="4" t="s">
        <v>258</v>
      </c>
      <c r="BJ206" s="4" t="s">
        <v>374</v>
      </c>
      <c r="BK206" s="5" t="s">
        <v>375</v>
      </c>
      <c r="BL206" s="4" t="s">
        <v>261</v>
      </c>
      <c r="BM206" s="4" t="s">
        <v>262</v>
      </c>
      <c r="BN206" s="4" t="s">
        <v>241</v>
      </c>
      <c r="BO206" s="6">
        <f>0</f>
        <v>0</v>
      </c>
      <c r="BP206" s="6">
        <f>0</f>
        <v>0</v>
      </c>
      <c r="BQ206" s="4" t="s">
        <v>263</v>
      </c>
      <c r="BR206" s="4" t="s">
        <v>264</v>
      </c>
      <c r="CF206" s="4" t="s">
        <v>241</v>
      </c>
      <c r="CG206" s="4" t="s">
        <v>241</v>
      </c>
      <c r="CK206" s="4" t="s">
        <v>265</v>
      </c>
      <c r="CL206" s="4" t="s">
        <v>266</v>
      </c>
      <c r="CM206" s="4" t="s">
        <v>241</v>
      </c>
      <c r="CO206" s="4" t="s">
        <v>267</v>
      </c>
      <c r="CP206" s="5" t="s">
        <v>268</v>
      </c>
      <c r="CQ206" s="4" t="s">
        <v>269</v>
      </c>
      <c r="CR206" s="4" t="s">
        <v>270</v>
      </c>
      <c r="CS206" s="4" t="s">
        <v>241</v>
      </c>
      <c r="CT206" s="4" t="s">
        <v>241</v>
      </c>
      <c r="CU206" s="4">
        <v>0</v>
      </c>
      <c r="CV206" s="4" t="s">
        <v>271</v>
      </c>
      <c r="CW206" s="4" t="s">
        <v>272</v>
      </c>
      <c r="CX206" s="4" t="s">
        <v>347</v>
      </c>
      <c r="CZ206" s="6">
        <f>1192200</f>
        <v>1192200</v>
      </c>
      <c r="DA206" s="6">
        <f>0</f>
        <v>0</v>
      </c>
      <c r="DC206" s="4" t="s">
        <v>241</v>
      </c>
      <c r="DD206" s="4" t="s">
        <v>241</v>
      </c>
      <c r="DF206" s="4" t="s">
        <v>241</v>
      </c>
      <c r="DI206" s="4" t="s">
        <v>241</v>
      </c>
      <c r="DJ206" s="4" t="s">
        <v>241</v>
      </c>
      <c r="DK206" s="4" t="s">
        <v>241</v>
      </c>
      <c r="DL206" s="4" t="s">
        <v>241</v>
      </c>
      <c r="DM206" s="4" t="s">
        <v>277</v>
      </c>
      <c r="DN206" s="4" t="s">
        <v>278</v>
      </c>
      <c r="DO206" s="6">
        <f>19.87</f>
        <v>19.87</v>
      </c>
      <c r="DP206" s="4" t="s">
        <v>241</v>
      </c>
      <c r="DQ206" s="4" t="s">
        <v>241</v>
      </c>
      <c r="DR206" s="4" t="s">
        <v>241</v>
      </c>
      <c r="DS206" s="4" t="s">
        <v>241</v>
      </c>
      <c r="DV206" s="4" t="s">
        <v>3677</v>
      </c>
      <c r="DW206" s="4" t="s">
        <v>277</v>
      </c>
      <c r="HO206" s="4" t="s">
        <v>277</v>
      </c>
      <c r="HR206" s="4" t="s">
        <v>278</v>
      </c>
      <c r="HS206" s="4" t="s">
        <v>278</v>
      </c>
    </row>
    <row r="207" spans="1:227" x14ac:dyDescent="0.4">
      <c r="A207" s="4">
        <v>2</v>
      </c>
      <c r="B207" s="4" t="s">
        <v>239</v>
      </c>
      <c r="C207" s="4">
        <v>216</v>
      </c>
      <c r="D207" s="4">
        <v>1</v>
      </c>
      <c r="E207" s="4">
        <v>1</v>
      </c>
      <c r="F207" s="4" t="s">
        <v>240</v>
      </c>
      <c r="G207" s="4" t="s">
        <v>241</v>
      </c>
      <c r="H207" s="4" t="s">
        <v>241</v>
      </c>
      <c r="I207" s="4" t="s">
        <v>3678</v>
      </c>
      <c r="J207" s="4" t="s">
        <v>247</v>
      </c>
      <c r="K207" s="4" t="s">
        <v>256</v>
      </c>
      <c r="L207" s="4" t="s">
        <v>250</v>
      </c>
      <c r="M207" s="5" t="s">
        <v>3679</v>
      </c>
      <c r="N207" s="4" t="s">
        <v>242</v>
      </c>
      <c r="O207" s="6">
        <f>19.87</f>
        <v>19.87</v>
      </c>
      <c r="P207" s="4" t="s">
        <v>276</v>
      </c>
      <c r="Q207" s="6">
        <f>1</f>
        <v>1</v>
      </c>
      <c r="R207" s="6">
        <f>1192200</f>
        <v>1192200</v>
      </c>
      <c r="S207" s="5" t="s">
        <v>248</v>
      </c>
      <c r="T207" s="4" t="s">
        <v>348</v>
      </c>
      <c r="U207" s="4" t="s">
        <v>275</v>
      </c>
      <c r="W207" s="6">
        <f>1192199</f>
        <v>1192199</v>
      </c>
      <c r="X207" s="4" t="s">
        <v>243</v>
      </c>
      <c r="Y207" s="4" t="s">
        <v>244</v>
      </c>
      <c r="Z207" s="4" t="s">
        <v>246</v>
      </c>
      <c r="AA207" s="4" t="s">
        <v>241</v>
      </c>
      <c r="AD207" s="4" t="s">
        <v>241</v>
      </c>
      <c r="AF207" s="5" t="s">
        <v>241</v>
      </c>
      <c r="AI207" s="5" t="s">
        <v>249</v>
      </c>
      <c r="AJ207" s="4" t="s">
        <v>251</v>
      </c>
      <c r="AK207" s="4" t="s">
        <v>252</v>
      </c>
      <c r="BA207" s="4" t="s">
        <v>254</v>
      </c>
      <c r="BB207" s="4" t="s">
        <v>241</v>
      </c>
      <c r="BC207" s="4" t="s">
        <v>255</v>
      </c>
      <c r="BD207" s="4" t="s">
        <v>241</v>
      </c>
      <c r="BE207" s="4" t="s">
        <v>257</v>
      </c>
      <c r="BF207" s="4" t="s">
        <v>241</v>
      </c>
      <c r="BH207" s="4" t="s">
        <v>258</v>
      </c>
      <c r="BJ207" s="4" t="s">
        <v>377</v>
      </c>
      <c r="BK207" s="5" t="s">
        <v>378</v>
      </c>
      <c r="BL207" s="4" t="s">
        <v>261</v>
      </c>
      <c r="BM207" s="4" t="s">
        <v>262</v>
      </c>
      <c r="BN207" s="4" t="s">
        <v>241</v>
      </c>
      <c r="BO207" s="6">
        <f>0</f>
        <v>0</v>
      </c>
      <c r="BP207" s="6">
        <f>0</f>
        <v>0</v>
      </c>
      <c r="BQ207" s="4" t="s">
        <v>263</v>
      </c>
      <c r="BR207" s="4" t="s">
        <v>264</v>
      </c>
      <c r="CF207" s="4" t="s">
        <v>241</v>
      </c>
      <c r="CG207" s="4" t="s">
        <v>241</v>
      </c>
      <c r="CK207" s="4" t="s">
        <v>265</v>
      </c>
      <c r="CL207" s="4" t="s">
        <v>266</v>
      </c>
      <c r="CM207" s="4" t="s">
        <v>241</v>
      </c>
      <c r="CO207" s="4" t="s">
        <v>267</v>
      </c>
      <c r="CP207" s="5" t="s">
        <v>268</v>
      </c>
      <c r="CQ207" s="4" t="s">
        <v>269</v>
      </c>
      <c r="CR207" s="4" t="s">
        <v>270</v>
      </c>
      <c r="CS207" s="4" t="s">
        <v>241</v>
      </c>
      <c r="CT207" s="4" t="s">
        <v>241</v>
      </c>
      <c r="CU207" s="4">
        <v>0</v>
      </c>
      <c r="CV207" s="4" t="s">
        <v>271</v>
      </c>
      <c r="CW207" s="4" t="s">
        <v>272</v>
      </c>
      <c r="CX207" s="4" t="s">
        <v>347</v>
      </c>
      <c r="CZ207" s="6">
        <f>1192200</f>
        <v>1192200</v>
      </c>
      <c r="DA207" s="6">
        <f>0</f>
        <v>0</v>
      </c>
      <c r="DC207" s="4" t="s">
        <v>241</v>
      </c>
      <c r="DD207" s="4" t="s">
        <v>241</v>
      </c>
      <c r="DF207" s="4" t="s">
        <v>241</v>
      </c>
      <c r="DI207" s="4" t="s">
        <v>241</v>
      </c>
      <c r="DJ207" s="4" t="s">
        <v>241</v>
      </c>
      <c r="DK207" s="4" t="s">
        <v>241</v>
      </c>
      <c r="DL207" s="4" t="s">
        <v>241</v>
      </c>
      <c r="DM207" s="4" t="s">
        <v>277</v>
      </c>
      <c r="DN207" s="4" t="s">
        <v>278</v>
      </c>
      <c r="DO207" s="6">
        <f>19.87</f>
        <v>19.87</v>
      </c>
      <c r="DP207" s="4" t="s">
        <v>241</v>
      </c>
      <c r="DQ207" s="4" t="s">
        <v>241</v>
      </c>
      <c r="DR207" s="4" t="s">
        <v>241</v>
      </c>
      <c r="DS207" s="4" t="s">
        <v>241</v>
      </c>
      <c r="DV207" s="4" t="s">
        <v>3680</v>
      </c>
      <c r="DW207" s="4" t="s">
        <v>277</v>
      </c>
      <c r="HO207" s="4" t="s">
        <v>277</v>
      </c>
      <c r="HR207" s="4" t="s">
        <v>278</v>
      </c>
      <c r="HS207" s="4" t="s">
        <v>278</v>
      </c>
    </row>
    <row r="208" spans="1:227" x14ac:dyDescent="0.4">
      <c r="A208" s="4">
        <v>2</v>
      </c>
      <c r="B208" s="4" t="s">
        <v>239</v>
      </c>
      <c r="C208" s="4">
        <v>217</v>
      </c>
      <c r="D208" s="4">
        <v>1</v>
      </c>
      <c r="E208" s="4">
        <v>1</v>
      </c>
      <c r="F208" s="4" t="s">
        <v>240</v>
      </c>
      <c r="G208" s="4" t="s">
        <v>241</v>
      </c>
      <c r="H208" s="4" t="s">
        <v>241</v>
      </c>
      <c r="I208" s="4" t="s">
        <v>3681</v>
      </c>
      <c r="J208" s="4" t="s">
        <v>247</v>
      </c>
      <c r="K208" s="4" t="s">
        <v>256</v>
      </c>
      <c r="L208" s="4" t="s">
        <v>250</v>
      </c>
      <c r="M208" s="5" t="s">
        <v>3682</v>
      </c>
      <c r="N208" s="4" t="s">
        <v>242</v>
      </c>
      <c r="O208" s="6">
        <f>19.87</f>
        <v>19.87</v>
      </c>
      <c r="P208" s="4" t="s">
        <v>276</v>
      </c>
      <c r="Q208" s="6">
        <f>1</f>
        <v>1</v>
      </c>
      <c r="R208" s="6">
        <f>1192200</f>
        <v>1192200</v>
      </c>
      <c r="S208" s="5" t="s">
        <v>248</v>
      </c>
      <c r="T208" s="4" t="s">
        <v>348</v>
      </c>
      <c r="U208" s="4" t="s">
        <v>275</v>
      </c>
      <c r="W208" s="6">
        <f>1192199</f>
        <v>1192199</v>
      </c>
      <c r="X208" s="4" t="s">
        <v>243</v>
      </c>
      <c r="Y208" s="4" t="s">
        <v>244</v>
      </c>
      <c r="Z208" s="4" t="s">
        <v>246</v>
      </c>
      <c r="AA208" s="4" t="s">
        <v>241</v>
      </c>
      <c r="AD208" s="4" t="s">
        <v>241</v>
      </c>
      <c r="AF208" s="5" t="s">
        <v>241</v>
      </c>
      <c r="AI208" s="5" t="s">
        <v>249</v>
      </c>
      <c r="AJ208" s="4" t="s">
        <v>251</v>
      </c>
      <c r="AK208" s="4" t="s">
        <v>252</v>
      </c>
      <c r="BA208" s="4" t="s">
        <v>254</v>
      </c>
      <c r="BB208" s="4" t="s">
        <v>241</v>
      </c>
      <c r="BC208" s="4" t="s">
        <v>255</v>
      </c>
      <c r="BD208" s="4" t="s">
        <v>241</v>
      </c>
      <c r="BE208" s="4" t="s">
        <v>257</v>
      </c>
      <c r="BF208" s="4" t="s">
        <v>241</v>
      </c>
      <c r="BH208" s="4" t="s">
        <v>258</v>
      </c>
      <c r="BJ208" s="4" t="s">
        <v>259</v>
      </c>
      <c r="BK208" s="5" t="s">
        <v>260</v>
      </c>
      <c r="BL208" s="4" t="s">
        <v>261</v>
      </c>
      <c r="BM208" s="4" t="s">
        <v>262</v>
      </c>
      <c r="BN208" s="4" t="s">
        <v>241</v>
      </c>
      <c r="BO208" s="6">
        <f>0</f>
        <v>0</v>
      </c>
      <c r="BP208" s="6">
        <f>0</f>
        <v>0</v>
      </c>
      <c r="BQ208" s="4" t="s">
        <v>263</v>
      </c>
      <c r="BR208" s="4" t="s">
        <v>264</v>
      </c>
      <c r="CF208" s="4" t="s">
        <v>241</v>
      </c>
      <c r="CG208" s="4" t="s">
        <v>241</v>
      </c>
      <c r="CK208" s="4" t="s">
        <v>265</v>
      </c>
      <c r="CL208" s="4" t="s">
        <v>266</v>
      </c>
      <c r="CM208" s="4" t="s">
        <v>241</v>
      </c>
      <c r="CO208" s="4" t="s">
        <v>267</v>
      </c>
      <c r="CP208" s="5" t="s">
        <v>268</v>
      </c>
      <c r="CQ208" s="4" t="s">
        <v>269</v>
      </c>
      <c r="CR208" s="4" t="s">
        <v>270</v>
      </c>
      <c r="CS208" s="4" t="s">
        <v>241</v>
      </c>
      <c r="CT208" s="4" t="s">
        <v>241</v>
      </c>
      <c r="CU208" s="4">
        <v>0</v>
      </c>
      <c r="CV208" s="4" t="s">
        <v>271</v>
      </c>
      <c r="CW208" s="4" t="s">
        <v>272</v>
      </c>
      <c r="CX208" s="4" t="s">
        <v>347</v>
      </c>
      <c r="CZ208" s="6">
        <f>1192200</f>
        <v>1192200</v>
      </c>
      <c r="DA208" s="6">
        <f>0</f>
        <v>0</v>
      </c>
      <c r="DC208" s="4" t="s">
        <v>241</v>
      </c>
      <c r="DD208" s="4" t="s">
        <v>241</v>
      </c>
      <c r="DF208" s="4" t="s">
        <v>241</v>
      </c>
      <c r="DI208" s="4" t="s">
        <v>241</v>
      </c>
      <c r="DJ208" s="4" t="s">
        <v>241</v>
      </c>
      <c r="DK208" s="4" t="s">
        <v>241</v>
      </c>
      <c r="DL208" s="4" t="s">
        <v>241</v>
      </c>
      <c r="DM208" s="4" t="s">
        <v>277</v>
      </c>
      <c r="DN208" s="4" t="s">
        <v>278</v>
      </c>
      <c r="DO208" s="6">
        <f>19.87</f>
        <v>19.87</v>
      </c>
      <c r="DP208" s="4" t="s">
        <v>241</v>
      </c>
      <c r="DQ208" s="4" t="s">
        <v>241</v>
      </c>
      <c r="DR208" s="4" t="s">
        <v>241</v>
      </c>
      <c r="DS208" s="4" t="s">
        <v>241</v>
      </c>
      <c r="DV208" s="4" t="s">
        <v>3683</v>
      </c>
      <c r="DW208" s="4" t="s">
        <v>277</v>
      </c>
      <c r="HO208" s="4" t="s">
        <v>277</v>
      </c>
      <c r="HR208" s="4" t="s">
        <v>278</v>
      </c>
      <c r="HS208" s="4" t="s">
        <v>278</v>
      </c>
    </row>
    <row r="209" spans="1:240" x14ac:dyDescent="0.4">
      <c r="A209" s="4">
        <v>2</v>
      </c>
      <c r="B209" s="4" t="s">
        <v>239</v>
      </c>
      <c r="C209" s="4">
        <v>218</v>
      </c>
      <c r="D209" s="4">
        <v>1</v>
      </c>
      <c r="E209" s="4">
        <v>1</v>
      </c>
      <c r="F209" s="4" t="s">
        <v>240</v>
      </c>
      <c r="G209" s="4" t="s">
        <v>241</v>
      </c>
      <c r="H209" s="4" t="s">
        <v>241</v>
      </c>
      <c r="I209" s="4" t="s">
        <v>3684</v>
      </c>
      <c r="J209" s="4" t="s">
        <v>247</v>
      </c>
      <c r="K209" s="4" t="s">
        <v>256</v>
      </c>
      <c r="L209" s="4" t="s">
        <v>250</v>
      </c>
      <c r="M209" s="5" t="s">
        <v>3685</v>
      </c>
      <c r="N209" s="4" t="s">
        <v>242</v>
      </c>
      <c r="O209" s="6">
        <f>21.12</f>
        <v>21.12</v>
      </c>
      <c r="P209" s="4" t="s">
        <v>276</v>
      </c>
      <c r="Q209" s="6">
        <f>1</f>
        <v>1</v>
      </c>
      <c r="R209" s="6">
        <f>1478400</f>
        <v>1478400</v>
      </c>
      <c r="S209" s="5" t="s">
        <v>248</v>
      </c>
      <c r="T209" s="4" t="s">
        <v>357</v>
      </c>
      <c r="U209" s="4" t="s">
        <v>275</v>
      </c>
      <c r="W209" s="6">
        <f>1478399</f>
        <v>1478399</v>
      </c>
      <c r="X209" s="4" t="s">
        <v>243</v>
      </c>
      <c r="Y209" s="4" t="s">
        <v>244</v>
      </c>
      <c r="Z209" s="4" t="s">
        <v>246</v>
      </c>
      <c r="AA209" s="4" t="s">
        <v>241</v>
      </c>
      <c r="AD209" s="4" t="s">
        <v>241</v>
      </c>
      <c r="AF209" s="5" t="s">
        <v>241</v>
      </c>
      <c r="AI209" s="5" t="s">
        <v>249</v>
      </c>
      <c r="AJ209" s="4" t="s">
        <v>251</v>
      </c>
      <c r="AK209" s="4" t="s">
        <v>252</v>
      </c>
      <c r="BA209" s="4" t="s">
        <v>254</v>
      </c>
      <c r="BB209" s="4" t="s">
        <v>241</v>
      </c>
      <c r="BC209" s="4" t="s">
        <v>255</v>
      </c>
      <c r="BD209" s="4" t="s">
        <v>241</v>
      </c>
      <c r="BE209" s="4" t="s">
        <v>257</v>
      </c>
      <c r="BF209" s="4" t="s">
        <v>241</v>
      </c>
      <c r="BH209" s="4" t="s">
        <v>258</v>
      </c>
      <c r="BJ209" s="4" t="s">
        <v>367</v>
      </c>
      <c r="BK209" s="5" t="s">
        <v>249</v>
      </c>
      <c r="BL209" s="4" t="s">
        <v>261</v>
      </c>
      <c r="BM209" s="4" t="s">
        <v>262</v>
      </c>
      <c r="BN209" s="4" t="s">
        <v>241</v>
      </c>
      <c r="BO209" s="6">
        <f>0</f>
        <v>0</v>
      </c>
      <c r="BP209" s="6">
        <f>0</f>
        <v>0</v>
      </c>
      <c r="BQ209" s="4" t="s">
        <v>263</v>
      </c>
      <c r="BR209" s="4" t="s">
        <v>264</v>
      </c>
      <c r="CF209" s="4" t="s">
        <v>241</v>
      </c>
      <c r="CG209" s="4" t="s">
        <v>241</v>
      </c>
      <c r="CK209" s="4" t="s">
        <v>265</v>
      </c>
      <c r="CL209" s="4" t="s">
        <v>266</v>
      </c>
      <c r="CM209" s="4" t="s">
        <v>241</v>
      </c>
      <c r="CO209" s="4" t="s">
        <v>267</v>
      </c>
      <c r="CP209" s="5" t="s">
        <v>268</v>
      </c>
      <c r="CQ209" s="4" t="s">
        <v>269</v>
      </c>
      <c r="CR209" s="4" t="s">
        <v>270</v>
      </c>
      <c r="CS209" s="4" t="s">
        <v>241</v>
      </c>
      <c r="CT209" s="4" t="s">
        <v>241</v>
      </c>
      <c r="CU209" s="4">
        <v>0</v>
      </c>
      <c r="CV209" s="4" t="s">
        <v>271</v>
      </c>
      <c r="CW209" s="4" t="s">
        <v>272</v>
      </c>
      <c r="CX209" s="4" t="s">
        <v>356</v>
      </c>
      <c r="CZ209" s="6">
        <f>1478400</f>
        <v>1478400</v>
      </c>
      <c r="DA209" s="6">
        <f>0</f>
        <v>0</v>
      </c>
      <c r="DC209" s="4" t="s">
        <v>241</v>
      </c>
      <c r="DD209" s="4" t="s">
        <v>241</v>
      </c>
      <c r="DF209" s="4" t="s">
        <v>241</v>
      </c>
      <c r="DI209" s="4" t="s">
        <v>241</v>
      </c>
      <c r="DJ209" s="4" t="s">
        <v>241</v>
      </c>
      <c r="DK209" s="4" t="s">
        <v>241</v>
      </c>
      <c r="DL209" s="4" t="s">
        <v>241</v>
      </c>
      <c r="DM209" s="4" t="s">
        <v>277</v>
      </c>
      <c r="DN209" s="4" t="s">
        <v>278</v>
      </c>
      <c r="DO209" s="6">
        <f>21.12</f>
        <v>21.12</v>
      </c>
      <c r="DP209" s="4" t="s">
        <v>241</v>
      </c>
      <c r="DQ209" s="4" t="s">
        <v>241</v>
      </c>
      <c r="DR209" s="4" t="s">
        <v>241</v>
      </c>
      <c r="DS209" s="4" t="s">
        <v>241</v>
      </c>
      <c r="DV209" s="4" t="s">
        <v>3686</v>
      </c>
      <c r="DW209" s="4" t="s">
        <v>277</v>
      </c>
      <c r="HO209" s="4" t="s">
        <v>277</v>
      </c>
      <c r="HR209" s="4" t="s">
        <v>278</v>
      </c>
      <c r="HS209" s="4" t="s">
        <v>278</v>
      </c>
    </row>
    <row r="210" spans="1:240" x14ac:dyDescent="0.4">
      <c r="A210" s="4">
        <v>2</v>
      </c>
      <c r="B210" s="4" t="s">
        <v>239</v>
      </c>
      <c r="C210" s="4">
        <v>219</v>
      </c>
      <c r="D210" s="4">
        <v>1</v>
      </c>
      <c r="E210" s="4">
        <v>1</v>
      </c>
      <c r="F210" s="4" t="s">
        <v>240</v>
      </c>
      <c r="G210" s="4" t="s">
        <v>241</v>
      </c>
      <c r="H210" s="4" t="s">
        <v>241</v>
      </c>
      <c r="I210" s="4" t="s">
        <v>3687</v>
      </c>
      <c r="J210" s="4" t="s">
        <v>247</v>
      </c>
      <c r="K210" s="4" t="s">
        <v>256</v>
      </c>
      <c r="L210" s="4" t="s">
        <v>250</v>
      </c>
      <c r="M210" s="5" t="s">
        <v>3688</v>
      </c>
      <c r="N210" s="4" t="s">
        <v>242</v>
      </c>
      <c r="O210" s="6">
        <f>19.87</f>
        <v>19.87</v>
      </c>
      <c r="P210" s="4" t="s">
        <v>276</v>
      </c>
      <c r="Q210" s="6">
        <f>1</f>
        <v>1</v>
      </c>
      <c r="R210" s="6">
        <f>1192200</f>
        <v>1192200</v>
      </c>
      <c r="S210" s="5" t="s">
        <v>248</v>
      </c>
      <c r="T210" s="4" t="s">
        <v>348</v>
      </c>
      <c r="U210" s="4" t="s">
        <v>275</v>
      </c>
      <c r="W210" s="6">
        <f>1192199</f>
        <v>1192199</v>
      </c>
      <c r="X210" s="4" t="s">
        <v>243</v>
      </c>
      <c r="Y210" s="4" t="s">
        <v>244</v>
      </c>
      <c r="Z210" s="4" t="s">
        <v>246</v>
      </c>
      <c r="AA210" s="4" t="s">
        <v>241</v>
      </c>
      <c r="AD210" s="4" t="s">
        <v>241</v>
      </c>
      <c r="AF210" s="5" t="s">
        <v>241</v>
      </c>
      <c r="AI210" s="5" t="s">
        <v>249</v>
      </c>
      <c r="AJ210" s="4" t="s">
        <v>251</v>
      </c>
      <c r="AK210" s="4" t="s">
        <v>252</v>
      </c>
      <c r="BA210" s="4" t="s">
        <v>254</v>
      </c>
      <c r="BB210" s="4" t="s">
        <v>241</v>
      </c>
      <c r="BC210" s="4" t="s">
        <v>255</v>
      </c>
      <c r="BD210" s="4" t="s">
        <v>241</v>
      </c>
      <c r="BE210" s="4" t="s">
        <v>257</v>
      </c>
      <c r="BF210" s="4" t="s">
        <v>241</v>
      </c>
      <c r="BH210" s="4" t="s">
        <v>258</v>
      </c>
      <c r="BJ210" s="4" t="s">
        <v>367</v>
      </c>
      <c r="BK210" s="5" t="s">
        <v>249</v>
      </c>
      <c r="BL210" s="4" t="s">
        <v>261</v>
      </c>
      <c r="BM210" s="4" t="s">
        <v>262</v>
      </c>
      <c r="BN210" s="4" t="s">
        <v>241</v>
      </c>
      <c r="BO210" s="6">
        <f>0</f>
        <v>0</v>
      </c>
      <c r="BP210" s="6">
        <f>0</f>
        <v>0</v>
      </c>
      <c r="BQ210" s="4" t="s">
        <v>263</v>
      </c>
      <c r="BR210" s="4" t="s">
        <v>264</v>
      </c>
      <c r="CF210" s="4" t="s">
        <v>241</v>
      </c>
      <c r="CG210" s="4" t="s">
        <v>241</v>
      </c>
      <c r="CK210" s="4" t="s">
        <v>265</v>
      </c>
      <c r="CL210" s="4" t="s">
        <v>266</v>
      </c>
      <c r="CM210" s="4" t="s">
        <v>241</v>
      </c>
      <c r="CO210" s="4" t="s">
        <v>267</v>
      </c>
      <c r="CP210" s="5" t="s">
        <v>268</v>
      </c>
      <c r="CQ210" s="4" t="s">
        <v>269</v>
      </c>
      <c r="CR210" s="4" t="s">
        <v>270</v>
      </c>
      <c r="CS210" s="4" t="s">
        <v>241</v>
      </c>
      <c r="CT210" s="4" t="s">
        <v>241</v>
      </c>
      <c r="CU210" s="4">
        <v>0</v>
      </c>
      <c r="CV210" s="4" t="s">
        <v>271</v>
      </c>
      <c r="CW210" s="4" t="s">
        <v>272</v>
      </c>
      <c r="CX210" s="4" t="s">
        <v>347</v>
      </c>
      <c r="CZ210" s="6">
        <f>1192200</f>
        <v>1192200</v>
      </c>
      <c r="DA210" s="6">
        <f>0</f>
        <v>0</v>
      </c>
      <c r="DC210" s="4" t="s">
        <v>241</v>
      </c>
      <c r="DD210" s="4" t="s">
        <v>241</v>
      </c>
      <c r="DF210" s="4" t="s">
        <v>241</v>
      </c>
      <c r="DI210" s="4" t="s">
        <v>241</v>
      </c>
      <c r="DJ210" s="4" t="s">
        <v>241</v>
      </c>
      <c r="DK210" s="4" t="s">
        <v>241</v>
      </c>
      <c r="DL210" s="4" t="s">
        <v>241</v>
      </c>
      <c r="DM210" s="4" t="s">
        <v>277</v>
      </c>
      <c r="DN210" s="4" t="s">
        <v>278</v>
      </c>
      <c r="DO210" s="6">
        <f>19.87</f>
        <v>19.87</v>
      </c>
      <c r="DP210" s="4" t="s">
        <v>241</v>
      </c>
      <c r="DQ210" s="4" t="s">
        <v>241</v>
      </c>
      <c r="DR210" s="4" t="s">
        <v>241</v>
      </c>
      <c r="DS210" s="4" t="s">
        <v>241</v>
      </c>
      <c r="DV210" s="4" t="s">
        <v>3689</v>
      </c>
      <c r="DW210" s="4" t="s">
        <v>277</v>
      </c>
      <c r="HO210" s="4" t="s">
        <v>277</v>
      </c>
      <c r="HR210" s="4" t="s">
        <v>278</v>
      </c>
      <c r="HS210" s="4" t="s">
        <v>278</v>
      </c>
    </row>
    <row r="211" spans="1:240" x14ac:dyDescent="0.4">
      <c r="A211" s="4">
        <v>2</v>
      </c>
      <c r="B211" s="4" t="s">
        <v>239</v>
      </c>
      <c r="C211" s="4">
        <v>221</v>
      </c>
      <c r="D211" s="4">
        <v>1</v>
      </c>
      <c r="E211" s="4">
        <v>3</v>
      </c>
      <c r="F211" s="4" t="s">
        <v>326</v>
      </c>
      <c r="G211" s="4" t="s">
        <v>241</v>
      </c>
      <c r="H211" s="4" t="s">
        <v>241</v>
      </c>
      <c r="I211" s="4" t="s">
        <v>3208</v>
      </c>
      <c r="J211" s="4" t="s">
        <v>247</v>
      </c>
      <c r="K211" s="4" t="s">
        <v>256</v>
      </c>
      <c r="L211" s="4" t="s">
        <v>241</v>
      </c>
      <c r="M211" s="5" t="s">
        <v>3209</v>
      </c>
      <c r="N211" s="4" t="s">
        <v>242</v>
      </c>
      <c r="O211" s="6">
        <f>0</f>
        <v>0</v>
      </c>
      <c r="P211" s="4" t="s">
        <v>276</v>
      </c>
      <c r="Q211" s="6">
        <f>5480273</f>
        <v>5480273</v>
      </c>
      <c r="R211" s="6">
        <f>5873818</f>
        <v>5873818</v>
      </c>
      <c r="S211" s="5" t="s">
        <v>2595</v>
      </c>
      <c r="T211" s="4" t="s">
        <v>348</v>
      </c>
      <c r="U211" s="4" t="s">
        <v>278</v>
      </c>
      <c r="V211" s="6">
        <f>5873817</f>
        <v>5873817</v>
      </c>
      <c r="W211" s="6">
        <f>393545</f>
        <v>393545</v>
      </c>
      <c r="X211" s="4" t="s">
        <v>243</v>
      </c>
      <c r="Y211" s="4" t="s">
        <v>244</v>
      </c>
      <c r="Z211" s="4" t="s">
        <v>241</v>
      </c>
      <c r="AA211" s="4" t="s">
        <v>241</v>
      </c>
      <c r="AD211" s="4" t="s">
        <v>241</v>
      </c>
      <c r="AE211" s="5" t="s">
        <v>241</v>
      </c>
      <c r="AF211" s="5" t="s">
        <v>241</v>
      </c>
      <c r="AH211" s="5" t="s">
        <v>241</v>
      </c>
      <c r="AI211" s="5" t="s">
        <v>249</v>
      </c>
      <c r="AJ211" s="4" t="s">
        <v>251</v>
      </c>
      <c r="AK211" s="4" t="s">
        <v>252</v>
      </c>
      <c r="AQ211" s="4" t="s">
        <v>241</v>
      </c>
      <c r="AR211" s="4" t="s">
        <v>241</v>
      </c>
      <c r="AS211" s="4" t="s">
        <v>241</v>
      </c>
      <c r="AT211" s="5" t="s">
        <v>241</v>
      </c>
      <c r="AU211" s="5" t="s">
        <v>241</v>
      </c>
      <c r="AV211" s="5" t="s">
        <v>241</v>
      </c>
      <c r="AY211" s="4" t="s">
        <v>286</v>
      </c>
      <c r="AZ211" s="4" t="s">
        <v>286</v>
      </c>
      <c r="BA211" s="4" t="s">
        <v>254</v>
      </c>
      <c r="BB211" s="4" t="s">
        <v>287</v>
      </c>
      <c r="BC211" s="4" t="s">
        <v>255</v>
      </c>
      <c r="BD211" s="4" t="s">
        <v>241</v>
      </c>
      <c r="BE211" s="4" t="s">
        <v>257</v>
      </c>
      <c r="BF211" s="4" t="s">
        <v>241</v>
      </c>
      <c r="BJ211" s="4" t="s">
        <v>288</v>
      </c>
      <c r="BK211" s="5" t="s">
        <v>289</v>
      </c>
      <c r="BL211" s="4" t="s">
        <v>290</v>
      </c>
      <c r="BM211" s="4" t="s">
        <v>290</v>
      </c>
      <c r="BN211" s="4" t="s">
        <v>241</v>
      </c>
      <c r="BP211" s="6">
        <f>-393545</f>
        <v>-393545</v>
      </c>
      <c r="BQ211" s="4" t="s">
        <v>263</v>
      </c>
      <c r="BR211" s="4" t="s">
        <v>264</v>
      </c>
      <c r="BS211" s="4" t="s">
        <v>241</v>
      </c>
      <c r="BT211" s="4" t="s">
        <v>241</v>
      </c>
      <c r="BU211" s="4" t="s">
        <v>241</v>
      </c>
      <c r="BV211" s="4" t="s">
        <v>241</v>
      </c>
      <c r="CE211" s="4" t="s">
        <v>264</v>
      </c>
      <c r="CF211" s="4" t="s">
        <v>241</v>
      </c>
      <c r="CG211" s="4" t="s">
        <v>241</v>
      </c>
      <c r="CK211" s="4" t="s">
        <v>291</v>
      </c>
      <c r="CL211" s="4" t="s">
        <v>266</v>
      </c>
      <c r="CM211" s="4" t="s">
        <v>241</v>
      </c>
      <c r="CO211" s="4" t="s">
        <v>426</v>
      </c>
      <c r="CP211" s="5" t="s">
        <v>268</v>
      </c>
      <c r="CQ211" s="4" t="s">
        <v>269</v>
      </c>
      <c r="CR211" s="4" t="s">
        <v>270</v>
      </c>
      <c r="CS211" s="4" t="s">
        <v>293</v>
      </c>
      <c r="CT211" s="4" t="s">
        <v>241</v>
      </c>
      <c r="CU211" s="4">
        <v>6.7000000000000004E-2</v>
      </c>
      <c r="CV211" s="4" t="s">
        <v>271</v>
      </c>
      <c r="CW211" s="4" t="s">
        <v>272</v>
      </c>
      <c r="CX211" s="4" t="s">
        <v>347</v>
      </c>
      <c r="CY211" s="6">
        <f>0</f>
        <v>0</v>
      </c>
      <c r="CZ211" s="6">
        <f>5873818</f>
        <v>5873818</v>
      </c>
      <c r="DA211" s="6">
        <f>1</f>
        <v>1</v>
      </c>
      <c r="DC211" s="4" t="s">
        <v>241</v>
      </c>
      <c r="DD211" s="4" t="s">
        <v>241</v>
      </c>
      <c r="DF211" s="4" t="s">
        <v>241</v>
      </c>
      <c r="DG211" s="6">
        <f>0</f>
        <v>0</v>
      </c>
      <c r="DI211" s="4" t="s">
        <v>241</v>
      </c>
      <c r="DJ211" s="4" t="s">
        <v>241</v>
      </c>
      <c r="DK211" s="4" t="s">
        <v>241</v>
      </c>
      <c r="DL211" s="4" t="s">
        <v>241</v>
      </c>
      <c r="DM211" s="4" t="s">
        <v>278</v>
      </c>
      <c r="DN211" s="4" t="s">
        <v>278</v>
      </c>
      <c r="DO211" s="6" t="s">
        <v>241</v>
      </c>
      <c r="DP211" s="4" t="s">
        <v>241</v>
      </c>
      <c r="DQ211" s="4" t="s">
        <v>241</v>
      </c>
      <c r="DR211" s="4" t="s">
        <v>241</v>
      </c>
      <c r="DS211" s="4" t="s">
        <v>241</v>
      </c>
      <c r="DV211" s="4" t="s">
        <v>3210</v>
      </c>
      <c r="DW211" s="4" t="s">
        <v>323</v>
      </c>
      <c r="GN211" s="4" t="s">
        <v>3211</v>
      </c>
      <c r="HO211" s="4" t="s">
        <v>323</v>
      </c>
      <c r="HR211" s="4" t="s">
        <v>278</v>
      </c>
      <c r="HS211" s="4" t="s">
        <v>278</v>
      </c>
      <c r="HT211" s="4" t="s">
        <v>241</v>
      </c>
      <c r="HU211" s="4" t="s">
        <v>241</v>
      </c>
      <c r="HV211" s="4" t="s">
        <v>241</v>
      </c>
      <c r="HW211" s="4" t="s">
        <v>241</v>
      </c>
      <c r="HX211" s="4" t="s">
        <v>241</v>
      </c>
      <c r="HY211" s="4" t="s">
        <v>241</v>
      </c>
      <c r="HZ211" s="4" t="s">
        <v>241</v>
      </c>
      <c r="IA211" s="4" t="s">
        <v>241</v>
      </c>
      <c r="IB211" s="4" t="s">
        <v>241</v>
      </c>
      <c r="IC211" s="4" t="s">
        <v>241</v>
      </c>
      <c r="ID211" s="4" t="s">
        <v>241</v>
      </c>
      <c r="IE211" s="4" t="s">
        <v>241</v>
      </c>
      <c r="IF211" s="4" t="s">
        <v>241</v>
      </c>
    </row>
    <row r="212" spans="1:240" x14ac:dyDescent="0.4">
      <c r="A212" s="4">
        <v>2</v>
      </c>
      <c r="B212" s="4" t="s">
        <v>239</v>
      </c>
      <c r="C212" s="4">
        <v>222</v>
      </c>
      <c r="D212" s="4">
        <v>1</v>
      </c>
      <c r="E212" s="4">
        <v>3</v>
      </c>
      <c r="F212" s="4" t="s">
        <v>240</v>
      </c>
      <c r="G212" s="4" t="s">
        <v>241</v>
      </c>
      <c r="H212" s="4" t="s">
        <v>241</v>
      </c>
      <c r="I212" s="4" t="s">
        <v>3212</v>
      </c>
      <c r="J212" s="4" t="s">
        <v>247</v>
      </c>
      <c r="K212" s="4" t="s">
        <v>256</v>
      </c>
      <c r="L212" s="4" t="s">
        <v>250</v>
      </c>
      <c r="M212" s="5" t="s">
        <v>3214</v>
      </c>
      <c r="N212" s="4" t="s">
        <v>242</v>
      </c>
      <c r="O212" s="6">
        <f>23.98</f>
        <v>23.98</v>
      </c>
      <c r="P212" s="4" t="s">
        <v>276</v>
      </c>
      <c r="Q212" s="6">
        <f>567273</f>
        <v>567273</v>
      </c>
      <c r="R212" s="6">
        <f>1249500</f>
        <v>1249500</v>
      </c>
      <c r="S212" s="5" t="s">
        <v>3213</v>
      </c>
      <c r="T212" s="4" t="s">
        <v>274</v>
      </c>
      <c r="U212" s="4" t="s">
        <v>409</v>
      </c>
      <c r="V212" s="6">
        <f>52479</f>
        <v>52479</v>
      </c>
      <c r="W212" s="6">
        <f>682227</f>
        <v>682227</v>
      </c>
      <c r="X212" s="4" t="s">
        <v>243</v>
      </c>
      <c r="Y212" s="4" t="s">
        <v>244</v>
      </c>
      <c r="Z212" s="4" t="s">
        <v>246</v>
      </c>
      <c r="AA212" s="4" t="s">
        <v>241</v>
      </c>
      <c r="AD212" s="4" t="s">
        <v>241</v>
      </c>
      <c r="AE212" s="5" t="s">
        <v>241</v>
      </c>
      <c r="AF212" s="5" t="s">
        <v>241</v>
      </c>
      <c r="AH212" s="5" t="s">
        <v>241</v>
      </c>
      <c r="AI212" s="5" t="s">
        <v>249</v>
      </c>
      <c r="AJ212" s="4" t="s">
        <v>251</v>
      </c>
      <c r="AK212" s="4" t="s">
        <v>252</v>
      </c>
      <c r="AQ212" s="4" t="s">
        <v>241</v>
      </c>
      <c r="AR212" s="4" t="s">
        <v>241</v>
      </c>
      <c r="AS212" s="4" t="s">
        <v>241</v>
      </c>
      <c r="AT212" s="5" t="s">
        <v>241</v>
      </c>
      <c r="AU212" s="5" t="s">
        <v>241</v>
      </c>
      <c r="AV212" s="5" t="s">
        <v>241</v>
      </c>
      <c r="AY212" s="4" t="s">
        <v>286</v>
      </c>
      <c r="AZ212" s="4" t="s">
        <v>286</v>
      </c>
      <c r="BA212" s="4" t="s">
        <v>254</v>
      </c>
      <c r="BB212" s="4" t="s">
        <v>287</v>
      </c>
      <c r="BC212" s="4" t="s">
        <v>255</v>
      </c>
      <c r="BD212" s="4" t="s">
        <v>241</v>
      </c>
      <c r="BE212" s="4" t="s">
        <v>257</v>
      </c>
      <c r="BF212" s="4" t="s">
        <v>241</v>
      </c>
      <c r="BH212" s="4" t="s">
        <v>258</v>
      </c>
      <c r="BJ212" s="4" t="s">
        <v>288</v>
      </c>
      <c r="BK212" s="5" t="s">
        <v>289</v>
      </c>
      <c r="BL212" s="4" t="s">
        <v>290</v>
      </c>
      <c r="BM212" s="4" t="s">
        <v>290</v>
      </c>
      <c r="BN212" s="4" t="s">
        <v>241</v>
      </c>
      <c r="BO212" s="6">
        <f>0</f>
        <v>0</v>
      </c>
      <c r="BP212" s="6">
        <f>-52479</f>
        <v>-52479</v>
      </c>
      <c r="BQ212" s="4" t="s">
        <v>263</v>
      </c>
      <c r="BR212" s="4" t="s">
        <v>264</v>
      </c>
      <c r="BS212" s="4" t="s">
        <v>241</v>
      </c>
      <c r="BT212" s="4" t="s">
        <v>241</v>
      </c>
      <c r="BU212" s="4" t="s">
        <v>241</v>
      </c>
      <c r="BV212" s="4" t="s">
        <v>241</v>
      </c>
      <c r="CE212" s="4" t="s">
        <v>264</v>
      </c>
      <c r="CF212" s="4" t="s">
        <v>241</v>
      </c>
      <c r="CG212" s="4" t="s">
        <v>241</v>
      </c>
      <c r="CK212" s="4" t="s">
        <v>291</v>
      </c>
      <c r="CL212" s="4" t="s">
        <v>266</v>
      </c>
      <c r="CM212" s="4" t="s">
        <v>241</v>
      </c>
      <c r="CO212" s="4" t="s">
        <v>567</v>
      </c>
      <c r="CP212" s="5" t="s">
        <v>268</v>
      </c>
      <c r="CQ212" s="4" t="s">
        <v>269</v>
      </c>
      <c r="CR212" s="4" t="s">
        <v>270</v>
      </c>
      <c r="CS212" s="4" t="s">
        <v>293</v>
      </c>
      <c r="CT212" s="4" t="s">
        <v>241</v>
      </c>
      <c r="CU212" s="4">
        <v>4.2000000000000003E-2</v>
      </c>
      <c r="CV212" s="4" t="s">
        <v>271</v>
      </c>
      <c r="CW212" s="4" t="s">
        <v>272</v>
      </c>
      <c r="CX212" s="4" t="s">
        <v>273</v>
      </c>
      <c r="CY212" s="6">
        <f>0</f>
        <v>0</v>
      </c>
      <c r="CZ212" s="6">
        <f>1249500</f>
        <v>1249500</v>
      </c>
      <c r="DA212" s="6">
        <f>567273</f>
        <v>567273</v>
      </c>
      <c r="DC212" s="4" t="s">
        <v>241</v>
      </c>
      <c r="DD212" s="4" t="s">
        <v>241</v>
      </c>
      <c r="DF212" s="4" t="s">
        <v>241</v>
      </c>
      <c r="DG212" s="6">
        <f>0</f>
        <v>0</v>
      </c>
      <c r="DI212" s="4" t="s">
        <v>241</v>
      </c>
      <c r="DJ212" s="4" t="s">
        <v>241</v>
      </c>
      <c r="DK212" s="4" t="s">
        <v>241</v>
      </c>
      <c r="DL212" s="4" t="s">
        <v>241</v>
      </c>
      <c r="DM212" s="4" t="s">
        <v>277</v>
      </c>
      <c r="DN212" s="4" t="s">
        <v>278</v>
      </c>
      <c r="DO212" s="6">
        <f>23.98</f>
        <v>23.98</v>
      </c>
      <c r="DP212" s="4" t="s">
        <v>241</v>
      </c>
      <c r="DQ212" s="4" t="s">
        <v>241</v>
      </c>
      <c r="DR212" s="4" t="s">
        <v>241</v>
      </c>
      <c r="DS212" s="4" t="s">
        <v>241</v>
      </c>
      <c r="DV212" s="4" t="s">
        <v>3215</v>
      </c>
      <c r="DW212" s="4" t="s">
        <v>277</v>
      </c>
      <c r="GN212" s="4" t="s">
        <v>3216</v>
      </c>
      <c r="HO212" s="4" t="s">
        <v>300</v>
      </c>
      <c r="HR212" s="4" t="s">
        <v>278</v>
      </c>
      <c r="HS212" s="4" t="s">
        <v>278</v>
      </c>
      <c r="HT212" s="4" t="s">
        <v>241</v>
      </c>
      <c r="HU212" s="4" t="s">
        <v>241</v>
      </c>
      <c r="HV212" s="4" t="s">
        <v>241</v>
      </c>
      <c r="HW212" s="4" t="s">
        <v>241</v>
      </c>
      <c r="HX212" s="4" t="s">
        <v>241</v>
      </c>
      <c r="HY212" s="4" t="s">
        <v>241</v>
      </c>
      <c r="HZ212" s="4" t="s">
        <v>241</v>
      </c>
      <c r="IA212" s="4" t="s">
        <v>241</v>
      </c>
      <c r="IB212" s="4" t="s">
        <v>241</v>
      </c>
      <c r="IC212" s="4" t="s">
        <v>241</v>
      </c>
      <c r="ID212" s="4" t="s">
        <v>241</v>
      </c>
      <c r="IE212" s="4" t="s">
        <v>241</v>
      </c>
      <c r="IF212" s="4" t="s">
        <v>241</v>
      </c>
    </row>
    <row r="213" spans="1:240" x14ac:dyDescent="0.4">
      <c r="A213" s="4">
        <v>2</v>
      </c>
      <c r="B213" s="4" t="s">
        <v>239</v>
      </c>
      <c r="C213" s="4">
        <v>223</v>
      </c>
      <c r="D213" s="4">
        <v>1</v>
      </c>
      <c r="E213" s="4">
        <v>3</v>
      </c>
      <c r="F213" s="4" t="s">
        <v>240</v>
      </c>
      <c r="G213" s="4" t="s">
        <v>241</v>
      </c>
      <c r="H213" s="4" t="s">
        <v>241</v>
      </c>
      <c r="I213" s="4" t="s">
        <v>3217</v>
      </c>
      <c r="J213" s="4" t="s">
        <v>247</v>
      </c>
      <c r="K213" s="4" t="s">
        <v>256</v>
      </c>
      <c r="L213" s="4" t="s">
        <v>250</v>
      </c>
      <c r="M213" s="5" t="s">
        <v>3218</v>
      </c>
      <c r="N213" s="4" t="s">
        <v>242</v>
      </c>
      <c r="O213" s="6">
        <f>26.08</f>
        <v>26.08</v>
      </c>
      <c r="P213" s="4" t="s">
        <v>276</v>
      </c>
      <c r="Q213" s="6">
        <f>598780</f>
        <v>598780</v>
      </c>
      <c r="R213" s="6">
        <f>3055000</f>
        <v>3055000</v>
      </c>
      <c r="S213" s="5" t="s">
        <v>362</v>
      </c>
      <c r="T213" s="4" t="s">
        <v>348</v>
      </c>
      <c r="U213" s="4" t="s">
        <v>353</v>
      </c>
      <c r="V213" s="6">
        <f>204685</f>
        <v>204685</v>
      </c>
      <c r="W213" s="6">
        <f>2456220</f>
        <v>2456220</v>
      </c>
      <c r="X213" s="4" t="s">
        <v>243</v>
      </c>
      <c r="Y213" s="4" t="s">
        <v>244</v>
      </c>
      <c r="Z213" s="4" t="s">
        <v>246</v>
      </c>
      <c r="AA213" s="4" t="s">
        <v>241</v>
      </c>
      <c r="AD213" s="4" t="s">
        <v>241</v>
      </c>
      <c r="AE213" s="5" t="s">
        <v>241</v>
      </c>
      <c r="AF213" s="5" t="s">
        <v>241</v>
      </c>
      <c r="AH213" s="5" t="s">
        <v>241</v>
      </c>
      <c r="AI213" s="5" t="s">
        <v>249</v>
      </c>
      <c r="AJ213" s="4" t="s">
        <v>251</v>
      </c>
      <c r="AK213" s="4" t="s">
        <v>252</v>
      </c>
      <c r="AQ213" s="4" t="s">
        <v>241</v>
      </c>
      <c r="AR213" s="4" t="s">
        <v>241</v>
      </c>
      <c r="AS213" s="4" t="s">
        <v>241</v>
      </c>
      <c r="AT213" s="5" t="s">
        <v>241</v>
      </c>
      <c r="AU213" s="5" t="s">
        <v>241</v>
      </c>
      <c r="AV213" s="5" t="s">
        <v>241</v>
      </c>
      <c r="AY213" s="4" t="s">
        <v>286</v>
      </c>
      <c r="AZ213" s="4" t="s">
        <v>286</v>
      </c>
      <c r="BA213" s="4" t="s">
        <v>254</v>
      </c>
      <c r="BB213" s="4" t="s">
        <v>287</v>
      </c>
      <c r="BC213" s="4" t="s">
        <v>255</v>
      </c>
      <c r="BD213" s="4" t="s">
        <v>241</v>
      </c>
      <c r="BE213" s="4" t="s">
        <v>257</v>
      </c>
      <c r="BF213" s="4" t="s">
        <v>241</v>
      </c>
      <c r="BH213" s="4" t="s">
        <v>258</v>
      </c>
      <c r="BJ213" s="4" t="s">
        <v>288</v>
      </c>
      <c r="BK213" s="5" t="s">
        <v>289</v>
      </c>
      <c r="BL213" s="4" t="s">
        <v>290</v>
      </c>
      <c r="BM213" s="4" t="s">
        <v>290</v>
      </c>
      <c r="BN213" s="4" t="s">
        <v>241</v>
      </c>
      <c r="BO213" s="6">
        <f>0</f>
        <v>0</v>
      </c>
      <c r="BP213" s="6">
        <f>-204685</f>
        <v>-204685</v>
      </c>
      <c r="BQ213" s="4" t="s">
        <v>263</v>
      </c>
      <c r="BR213" s="4" t="s">
        <v>264</v>
      </c>
      <c r="BS213" s="4" t="s">
        <v>241</v>
      </c>
      <c r="BT213" s="4" t="s">
        <v>241</v>
      </c>
      <c r="BU213" s="4" t="s">
        <v>241</v>
      </c>
      <c r="BV213" s="4" t="s">
        <v>241</v>
      </c>
      <c r="CE213" s="4" t="s">
        <v>264</v>
      </c>
      <c r="CF213" s="4" t="s">
        <v>241</v>
      </c>
      <c r="CG213" s="4" t="s">
        <v>241</v>
      </c>
      <c r="CK213" s="4" t="s">
        <v>291</v>
      </c>
      <c r="CL213" s="4" t="s">
        <v>266</v>
      </c>
      <c r="CM213" s="4" t="s">
        <v>241</v>
      </c>
      <c r="CO213" s="4" t="s">
        <v>352</v>
      </c>
      <c r="CP213" s="5" t="s">
        <v>268</v>
      </c>
      <c r="CQ213" s="4" t="s">
        <v>269</v>
      </c>
      <c r="CR213" s="4" t="s">
        <v>270</v>
      </c>
      <c r="CS213" s="4" t="s">
        <v>293</v>
      </c>
      <c r="CT213" s="4" t="s">
        <v>241</v>
      </c>
      <c r="CU213" s="4">
        <v>6.7000000000000004E-2</v>
      </c>
      <c r="CV213" s="4" t="s">
        <v>271</v>
      </c>
      <c r="CW213" s="4" t="s">
        <v>272</v>
      </c>
      <c r="CX213" s="4" t="s">
        <v>347</v>
      </c>
      <c r="CY213" s="6">
        <f>0</f>
        <v>0</v>
      </c>
      <c r="CZ213" s="6">
        <f>3055000</f>
        <v>3055000</v>
      </c>
      <c r="DA213" s="6">
        <f>598780</f>
        <v>598780</v>
      </c>
      <c r="DC213" s="4" t="s">
        <v>241</v>
      </c>
      <c r="DD213" s="4" t="s">
        <v>241</v>
      </c>
      <c r="DF213" s="4" t="s">
        <v>241</v>
      </c>
      <c r="DG213" s="6">
        <f>0</f>
        <v>0</v>
      </c>
      <c r="DI213" s="4" t="s">
        <v>241</v>
      </c>
      <c r="DJ213" s="4" t="s">
        <v>241</v>
      </c>
      <c r="DK213" s="4" t="s">
        <v>241</v>
      </c>
      <c r="DL213" s="4" t="s">
        <v>241</v>
      </c>
      <c r="DM213" s="4" t="s">
        <v>277</v>
      </c>
      <c r="DN213" s="4" t="s">
        <v>278</v>
      </c>
      <c r="DO213" s="6">
        <f>26.08</f>
        <v>26.08</v>
      </c>
      <c r="DP213" s="4" t="s">
        <v>241</v>
      </c>
      <c r="DQ213" s="4" t="s">
        <v>241</v>
      </c>
      <c r="DR213" s="4" t="s">
        <v>241</v>
      </c>
      <c r="DS213" s="4" t="s">
        <v>241</v>
      </c>
      <c r="DV213" s="4" t="s">
        <v>3219</v>
      </c>
      <c r="DW213" s="4" t="s">
        <v>277</v>
      </c>
      <c r="GN213" s="4" t="s">
        <v>3220</v>
      </c>
      <c r="HO213" s="4" t="s">
        <v>300</v>
      </c>
      <c r="HR213" s="4" t="s">
        <v>278</v>
      </c>
      <c r="HS213" s="4" t="s">
        <v>278</v>
      </c>
      <c r="HT213" s="4" t="s">
        <v>241</v>
      </c>
      <c r="HU213" s="4" t="s">
        <v>241</v>
      </c>
      <c r="HV213" s="4" t="s">
        <v>241</v>
      </c>
      <c r="HW213" s="4" t="s">
        <v>241</v>
      </c>
      <c r="HX213" s="4" t="s">
        <v>241</v>
      </c>
      <c r="HY213" s="4" t="s">
        <v>241</v>
      </c>
      <c r="HZ213" s="4" t="s">
        <v>241</v>
      </c>
      <c r="IA213" s="4" t="s">
        <v>241</v>
      </c>
      <c r="IB213" s="4" t="s">
        <v>241</v>
      </c>
      <c r="IC213" s="4" t="s">
        <v>241</v>
      </c>
      <c r="ID213" s="4" t="s">
        <v>241</v>
      </c>
      <c r="IE213" s="4" t="s">
        <v>241</v>
      </c>
      <c r="IF213" s="4" t="s">
        <v>241</v>
      </c>
    </row>
    <row r="214" spans="1:240" x14ac:dyDescent="0.4">
      <c r="A214" s="4">
        <v>2</v>
      </c>
      <c r="B214" s="4" t="s">
        <v>239</v>
      </c>
      <c r="C214" s="4">
        <v>224</v>
      </c>
      <c r="D214" s="4">
        <v>1</v>
      </c>
      <c r="E214" s="4">
        <v>3</v>
      </c>
      <c r="F214" s="4" t="s">
        <v>240</v>
      </c>
      <c r="G214" s="4" t="s">
        <v>241</v>
      </c>
      <c r="H214" s="4" t="s">
        <v>241</v>
      </c>
      <c r="I214" s="4" t="s">
        <v>3221</v>
      </c>
      <c r="J214" s="4" t="s">
        <v>247</v>
      </c>
      <c r="K214" s="4" t="s">
        <v>256</v>
      </c>
      <c r="L214" s="4" t="s">
        <v>250</v>
      </c>
      <c r="M214" s="5" t="s">
        <v>3223</v>
      </c>
      <c r="N214" s="4" t="s">
        <v>242</v>
      </c>
      <c r="O214" s="6">
        <f t="shared" ref="O214:O226" si="5">19.87</f>
        <v>19.87</v>
      </c>
      <c r="P214" s="4" t="s">
        <v>276</v>
      </c>
      <c r="Q214" s="6">
        <f>822927</f>
        <v>822927</v>
      </c>
      <c r="R214" s="6">
        <f>3129000</f>
        <v>3129000</v>
      </c>
      <c r="S214" s="5" t="s">
        <v>3222</v>
      </c>
      <c r="T214" s="4" t="s">
        <v>348</v>
      </c>
      <c r="U214" s="4" t="s">
        <v>427</v>
      </c>
      <c r="V214" s="6">
        <f>209643</f>
        <v>209643</v>
      </c>
      <c r="W214" s="6">
        <f>2306073</f>
        <v>2306073</v>
      </c>
      <c r="X214" s="4" t="s">
        <v>243</v>
      </c>
      <c r="Y214" s="4" t="s">
        <v>244</v>
      </c>
      <c r="Z214" s="4" t="s">
        <v>246</v>
      </c>
      <c r="AA214" s="4" t="s">
        <v>241</v>
      </c>
      <c r="AD214" s="4" t="s">
        <v>241</v>
      </c>
      <c r="AE214" s="5" t="s">
        <v>241</v>
      </c>
      <c r="AF214" s="5" t="s">
        <v>241</v>
      </c>
      <c r="AH214" s="5" t="s">
        <v>241</v>
      </c>
      <c r="AI214" s="5" t="s">
        <v>249</v>
      </c>
      <c r="AJ214" s="4" t="s">
        <v>251</v>
      </c>
      <c r="AK214" s="4" t="s">
        <v>252</v>
      </c>
      <c r="AQ214" s="4" t="s">
        <v>241</v>
      </c>
      <c r="AR214" s="4" t="s">
        <v>241</v>
      </c>
      <c r="AS214" s="4" t="s">
        <v>241</v>
      </c>
      <c r="AT214" s="5" t="s">
        <v>241</v>
      </c>
      <c r="AU214" s="5" t="s">
        <v>241</v>
      </c>
      <c r="AV214" s="5" t="s">
        <v>241</v>
      </c>
      <c r="AY214" s="4" t="s">
        <v>286</v>
      </c>
      <c r="AZ214" s="4" t="s">
        <v>286</v>
      </c>
      <c r="BA214" s="4" t="s">
        <v>254</v>
      </c>
      <c r="BB214" s="4" t="s">
        <v>287</v>
      </c>
      <c r="BC214" s="4" t="s">
        <v>255</v>
      </c>
      <c r="BD214" s="4" t="s">
        <v>241</v>
      </c>
      <c r="BE214" s="4" t="s">
        <v>257</v>
      </c>
      <c r="BF214" s="4" t="s">
        <v>241</v>
      </c>
      <c r="BH214" s="4" t="s">
        <v>258</v>
      </c>
      <c r="BJ214" s="4" t="s">
        <v>288</v>
      </c>
      <c r="BK214" s="5" t="s">
        <v>289</v>
      </c>
      <c r="BL214" s="4" t="s">
        <v>290</v>
      </c>
      <c r="BM214" s="4" t="s">
        <v>290</v>
      </c>
      <c r="BN214" s="4" t="s">
        <v>241</v>
      </c>
      <c r="BO214" s="6">
        <f>0</f>
        <v>0</v>
      </c>
      <c r="BP214" s="6">
        <f>-209643</f>
        <v>-209643</v>
      </c>
      <c r="BQ214" s="4" t="s">
        <v>263</v>
      </c>
      <c r="BR214" s="4" t="s">
        <v>264</v>
      </c>
      <c r="BS214" s="4" t="s">
        <v>241</v>
      </c>
      <c r="BT214" s="4" t="s">
        <v>241</v>
      </c>
      <c r="BU214" s="4" t="s">
        <v>241</v>
      </c>
      <c r="BV214" s="4" t="s">
        <v>241</v>
      </c>
      <c r="CE214" s="4" t="s">
        <v>264</v>
      </c>
      <c r="CF214" s="4" t="s">
        <v>241</v>
      </c>
      <c r="CG214" s="4" t="s">
        <v>241</v>
      </c>
      <c r="CK214" s="4" t="s">
        <v>291</v>
      </c>
      <c r="CL214" s="4" t="s">
        <v>266</v>
      </c>
      <c r="CM214" s="4" t="s">
        <v>241</v>
      </c>
      <c r="CO214" s="4" t="s">
        <v>1438</v>
      </c>
      <c r="CP214" s="5" t="s">
        <v>268</v>
      </c>
      <c r="CQ214" s="4" t="s">
        <v>269</v>
      </c>
      <c r="CR214" s="4" t="s">
        <v>270</v>
      </c>
      <c r="CS214" s="4" t="s">
        <v>293</v>
      </c>
      <c r="CT214" s="4" t="s">
        <v>241</v>
      </c>
      <c r="CU214" s="4">
        <v>6.7000000000000004E-2</v>
      </c>
      <c r="CV214" s="4" t="s">
        <v>271</v>
      </c>
      <c r="CW214" s="4" t="s">
        <v>272</v>
      </c>
      <c r="CX214" s="4" t="s">
        <v>347</v>
      </c>
      <c r="CY214" s="6">
        <f>0</f>
        <v>0</v>
      </c>
      <c r="CZ214" s="6">
        <f>3129000</f>
        <v>3129000</v>
      </c>
      <c r="DA214" s="6">
        <f>822927</f>
        <v>822927</v>
      </c>
      <c r="DC214" s="4" t="s">
        <v>241</v>
      </c>
      <c r="DD214" s="4" t="s">
        <v>241</v>
      </c>
      <c r="DF214" s="4" t="s">
        <v>241</v>
      </c>
      <c r="DG214" s="6">
        <f>0</f>
        <v>0</v>
      </c>
      <c r="DI214" s="4" t="s">
        <v>241</v>
      </c>
      <c r="DJ214" s="4" t="s">
        <v>241</v>
      </c>
      <c r="DK214" s="4" t="s">
        <v>241</v>
      </c>
      <c r="DL214" s="4" t="s">
        <v>241</v>
      </c>
      <c r="DM214" s="4" t="s">
        <v>277</v>
      </c>
      <c r="DN214" s="4" t="s">
        <v>278</v>
      </c>
      <c r="DO214" s="6">
        <f t="shared" ref="DO214:DO226" si="6">19.87</f>
        <v>19.87</v>
      </c>
      <c r="DP214" s="4" t="s">
        <v>241</v>
      </c>
      <c r="DQ214" s="4" t="s">
        <v>241</v>
      </c>
      <c r="DR214" s="4" t="s">
        <v>241</v>
      </c>
      <c r="DS214" s="4" t="s">
        <v>241</v>
      </c>
      <c r="DV214" s="4" t="s">
        <v>3224</v>
      </c>
      <c r="DW214" s="4" t="s">
        <v>277</v>
      </c>
      <c r="GN214" s="4" t="s">
        <v>3225</v>
      </c>
      <c r="HO214" s="4" t="s">
        <v>300</v>
      </c>
      <c r="HR214" s="4" t="s">
        <v>278</v>
      </c>
      <c r="HS214" s="4" t="s">
        <v>278</v>
      </c>
      <c r="HT214" s="4" t="s">
        <v>241</v>
      </c>
      <c r="HU214" s="4" t="s">
        <v>241</v>
      </c>
      <c r="HV214" s="4" t="s">
        <v>241</v>
      </c>
      <c r="HW214" s="4" t="s">
        <v>241</v>
      </c>
      <c r="HX214" s="4" t="s">
        <v>241</v>
      </c>
      <c r="HY214" s="4" t="s">
        <v>241</v>
      </c>
      <c r="HZ214" s="4" t="s">
        <v>241</v>
      </c>
      <c r="IA214" s="4" t="s">
        <v>241</v>
      </c>
      <c r="IB214" s="4" t="s">
        <v>241</v>
      </c>
      <c r="IC214" s="4" t="s">
        <v>241</v>
      </c>
      <c r="ID214" s="4" t="s">
        <v>241</v>
      </c>
      <c r="IE214" s="4" t="s">
        <v>241</v>
      </c>
      <c r="IF214" s="4" t="s">
        <v>241</v>
      </c>
    </row>
    <row r="215" spans="1:240" x14ac:dyDescent="0.4">
      <c r="A215" s="4">
        <v>2</v>
      </c>
      <c r="B215" s="4" t="s">
        <v>239</v>
      </c>
      <c r="C215" s="4">
        <v>225</v>
      </c>
      <c r="D215" s="4">
        <v>1</v>
      </c>
      <c r="E215" s="4">
        <v>3</v>
      </c>
      <c r="F215" s="4" t="s">
        <v>240</v>
      </c>
      <c r="G215" s="4" t="s">
        <v>241</v>
      </c>
      <c r="H215" s="4" t="s">
        <v>241</v>
      </c>
      <c r="I215" s="4" t="s">
        <v>3229</v>
      </c>
      <c r="J215" s="4" t="s">
        <v>247</v>
      </c>
      <c r="K215" s="4" t="s">
        <v>256</v>
      </c>
      <c r="L215" s="4" t="s">
        <v>250</v>
      </c>
      <c r="M215" s="5" t="s">
        <v>3231</v>
      </c>
      <c r="N215" s="4" t="s">
        <v>242</v>
      </c>
      <c r="O215" s="6">
        <f t="shared" si="5"/>
        <v>19.87</v>
      </c>
      <c r="P215" s="4" t="s">
        <v>276</v>
      </c>
      <c r="Q215" s="6">
        <f>833973</f>
        <v>833973</v>
      </c>
      <c r="R215" s="6">
        <f>3171000</f>
        <v>3171000</v>
      </c>
      <c r="S215" s="5" t="s">
        <v>3230</v>
      </c>
      <c r="T215" s="4" t="s">
        <v>348</v>
      </c>
      <c r="U215" s="4" t="s">
        <v>427</v>
      </c>
      <c r="V215" s="6">
        <f>212457</f>
        <v>212457</v>
      </c>
      <c r="W215" s="6">
        <f>2337027</f>
        <v>2337027</v>
      </c>
      <c r="X215" s="4" t="s">
        <v>243</v>
      </c>
      <c r="Y215" s="4" t="s">
        <v>244</v>
      </c>
      <c r="Z215" s="4" t="s">
        <v>246</v>
      </c>
      <c r="AA215" s="4" t="s">
        <v>241</v>
      </c>
      <c r="AD215" s="4" t="s">
        <v>241</v>
      </c>
      <c r="AE215" s="5" t="s">
        <v>241</v>
      </c>
      <c r="AF215" s="5" t="s">
        <v>241</v>
      </c>
      <c r="AH215" s="5" t="s">
        <v>241</v>
      </c>
      <c r="AI215" s="5" t="s">
        <v>249</v>
      </c>
      <c r="AJ215" s="4" t="s">
        <v>251</v>
      </c>
      <c r="AK215" s="4" t="s">
        <v>252</v>
      </c>
      <c r="AQ215" s="4" t="s">
        <v>241</v>
      </c>
      <c r="AR215" s="4" t="s">
        <v>241</v>
      </c>
      <c r="AS215" s="4" t="s">
        <v>241</v>
      </c>
      <c r="AT215" s="5" t="s">
        <v>241</v>
      </c>
      <c r="AU215" s="5" t="s">
        <v>241</v>
      </c>
      <c r="AV215" s="5" t="s">
        <v>241</v>
      </c>
      <c r="AY215" s="4" t="s">
        <v>286</v>
      </c>
      <c r="AZ215" s="4" t="s">
        <v>286</v>
      </c>
      <c r="BA215" s="4" t="s">
        <v>254</v>
      </c>
      <c r="BB215" s="4" t="s">
        <v>287</v>
      </c>
      <c r="BC215" s="4" t="s">
        <v>255</v>
      </c>
      <c r="BD215" s="4" t="s">
        <v>241</v>
      </c>
      <c r="BE215" s="4" t="s">
        <v>257</v>
      </c>
      <c r="BF215" s="4" t="s">
        <v>241</v>
      </c>
      <c r="BH215" s="4" t="s">
        <v>258</v>
      </c>
      <c r="BJ215" s="4" t="s">
        <v>288</v>
      </c>
      <c r="BK215" s="5" t="s">
        <v>289</v>
      </c>
      <c r="BL215" s="4" t="s">
        <v>290</v>
      </c>
      <c r="BM215" s="4" t="s">
        <v>290</v>
      </c>
      <c r="BN215" s="4" t="s">
        <v>241</v>
      </c>
      <c r="BO215" s="6">
        <f>0</f>
        <v>0</v>
      </c>
      <c r="BP215" s="6">
        <f>-212457</f>
        <v>-212457</v>
      </c>
      <c r="BQ215" s="4" t="s">
        <v>263</v>
      </c>
      <c r="BR215" s="4" t="s">
        <v>264</v>
      </c>
      <c r="BS215" s="4" t="s">
        <v>241</v>
      </c>
      <c r="BT215" s="4" t="s">
        <v>241</v>
      </c>
      <c r="BU215" s="4" t="s">
        <v>241</v>
      </c>
      <c r="BV215" s="4" t="s">
        <v>241</v>
      </c>
      <c r="CE215" s="4" t="s">
        <v>264</v>
      </c>
      <c r="CF215" s="4" t="s">
        <v>241</v>
      </c>
      <c r="CG215" s="4" t="s">
        <v>241</v>
      </c>
      <c r="CK215" s="4" t="s">
        <v>291</v>
      </c>
      <c r="CL215" s="4" t="s">
        <v>266</v>
      </c>
      <c r="CM215" s="4" t="s">
        <v>241</v>
      </c>
      <c r="CO215" s="4" t="s">
        <v>1438</v>
      </c>
      <c r="CP215" s="5" t="s">
        <v>268</v>
      </c>
      <c r="CQ215" s="4" t="s">
        <v>269</v>
      </c>
      <c r="CR215" s="4" t="s">
        <v>270</v>
      </c>
      <c r="CS215" s="4" t="s">
        <v>293</v>
      </c>
      <c r="CT215" s="4" t="s">
        <v>241</v>
      </c>
      <c r="CU215" s="4">
        <v>6.7000000000000004E-2</v>
      </c>
      <c r="CV215" s="4" t="s">
        <v>271</v>
      </c>
      <c r="CW215" s="4" t="s">
        <v>272</v>
      </c>
      <c r="CX215" s="4" t="s">
        <v>347</v>
      </c>
      <c r="CY215" s="6">
        <f>0</f>
        <v>0</v>
      </c>
      <c r="CZ215" s="6">
        <f>3171000</f>
        <v>3171000</v>
      </c>
      <c r="DA215" s="6">
        <f>833973</f>
        <v>833973</v>
      </c>
      <c r="DC215" s="4" t="s">
        <v>241</v>
      </c>
      <c r="DD215" s="4" t="s">
        <v>241</v>
      </c>
      <c r="DF215" s="4" t="s">
        <v>241</v>
      </c>
      <c r="DG215" s="6">
        <f>0</f>
        <v>0</v>
      </c>
      <c r="DI215" s="4" t="s">
        <v>241</v>
      </c>
      <c r="DJ215" s="4" t="s">
        <v>241</v>
      </c>
      <c r="DK215" s="4" t="s">
        <v>241</v>
      </c>
      <c r="DL215" s="4" t="s">
        <v>241</v>
      </c>
      <c r="DM215" s="4" t="s">
        <v>277</v>
      </c>
      <c r="DN215" s="4" t="s">
        <v>278</v>
      </c>
      <c r="DO215" s="6">
        <f t="shared" si="6"/>
        <v>19.87</v>
      </c>
      <c r="DP215" s="4" t="s">
        <v>241</v>
      </c>
      <c r="DQ215" s="4" t="s">
        <v>241</v>
      </c>
      <c r="DR215" s="4" t="s">
        <v>241</v>
      </c>
      <c r="DS215" s="4" t="s">
        <v>241</v>
      </c>
      <c r="DV215" s="4" t="s">
        <v>3232</v>
      </c>
      <c r="DW215" s="4" t="s">
        <v>277</v>
      </c>
      <c r="GN215" s="4" t="s">
        <v>3233</v>
      </c>
      <c r="HO215" s="4" t="s">
        <v>300</v>
      </c>
      <c r="HR215" s="4" t="s">
        <v>278</v>
      </c>
      <c r="HS215" s="4" t="s">
        <v>278</v>
      </c>
      <c r="HT215" s="4" t="s">
        <v>241</v>
      </c>
      <c r="HU215" s="4" t="s">
        <v>241</v>
      </c>
      <c r="HV215" s="4" t="s">
        <v>241</v>
      </c>
      <c r="HW215" s="4" t="s">
        <v>241</v>
      </c>
      <c r="HX215" s="4" t="s">
        <v>241</v>
      </c>
      <c r="HY215" s="4" t="s">
        <v>241</v>
      </c>
      <c r="HZ215" s="4" t="s">
        <v>241</v>
      </c>
      <c r="IA215" s="4" t="s">
        <v>241</v>
      </c>
      <c r="IB215" s="4" t="s">
        <v>241</v>
      </c>
      <c r="IC215" s="4" t="s">
        <v>241</v>
      </c>
      <c r="ID215" s="4" t="s">
        <v>241</v>
      </c>
      <c r="IE215" s="4" t="s">
        <v>241</v>
      </c>
      <c r="IF215" s="4" t="s">
        <v>241</v>
      </c>
    </row>
    <row r="216" spans="1:240" x14ac:dyDescent="0.4">
      <c r="A216" s="4">
        <v>2</v>
      </c>
      <c r="B216" s="4" t="s">
        <v>239</v>
      </c>
      <c r="C216" s="4">
        <v>226</v>
      </c>
      <c r="D216" s="4">
        <v>1</v>
      </c>
      <c r="E216" s="4">
        <v>3</v>
      </c>
      <c r="F216" s="4" t="s">
        <v>240</v>
      </c>
      <c r="G216" s="4" t="s">
        <v>241</v>
      </c>
      <c r="H216" s="4" t="s">
        <v>241</v>
      </c>
      <c r="I216" s="4" t="s">
        <v>3234</v>
      </c>
      <c r="J216" s="4" t="s">
        <v>247</v>
      </c>
      <c r="K216" s="4" t="s">
        <v>256</v>
      </c>
      <c r="L216" s="4" t="s">
        <v>250</v>
      </c>
      <c r="M216" s="5" t="s">
        <v>3002</v>
      </c>
      <c r="N216" s="4" t="s">
        <v>242</v>
      </c>
      <c r="O216" s="6">
        <f t="shared" si="5"/>
        <v>19.87</v>
      </c>
      <c r="P216" s="4" t="s">
        <v>276</v>
      </c>
      <c r="Q216" s="6">
        <f>1313082</f>
        <v>1313082</v>
      </c>
      <c r="R216" s="6">
        <f>3307500</f>
        <v>3307500</v>
      </c>
      <c r="S216" s="5" t="s">
        <v>3235</v>
      </c>
      <c r="T216" s="4" t="s">
        <v>348</v>
      </c>
      <c r="U216" s="4" t="s">
        <v>343</v>
      </c>
      <c r="V216" s="6">
        <f>221602</f>
        <v>221602</v>
      </c>
      <c r="W216" s="6">
        <f>1994418</f>
        <v>1994418</v>
      </c>
      <c r="X216" s="4" t="s">
        <v>243</v>
      </c>
      <c r="Y216" s="4" t="s">
        <v>244</v>
      </c>
      <c r="Z216" s="4" t="s">
        <v>246</v>
      </c>
      <c r="AA216" s="4" t="s">
        <v>241</v>
      </c>
      <c r="AD216" s="4" t="s">
        <v>241</v>
      </c>
      <c r="AE216" s="5" t="s">
        <v>241</v>
      </c>
      <c r="AF216" s="5" t="s">
        <v>241</v>
      </c>
      <c r="AH216" s="5" t="s">
        <v>241</v>
      </c>
      <c r="AI216" s="5" t="s">
        <v>249</v>
      </c>
      <c r="AJ216" s="4" t="s">
        <v>251</v>
      </c>
      <c r="AK216" s="4" t="s">
        <v>252</v>
      </c>
      <c r="AQ216" s="4" t="s">
        <v>241</v>
      </c>
      <c r="AR216" s="4" t="s">
        <v>241</v>
      </c>
      <c r="AS216" s="4" t="s">
        <v>241</v>
      </c>
      <c r="AT216" s="5" t="s">
        <v>241</v>
      </c>
      <c r="AU216" s="5" t="s">
        <v>241</v>
      </c>
      <c r="AV216" s="5" t="s">
        <v>241</v>
      </c>
      <c r="AY216" s="4" t="s">
        <v>286</v>
      </c>
      <c r="AZ216" s="4" t="s">
        <v>286</v>
      </c>
      <c r="BA216" s="4" t="s">
        <v>254</v>
      </c>
      <c r="BB216" s="4" t="s">
        <v>287</v>
      </c>
      <c r="BC216" s="4" t="s">
        <v>255</v>
      </c>
      <c r="BD216" s="4" t="s">
        <v>241</v>
      </c>
      <c r="BE216" s="4" t="s">
        <v>257</v>
      </c>
      <c r="BF216" s="4" t="s">
        <v>241</v>
      </c>
      <c r="BJ216" s="4" t="s">
        <v>288</v>
      </c>
      <c r="BK216" s="5" t="s">
        <v>289</v>
      </c>
      <c r="BL216" s="4" t="s">
        <v>290</v>
      </c>
      <c r="BM216" s="4" t="s">
        <v>290</v>
      </c>
      <c r="BN216" s="4" t="s">
        <v>241</v>
      </c>
      <c r="BO216" s="6">
        <f>0</f>
        <v>0</v>
      </c>
      <c r="BP216" s="6">
        <f>-221602</f>
        <v>-221602</v>
      </c>
      <c r="BQ216" s="4" t="s">
        <v>263</v>
      </c>
      <c r="BR216" s="4" t="s">
        <v>264</v>
      </c>
      <c r="BS216" s="4" t="s">
        <v>241</v>
      </c>
      <c r="BT216" s="4" t="s">
        <v>241</v>
      </c>
      <c r="BU216" s="4" t="s">
        <v>241</v>
      </c>
      <c r="BV216" s="4" t="s">
        <v>241</v>
      </c>
      <c r="CE216" s="4" t="s">
        <v>264</v>
      </c>
      <c r="CF216" s="4" t="s">
        <v>241</v>
      </c>
      <c r="CG216" s="4" t="s">
        <v>241</v>
      </c>
      <c r="CK216" s="4" t="s">
        <v>291</v>
      </c>
      <c r="CL216" s="4" t="s">
        <v>266</v>
      </c>
      <c r="CM216" s="4" t="s">
        <v>241</v>
      </c>
      <c r="CO216" s="4" t="s">
        <v>826</v>
      </c>
      <c r="CP216" s="5" t="s">
        <v>268</v>
      </c>
      <c r="CQ216" s="4" t="s">
        <v>269</v>
      </c>
      <c r="CR216" s="4" t="s">
        <v>270</v>
      </c>
      <c r="CS216" s="4" t="s">
        <v>293</v>
      </c>
      <c r="CT216" s="4" t="s">
        <v>241</v>
      </c>
      <c r="CU216" s="4">
        <v>6.7000000000000004E-2</v>
      </c>
      <c r="CV216" s="4" t="s">
        <v>271</v>
      </c>
      <c r="CW216" s="4" t="s">
        <v>272</v>
      </c>
      <c r="CX216" s="4" t="s">
        <v>347</v>
      </c>
      <c r="CY216" s="6">
        <f>0</f>
        <v>0</v>
      </c>
      <c r="CZ216" s="6">
        <f>3307500</f>
        <v>3307500</v>
      </c>
      <c r="DA216" s="6">
        <f>1313082</f>
        <v>1313082</v>
      </c>
      <c r="DC216" s="4" t="s">
        <v>241</v>
      </c>
      <c r="DD216" s="4" t="s">
        <v>241</v>
      </c>
      <c r="DF216" s="4" t="s">
        <v>241</v>
      </c>
      <c r="DG216" s="6">
        <f>0</f>
        <v>0</v>
      </c>
      <c r="DI216" s="4" t="s">
        <v>241</v>
      </c>
      <c r="DJ216" s="4" t="s">
        <v>241</v>
      </c>
      <c r="DK216" s="4" t="s">
        <v>241</v>
      </c>
      <c r="DL216" s="4" t="s">
        <v>241</v>
      </c>
      <c r="DM216" s="4" t="s">
        <v>277</v>
      </c>
      <c r="DN216" s="4" t="s">
        <v>278</v>
      </c>
      <c r="DO216" s="6">
        <f t="shared" si="6"/>
        <v>19.87</v>
      </c>
      <c r="DP216" s="4" t="s">
        <v>241</v>
      </c>
      <c r="DQ216" s="4" t="s">
        <v>241</v>
      </c>
      <c r="DR216" s="4" t="s">
        <v>241</v>
      </c>
      <c r="DS216" s="4" t="s">
        <v>241</v>
      </c>
      <c r="DV216" s="4" t="s">
        <v>3236</v>
      </c>
      <c r="DW216" s="4" t="s">
        <v>277</v>
      </c>
      <c r="GN216" s="4" t="s">
        <v>3237</v>
      </c>
      <c r="HO216" s="4" t="s">
        <v>300</v>
      </c>
      <c r="HR216" s="4" t="s">
        <v>278</v>
      </c>
      <c r="HS216" s="4" t="s">
        <v>278</v>
      </c>
      <c r="HT216" s="4" t="s">
        <v>241</v>
      </c>
      <c r="HU216" s="4" t="s">
        <v>241</v>
      </c>
      <c r="HV216" s="4" t="s">
        <v>241</v>
      </c>
      <c r="HW216" s="4" t="s">
        <v>241</v>
      </c>
      <c r="HX216" s="4" t="s">
        <v>241</v>
      </c>
      <c r="HY216" s="4" t="s">
        <v>241</v>
      </c>
      <c r="HZ216" s="4" t="s">
        <v>241</v>
      </c>
      <c r="IA216" s="4" t="s">
        <v>241</v>
      </c>
      <c r="IB216" s="4" t="s">
        <v>241</v>
      </c>
      <c r="IC216" s="4" t="s">
        <v>241</v>
      </c>
      <c r="ID216" s="4" t="s">
        <v>241</v>
      </c>
      <c r="IE216" s="4" t="s">
        <v>241</v>
      </c>
      <c r="IF216" s="4" t="s">
        <v>241</v>
      </c>
    </row>
    <row r="217" spans="1:240" x14ac:dyDescent="0.4">
      <c r="A217" s="4">
        <v>2</v>
      </c>
      <c r="B217" s="4" t="s">
        <v>239</v>
      </c>
      <c r="C217" s="4">
        <v>227</v>
      </c>
      <c r="D217" s="4">
        <v>1</v>
      </c>
      <c r="E217" s="4">
        <v>3</v>
      </c>
      <c r="F217" s="4" t="s">
        <v>240</v>
      </c>
      <c r="G217" s="4" t="s">
        <v>241</v>
      </c>
      <c r="H217" s="4" t="s">
        <v>241</v>
      </c>
      <c r="I217" s="4" t="s">
        <v>3238</v>
      </c>
      <c r="J217" s="4" t="s">
        <v>247</v>
      </c>
      <c r="K217" s="4" t="s">
        <v>256</v>
      </c>
      <c r="L217" s="4" t="s">
        <v>250</v>
      </c>
      <c r="M217" s="5" t="s">
        <v>394</v>
      </c>
      <c r="N217" s="4" t="s">
        <v>242</v>
      </c>
      <c r="O217" s="6">
        <f t="shared" si="5"/>
        <v>19.87</v>
      </c>
      <c r="P217" s="4" t="s">
        <v>276</v>
      </c>
      <c r="Q217" s="6">
        <f>1313082</f>
        <v>1313082</v>
      </c>
      <c r="R217" s="6">
        <f>3307500</f>
        <v>3307500</v>
      </c>
      <c r="S217" s="5" t="s">
        <v>3235</v>
      </c>
      <c r="T217" s="4" t="s">
        <v>348</v>
      </c>
      <c r="U217" s="4" t="s">
        <v>343</v>
      </c>
      <c r="V217" s="6">
        <f>221602</f>
        <v>221602</v>
      </c>
      <c r="W217" s="6">
        <f>1994418</f>
        <v>1994418</v>
      </c>
      <c r="X217" s="4" t="s">
        <v>243</v>
      </c>
      <c r="Y217" s="4" t="s">
        <v>244</v>
      </c>
      <c r="Z217" s="4" t="s">
        <v>246</v>
      </c>
      <c r="AA217" s="4" t="s">
        <v>241</v>
      </c>
      <c r="AD217" s="4" t="s">
        <v>241</v>
      </c>
      <c r="AE217" s="5" t="s">
        <v>241</v>
      </c>
      <c r="AF217" s="5" t="s">
        <v>241</v>
      </c>
      <c r="AH217" s="5" t="s">
        <v>241</v>
      </c>
      <c r="AI217" s="5" t="s">
        <v>249</v>
      </c>
      <c r="AJ217" s="4" t="s">
        <v>251</v>
      </c>
      <c r="AK217" s="4" t="s">
        <v>252</v>
      </c>
      <c r="AQ217" s="4" t="s">
        <v>241</v>
      </c>
      <c r="AR217" s="4" t="s">
        <v>241</v>
      </c>
      <c r="AS217" s="4" t="s">
        <v>241</v>
      </c>
      <c r="AT217" s="5" t="s">
        <v>241</v>
      </c>
      <c r="AU217" s="5" t="s">
        <v>241</v>
      </c>
      <c r="AV217" s="5" t="s">
        <v>241</v>
      </c>
      <c r="AY217" s="4" t="s">
        <v>286</v>
      </c>
      <c r="AZ217" s="4" t="s">
        <v>286</v>
      </c>
      <c r="BA217" s="4" t="s">
        <v>254</v>
      </c>
      <c r="BB217" s="4" t="s">
        <v>287</v>
      </c>
      <c r="BC217" s="4" t="s">
        <v>255</v>
      </c>
      <c r="BD217" s="4" t="s">
        <v>241</v>
      </c>
      <c r="BE217" s="4" t="s">
        <v>257</v>
      </c>
      <c r="BF217" s="4" t="s">
        <v>241</v>
      </c>
      <c r="BH217" s="4" t="s">
        <v>258</v>
      </c>
      <c r="BJ217" s="4" t="s">
        <v>288</v>
      </c>
      <c r="BK217" s="5" t="s">
        <v>289</v>
      </c>
      <c r="BL217" s="4" t="s">
        <v>290</v>
      </c>
      <c r="BM217" s="4" t="s">
        <v>290</v>
      </c>
      <c r="BN217" s="4" t="s">
        <v>241</v>
      </c>
      <c r="BO217" s="6">
        <f>0</f>
        <v>0</v>
      </c>
      <c r="BP217" s="6">
        <f>-221602</f>
        <v>-221602</v>
      </c>
      <c r="BQ217" s="4" t="s">
        <v>263</v>
      </c>
      <c r="BR217" s="4" t="s">
        <v>264</v>
      </c>
      <c r="BS217" s="4" t="s">
        <v>241</v>
      </c>
      <c r="BT217" s="4" t="s">
        <v>241</v>
      </c>
      <c r="BU217" s="4" t="s">
        <v>241</v>
      </c>
      <c r="BV217" s="4" t="s">
        <v>241</v>
      </c>
      <c r="CE217" s="4" t="s">
        <v>264</v>
      </c>
      <c r="CF217" s="4" t="s">
        <v>241</v>
      </c>
      <c r="CG217" s="4" t="s">
        <v>241</v>
      </c>
      <c r="CK217" s="4" t="s">
        <v>291</v>
      </c>
      <c r="CL217" s="4" t="s">
        <v>266</v>
      </c>
      <c r="CM217" s="4" t="s">
        <v>241</v>
      </c>
      <c r="CO217" s="4" t="s">
        <v>826</v>
      </c>
      <c r="CP217" s="5" t="s">
        <v>268</v>
      </c>
      <c r="CQ217" s="4" t="s">
        <v>269</v>
      </c>
      <c r="CR217" s="4" t="s">
        <v>270</v>
      </c>
      <c r="CS217" s="4" t="s">
        <v>293</v>
      </c>
      <c r="CT217" s="4" t="s">
        <v>241</v>
      </c>
      <c r="CU217" s="4">
        <v>6.7000000000000004E-2</v>
      </c>
      <c r="CV217" s="4" t="s">
        <v>271</v>
      </c>
      <c r="CW217" s="4" t="s">
        <v>272</v>
      </c>
      <c r="CX217" s="4" t="s">
        <v>347</v>
      </c>
      <c r="CY217" s="6">
        <f>0</f>
        <v>0</v>
      </c>
      <c r="CZ217" s="6">
        <f>3307500</f>
        <v>3307500</v>
      </c>
      <c r="DA217" s="6">
        <f>1313082</f>
        <v>1313082</v>
      </c>
      <c r="DC217" s="4" t="s">
        <v>241</v>
      </c>
      <c r="DD217" s="4" t="s">
        <v>241</v>
      </c>
      <c r="DF217" s="4" t="s">
        <v>241</v>
      </c>
      <c r="DG217" s="6">
        <f>0</f>
        <v>0</v>
      </c>
      <c r="DI217" s="4" t="s">
        <v>241</v>
      </c>
      <c r="DJ217" s="4" t="s">
        <v>241</v>
      </c>
      <c r="DK217" s="4" t="s">
        <v>241</v>
      </c>
      <c r="DL217" s="4" t="s">
        <v>241</v>
      </c>
      <c r="DM217" s="4" t="s">
        <v>277</v>
      </c>
      <c r="DN217" s="4" t="s">
        <v>278</v>
      </c>
      <c r="DO217" s="6">
        <f t="shared" si="6"/>
        <v>19.87</v>
      </c>
      <c r="DP217" s="4" t="s">
        <v>241</v>
      </c>
      <c r="DQ217" s="4" t="s">
        <v>241</v>
      </c>
      <c r="DR217" s="4" t="s">
        <v>241</v>
      </c>
      <c r="DS217" s="4" t="s">
        <v>241</v>
      </c>
      <c r="DV217" s="4" t="s">
        <v>3239</v>
      </c>
      <c r="DW217" s="4" t="s">
        <v>277</v>
      </c>
      <c r="GN217" s="4" t="s">
        <v>3240</v>
      </c>
      <c r="HO217" s="4" t="s">
        <v>300</v>
      </c>
      <c r="HR217" s="4" t="s">
        <v>278</v>
      </c>
      <c r="HS217" s="4" t="s">
        <v>278</v>
      </c>
      <c r="HT217" s="4" t="s">
        <v>241</v>
      </c>
      <c r="HU217" s="4" t="s">
        <v>241</v>
      </c>
      <c r="HV217" s="4" t="s">
        <v>241</v>
      </c>
      <c r="HW217" s="4" t="s">
        <v>241</v>
      </c>
      <c r="HX217" s="4" t="s">
        <v>241</v>
      </c>
      <c r="HY217" s="4" t="s">
        <v>241</v>
      </c>
      <c r="HZ217" s="4" t="s">
        <v>241</v>
      </c>
      <c r="IA217" s="4" t="s">
        <v>241</v>
      </c>
      <c r="IB217" s="4" t="s">
        <v>241</v>
      </c>
      <c r="IC217" s="4" t="s">
        <v>241</v>
      </c>
      <c r="ID217" s="4" t="s">
        <v>241</v>
      </c>
      <c r="IE217" s="4" t="s">
        <v>241</v>
      </c>
      <c r="IF217" s="4" t="s">
        <v>241</v>
      </c>
    </row>
    <row r="218" spans="1:240" x14ac:dyDescent="0.4">
      <c r="A218" s="4">
        <v>2</v>
      </c>
      <c r="B218" s="4" t="s">
        <v>239</v>
      </c>
      <c r="C218" s="4">
        <v>228</v>
      </c>
      <c r="D218" s="4">
        <v>1</v>
      </c>
      <c r="E218" s="4">
        <v>3</v>
      </c>
      <c r="F218" s="4" t="s">
        <v>240</v>
      </c>
      <c r="G218" s="4" t="s">
        <v>241</v>
      </c>
      <c r="H218" s="4" t="s">
        <v>241</v>
      </c>
      <c r="I218" s="4" t="s">
        <v>3241</v>
      </c>
      <c r="J218" s="4" t="s">
        <v>247</v>
      </c>
      <c r="K218" s="4" t="s">
        <v>256</v>
      </c>
      <c r="L218" s="4" t="s">
        <v>250</v>
      </c>
      <c r="M218" s="5" t="s">
        <v>3242</v>
      </c>
      <c r="N218" s="4" t="s">
        <v>242</v>
      </c>
      <c r="O218" s="6">
        <f t="shared" si="5"/>
        <v>19.87</v>
      </c>
      <c r="P218" s="4" t="s">
        <v>276</v>
      </c>
      <c r="Q218" s="6">
        <f>1313082</f>
        <v>1313082</v>
      </c>
      <c r="R218" s="6">
        <f>3307500</f>
        <v>3307500</v>
      </c>
      <c r="S218" s="5" t="s">
        <v>3235</v>
      </c>
      <c r="T218" s="4" t="s">
        <v>348</v>
      </c>
      <c r="U218" s="4" t="s">
        <v>343</v>
      </c>
      <c r="V218" s="6">
        <f>221602</f>
        <v>221602</v>
      </c>
      <c r="W218" s="6">
        <f>1994418</f>
        <v>1994418</v>
      </c>
      <c r="X218" s="4" t="s">
        <v>243</v>
      </c>
      <c r="Y218" s="4" t="s">
        <v>244</v>
      </c>
      <c r="Z218" s="4" t="s">
        <v>246</v>
      </c>
      <c r="AA218" s="4" t="s">
        <v>241</v>
      </c>
      <c r="AD218" s="4" t="s">
        <v>241</v>
      </c>
      <c r="AE218" s="5" t="s">
        <v>241</v>
      </c>
      <c r="AF218" s="5" t="s">
        <v>241</v>
      </c>
      <c r="AH218" s="5" t="s">
        <v>241</v>
      </c>
      <c r="AI218" s="5" t="s">
        <v>249</v>
      </c>
      <c r="AJ218" s="4" t="s">
        <v>251</v>
      </c>
      <c r="AK218" s="4" t="s">
        <v>252</v>
      </c>
      <c r="AQ218" s="4" t="s">
        <v>241</v>
      </c>
      <c r="AR218" s="4" t="s">
        <v>241</v>
      </c>
      <c r="AS218" s="4" t="s">
        <v>241</v>
      </c>
      <c r="AT218" s="5" t="s">
        <v>241</v>
      </c>
      <c r="AU218" s="5" t="s">
        <v>241</v>
      </c>
      <c r="AV218" s="5" t="s">
        <v>241</v>
      </c>
      <c r="AY218" s="4" t="s">
        <v>286</v>
      </c>
      <c r="AZ218" s="4" t="s">
        <v>286</v>
      </c>
      <c r="BA218" s="4" t="s">
        <v>254</v>
      </c>
      <c r="BB218" s="4" t="s">
        <v>287</v>
      </c>
      <c r="BC218" s="4" t="s">
        <v>255</v>
      </c>
      <c r="BD218" s="4" t="s">
        <v>241</v>
      </c>
      <c r="BE218" s="4" t="s">
        <v>257</v>
      </c>
      <c r="BF218" s="4" t="s">
        <v>241</v>
      </c>
      <c r="BH218" s="4" t="s">
        <v>258</v>
      </c>
      <c r="BJ218" s="4" t="s">
        <v>288</v>
      </c>
      <c r="BK218" s="5" t="s">
        <v>289</v>
      </c>
      <c r="BL218" s="4" t="s">
        <v>290</v>
      </c>
      <c r="BM218" s="4" t="s">
        <v>290</v>
      </c>
      <c r="BN218" s="4" t="s">
        <v>241</v>
      </c>
      <c r="BO218" s="6">
        <f>0</f>
        <v>0</v>
      </c>
      <c r="BP218" s="6">
        <f>-221602</f>
        <v>-221602</v>
      </c>
      <c r="BQ218" s="4" t="s">
        <v>263</v>
      </c>
      <c r="BR218" s="4" t="s">
        <v>264</v>
      </c>
      <c r="BS218" s="4" t="s">
        <v>241</v>
      </c>
      <c r="BT218" s="4" t="s">
        <v>241</v>
      </c>
      <c r="BU218" s="4" t="s">
        <v>241</v>
      </c>
      <c r="BV218" s="4" t="s">
        <v>241</v>
      </c>
      <c r="CE218" s="4" t="s">
        <v>264</v>
      </c>
      <c r="CF218" s="4" t="s">
        <v>241</v>
      </c>
      <c r="CG218" s="4" t="s">
        <v>241</v>
      </c>
      <c r="CK218" s="4" t="s">
        <v>291</v>
      </c>
      <c r="CL218" s="4" t="s">
        <v>266</v>
      </c>
      <c r="CM218" s="4" t="s">
        <v>241</v>
      </c>
      <c r="CO218" s="4" t="s">
        <v>826</v>
      </c>
      <c r="CP218" s="5" t="s">
        <v>268</v>
      </c>
      <c r="CQ218" s="4" t="s">
        <v>269</v>
      </c>
      <c r="CR218" s="4" t="s">
        <v>270</v>
      </c>
      <c r="CS218" s="4" t="s">
        <v>293</v>
      </c>
      <c r="CT218" s="4" t="s">
        <v>241</v>
      </c>
      <c r="CU218" s="4">
        <v>6.7000000000000004E-2</v>
      </c>
      <c r="CV218" s="4" t="s">
        <v>271</v>
      </c>
      <c r="CW218" s="4" t="s">
        <v>272</v>
      </c>
      <c r="CX218" s="4" t="s">
        <v>347</v>
      </c>
      <c r="CY218" s="6">
        <f>0</f>
        <v>0</v>
      </c>
      <c r="CZ218" s="6">
        <f>3307500</f>
        <v>3307500</v>
      </c>
      <c r="DA218" s="6">
        <f>1313082</f>
        <v>1313082</v>
      </c>
      <c r="DC218" s="4" t="s">
        <v>241</v>
      </c>
      <c r="DD218" s="4" t="s">
        <v>241</v>
      </c>
      <c r="DF218" s="4" t="s">
        <v>241</v>
      </c>
      <c r="DG218" s="6">
        <f>0</f>
        <v>0</v>
      </c>
      <c r="DI218" s="4" t="s">
        <v>241</v>
      </c>
      <c r="DJ218" s="4" t="s">
        <v>241</v>
      </c>
      <c r="DK218" s="4" t="s">
        <v>241</v>
      </c>
      <c r="DL218" s="4" t="s">
        <v>241</v>
      </c>
      <c r="DM218" s="4" t="s">
        <v>277</v>
      </c>
      <c r="DN218" s="4" t="s">
        <v>278</v>
      </c>
      <c r="DO218" s="6">
        <f t="shared" si="6"/>
        <v>19.87</v>
      </c>
      <c r="DP218" s="4" t="s">
        <v>241</v>
      </c>
      <c r="DQ218" s="4" t="s">
        <v>241</v>
      </c>
      <c r="DR218" s="4" t="s">
        <v>241</v>
      </c>
      <c r="DS218" s="4" t="s">
        <v>241</v>
      </c>
      <c r="DV218" s="4" t="s">
        <v>3243</v>
      </c>
      <c r="DW218" s="4" t="s">
        <v>277</v>
      </c>
      <c r="GN218" s="4" t="s">
        <v>3244</v>
      </c>
      <c r="HO218" s="4" t="s">
        <v>300</v>
      </c>
      <c r="HR218" s="4" t="s">
        <v>278</v>
      </c>
      <c r="HS218" s="4" t="s">
        <v>278</v>
      </c>
      <c r="HT218" s="4" t="s">
        <v>241</v>
      </c>
      <c r="HU218" s="4" t="s">
        <v>241</v>
      </c>
      <c r="HV218" s="4" t="s">
        <v>241</v>
      </c>
      <c r="HW218" s="4" t="s">
        <v>241</v>
      </c>
      <c r="HX218" s="4" t="s">
        <v>241</v>
      </c>
      <c r="HY218" s="4" t="s">
        <v>241</v>
      </c>
      <c r="HZ218" s="4" t="s">
        <v>241</v>
      </c>
      <c r="IA218" s="4" t="s">
        <v>241</v>
      </c>
      <c r="IB218" s="4" t="s">
        <v>241</v>
      </c>
      <c r="IC218" s="4" t="s">
        <v>241</v>
      </c>
      <c r="ID218" s="4" t="s">
        <v>241</v>
      </c>
      <c r="IE218" s="4" t="s">
        <v>241</v>
      </c>
      <c r="IF218" s="4" t="s">
        <v>241</v>
      </c>
    </row>
    <row r="219" spans="1:240" x14ac:dyDescent="0.4">
      <c r="A219" s="4">
        <v>2</v>
      </c>
      <c r="B219" s="4" t="s">
        <v>239</v>
      </c>
      <c r="C219" s="4">
        <v>229</v>
      </c>
      <c r="D219" s="4">
        <v>1</v>
      </c>
      <c r="E219" s="4">
        <v>3</v>
      </c>
      <c r="F219" s="4" t="s">
        <v>240</v>
      </c>
      <c r="G219" s="4" t="s">
        <v>241</v>
      </c>
      <c r="H219" s="4" t="s">
        <v>241</v>
      </c>
      <c r="I219" s="4" t="s">
        <v>3245</v>
      </c>
      <c r="J219" s="4" t="s">
        <v>247</v>
      </c>
      <c r="K219" s="4" t="s">
        <v>256</v>
      </c>
      <c r="L219" s="4" t="s">
        <v>250</v>
      </c>
      <c r="M219" s="5" t="s">
        <v>3246</v>
      </c>
      <c r="N219" s="4" t="s">
        <v>242</v>
      </c>
      <c r="O219" s="6">
        <f t="shared" si="5"/>
        <v>19.87</v>
      </c>
      <c r="P219" s="4" t="s">
        <v>276</v>
      </c>
      <c r="Q219" s="6">
        <f>1313082</f>
        <v>1313082</v>
      </c>
      <c r="R219" s="6">
        <f>3307500</f>
        <v>3307500</v>
      </c>
      <c r="S219" s="5" t="s">
        <v>3235</v>
      </c>
      <c r="T219" s="4" t="s">
        <v>348</v>
      </c>
      <c r="U219" s="4" t="s">
        <v>343</v>
      </c>
      <c r="V219" s="6">
        <f>221602</f>
        <v>221602</v>
      </c>
      <c r="W219" s="6">
        <f>1994418</f>
        <v>1994418</v>
      </c>
      <c r="X219" s="4" t="s">
        <v>243</v>
      </c>
      <c r="Y219" s="4" t="s">
        <v>244</v>
      </c>
      <c r="Z219" s="4" t="s">
        <v>246</v>
      </c>
      <c r="AA219" s="4" t="s">
        <v>241</v>
      </c>
      <c r="AD219" s="4" t="s">
        <v>241</v>
      </c>
      <c r="AE219" s="5" t="s">
        <v>241</v>
      </c>
      <c r="AF219" s="5" t="s">
        <v>241</v>
      </c>
      <c r="AH219" s="5" t="s">
        <v>241</v>
      </c>
      <c r="AI219" s="5" t="s">
        <v>249</v>
      </c>
      <c r="AJ219" s="4" t="s">
        <v>251</v>
      </c>
      <c r="AK219" s="4" t="s">
        <v>252</v>
      </c>
      <c r="AQ219" s="4" t="s">
        <v>241</v>
      </c>
      <c r="AR219" s="4" t="s">
        <v>241</v>
      </c>
      <c r="AS219" s="4" t="s">
        <v>241</v>
      </c>
      <c r="AT219" s="5" t="s">
        <v>241</v>
      </c>
      <c r="AU219" s="5" t="s">
        <v>241</v>
      </c>
      <c r="AV219" s="5" t="s">
        <v>241</v>
      </c>
      <c r="AY219" s="4" t="s">
        <v>286</v>
      </c>
      <c r="AZ219" s="4" t="s">
        <v>286</v>
      </c>
      <c r="BA219" s="4" t="s">
        <v>254</v>
      </c>
      <c r="BB219" s="4" t="s">
        <v>287</v>
      </c>
      <c r="BC219" s="4" t="s">
        <v>255</v>
      </c>
      <c r="BD219" s="4" t="s">
        <v>241</v>
      </c>
      <c r="BE219" s="4" t="s">
        <v>257</v>
      </c>
      <c r="BF219" s="4" t="s">
        <v>241</v>
      </c>
      <c r="BH219" s="4" t="s">
        <v>258</v>
      </c>
      <c r="BJ219" s="4" t="s">
        <v>288</v>
      </c>
      <c r="BK219" s="5" t="s">
        <v>289</v>
      </c>
      <c r="BL219" s="4" t="s">
        <v>290</v>
      </c>
      <c r="BM219" s="4" t="s">
        <v>290</v>
      </c>
      <c r="BN219" s="4" t="s">
        <v>241</v>
      </c>
      <c r="BO219" s="6">
        <f>0</f>
        <v>0</v>
      </c>
      <c r="BP219" s="6">
        <f>-221602</f>
        <v>-221602</v>
      </c>
      <c r="BQ219" s="4" t="s">
        <v>263</v>
      </c>
      <c r="BR219" s="4" t="s">
        <v>264</v>
      </c>
      <c r="BS219" s="4" t="s">
        <v>241</v>
      </c>
      <c r="BT219" s="4" t="s">
        <v>241</v>
      </c>
      <c r="BU219" s="4" t="s">
        <v>241</v>
      </c>
      <c r="BV219" s="4" t="s">
        <v>241</v>
      </c>
      <c r="CE219" s="4" t="s">
        <v>264</v>
      </c>
      <c r="CF219" s="4" t="s">
        <v>241</v>
      </c>
      <c r="CG219" s="4" t="s">
        <v>241</v>
      </c>
      <c r="CK219" s="4" t="s">
        <v>291</v>
      </c>
      <c r="CL219" s="4" t="s">
        <v>266</v>
      </c>
      <c r="CM219" s="4" t="s">
        <v>241</v>
      </c>
      <c r="CO219" s="4" t="s">
        <v>826</v>
      </c>
      <c r="CP219" s="5" t="s">
        <v>268</v>
      </c>
      <c r="CQ219" s="4" t="s">
        <v>269</v>
      </c>
      <c r="CR219" s="4" t="s">
        <v>270</v>
      </c>
      <c r="CS219" s="4" t="s">
        <v>293</v>
      </c>
      <c r="CT219" s="4" t="s">
        <v>241</v>
      </c>
      <c r="CU219" s="4">
        <v>6.7000000000000004E-2</v>
      </c>
      <c r="CV219" s="4" t="s">
        <v>271</v>
      </c>
      <c r="CW219" s="4" t="s">
        <v>272</v>
      </c>
      <c r="CX219" s="4" t="s">
        <v>347</v>
      </c>
      <c r="CY219" s="6">
        <f>0</f>
        <v>0</v>
      </c>
      <c r="CZ219" s="6">
        <f>3307500</f>
        <v>3307500</v>
      </c>
      <c r="DA219" s="6">
        <f>1313082</f>
        <v>1313082</v>
      </c>
      <c r="DC219" s="4" t="s">
        <v>241</v>
      </c>
      <c r="DD219" s="4" t="s">
        <v>241</v>
      </c>
      <c r="DF219" s="4" t="s">
        <v>241</v>
      </c>
      <c r="DG219" s="6">
        <f>0</f>
        <v>0</v>
      </c>
      <c r="DI219" s="4" t="s">
        <v>241</v>
      </c>
      <c r="DJ219" s="4" t="s">
        <v>241</v>
      </c>
      <c r="DK219" s="4" t="s">
        <v>241</v>
      </c>
      <c r="DL219" s="4" t="s">
        <v>241</v>
      </c>
      <c r="DM219" s="4" t="s">
        <v>277</v>
      </c>
      <c r="DN219" s="4" t="s">
        <v>278</v>
      </c>
      <c r="DO219" s="6">
        <f t="shared" si="6"/>
        <v>19.87</v>
      </c>
      <c r="DP219" s="4" t="s">
        <v>241</v>
      </c>
      <c r="DQ219" s="4" t="s">
        <v>241</v>
      </c>
      <c r="DR219" s="4" t="s">
        <v>241</v>
      </c>
      <c r="DS219" s="4" t="s">
        <v>241</v>
      </c>
      <c r="DV219" s="4" t="s">
        <v>3247</v>
      </c>
      <c r="DW219" s="4" t="s">
        <v>277</v>
      </c>
      <c r="GN219" s="4" t="s">
        <v>3248</v>
      </c>
      <c r="HO219" s="4" t="s">
        <v>300</v>
      </c>
      <c r="HR219" s="4" t="s">
        <v>278</v>
      </c>
      <c r="HS219" s="4" t="s">
        <v>278</v>
      </c>
      <c r="HT219" s="4" t="s">
        <v>241</v>
      </c>
      <c r="HU219" s="4" t="s">
        <v>241</v>
      </c>
      <c r="HV219" s="4" t="s">
        <v>241</v>
      </c>
      <c r="HW219" s="4" t="s">
        <v>241</v>
      </c>
      <c r="HX219" s="4" t="s">
        <v>241</v>
      </c>
      <c r="HY219" s="4" t="s">
        <v>241</v>
      </c>
      <c r="HZ219" s="4" t="s">
        <v>241</v>
      </c>
      <c r="IA219" s="4" t="s">
        <v>241</v>
      </c>
      <c r="IB219" s="4" t="s">
        <v>241</v>
      </c>
      <c r="IC219" s="4" t="s">
        <v>241</v>
      </c>
      <c r="ID219" s="4" t="s">
        <v>241</v>
      </c>
      <c r="IE219" s="4" t="s">
        <v>241</v>
      </c>
      <c r="IF219" s="4" t="s">
        <v>241</v>
      </c>
    </row>
    <row r="220" spans="1:240" x14ac:dyDescent="0.4">
      <c r="A220" s="4">
        <v>2</v>
      </c>
      <c r="B220" s="4" t="s">
        <v>239</v>
      </c>
      <c r="C220" s="4">
        <v>230</v>
      </c>
      <c r="D220" s="4">
        <v>1</v>
      </c>
      <c r="E220" s="4">
        <v>3</v>
      </c>
      <c r="F220" s="4" t="s">
        <v>240</v>
      </c>
      <c r="G220" s="4" t="s">
        <v>241</v>
      </c>
      <c r="H220" s="4" t="s">
        <v>241</v>
      </c>
      <c r="I220" s="4" t="s">
        <v>3249</v>
      </c>
      <c r="J220" s="4" t="s">
        <v>247</v>
      </c>
      <c r="K220" s="4" t="s">
        <v>256</v>
      </c>
      <c r="L220" s="4" t="s">
        <v>250</v>
      </c>
      <c r="M220" s="5" t="s">
        <v>3250</v>
      </c>
      <c r="N220" s="4" t="s">
        <v>242</v>
      </c>
      <c r="O220" s="6">
        <f t="shared" si="5"/>
        <v>19.87</v>
      </c>
      <c r="P220" s="4" t="s">
        <v>276</v>
      </c>
      <c r="Q220" s="6">
        <f>1169280</f>
        <v>1169280</v>
      </c>
      <c r="R220" s="6">
        <f>2520000</f>
        <v>2520000</v>
      </c>
      <c r="S220" s="5" t="s">
        <v>3069</v>
      </c>
      <c r="T220" s="4" t="s">
        <v>348</v>
      </c>
      <c r="U220" s="4" t="s">
        <v>341</v>
      </c>
      <c r="V220" s="6">
        <f>168840</f>
        <v>168840</v>
      </c>
      <c r="W220" s="6">
        <f>1350720</f>
        <v>1350720</v>
      </c>
      <c r="X220" s="4" t="s">
        <v>243</v>
      </c>
      <c r="Y220" s="4" t="s">
        <v>244</v>
      </c>
      <c r="Z220" s="4" t="s">
        <v>246</v>
      </c>
      <c r="AA220" s="4" t="s">
        <v>241</v>
      </c>
      <c r="AD220" s="4" t="s">
        <v>241</v>
      </c>
      <c r="AE220" s="5" t="s">
        <v>241</v>
      </c>
      <c r="AF220" s="5" t="s">
        <v>241</v>
      </c>
      <c r="AH220" s="5" t="s">
        <v>241</v>
      </c>
      <c r="AI220" s="5" t="s">
        <v>249</v>
      </c>
      <c r="AJ220" s="4" t="s">
        <v>251</v>
      </c>
      <c r="AK220" s="4" t="s">
        <v>252</v>
      </c>
      <c r="AQ220" s="4" t="s">
        <v>241</v>
      </c>
      <c r="AR220" s="4" t="s">
        <v>241</v>
      </c>
      <c r="AS220" s="4" t="s">
        <v>241</v>
      </c>
      <c r="AT220" s="5" t="s">
        <v>241</v>
      </c>
      <c r="AU220" s="5" t="s">
        <v>241</v>
      </c>
      <c r="AV220" s="5" t="s">
        <v>241</v>
      </c>
      <c r="AY220" s="4" t="s">
        <v>286</v>
      </c>
      <c r="AZ220" s="4" t="s">
        <v>286</v>
      </c>
      <c r="BA220" s="4" t="s">
        <v>254</v>
      </c>
      <c r="BB220" s="4" t="s">
        <v>287</v>
      </c>
      <c r="BC220" s="4" t="s">
        <v>255</v>
      </c>
      <c r="BD220" s="4" t="s">
        <v>241</v>
      </c>
      <c r="BE220" s="4" t="s">
        <v>257</v>
      </c>
      <c r="BF220" s="4" t="s">
        <v>241</v>
      </c>
      <c r="BH220" s="4" t="s">
        <v>258</v>
      </c>
      <c r="BJ220" s="4" t="s">
        <v>288</v>
      </c>
      <c r="BK220" s="5" t="s">
        <v>289</v>
      </c>
      <c r="BL220" s="4" t="s">
        <v>290</v>
      </c>
      <c r="BM220" s="4" t="s">
        <v>290</v>
      </c>
      <c r="BN220" s="4" t="s">
        <v>241</v>
      </c>
      <c r="BO220" s="6">
        <f>0</f>
        <v>0</v>
      </c>
      <c r="BP220" s="6">
        <f>-168840</f>
        <v>-168840</v>
      </c>
      <c r="BQ220" s="4" t="s">
        <v>263</v>
      </c>
      <c r="BR220" s="4" t="s">
        <v>264</v>
      </c>
      <c r="BS220" s="4" t="s">
        <v>241</v>
      </c>
      <c r="BT220" s="4" t="s">
        <v>241</v>
      </c>
      <c r="BU220" s="4" t="s">
        <v>241</v>
      </c>
      <c r="BV220" s="4" t="s">
        <v>241</v>
      </c>
      <c r="CE220" s="4" t="s">
        <v>264</v>
      </c>
      <c r="CF220" s="4" t="s">
        <v>241</v>
      </c>
      <c r="CG220" s="4" t="s">
        <v>241</v>
      </c>
      <c r="CK220" s="4" t="s">
        <v>291</v>
      </c>
      <c r="CL220" s="4" t="s">
        <v>266</v>
      </c>
      <c r="CM220" s="4" t="s">
        <v>241</v>
      </c>
      <c r="CO220" s="4" t="s">
        <v>693</v>
      </c>
      <c r="CP220" s="5" t="s">
        <v>268</v>
      </c>
      <c r="CQ220" s="4" t="s">
        <v>269</v>
      </c>
      <c r="CR220" s="4" t="s">
        <v>270</v>
      </c>
      <c r="CS220" s="4" t="s">
        <v>293</v>
      </c>
      <c r="CT220" s="4" t="s">
        <v>241</v>
      </c>
      <c r="CU220" s="4">
        <v>6.7000000000000004E-2</v>
      </c>
      <c r="CV220" s="4" t="s">
        <v>271</v>
      </c>
      <c r="CW220" s="4" t="s">
        <v>272</v>
      </c>
      <c r="CX220" s="4" t="s">
        <v>347</v>
      </c>
      <c r="CY220" s="6">
        <f>0</f>
        <v>0</v>
      </c>
      <c r="CZ220" s="6">
        <f>2520000</f>
        <v>2520000</v>
      </c>
      <c r="DA220" s="6">
        <f>1169280</f>
        <v>1169280</v>
      </c>
      <c r="DC220" s="4" t="s">
        <v>241</v>
      </c>
      <c r="DD220" s="4" t="s">
        <v>241</v>
      </c>
      <c r="DF220" s="4" t="s">
        <v>241</v>
      </c>
      <c r="DG220" s="6">
        <f>0</f>
        <v>0</v>
      </c>
      <c r="DI220" s="4" t="s">
        <v>241</v>
      </c>
      <c r="DJ220" s="4" t="s">
        <v>241</v>
      </c>
      <c r="DK220" s="4" t="s">
        <v>241</v>
      </c>
      <c r="DL220" s="4" t="s">
        <v>241</v>
      </c>
      <c r="DM220" s="4" t="s">
        <v>277</v>
      </c>
      <c r="DN220" s="4" t="s">
        <v>278</v>
      </c>
      <c r="DO220" s="6">
        <f t="shared" si="6"/>
        <v>19.87</v>
      </c>
      <c r="DP220" s="4" t="s">
        <v>241</v>
      </c>
      <c r="DQ220" s="4" t="s">
        <v>241</v>
      </c>
      <c r="DR220" s="4" t="s">
        <v>241</v>
      </c>
      <c r="DS220" s="4" t="s">
        <v>241</v>
      </c>
      <c r="DV220" s="4" t="s">
        <v>3251</v>
      </c>
      <c r="DW220" s="4" t="s">
        <v>277</v>
      </c>
      <c r="GN220" s="4" t="s">
        <v>3252</v>
      </c>
      <c r="HO220" s="4" t="s">
        <v>300</v>
      </c>
      <c r="HR220" s="4" t="s">
        <v>278</v>
      </c>
      <c r="HS220" s="4" t="s">
        <v>278</v>
      </c>
      <c r="HT220" s="4" t="s">
        <v>241</v>
      </c>
      <c r="HU220" s="4" t="s">
        <v>241</v>
      </c>
      <c r="HV220" s="4" t="s">
        <v>241</v>
      </c>
      <c r="HW220" s="4" t="s">
        <v>241</v>
      </c>
      <c r="HX220" s="4" t="s">
        <v>241</v>
      </c>
      <c r="HY220" s="4" t="s">
        <v>241</v>
      </c>
      <c r="HZ220" s="4" t="s">
        <v>241</v>
      </c>
      <c r="IA220" s="4" t="s">
        <v>241</v>
      </c>
      <c r="IB220" s="4" t="s">
        <v>241</v>
      </c>
      <c r="IC220" s="4" t="s">
        <v>241</v>
      </c>
      <c r="ID220" s="4" t="s">
        <v>241</v>
      </c>
      <c r="IE220" s="4" t="s">
        <v>241</v>
      </c>
      <c r="IF220" s="4" t="s">
        <v>241</v>
      </c>
    </row>
    <row r="221" spans="1:240" x14ac:dyDescent="0.4">
      <c r="A221" s="4">
        <v>2</v>
      </c>
      <c r="B221" s="4" t="s">
        <v>239</v>
      </c>
      <c r="C221" s="4">
        <v>231</v>
      </c>
      <c r="D221" s="4">
        <v>1</v>
      </c>
      <c r="E221" s="4">
        <v>3</v>
      </c>
      <c r="F221" s="4" t="s">
        <v>240</v>
      </c>
      <c r="G221" s="4" t="s">
        <v>241</v>
      </c>
      <c r="H221" s="4" t="s">
        <v>241</v>
      </c>
      <c r="I221" s="4" t="s">
        <v>3253</v>
      </c>
      <c r="J221" s="4" t="s">
        <v>247</v>
      </c>
      <c r="K221" s="4" t="s">
        <v>256</v>
      </c>
      <c r="L221" s="4" t="s">
        <v>250</v>
      </c>
      <c r="M221" s="5" t="s">
        <v>3254</v>
      </c>
      <c r="N221" s="4" t="s">
        <v>242</v>
      </c>
      <c r="O221" s="6">
        <f t="shared" si="5"/>
        <v>19.87</v>
      </c>
      <c r="P221" s="4" t="s">
        <v>276</v>
      </c>
      <c r="Q221" s="6">
        <f>1214752</f>
        <v>1214752</v>
      </c>
      <c r="R221" s="6">
        <f>2618000</f>
        <v>2618000</v>
      </c>
      <c r="S221" s="5" t="s">
        <v>3073</v>
      </c>
      <c r="T221" s="4" t="s">
        <v>348</v>
      </c>
      <c r="U221" s="4" t="s">
        <v>341</v>
      </c>
      <c r="V221" s="6">
        <f>175406</f>
        <v>175406</v>
      </c>
      <c r="W221" s="6">
        <f>1403248</f>
        <v>1403248</v>
      </c>
      <c r="X221" s="4" t="s">
        <v>243</v>
      </c>
      <c r="Y221" s="4" t="s">
        <v>244</v>
      </c>
      <c r="Z221" s="4" t="s">
        <v>246</v>
      </c>
      <c r="AA221" s="4" t="s">
        <v>241</v>
      </c>
      <c r="AD221" s="4" t="s">
        <v>241</v>
      </c>
      <c r="AE221" s="5" t="s">
        <v>241</v>
      </c>
      <c r="AF221" s="5" t="s">
        <v>241</v>
      </c>
      <c r="AH221" s="5" t="s">
        <v>241</v>
      </c>
      <c r="AI221" s="5" t="s">
        <v>249</v>
      </c>
      <c r="AJ221" s="4" t="s">
        <v>251</v>
      </c>
      <c r="AK221" s="4" t="s">
        <v>252</v>
      </c>
      <c r="AQ221" s="4" t="s">
        <v>241</v>
      </c>
      <c r="AR221" s="4" t="s">
        <v>241</v>
      </c>
      <c r="AS221" s="4" t="s">
        <v>241</v>
      </c>
      <c r="AT221" s="5" t="s">
        <v>241</v>
      </c>
      <c r="AU221" s="5" t="s">
        <v>241</v>
      </c>
      <c r="AV221" s="5" t="s">
        <v>241</v>
      </c>
      <c r="AY221" s="4" t="s">
        <v>286</v>
      </c>
      <c r="AZ221" s="4" t="s">
        <v>286</v>
      </c>
      <c r="BA221" s="4" t="s">
        <v>254</v>
      </c>
      <c r="BB221" s="4" t="s">
        <v>287</v>
      </c>
      <c r="BC221" s="4" t="s">
        <v>255</v>
      </c>
      <c r="BD221" s="4" t="s">
        <v>241</v>
      </c>
      <c r="BE221" s="4" t="s">
        <v>257</v>
      </c>
      <c r="BF221" s="4" t="s">
        <v>241</v>
      </c>
      <c r="BH221" s="4" t="s">
        <v>258</v>
      </c>
      <c r="BJ221" s="4" t="s">
        <v>288</v>
      </c>
      <c r="BK221" s="5" t="s">
        <v>289</v>
      </c>
      <c r="BL221" s="4" t="s">
        <v>290</v>
      </c>
      <c r="BM221" s="4" t="s">
        <v>290</v>
      </c>
      <c r="BN221" s="4" t="s">
        <v>241</v>
      </c>
      <c r="BO221" s="6">
        <f>0</f>
        <v>0</v>
      </c>
      <c r="BP221" s="6">
        <f>-175406</f>
        <v>-175406</v>
      </c>
      <c r="BQ221" s="4" t="s">
        <v>263</v>
      </c>
      <c r="BR221" s="4" t="s">
        <v>264</v>
      </c>
      <c r="BS221" s="4" t="s">
        <v>241</v>
      </c>
      <c r="BT221" s="4" t="s">
        <v>241</v>
      </c>
      <c r="BU221" s="4" t="s">
        <v>241</v>
      </c>
      <c r="BV221" s="4" t="s">
        <v>241</v>
      </c>
      <c r="CE221" s="4" t="s">
        <v>264</v>
      </c>
      <c r="CF221" s="4" t="s">
        <v>241</v>
      </c>
      <c r="CG221" s="4" t="s">
        <v>241</v>
      </c>
      <c r="CK221" s="4" t="s">
        <v>291</v>
      </c>
      <c r="CL221" s="4" t="s">
        <v>266</v>
      </c>
      <c r="CM221" s="4" t="s">
        <v>241</v>
      </c>
      <c r="CO221" s="4" t="s">
        <v>693</v>
      </c>
      <c r="CP221" s="5" t="s">
        <v>268</v>
      </c>
      <c r="CQ221" s="4" t="s">
        <v>269</v>
      </c>
      <c r="CR221" s="4" t="s">
        <v>270</v>
      </c>
      <c r="CS221" s="4" t="s">
        <v>293</v>
      </c>
      <c r="CT221" s="4" t="s">
        <v>241</v>
      </c>
      <c r="CU221" s="4">
        <v>6.7000000000000004E-2</v>
      </c>
      <c r="CV221" s="4" t="s">
        <v>271</v>
      </c>
      <c r="CW221" s="4" t="s">
        <v>272</v>
      </c>
      <c r="CX221" s="4" t="s">
        <v>347</v>
      </c>
      <c r="CY221" s="6">
        <f>0</f>
        <v>0</v>
      </c>
      <c r="CZ221" s="6">
        <f>2618000</f>
        <v>2618000</v>
      </c>
      <c r="DA221" s="6">
        <f>1214752</f>
        <v>1214752</v>
      </c>
      <c r="DC221" s="4" t="s">
        <v>241</v>
      </c>
      <c r="DD221" s="4" t="s">
        <v>241</v>
      </c>
      <c r="DF221" s="4" t="s">
        <v>241</v>
      </c>
      <c r="DG221" s="6">
        <f>0</f>
        <v>0</v>
      </c>
      <c r="DI221" s="4" t="s">
        <v>241</v>
      </c>
      <c r="DJ221" s="4" t="s">
        <v>241</v>
      </c>
      <c r="DK221" s="4" t="s">
        <v>241</v>
      </c>
      <c r="DL221" s="4" t="s">
        <v>241</v>
      </c>
      <c r="DM221" s="4" t="s">
        <v>277</v>
      </c>
      <c r="DN221" s="4" t="s">
        <v>278</v>
      </c>
      <c r="DO221" s="6">
        <f t="shared" si="6"/>
        <v>19.87</v>
      </c>
      <c r="DP221" s="4" t="s">
        <v>241</v>
      </c>
      <c r="DQ221" s="4" t="s">
        <v>241</v>
      </c>
      <c r="DR221" s="4" t="s">
        <v>241</v>
      </c>
      <c r="DS221" s="4" t="s">
        <v>241</v>
      </c>
      <c r="DV221" s="4" t="s">
        <v>3255</v>
      </c>
      <c r="DW221" s="4" t="s">
        <v>277</v>
      </c>
      <c r="GN221" s="4" t="s">
        <v>3256</v>
      </c>
      <c r="HO221" s="4" t="s">
        <v>300</v>
      </c>
      <c r="HR221" s="4" t="s">
        <v>278</v>
      </c>
      <c r="HS221" s="4" t="s">
        <v>278</v>
      </c>
      <c r="HT221" s="4" t="s">
        <v>241</v>
      </c>
      <c r="HU221" s="4" t="s">
        <v>241</v>
      </c>
      <c r="HV221" s="4" t="s">
        <v>241</v>
      </c>
      <c r="HW221" s="4" t="s">
        <v>241</v>
      </c>
      <c r="HX221" s="4" t="s">
        <v>241</v>
      </c>
      <c r="HY221" s="4" t="s">
        <v>241</v>
      </c>
      <c r="HZ221" s="4" t="s">
        <v>241</v>
      </c>
      <c r="IA221" s="4" t="s">
        <v>241</v>
      </c>
      <c r="IB221" s="4" t="s">
        <v>241</v>
      </c>
      <c r="IC221" s="4" t="s">
        <v>241</v>
      </c>
      <c r="ID221" s="4" t="s">
        <v>241</v>
      </c>
      <c r="IE221" s="4" t="s">
        <v>241</v>
      </c>
      <c r="IF221" s="4" t="s">
        <v>241</v>
      </c>
    </row>
    <row r="222" spans="1:240" x14ac:dyDescent="0.4">
      <c r="A222" s="4">
        <v>2</v>
      </c>
      <c r="B222" s="4" t="s">
        <v>239</v>
      </c>
      <c r="C222" s="4">
        <v>232</v>
      </c>
      <c r="D222" s="4">
        <v>1</v>
      </c>
      <c r="E222" s="4">
        <v>3</v>
      </c>
      <c r="F222" s="4" t="s">
        <v>240</v>
      </c>
      <c r="G222" s="4" t="s">
        <v>241</v>
      </c>
      <c r="H222" s="4" t="s">
        <v>241</v>
      </c>
      <c r="I222" s="4" t="s">
        <v>3260</v>
      </c>
      <c r="J222" s="4" t="s">
        <v>247</v>
      </c>
      <c r="K222" s="4" t="s">
        <v>256</v>
      </c>
      <c r="L222" s="4" t="s">
        <v>250</v>
      </c>
      <c r="M222" s="5" t="s">
        <v>3262</v>
      </c>
      <c r="N222" s="4" t="s">
        <v>242</v>
      </c>
      <c r="O222" s="6">
        <f t="shared" si="5"/>
        <v>19.87</v>
      </c>
      <c r="P222" s="4" t="s">
        <v>276</v>
      </c>
      <c r="Q222" s="6">
        <f>1586628</f>
        <v>1586628</v>
      </c>
      <c r="R222" s="6">
        <f>2988000</f>
        <v>2988000</v>
      </c>
      <c r="S222" s="5" t="s">
        <v>3261</v>
      </c>
      <c r="T222" s="4" t="s">
        <v>348</v>
      </c>
      <c r="U222" s="4" t="s">
        <v>300</v>
      </c>
      <c r="V222" s="6">
        <f>200196</f>
        <v>200196</v>
      </c>
      <c r="W222" s="6">
        <f>1401372</f>
        <v>1401372</v>
      </c>
      <c r="X222" s="4" t="s">
        <v>243</v>
      </c>
      <c r="Y222" s="4" t="s">
        <v>244</v>
      </c>
      <c r="Z222" s="4" t="s">
        <v>246</v>
      </c>
      <c r="AA222" s="4" t="s">
        <v>241</v>
      </c>
      <c r="AD222" s="4" t="s">
        <v>241</v>
      </c>
      <c r="AE222" s="5" t="s">
        <v>241</v>
      </c>
      <c r="AF222" s="5" t="s">
        <v>241</v>
      </c>
      <c r="AH222" s="5" t="s">
        <v>241</v>
      </c>
      <c r="AI222" s="5" t="s">
        <v>249</v>
      </c>
      <c r="AJ222" s="4" t="s">
        <v>251</v>
      </c>
      <c r="AK222" s="4" t="s">
        <v>252</v>
      </c>
      <c r="AQ222" s="4" t="s">
        <v>241</v>
      </c>
      <c r="AR222" s="4" t="s">
        <v>241</v>
      </c>
      <c r="AS222" s="4" t="s">
        <v>241</v>
      </c>
      <c r="AT222" s="5" t="s">
        <v>241</v>
      </c>
      <c r="AU222" s="5" t="s">
        <v>241</v>
      </c>
      <c r="AV222" s="5" t="s">
        <v>241</v>
      </c>
      <c r="AY222" s="4" t="s">
        <v>286</v>
      </c>
      <c r="AZ222" s="4" t="s">
        <v>286</v>
      </c>
      <c r="BA222" s="4" t="s">
        <v>254</v>
      </c>
      <c r="BB222" s="4" t="s">
        <v>287</v>
      </c>
      <c r="BC222" s="4" t="s">
        <v>255</v>
      </c>
      <c r="BD222" s="4" t="s">
        <v>241</v>
      </c>
      <c r="BE222" s="4" t="s">
        <v>257</v>
      </c>
      <c r="BF222" s="4" t="s">
        <v>241</v>
      </c>
      <c r="BH222" s="4" t="s">
        <v>258</v>
      </c>
      <c r="BJ222" s="4" t="s">
        <v>288</v>
      </c>
      <c r="BK222" s="5" t="s">
        <v>289</v>
      </c>
      <c r="BL222" s="4" t="s">
        <v>290</v>
      </c>
      <c r="BM222" s="4" t="s">
        <v>290</v>
      </c>
      <c r="BN222" s="4" t="s">
        <v>241</v>
      </c>
      <c r="BO222" s="6">
        <f>0</f>
        <v>0</v>
      </c>
      <c r="BP222" s="6">
        <f>-200196</f>
        <v>-200196</v>
      </c>
      <c r="BQ222" s="4" t="s">
        <v>263</v>
      </c>
      <c r="BR222" s="4" t="s">
        <v>264</v>
      </c>
      <c r="BS222" s="4" t="s">
        <v>241</v>
      </c>
      <c r="BT222" s="4" t="s">
        <v>241</v>
      </c>
      <c r="BU222" s="4" t="s">
        <v>241</v>
      </c>
      <c r="BV222" s="4" t="s">
        <v>241</v>
      </c>
      <c r="CE222" s="4" t="s">
        <v>264</v>
      </c>
      <c r="CF222" s="4" t="s">
        <v>241</v>
      </c>
      <c r="CG222" s="4" t="s">
        <v>241</v>
      </c>
      <c r="CK222" s="4" t="s">
        <v>291</v>
      </c>
      <c r="CL222" s="4" t="s">
        <v>266</v>
      </c>
      <c r="CM222" s="4" t="s">
        <v>241</v>
      </c>
      <c r="CO222" s="4" t="s">
        <v>1542</v>
      </c>
      <c r="CP222" s="5" t="s">
        <v>268</v>
      </c>
      <c r="CQ222" s="4" t="s">
        <v>269</v>
      </c>
      <c r="CR222" s="4" t="s">
        <v>270</v>
      </c>
      <c r="CS222" s="4" t="s">
        <v>293</v>
      </c>
      <c r="CT222" s="4" t="s">
        <v>241</v>
      </c>
      <c r="CU222" s="4">
        <v>6.7000000000000004E-2</v>
      </c>
      <c r="CV222" s="4" t="s">
        <v>271</v>
      </c>
      <c r="CW222" s="4" t="s">
        <v>272</v>
      </c>
      <c r="CX222" s="4" t="s">
        <v>347</v>
      </c>
      <c r="CY222" s="6">
        <f>0</f>
        <v>0</v>
      </c>
      <c r="CZ222" s="6">
        <f>2988000</f>
        <v>2988000</v>
      </c>
      <c r="DA222" s="6">
        <f>1586628</f>
        <v>1586628</v>
      </c>
      <c r="DC222" s="4" t="s">
        <v>241</v>
      </c>
      <c r="DD222" s="4" t="s">
        <v>241</v>
      </c>
      <c r="DF222" s="4" t="s">
        <v>241</v>
      </c>
      <c r="DG222" s="6">
        <f>0</f>
        <v>0</v>
      </c>
      <c r="DI222" s="4" t="s">
        <v>241</v>
      </c>
      <c r="DJ222" s="4" t="s">
        <v>241</v>
      </c>
      <c r="DK222" s="4" t="s">
        <v>241</v>
      </c>
      <c r="DL222" s="4" t="s">
        <v>241</v>
      </c>
      <c r="DM222" s="4" t="s">
        <v>277</v>
      </c>
      <c r="DN222" s="4" t="s">
        <v>278</v>
      </c>
      <c r="DO222" s="6">
        <f t="shared" si="6"/>
        <v>19.87</v>
      </c>
      <c r="DP222" s="4" t="s">
        <v>241</v>
      </c>
      <c r="DQ222" s="4" t="s">
        <v>241</v>
      </c>
      <c r="DR222" s="4" t="s">
        <v>241</v>
      </c>
      <c r="DS222" s="4" t="s">
        <v>241</v>
      </c>
      <c r="DV222" s="4" t="s">
        <v>3263</v>
      </c>
      <c r="DW222" s="4" t="s">
        <v>277</v>
      </c>
      <c r="GN222" s="4" t="s">
        <v>3264</v>
      </c>
      <c r="HO222" s="4" t="s">
        <v>300</v>
      </c>
      <c r="HR222" s="4" t="s">
        <v>278</v>
      </c>
      <c r="HS222" s="4" t="s">
        <v>278</v>
      </c>
      <c r="HT222" s="4" t="s">
        <v>241</v>
      </c>
      <c r="HU222" s="4" t="s">
        <v>241</v>
      </c>
      <c r="HV222" s="4" t="s">
        <v>241</v>
      </c>
      <c r="HW222" s="4" t="s">
        <v>241</v>
      </c>
      <c r="HX222" s="4" t="s">
        <v>241</v>
      </c>
      <c r="HY222" s="4" t="s">
        <v>241</v>
      </c>
      <c r="HZ222" s="4" t="s">
        <v>241</v>
      </c>
      <c r="IA222" s="4" t="s">
        <v>241</v>
      </c>
      <c r="IB222" s="4" t="s">
        <v>241</v>
      </c>
      <c r="IC222" s="4" t="s">
        <v>241</v>
      </c>
      <c r="ID222" s="4" t="s">
        <v>241</v>
      </c>
      <c r="IE222" s="4" t="s">
        <v>241</v>
      </c>
      <c r="IF222" s="4" t="s">
        <v>241</v>
      </c>
    </row>
    <row r="223" spans="1:240" x14ac:dyDescent="0.4">
      <c r="A223" s="4">
        <v>2</v>
      </c>
      <c r="B223" s="4" t="s">
        <v>239</v>
      </c>
      <c r="C223" s="4">
        <v>233</v>
      </c>
      <c r="D223" s="4">
        <v>1</v>
      </c>
      <c r="E223" s="4">
        <v>3</v>
      </c>
      <c r="F223" s="4" t="s">
        <v>240</v>
      </c>
      <c r="G223" s="4" t="s">
        <v>241</v>
      </c>
      <c r="H223" s="4" t="s">
        <v>241</v>
      </c>
      <c r="I223" s="4" t="s">
        <v>3266</v>
      </c>
      <c r="J223" s="4" t="s">
        <v>247</v>
      </c>
      <c r="K223" s="4" t="s">
        <v>256</v>
      </c>
      <c r="L223" s="4" t="s">
        <v>250</v>
      </c>
      <c r="M223" s="5" t="s">
        <v>3267</v>
      </c>
      <c r="N223" s="4" t="s">
        <v>242</v>
      </c>
      <c r="O223" s="6">
        <f t="shared" si="5"/>
        <v>19.87</v>
      </c>
      <c r="P223" s="4" t="s">
        <v>276</v>
      </c>
      <c r="Q223" s="6">
        <f>1586628</f>
        <v>1586628</v>
      </c>
      <c r="R223" s="6">
        <f>2988000</f>
        <v>2988000</v>
      </c>
      <c r="S223" s="5" t="s">
        <v>3261</v>
      </c>
      <c r="T223" s="4" t="s">
        <v>348</v>
      </c>
      <c r="U223" s="4" t="s">
        <v>300</v>
      </c>
      <c r="V223" s="6">
        <f>200196</f>
        <v>200196</v>
      </c>
      <c r="W223" s="6">
        <f>1401372</f>
        <v>1401372</v>
      </c>
      <c r="X223" s="4" t="s">
        <v>243</v>
      </c>
      <c r="Y223" s="4" t="s">
        <v>244</v>
      </c>
      <c r="Z223" s="4" t="s">
        <v>246</v>
      </c>
      <c r="AA223" s="4" t="s">
        <v>241</v>
      </c>
      <c r="AD223" s="4" t="s">
        <v>241</v>
      </c>
      <c r="AE223" s="5" t="s">
        <v>241</v>
      </c>
      <c r="AF223" s="5" t="s">
        <v>241</v>
      </c>
      <c r="AH223" s="5" t="s">
        <v>241</v>
      </c>
      <c r="AI223" s="5" t="s">
        <v>249</v>
      </c>
      <c r="AJ223" s="4" t="s">
        <v>251</v>
      </c>
      <c r="AK223" s="4" t="s">
        <v>252</v>
      </c>
      <c r="AQ223" s="4" t="s">
        <v>241</v>
      </c>
      <c r="AR223" s="4" t="s">
        <v>241</v>
      </c>
      <c r="AS223" s="4" t="s">
        <v>241</v>
      </c>
      <c r="AT223" s="5" t="s">
        <v>241</v>
      </c>
      <c r="AU223" s="5" t="s">
        <v>241</v>
      </c>
      <c r="AV223" s="5" t="s">
        <v>241</v>
      </c>
      <c r="AY223" s="4" t="s">
        <v>286</v>
      </c>
      <c r="AZ223" s="4" t="s">
        <v>286</v>
      </c>
      <c r="BA223" s="4" t="s">
        <v>254</v>
      </c>
      <c r="BB223" s="4" t="s">
        <v>287</v>
      </c>
      <c r="BC223" s="4" t="s">
        <v>255</v>
      </c>
      <c r="BD223" s="4" t="s">
        <v>241</v>
      </c>
      <c r="BE223" s="4" t="s">
        <v>257</v>
      </c>
      <c r="BF223" s="4" t="s">
        <v>241</v>
      </c>
      <c r="BH223" s="4" t="s">
        <v>258</v>
      </c>
      <c r="BJ223" s="4" t="s">
        <v>288</v>
      </c>
      <c r="BK223" s="5" t="s">
        <v>289</v>
      </c>
      <c r="BL223" s="4" t="s">
        <v>290</v>
      </c>
      <c r="BM223" s="4" t="s">
        <v>290</v>
      </c>
      <c r="BN223" s="4" t="s">
        <v>241</v>
      </c>
      <c r="BO223" s="6">
        <f>0</f>
        <v>0</v>
      </c>
      <c r="BP223" s="6">
        <f>-200196</f>
        <v>-200196</v>
      </c>
      <c r="BQ223" s="4" t="s">
        <v>263</v>
      </c>
      <c r="BR223" s="4" t="s">
        <v>264</v>
      </c>
      <c r="BS223" s="4" t="s">
        <v>241</v>
      </c>
      <c r="BT223" s="4" t="s">
        <v>241</v>
      </c>
      <c r="BU223" s="4" t="s">
        <v>241</v>
      </c>
      <c r="BV223" s="4" t="s">
        <v>241</v>
      </c>
      <c r="CE223" s="4" t="s">
        <v>264</v>
      </c>
      <c r="CF223" s="4" t="s">
        <v>241</v>
      </c>
      <c r="CG223" s="4" t="s">
        <v>241</v>
      </c>
      <c r="CK223" s="4" t="s">
        <v>291</v>
      </c>
      <c r="CL223" s="4" t="s">
        <v>266</v>
      </c>
      <c r="CM223" s="4" t="s">
        <v>241</v>
      </c>
      <c r="CO223" s="4" t="s">
        <v>1542</v>
      </c>
      <c r="CP223" s="5" t="s">
        <v>268</v>
      </c>
      <c r="CQ223" s="4" t="s">
        <v>269</v>
      </c>
      <c r="CR223" s="4" t="s">
        <v>270</v>
      </c>
      <c r="CS223" s="4" t="s">
        <v>293</v>
      </c>
      <c r="CT223" s="4" t="s">
        <v>241</v>
      </c>
      <c r="CU223" s="4">
        <v>6.7000000000000004E-2</v>
      </c>
      <c r="CV223" s="4" t="s">
        <v>271</v>
      </c>
      <c r="CW223" s="4" t="s">
        <v>272</v>
      </c>
      <c r="CX223" s="4" t="s">
        <v>347</v>
      </c>
      <c r="CY223" s="6">
        <f>0</f>
        <v>0</v>
      </c>
      <c r="CZ223" s="6">
        <f>2988000</f>
        <v>2988000</v>
      </c>
      <c r="DA223" s="6">
        <f>1586628</f>
        <v>1586628</v>
      </c>
      <c r="DC223" s="4" t="s">
        <v>241</v>
      </c>
      <c r="DD223" s="4" t="s">
        <v>241</v>
      </c>
      <c r="DF223" s="4" t="s">
        <v>241</v>
      </c>
      <c r="DG223" s="6">
        <f>0</f>
        <v>0</v>
      </c>
      <c r="DI223" s="4" t="s">
        <v>241</v>
      </c>
      <c r="DJ223" s="4" t="s">
        <v>241</v>
      </c>
      <c r="DK223" s="4" t="s">
        <v>241</v>
      </c>
      <c r="DL223" s="4" t="s">
        <v>241</v>
      </c>
      <c r="DM223" s="4" t="s">
        <v>277</v>
      </c>
      <c r="DN223" s="4" t="s">
        <v>278</v>
      </c>
      <c r="DO223" s="6">
        <f t="shared" si="6"/>
        <v>19.87</v>
      </c>
      <c r="DP223" s="4" t="s">
        <v>241</v>
      </c>
      <c r="DQ223" s="4" t="s">
        <v>241</v>
      </c>
      <c r="DR223" s="4" t="s">
        <v>241</v>
      </c>
      <c r="DS223" s="4" t="s">
        <v>241</v>
      </c>
      <c r="DV223" s="4" t="s">
        <v>3268</v>
      </c>
      <c r="DW223" s="4" t="s">
        <v>277</v>
      </c>
      <c r="GN223" s="4" t="s">
        <v>3269</v>
      </c>
      <c r="HO223" s="4" t="s">
        <v>300</v>
      </c>
      <c r="HR223" s="4" t="s">
        <v>278</v>
      </c>
      <c r="HS223" s="4" t="s">
        <v>278</v>
      </c>
      <c r="HT223" s="4" t="s">
        <v>241</v>
      </c>
      <c r="HU223" s="4" t="s">
        <v>241</v>
      </c>
      <c r="HV223" s="4" t="s">
        <v>241</v>
      </c>
      <c r="HW223" s="4" t="s">
        <v>241</v>
      </c>
      <c r="HX223" s="4" t="s">
        <v>241</v>
      </c>
      <c r="HY223" s="4" t="s">
        <v>241</v>
      </c>
      <c r="HZ223" s="4" t="s">
        <v>241</v>
      </c>
      <c r="IA223" s="4" t="s">
        <v>241</v>
      </c>
      <c r="IB223" s="4" t="s">
        <v>241</v>
      </c>
      <c r="IC223" s="4" t="s">
        <v>241</v>
      </c>
      <c r="ID223" s="4" t="s">
        <v>241</v>
      </c>
      <c r="IE223" s="4" t="s">
        <v>241</v>
      </c>
      <c r="IF223" s="4" t="s">
        <v>241</v>
      </c>
    </row>
    <row r="224" spans="1:240" x14ac:dyDescent="0.4">
      <c r="A224" s="4">
        <v>2</v>
      </c>
      <c r="B224" s="4" t="s">
        <v>239</v>
      </c>
      <c r="C224" s="4">
        <v>234</v>
      </c>
      <c r="D224" s="4">
        <v>1</v>
      </c>
      <c r="E224" s="4">
        <v>3</v>
      </c>
      <c r="F224" s="4" t="s">
        <v>240</v>
      </c>
      <c r="G224" s="4" t="s">
        <v>241</v>
      </c>
      <c r="H224" s="4" t="s">
        <v>241</v>
      </c>
      <c r="I224" s="4" t="s">
        <v>3273</v>
      </c>
      <c r="J224" s="4" t="s">
        <v>247</v>
      </c>
      <c r="K224" s="4" t="s">
        <v>256</v>
      </c>
      <c r="L224" s="4" t="s">
        <v>250</v>
      </c>
      <c r="M224" s="5" t="s">
        <v>3274</v>
      </c>
      <c r="N224" s="4" t="s">
        <v>242</v>
      </c>
      <c r="O224" s="6">
        <f t="shared" si="5"/>
        <v>19.87</v>
      </c>
      <c r="P224" s="4" t="s">
        <v>276</v>
      </c>
      <c r="Q224" s="6">
        <f>1586628</f>
        <v>1586628</v>
      </c>
      <c r="R224" s="6">
        <f>2988000</f>
        <v>2988000</v>
      </c>
      <c r="S224" s="5" t="s">
        <v>3261</v>
      </c>
      <c r="T224" s="4" t="s">
        <v>348</v>
      </c>
      <c r="U224" s="4" t="s">
        <v>300</v>
      </c>
      <c r="V224" s="6">
        <f>200196</f>
        <v>200196</v>
      </c>
      <c r="W224" s="6">
        <f>1401372</f>
        <v>1401372</v>
      </c>
      <c r="X224" s="4" t="s">
        <v>243</v>
      </c>
      <c r="Y224" s="4" t="s">
        <v>244</v>
      </c>
      <c r="Z224" s="4" t="s">
        <v>246</v>
      </c>
      <c r="AA224" s="4" t="s">
        <v>241</v>
      </c>
      <c r="AD224" s="4" t="s">
        <v>241</v>
      </c>
      <c r="AE224" s="5" t="s">
        <v>241</v>
      </c>
      <c r="AF224" s="5" t="s">
        <v>241</v>
      </c>
      <c r="AH224" s="5" t="s">
        <v>241</v>
      </c>
      <c r="AI224" s="5" t="s">
        <v>249</v>
      </c>
      <c r="AJ224" s="4" t="s">
        <v>251</v>
      </c>
      <c r="AK224" s="4" t="s">
        <v>252</v>
      </c>
      <c r="AQ224" s="4" t="s">
        <v>241</v>
      </c>
      <c r="AR224" s="4" t="s">
        <v>241</v>
      </c>
      <c r="AS224" s="4" t="s">
        <v>241</v>
      </c>
      <c r="AT224" s="5" t="s">
        <v>241</v>
      </c>
      <c r="AU224" s="5" t="s">
        <v>241</v>
      </c>
      <c r="AV224" s="5" t="s">
        <v>241</v>
      </c>
      <c r="AY224" s="4" t="s">
        <v>286</v>
      </c>
      <c r="AZ224" s="4" t="s">
        <v>286</v>
      </c>
      <c r="BA224" s="4" t="s">
        <v>254</v>
      </c>
      <c r="BB224" s="4" t="s">
        <v>287</v>
      </c>
      <c r="BC224" s="4" t="s">
        <v>255</v>
      </c>
      <c r="BD224" s="4" t="s">
        <v>241</v>
      </c>
      <c r="BE224" s="4" t="s">
        <v>257</v>
      </c>
      <c r="BF224" s="4" t="s">
        <v>241</v>
      </c>
      <c r="BH224" s="4" t="s">
        <v>258</v>
      </c>
      <c r="BJ224" s="4" t="s">
        <v>288</v>
      </c>
      <c r="BK224" s="5" t="s">
        <v>289</v>
      </c>
      <c r="BL224" s="4" t="s">
        <v>290</v>
      </c>
      <c r="BM224" s="4" t="s">
        <v>290</v>
      </c>
      <c r="BN224" s="4" t="s">
        <v>241</v>
      </c>
      <c r="BO224" s="6">
        <f>0</f>
        <v>0</v>
      </c>
      <c r="BP224" s="6">
        <f>-200196</f>
        <v>-200196</v>
      </c>
      <c r="BQ224" s="4" t="s">
        <v>263</v>
      </c>
      <c r="BR224" s="4" t="s">
        <v>264</v>
      </c>
      <c r="BS224" s="4" t="s">
        <v>241</v>
      </c>
      <c r="BT224" s="4" t="s">
        <v>241</v>
      </c>
      <c r="BU224" s="4" t="s">
        <v>241</v>
      </c>
      <c r="BV224" s="4" t="s">
        <v>241</v>
      </c>
      <c r="CE224" s="4" t="s">
        <v>264</v>
      </c>
      <c r="CF224" s="4" t="s">
        <v>241</v>
      </c>
      <c r="CG224" s="4" t="s">
        <v>241</v>
      </c>
      <c r="CK224" s="4" t="s">
        <v>291</v>
      </c>
      <c r="CL224" s="4" t="s">
        <v>266</v>
      </c>
      <c r="CM224" s="4" t="s">
        <v>241</v>
      </c>
      <c r="CO224" s="4" t="s">
        <v>1542</v>
      </c>
      <c r="CP224" s="5" t="s">
        <v>268</v>
      </c>
      <c r="CQ224" s="4" t="s">
        <v>269</v>
      </c>
      <c r="CR224" s="4" t="s">
        <v>270</v>
      </c>
      <c r="CS224" s="4" t="s">
        <v>293</v>
      </c>
      <c r="CT224" s="4" t="s">
        <v>241</v>
      </c>
      <c r="CU224" s="4">
        <v>6.7000000000000004E-2</v>
      </c>
      <c r="CV224" s="4" t="s">
        <v>271</v>
      </c>
      <c r="CW224" s="4" t="s">
        <v>272</v>
      </c>
      <c r="CX224" s="4" t="s">
        <v>347</v>
      </c>
      <c r="CY224" s="6">
        <f>0</f>
        <v>0</v>
      </c>
      <c r="CZ224" s="6">
        <f>2988000</f>
        <v>2988000</v>
      </c>
      <c r="DA224" s="6">
        <f>1586628</f>
        <v>1586628</v>
      </c>
      <c r="DC224" s="4" t="s">
        <v>241</v>
      </c>
      <c r="DD224" s="4" t="s">
        <v>241</v>
      </c>
      <c r="DF224" s="4" t="s">
        <v>241</v>
      </c>
      <c r="DG224" s="6">
        <f>0</f>
        <v>0</v>
      </c>
      <c r="DI224" s="4" t="s">
        <v>241</v>
      </c>
      <c r="DJ224" s="4" t="s">
        <v>241</v>
      </c>
      <c r="DK224" s="4" t="s">
        <v>241</v>
      </c>
      <c r="DL224" s="4" t="s">
        <v>241</v>
      </c>
      <c r="DM224" s="4" t="s">
        <v>277</v>
      </c>
      <c r="DN224" s="4" t="s">
        <v>278</v>
      </c>
      <c r="DO224" s="6">
        <f t="shared" si="6"/>
        <v>19.87</v>
      </c>
      <c r="DP224" s="4" t="s">
        <v>241</v>
      </c>
      <c r="DQ224" s="4" t="s">
        <v>241</v>
      </c>
      <c r="DR224" s="4" t="s">
        <v>241</v>
      </c>
      <c r="DS224" s="4" t="s">
        <v>241</v>
      </c>
      <c r="DV224" s="4" t="s">
        <v>3275</v>
      </c>
      <c r="DW224" s="4" t="s">
        <v>277</v>
      </c>
      <c r="GN224" s="4" t="s">
        <v>3276</v>
      </c>
      <c r="HO224" s="4" t="s">
        <v>300</v>
      </c>
      <c r="HR224" s="4" t="s">
        <v>278</v>
      </c>
      <c r="HS224" s="4" t="s">
        <v>278</v>
      </c>
      <c r="HT224" s="4" t="s">
        <v>241</v>
      </c>
      <c r="HU224" s="4" t="s">
        <v>241</v>
      </c>
      <c r="HV224" s="4" t="s">
        <v>241</v>
      </c>
      <c r="HW224" s="4" t="s">
        <v>241</v>
      </c>
      <c r="HX224" s="4" t="s">
        <v>241</v>
      </c>
      <c r="HY224" s="4" t="s">
        <v>241</v>
      </c>
      <c r="HZ224" s="4" t="s">
        <v>241</v>
      </c>
      <c r="IA224" s="4" t="s">
        <v>241</v>
      </c>
      <c r="IB224" s="4" t="s">
        <v>241</v>
      </c>
      <c r="IC224" s="4" t="s">
        <v>241</v>
      </c>
      <c r="ID224" s="4" t="s">
        <v>241</v>
      </c>
      <c r="IE224" s="4" t="s">
        <v>241</v>
      </c>
      <c r="IF224" s="4" t="s">
        <v>241</v>
      </c>
    </row>
    <row r="225" spans="1:240" x14ac:dyDescent="0.4">
      <c r="A225" s="4">
        <v>2</v>
      </c>
      <c r="B225" s="4" t="s">
        <v>239</v>
      </c>
      <c r="C225" s="4">
        <v>237</v>
      </c>
      <c r="D225" s="4">
        <v>1</v>
      </c>
      <c r="E225" s="4">
        <v>3</v>
      </c>
      <c r="F225" s="4" t="s">
        <v>240</v>
      </c>
      <c r="G225" s="4" t="s">
        <v>241</v>
      </c>
      <c r="H225" s="4" t="s">
        <v>241</v>
      </c>
      <c r="I225" s="4" t="s">
        <v>3277</v>
      </c>
      <c r="J225" s="4" t="s">
        <v>247</v>
      </c>
      <c r="K225" s="4" t="s">
        <v>256</v>
      </c>
      <c r="L225" s="4" t="s">
        <v>250</v>
      </c>
      <c r="M225" s="5" t="s">
        <v>3279</v>
      </c>
      <c r="N225" s="4" t="s">
        <v>242</v>
      </c>
      <c r="O225" s="6">
        <f t="shared" si="5"/>
        <v>19.87</v>
      </c>
      <c r="P225" s="4" t="s">
        <v>276</v>
      </c>
      <c r="Q225" s="6">
        <f>2082834</f>
        <v>2082834</v>
      </c>
      <c r="R225" s="6">
        <f>3483000</f>
        <v>3483000</v>
      </c>
      <c r="S225" s="5" t="s">
        <v>3278</v>
      </c>
      <c r="T225" s="4" t="s">
        <v>348</v>
      </c>
      <c r="U225" s="4" t="s">
        <v>351</v>
      </c>
      <c r="V225" s="6">
        <f>233361</f>
        <v>233361</v>
      </c>
      <c r="W225" s="6">
        <f>1400166</f>
        <v>1400166</v>
      </c>
      <c r="X225" s="4" t="s">
        <v>243</v>
      </c>
      <c r="Y225" s="4" t="s">
        <v>244</v>
      </c>
      <c r="Z225" s="4" t="s">
        <v>246</v>
      </c>
      <c r="AA225" s="4" t="s">
        <v>241</v>
      </c>
      <c r="AD225" s="4" t="s">
        <v>241</v>
      </c>
      <c r="AE225" s="5" t="s">
        <v>241</v>
      </c>
      <c r="AF225" s="5" t="s">
        <v>241</v>
      </c>
      <c r="AH225" s="5" t="s">
        <v>241</v>
      </c>
      <c r="AI225" s="5" t="s">
        <v>249</v>
      </c>
      <c r="AJ225" s="4" t="s">
        <v>251</v>
      </c>
      <c r="AK225" s="4" t="s">
        <v>252</v>
      </c>
      <c r="AQ225" s="4" t="s">
        <v>241</v>
      </c>
      <c r="AR225" s="4" t="s">
        <v>241</v>
      </c>
      <c r="AS225" s="4" t="s">
        <v>241</v>
      </c>
      <c r="AT225" s="5" t="s">
        <v>241</v>
      </c>
      <c r="AU225" s="5" t="s">
        <v>241</v>
      </c>
      <c r="AV225" s="5" t="s">
        <v>241</v>
      </c>
      <c r="AY225" s="4" t="s">
        <v>286</v>
      </c>
      <c r="AZ225" s="4" t="s">
        <v>286</v>
      </c>
      <c r="BA225" s="4" t="s">
        <v>254</v>
      </c>
      <c r="BB225" s="4" t="s">
        <v>287</v>
      </c>
      <c r="BC225" s="4" t="s">
        <v>255</v>
      </c>
      <c r="BD225" s="4" t="s">
        <v>241</v>
      </c>
      <c r="BE225" s="4" t="s">
        <v>257</v>
      </c>
      <c r="BF225" s="4" t="s">
        <v>241</v>
      </c>
      <c r="BJ225" s="4" t="s">
        <v>288</v>
      </c>
      <c r="BK225" s="5" t="s">
        <v>289</v>
      </c>
      <c r="BL225" s="4" t="s">
        <v>290</v>
      </c>
      <c r="BM225" s="4" t="s">
        <v>290</v>
      </c>
      <c r="BN225" s="4" t="s">
        <v>241</v>
      </c>
      <c r="BO225" s="6">
        <f>0</f>
        <v>0</v>
      </c>
      <c r="BP225" s="6">
        <f>-233361</f>
        <v>-233361</v>
      </c>
      <c r="BQ225" s="4" t="s">
        <v>263</v>
      </c>
      <c r="BR225" s="4" t="s">
        <v>264</v>
      </c>
      <c r="BS225" s="4" t="s">
        <v>241</v>
      </c>
      <c r="BT225" s="4" t="s">
        <v>241</v>
      </c>
      <c r="BU225" s="4" t="s">
        <v>241</v>
      </c>
      <c r="BV225" s="4" t="s">
        <v>241</v>
      </c>
      <c r="CE225" s="4" t="s">
        <v>264</v>
      </c>
      <c r="CF225" s="4" t="s">
        <v>241</v>
      </c>
      <c r="CG225" s="4" t="s">
        <v>241</v>
      </c>
      <c r="CK225" s="4" t="s">
        <v>291</v>
      </c>
      <c r="CL225" s="4" t="s">
        <v>266</v>
      </c>
      <c r="CM225" s="4" t="s">
        <v>241</v>
      </c>
      <c r="CO225" s="4" t="s">
        <v>350</v>
      </c>
      <c r="CP225" s="5" t="s">
        <v>268</v>
      </c>
      <c r="CQ225" s="4" t="s">
        <v>269</v>
      </c>
      <c r="CR225" s="4" t="s">
        <v>270</v>
      </c>
      <c r="CS225" s="4" t="s">
        <v>293</v>
      </c>
      <c r="CT225" s="4" t="s">
        <v>241</v>
      </c>
      <c r="CU225" s="4">
        <v>6.7000000000000004E-2</v>
      </c>
      <c r="CV225" s="4" t="s">
        <v>271</v>
      </c>
      <c r="CW225" s="4" t="s">
        <v>272</v>
      </c>
      <c r="CX225" s="4" t="s">
        <v>347</v>
      </c>
      <c r="CY225" s="6">
        <f>0</f>
        <v>0</v>
      </c>
      <c r="CZ225" s="6">
        <f>3483000</f>
        <v>3483000</v>
      </c>
      <c r="DA225" s="6">
        <f>2082834</f>
        <v>2082834</v>
      </c>
      <c r="DC225" s="4" t="s">
        <v>241</v>
      </c>
      <c r="DD225" s="4" t="s">
        <v>241</v>
      </c>
      <c r="DF225" s="4" t="s">
        <v>241</v>
      </c>
      <c r="DG225" s="6">
        <f>0</f>
        <v>0</v>
      </c>
      <c r="DI225" s="4" t="s">
        <v>241</v>
      </c>
      <c r="DJ225" s="4" t="s">
        <v>241</v>
      </c>
      <c r="DK225" s="4" t="s">
        <v>241</v>
      </c>
      <c r="DL225" s="4" t="s">
        <v>241</v>
      </c>
      <c r="DM225" s="4" t="s">
        <v>277</v>
      </c>
      <c r="DN225" s="4" t="s">
        <v>278</v>
      </c>
      <c r="DO225" s="6">
        <f t="shared" si="6"/>
        <v>19.87</v>
      </c>
      <c r="DP225" s="4" t="s">
        <v>241</v>
      </c>
      <c r="DQ225" s="4" t="s">
        <v>241</v>
      </c>
      <c r="DR225" s="4" t="s">
        <v>241</v>
      </c>
      <c r="DS225" s="4" t="s">
        <v>241</v>
      </c>
      <c r="DV225" s="4" t="s">
        <v>3280</v>
      </c>
      <c r="DW225" s="4" t="s">
        <v>323</v>
      </c>
      <c r="GN225" s="4" t="s">
        <v>3281</v>
      </c>
      <c r="HO225" s="4" t="s">
        <v>300</v>
      </c>
      <c r="HR225" s="4" t="s">
        <v>278</v>
      </c>
      <c r="HS225" s="4" t="s">
        <v>278</v>
      </c>
      <c r="HT225" s="4" t="s">
        <v>241</v>
      </c>
      <c r="HU225" s="4" t="s">
        <v>241</v>
      </c>
      <c r="HV225" s="4" t="s">
        <v>241</v>
      </c>
      <c r="HW225" s="4" t="s">
        <v>241</v>
      </c>
      <c r="HX225" s="4" t="s">
        <v>241</v>
      </c>
      <c r="HY225" s="4" t="s">
        <v>241</v>
      </c>
      <c r="HZ225" s="4" t="s">
        <v>241</v>
      </c>
      <c r="IA225" s="4" t="s">
        <v>241</v>
      </c>
      <c r="IB225" s="4" t="s">
        <v>241</v>
      </c>
      <c r="IC225" s="4" t="s">
        <v>241</v>
      </c>
      <c r="ID225" s="4" t="s">
        <v>241</v>
      </c>
      <c r="IE225" s="4" t="s">
        <v>241</v>
      </c>
      <c r="IF225" s="4" t="s">
        <v>241</v>
      </c>
    </row>
    <row r="226" spans="1:240" x14ac:dyDescent="0.4">
      <c r="A226" s="4">
        <v>2</v>
      </c>
      <c r="B226" s="4" t="s">
        <v>239</v>
      </c>
      <c r="C226" s="4">
        <v>239</v>
      </c>
      <c r="D226" s="4">
        <v>1</v>
      </c>
      <c r="E226" s="4">
        <v>3</v>
      </c>
      <c r="F226" s="4" t="s">
        <v>240</v>
      </c>
      <c r="G226" s="4" t="s">
        <v>241</v>
      </c>
      <c r="H226" s="4" t="s">
        <v>241</v>
      </c>
      <c r="I226" s="4" t="s">
        <v>3285</v>
      </c>
      <c r="J226" s="4" t="s">
        <v>247</v>
      </c>
      <c r="K226" s="4" t="s">
        <v>256</v>
      </c>
      <c r="L226" s="4" t="s">
        <v>250</v>
      </c>
      <c r="M226" s="5" t="s">
        <v>3286</v>
      </c>
      <c r="N226" s="4" t="s">
        <v>242</v>
      </c>
      <c r="O226" s="6">
        <f t="shared" si="5"/>
        <v>19.87</v>
      </c>
      <c r="P226" s="4" t="s">
        <v>276</v>
      </c>
      <c r="Q226" s="6">
        <f>2082834</f>
        <v>2082834</v>
      </c>
      <c r="R226" s="6">
        <f>3483000</f>
        <v>3483000</v>
      </c>
      <c r="S226" s="5" t="s">
        <v>3278</v>
      </c>
      <c r="T226" s="4" t="s">
        <v>348</v>
      </c>
      <c r="U226" s="4" t="s">
        <v>351</v>
      </c>
      <c r="V226" s="6">
        <f>233361</f>
        <v>233361</v>
      </c>
      <c r="W226" s="6">
        <f>1400166</f>
        <v>1400166</v>
      </c>
      <c r="X226" s="4" t="s">
        <v>243</v>
      </c>
      <c r="Y226" s="4" t="s">
        <v>244</v>
      </c>
      <c r="Z226" s="4" t="s">
        <v>246</v>
      </c>
      <c r="AA226" s="4" t="s">
        <v>241</v>
      </c>
      <c r="AD226" s="4" t="s">
        <v>241</v>
      </c>
      <c r="AE226" s="5" t="s">
        <v>241</v>
      </c>
      <c r="AF226" s="5" t="s">
        <v>241</v>
      </c>
      <c r="AH226" s="5" t="s">
        <v>241</v>
      </c>
      <c r="AI226" s="5" t="s">
        <v>249</v>
      </c>
      <c r="AJ226" s="4" t="s">
        <v>251</v>
      </c>
      <c r="AK226" s="4" t="s">
        <v>252</v>
      </c>
      <c r="AQ226" s="4" t="s">
        <v>241</v>
      </c>
      <c r="AR226" s="4" t="s">
        <v>241</v>
      </c>
      <c r="AS226" s="4" t="s">
        <v>241</v>
      </c>
      <c r="AT226" s="5" t="s">
        <v>241</v>
      </c>
      <c r="AU226" s="5" t="s">
        <v>241</v>
      </c>
      <c r="AV226" s="5" t="s">
        <v>241</v>
      </c>
      <c r="AY226" s="4" t="s">
        <v>286</v>
      </c>
      <c r="AZ226" s="4" t="s">
        <v>286</v>
      </c>
      <c r="BA226" s="4" t="s">
        <v>254</v>
      </c>
      <c r="BB226" s="4" t="s">
        <v>287</v>
      </c>
      <c r="BC226" s="4" t="s">
        <v>255</v>
      </c>
      <c r="BD226" s="4" t="s">
        <v>241</v>
      </c>
      <c r="BE226" s="4" t="s">
        <v>257</v>
      </c>
      <c r="BF226" s="4" t="s">
        <v>241</v>
      </c>
      <c r="BJ226" s="4" t="s">
        <v>288</v>
      </c>
      <c r="BK226" s="5" t="s">
        <v>289</v>
      </c>
      <c r="BL226" s="4" t="s">
        <v>290</v>
      </c>
      <c r="BM226" s="4" t="s">
        <v>290</v>
      </c>
      <c r="BN226" s="4" t="s">
        <v>241</v>
      </c>
      <c r="BO226" s="6">
        <f>0</f>
        <v>0</v>
      </c>
      <c r="BP226" s="6">
        <f>-233361</f>
        <v>-233361</v>
      </c>
      <c r="BQ226" s="4" t="s">
        <v>263</v>
      </c>
      <c r="BR226" s="4" t="s">
        <v>264</v>
      </c>
      <c r="BS226" s="4" t="s">
        <v>241</v>
      </c>
      <c r="BT226" s="4" t="s">
        <v>241</v>
      </c>
      <c r="BU226" s="4" t="s">
        <v>241</v>
      </c>
      <c r="BV226" s="4" t="s">
        <v>241</v>
      </c>
      <c r="CE226" s="4" t="s">
        <v>264</v>
      </c>
      <c r="CF226" s="4" t="s">
        <v>241</v>
      </c>
      <c r="CG226" s="4" t="s">
        <v>241</v>
      </c>
      <c r="CK226" s="4" t="s">
        <v>291</v>
      </c>
      <c r="CL226" s="4" t="s">
        <v>266</v>
      </c>
      <c r="CM226" s="4" t="s">
        <v>241</v>
      </c>
      <c r="CO226" s="4" t="s">
        <v>350</v>
      </c>
      <c r="CP226" s="5" t="s">
        <v>268</v>
      </c>
      <c r="CQ226" s="4" t="s">
        <v>269</v>
      </c>
      <c r="CR226" s="4" t="s">
        <v>270</v>
      </c>
      <c r="CS226" s="4" t="s">
        <v>293</v>
      </c>
      <c r="CT226" s="4" t="s">
        <v>241</v>
      </c>
      <c r="CU226" s="4">
        <v>6.7000000000000004E-2</v>
      </c>
      <c r="CV226" s="4" t="s">
        <v>271</v>
      </c>
      <c r="CW226" s="4" t="s">
        <v>272</v>
      </c>
      <c r="CX226" s="4" t="s">
        <v>347</v>
      </c>
      <c r="CY226" s="6">
        <f>0</f>
        <v>0</v>
      </c>
      <c r="CZ226" s="6">
        <f>3483000</f>
        <v>3483000</v>
      </c>
      <c r="DA226" s="6">
        <f>2082834</f>
        <v>2082834</v>
      </c>
      <c r="DC226" s="4" t="s">
        <v>241</v>
      </c>
      <c r="DD226" s="4" t="s">
        <v>241</v>
      </c>
      <c r="DF226" s="4" t="s">
        <v>241</v>
      </c>
      <c r="DG226" s="6">
        <f>0</f>
        <v>0</v>
      </c>
      <c r="DI226" s="4" t="s">
        <v>241</v>
      </c>
      <c r="DJ226" s="4" t="s">
        <v>241</v>
      </c>
      <c r="DK226" s="4" t="s">
        <v>241</v>
      </c>
      <c r="DL226" s="4" t="s">
        <v>241</v>
      </c>
      <c r="DM226" s="4" t="s">
        <v>277</v>
      </c>
      <c r="DN226" s="4" t="s">
        <v>278</v>
      </c>
      <c r="DO226" s="6">
        <f t="shared" si="6"/>
        <v>19.87</v>
      </c>
      <c r="DP226" s="4" t="s">
        <v>241</v>
      </c>
      <c r="DQ226" s="4" t="s">
        <v>241</v>
      </c>
      <c r="DR226" s="4" t="s">
        <v>241</v>
      </c>
      <c r="DS226" s="4" t="s">
        <v>241</v>
      </c>
      <c r="DV226" s="4" t="s">
        <v>3287</v>
      </c>
      <c r="DW226" s="4" t="s">
        <v>323</v>
      </c>
      <c r="GN226" s="4" t="s">
        <v>3288</v>
      </c>
      <c r="HO226" s="4" t="s">
        <v>300</v>
      </c>
      <c r="HR226" s="4" t="s">
        <v>278</v>
      </c>
      <c r="HS226" s="4" t="s">
        <v>278</v>
      </c>
      <c r="HT226" s="4" t="s">
        <v>241</v>
      </c>
      <c r="HU226" s="4" t="s">
        <v>241</v>
      </c>
      <c r="HV226" s="4" t="s">
        <v>241</v>
      </c>
      <c r="HW226" s="4" t="s">
        <v>241</v>
      </c>
      <c r="HX226" s="4" t="s">
        <v>241</v>
      </c>
      <c r="HY226" s="4" t="s">
        <v>241</v>
      </c>
      <c r="HZ226" s="4" t="s">
        <v>241</v>
      </c>
      <c r="IA226" s="4" t="s">
        <v>241</v>
      </c>
      <c r="IB226" s="4" t="s">
        <v>241</v>
      </c>
      <c r="IC226" s="4" t="s">
        <v>241</v>
      </c>
      <c r="ID226" s="4" t="s">
        <v>241</v>
      </c>
      <c r="IE226" s="4" t="s">
        <v>241</v>
      </c>
      <c r="IF226" s="4" t="s">
        <v>241</v>
      </c>
    </row>
    <row r="227" spans="1:240" x14ac:dyDescent="0.4">
      <c r="A227" s="4">
        <v>2</v>
      </c>
      <c r="B227" s="4" t="s">
        <v>239</v>
      </c>
      <c r="C227" s="4">
        <v>240</v>
      </c>
      <c r="D227" s="4">
        <v>1</v>
      </c>
      <c r="E227" s="4">
        <v>3</v>
      </c>
      <c r="F227" s="4" t="s">
        <v>240</v>
      </c>
      <c r="G227" s="4" t="s">
        <v>241</v>
      </c>
      <c r="H227" s="4" t="s">
        <v>241</v>
      </c>
      <c r="I227" s="4" t="s">
        <v>3289</v>
      </c>
      <c r="J227" s="4" t="s">
        <v>247</v>
      </c>
      <c r="K227" s="4" t="s">
        <v>256</v>
      </c>
      <c r="L227" s="4" t="s">
        <v>250</v>
      </c>
      <c r="M227" s="5" t="s">
        <v>3291</v>
      </c>
      <c r="N227" s="4" t="s">
        <v>242</v>
      </c>
      <c r="O227" s="6">
        <f>26.08</f>
        <v>26.08</v>
      </c>
      <c r="P227" s="4" t="s">
        <v>276</v>
      </c>
      <c r="Q227" s="6">
        <f>2323020</f>
        <v>2323020</v>
      </c>
      <c r="R227" s="6">
        <f>3493260</f>
        <v>3493260</v>
      </c>
      <c r="S227" s="5" t="s">
        <v>3290</v>
      </c>
      <c r="T227" s="4" t="s">
        <v>348</v>
      </c>
      <c r="U227" s="4" t="s">
        <v>336</v>
      </c>
      <c r="V227" s="6">
        <f>234048</f>
        <v>234048</v>
      </c>
      <c r="W227" s="6">
        <f>1170240</f>
        <v>1170240</v>
      </c>
      <c r="X227" s="4" t="s">
        <v>243</v>
      </c>
      <c r="Y227" s="4" t="s">
        <v>244</v>
      </c>
      <c r="Z227" s="4" t="s">
        <v>246</v>
      </c>
      <c r="AA227" s="4" t="s">
        <v>241</v>
      </c>
      <c r="AD227" s="4" t="s">
        <v>241</v>
      </c>
      <c r="AE227" s="5" t="s">
        <v>241</v>
      </c>
      <c r="AF227" s="5" t="s">
        <v>241</v>
      </c>
      <c r="AH227" s="5" t="s">
        <v>241</v>
      </c>
      <c r="AI227" s="5" t="s">
        <v>249</v>
      </c>
      <c r="AJ227" s="4" t="s">
        <v>251</v>
      </c>
      <c r="AK227" s="4" t="s">
        <v>252</v>
      </c>
      <c r="AQ227" s="4" t="s">
        <v>241</v>
      </c>
      <c r="AR227" s="4" t="s">
        <v>241</v>
      </c>
      <c r="AS227" s="4" t="s">
        <v>241</v>
      </c>
      <c r="AT227" s="5" t="s">
        <v>241</v>
      </c>
      <c r="AU227" s="5" t="s">
        <v>241</v>
      </c>
      <c r="AV227" s="5" t="s">
        <v>241</v>
      </c>
      <c r="AY227" s="4" t="s">
        <v>286</v>
      </c>
      <c r="AZ227" s="4" t="s">
        <v>286</v>
      </c>
      <c r="BA227" s="4" t="s">
        <v>254</v>
      </c>
      <c r="BB227" s="4" t="s">
        <v>287</v>
      </c>
      <c r="BC227" s="4" t="s">
        <v>255</v>
      </c>
      <c r="BD227" s="4" t="s">
        <v>241</v>
      </c>
      <c r="BE227" s="4" t="s">
        <v>257</v>
      </c>
      <c r="BF227" s="4" t="s">
        <v>241</v>
      </c>
      <c r="BH227" s="4" t="s">
        <v>258</v>
      </c>
      <c r="BJ227" s="4" t="s">
        <v>288</v>
      </c>
      <c r="BK227" s="5" t="s">
        <v>289</v>
      </c>
      <c r="BL227" s="4" t="s">
        <v>290</v>
      </c>
      <c r="BM227" s="4" t="s">
        <v>290</v>
      </c>
      <c r="BN227" s="4" t="s">
        <v>241</v>
      </c>
      <c r="BO227" s="6">
        <f>0</f>
        <v>0</v>
      </c>
      <c r="BP227" s="6">
        <f>-234048</f>
        <v>-234048</v>
      </c>
      <c r="BQ227" s="4" t="s">
        <v>263</v>
      </c>
      <c r="BR227" s="4" t="s">
        <v>264</v>
      </c>
      <c r="BS227" s="4" t="s">
        <v>241</v>
      </c>
      <c r="BT227" s="4" t="s">
        <v>241</v>
      </c>
      <c r="BU227" s="4" t="s">
        <v>241</v>
      </c>
      <c r="BV227" s="4" t="s">
        <v>241</v>
      </c>
      <c r="CE227" s="4" t="s">
        <v>264</v>
      </c>
      <c r="CF227" s="4" t="s">
        <v>241</v>
      </c>
      <c r="CG227" s="4" t="s">
        <v>241</v>
      </c>
      <c r="CK227" s="4" t="s">
        <v>291</v>
      </c>
      <c r="CL227" s="4" t="s">
        <v>266</v>
      </c>
      <c r="CM227" s="4" t="s">
        <v>241</v>
      </c>
      <c r="CO227" s="4" t="s">
        <v>593</v>
      </c>
      <c r="CP227" s="5" t="s">
        <v>268</v>
      </c>
      <c r="CQ227" s="4" t="s">
        <v>269</v>
      </c>
      <c r="CR227" s="4" t="s">
        <v>270</v>
      </c>
      <c r="CS227" s="4" t="s">
        <v>293</v>
      </c>
      <c r="CT227" s="4" t="s">
        <v>241</v>
      </c>
      <c r="CU227" s="4">
        <v>6.7000000000000004E-2</v>
      </c>
      <c r="CV227" s="4" t="s">
        <v>271</v>
      </c>
      <c r="CW227" s="4" t="s">
        <v>272</v>
      </c>
      <c r="CX227" s="4" t="s">
        <v>347</v>
      </c>
      <c r="CY227" s="6">
        <f>0</f>
        <v>0</v>
      </c>
      <c r="CZ227" s="6">
        <f>3493260</f>
        <v>3493260</v>
      </c>
      <c r="DA227" s="6">
        <f>2323020</f>
        <v>2323020</v>
      </c>
      <c r="DC227" s="4" t="s">
        <v>241</v>
      </c>
      <c r="DD227" s="4" t="s">
        <v>241</v>
      </c>
      <c r="DF227" s="4" t="s">
        <v>241</v>
      </c>
      <c r="DG227" s="6">
        <f>0</f>
        <v>0</v>
      </c>
      <c r="DI227" s="4" t="s">
        <v>241</v>
      </c>
      <c r="DJ227" s="4" t="s">
        <v>241</v>
      </c>
      <c r="DK227" s="4" t="s">
        <v>241</v>
      </c>
      <c r="DL227" s="4" t="s">
        <v>241</v>
      </c>
      <c r="DM227" s="4" t="s">
        <v>277</v>
      </c>
      <c r="DN227" s="4" t="s">
        <v>278</v>
      </c>
      <c r="DO227" s="6">
        <f>26.08</f>
        <v>26.08</v>
      </c>
      <c r="DP227" s="4" t="s">
        <v>241</v>
      </c>
      <c r="DQ227" s="4" t="s">
        <v>241</v>
      </c>
      <c r="DR227" s="4" t="s">
        <v>241</v>
      </c>
      <c r="DS227" s="4" t="s">
        <v>241</v>
      </c>
      <c r="DV227" s="4" t="s">
        <v>3292</v>
      </c>
      <c r="DW227" s="4" t="s">
        <v>277</v>
      </c>
      <c r="GN227" s="4" t="s">
        <v>3293</v>
      </c>
      <c r="HO227" s="4" t="s">
        <v>300</v>
      </c>
      <c r="HR227" s="4" t="s">
        <v>278</v>
      </c>
      <c r="HS227" s="4" t="s">
        <v>278</v>
      </c>
      <c r="HT227" s="4" t="s">
        <v>241</v>
      </c>
      <c r="HU227" s="4" t="s">
        <v>241</v>
      </c>
      <c r="HV227" s="4" t="s">
        <v>241</v>
      </c>
      <c r="HW227" s="4" t="s">
        <v>241</v>
      </c>
      <c r="HX227" s="4" t="s">
        <v>241</v>
      </c>
      <c r="HY227" s="4" t="s">
        <v>241</v>
      </c>
      <c r="HZ227" s="4" t="s">
        <v>241</v>
      </c>
      <c r="IA227" s="4" t="s">
        <v>241</v>
      </c>
      <c r="IB227" s="4" t="s">
        <v>241</v>
      </c>
      <c r="IC227" s="4" t="s">
        <v>241</v>
      </c>
      <c r="ID227" s="4" t="s">
        <v>241</v>
      </c>
      <c r="IE227" s="4" t="s">
        <v>241</v>
      </c>
      <c r="IF227" s="4" t="s">
        <v>241</v>
      </c>
    </row>
    <row r="228" spans="1:240" x14ac:dyDescent="0.4">
      <c r="A228" s="4">
        <v>2</v>
      </c>
      <c r="B228" s="4" t="s">
        <v>239</v>
      </c>
      <c r="C228" s="4">
        <v>241</v>
      </c>
      <c r="D228" s="4">
        <v>1</v>
      </c>
      <c r="E228" s="4">
        <v>3</v>
      </c>
      <c r="F228" s="4" t="s">
        <v>240</v>
      </c>
      <c r="G228" s="4" t="s">
        <v>241</v>
      </c>
      <c r="H228" s="4" t="s">
        <v>241</v>
      </c>
      <c r="I228" s="4" t="s">
        <v>3294</v>
      </c>
      <c r="J228" s="4" t="s">
        <v>247</v>
      </c>
      <c r="K228" s="4" t="s">
        <v>256</v>
      </c>
      <c r="L228" s="4" t="s">
        <v>250</v>
      </c>
      <c r="M228" s="5" t="s">
        <v>3295</v>
      </c>
      <c r="N228" s="4" t="s">
        <v>242</v>
      </c>
      <c r="O228" s="6">
        <f>26.08</f>
        <v>26.08</v>
      </c>
      <c r="P228" s="4" t="s">
        <v>276</v>
      </c>
      <c r="Q228" s="6">
        <f>2323020</f>
        <v>2323020</v>
      </c>
      <c r="R228" s="6">
        <f>3493260</f>
        <v>3493260</v>
      </c>
      <c r="S228" s="5" t="s">
        <v>3290</v>
      </c>
      <c r="T228" s="4" t="s">
        <v>348</v>
      </c>
      <c r="U228" s="4" t="s">
        <v>336</v>
      </c>
      <c r="V228" s="6">
        <f>234048</f>
        <v>234048</v>
      </c>
      <c r="W228" s="6">
        <f>1170240</f>
        <v>1170240</v>
      </c>
      <c r="X228" s="4" t="s">
        <v>243</v>
      </c>
      <c r="Y228" s="4" t="s">
        <v>244</v>
      </c>
      <c r="Z228" s="4" t="s">
        <v>246</v>
      </c>
      <c r="AA228" s="4" t="s">
        <v>241</v>
      </c>
      <c r="AD228" s="4" t="s">
        <v>241</v>
      </c>
      <c r="AE228" s="5" t="s">
        <v>241</v>
      </c>
      <c r="AF228" s="5" t="s">
        <v>241</v>
      </c>
      <c r="AH228" s="5" t="s">
        <v>241</v>
      </c>
      <c r="AI228" s="5" t="s">
        <v>249</v>
      </c>
      <c r="AJ228" s="4" t="s">
        <v>251</v>
      </c>
      <c r="AK228" s="4" t="s">
        <v>252</v>
      </c>
      <c r="AQ228" s="4" t="s">
        <v>241</v>
      </c>
      <c r="AR228" s="4" t="s">
        <v>241</v>
      </c>
      <c r="AS228" s="4" t="s">
        <v>241</v>
      </c>
      <c r="AT228" s="5" t="s">
        <v>241</v>
      </c>
      <c r="AU228" s="5" t="s">
        <v>241</v>
      </c>
      <c r="AV228" s="5" t="s">
        <v>241</v>
      </c>
      <c r="AY228" s="4" t="s">
        <v>286</v>
      </c>
      <c r="AZ228" s="4" t="s">
        <v>286</v>
      </c>
      <c r="BA228" s="4" t="s">
        <v>254</v>
      </c>
      <c r="BB228" s="4" t="s">
        <v>287</v>
      </c>
      <c r="BC228" s="4" t="s">
        <v>255</v>
      </c>
      <c r="BD228" s="4" t="s">
        <v>241</v>
      </c>
      <c r="BE228" s="4" t="s">
        <v>257</v>
      </c>
      <c r="BF228" s="4" t="s">
        <v>241</v>
      </c>
      <c r="BH228" s="4" t="s">
        <v>258</v>
      </c>
      <c r="BJ228" s="4" t="s">
        <v>288</v>
      </c>
      <c r="BK228" s="5" t="s">
        <v>289</v>
      </c>
      <c r="BL228" s="4" t="s">
        <v>290</v>
      </c>
      <c r="BM228" s="4" t="s">
        <v>290</v>
      </c>
      <c r="BN228" s="4" t="s">
        <v>241</v>
      </c>
      <c r="BO228" s="6">
        <f>0</f>
        <v>0</v>
      </c>
      <c r="BP228" s="6">
        <f>-234048</f>
        <v>-234048</v>
      </c>
      <c r="BQ228" s="4" t="s">
        <v>263</v>
      </c>
      <c r="BR228" s="4" t="s">
        <v>264</v>
      </c>
      <c r="BS228" s="4" t="s">
        <v>241</v>
      </c>
      <c r="BT228" s="4" t="s">
        <v>241</v>
      </c>
      <c r="BU228" s="4" t="s">
        <v>241</v>
      </c>
      <c r="BV228" s="4" t="s">
        <v>241</v>
      </c>
      <c r="CE228" s="4" t="s">
        <v>264</v>
      </c>
      <c r="CF228" s="4" t="s">
        <v>241</v>
      </c>
      <c r="CG228" s="4" t="s">
        <v>241</v>
      </c>
      <c r="CK228" s="4" t="s">
        <v>291</v>
      </c>
      <c r="CL228" s="4" t="s">
        <v>266</v>
      </c>
      <c r="CM228" s="4" t="s">
        <v>241</v>
      </c>
      <c r="CO228" s="4" t="s">
        <v>593</v>
      </c>
      <c r="CP228" s="5" t="s">
        <v>268</v>
      </c>
      <c r="CQ228" s="4" t="s">
        <v>269</v>
      </c>
      <c r="CR228" s="4" t="s">
        <v>270</v>
      </c>
      <c r="CS228" s="4" t="s">
        <v>293</v>
      </c>
      <c r="CT228" s="4" t="s">
        <v>241</v>
      </c>
      <c r="CU228" s="4">
        <v>6.7000000000000004E-2</v>
      </c>
      <c r="CV228" s="4" t="s">
        <v>271</v>
      </c>
      <c r="CW228" s="4" t="s">
        <v>272</v>
      </c>
      <c r="CX228" s="4" t="s">
        <v>347</v>
      </c>
      <c r="CY228" s="6">
        <f>0</f>
        <v>0</v>
      </c>
      <c r="CZ228" s="6">
        <f>3493260</f>
        <v>3493260</v>
      </c>
      <c r="DA228" s="6">
        <f>2323020</f>
        <v>2323020</v>
      </c>
      <c r="DC228" s="4" t="s">
        <v>241</v>
      </c>
      <c r="DD228" s="4" t="s">
        <v>241</v>
      </c>
      <c r="DF228" s="4" t="s">
        <v>241</v>
      </c>
      <c r="DG228" s="6">
        <f>0</f>
        <v>0</v>
      </c>
      <c r="DI228" s="4" t="s">
        <v>241</v>
      </c>
      <c r="DJ228" s="4" t="s">
        <v>241</v>
      </c>
      <c r="DK228" s="4" t="s">
        <v>241</v>
      </c>
      <c r="DL228" s="4" t="s">
        <v>241</v>
      </c>
      <c r="DM228" s="4" t="s">
        <v>277</v>
      </c>
      <c r="DN228" s="4" t="s">
        <v>278</v>
      </c>
      <c r="DO228" s="6">
        <f>26.08</f>
        <v>26.08</v>
      </c>
      <c r="DP228" s="4" t="s">
        <v>241</v>
      </c>
      <c r="DQ228" s="4" t="s">
        <v>241</v>
      </c>
      <c r="DR228" s="4" t="s">
        <v>241</v>
      </c>
      <c r="DS228" s="4" t="s">
        <v>241</v>
      </c>
      <c r="DV228" s="4" t="s">
        <v>3296</v>
      </c>
      <c r="DW228" s="4" t="s">
        <v>277</v>
      </c>
      <c r="GN228" s="4" t="s">
        <v>3297</v>
      </c>
      <c r="HO228" s="4" t="s">
        <v>300</v>
      </c>
      <c r="HR228" s="4" t="s">
        <v>278</v>
      </c>
      <c r="HS228" s="4" t="s">
        <v>278</v>
      </c>
      <c r="HT228" s="4" t="s">
        <v>241</v>
      </c>
      <c r="HU228" s="4" t="s">
        <v>241</v>
      </c>
      <c r="HV228" s="4" t="s">
        <v>241</v>
      </c>
      <c r="HW228" s="4" t="s">
        <v>241</v>
      </c>
      <c r="HX228" s="4" t="s">
        <v>241</v>
      </c>
      <c r="HY228" s="4" t="s">
        <v>241</v>
      </c>
      <c r="HZ228" s="4" t="s">
        <v>241</v>
      </c>
      <c r="IA228" s="4" t="s">
        <v>241</v>
      </c>
      <c r="IB228" s="4" t="s">
        <v>241</v>
      </c>
      <c r="IC228" s="4" t="s">
        <v>241</v>
      </c>
      <c r="ID228" s="4" t="s">
        <v>241</v>
      </c>
      <c r="IE228" s="4" t="s">
        <v>241</v>
      </c>
      <c r="IF228" s="4" t="s">
        <v>241</v>
      </c>
    </row>
    <row r="229" spans="1:240" x14ac:dyDescent="0.4">
      <c r="A229" s="4">
        <v>2</v>
      </c>
      <c r="B229" s="4" t="s">
        <v>239</v>
      </c>
      <c r="C229" s="4">
        <v>242</v>
      </c>
      <c r="D229" s="4">
        <v>1</v>
      </c>
      <c r="E229" s="4">
        <v>3</v>
      </c>
      <c r="F229" s="4" t="s">
        <v>326</v>
      </c>
      <c r="G229" s="4" t="s">
        <v>241</v>
      </c>
      <c r="H229" s="4" t="s">
        <v>241</v>
      </c>
      <c r="I229" s="4" t="s">
        <v>3302</v>
      </c>
      <c r="J229" s="4" t="s">
        <v>247</v>
      </c>
      <c r="K229" s="4" t="s">
        <v>256</v>
      </c>
      <c r="L229" s="4" t="s">
        <v>250</v>
      </c>
      <c r="M229" s="5" t="s">
        <v>3303</v>
      </c>
      <c r="N229" s="4" t="s">
        <v>3301</v>
      </c>
      <c r="O229" s="6">
        <f>26.08</f>
        <v>26.08</v>
      </c>
      <c r="P229" s="4" t="s">
        <v>276</v>
      </c>
      <c r="Q229" s="6">
        <f>3145756</f>
        <v>3145756</v>
      </c>
      <c r="R229" s="6">
        <f>4297480</f>
        <v>4297480</v>
      </c>
      <c r="S229" s="5" t="s">
        <v>719</v>
      </c>
      <c r="T229" s="4" t="s">
        <v>348</v>
      </c>
      <c r="U229" s="4" t="s">
        <v>297</v>
      </c>
      <c r="V229" s="6">
        <f>287931</f>
        <v>287931</v>
      </c>
      <c r="W229" s="6">
        <f>1151724</f>
        <v>1151724</v>
      </c>
      <c r="X229" s="4" t="s">
        <v>243</v>
      </c>
      <c r="Y229" s="4" t="s">
        <v>244</v>
      </c>
      <c r="Z229" s="4" t="s">
        <v>246</v>
      </c>
      <c r="AA229" s="4" t="s">
        <v>241</v>
      </c>
      <c r="AD229" s="4" t="s">
        <v>241</v>
      </c>
      <c r="AE229" s="5" t="s">
        <v>241</v>
      </c>
      <c r="AF229" s="5" t="s">
        <v>241</v>
      </c>
      <c r="AH229" s="5" t="s">
        <v>241</v>
      </c>
      <c r="AI229" s="5" t="s">
        <v>249</v>
      </c>
      <c r="AJ229" s="4" t="s">
        <v>251</v>
      </c>
      <c r="AK229" s="4" t="s">
        <v>252</v>
      </c>
      <c r="AQ229" s="4" t="s">
        <v>241</v>
      </c>
      <c r="AR229" s="4" t="s">
        <v>241</v>
      </c>
      <c r="AS229" s="4" t="s">
        <v>241</v>
      </c>
      <c r="AT229" s="5" t="s">
        <v>241</v>
      </c>
      <c r="AU229" s="5" t="s">
        <v>241</v>
      </c>
      <c r="AV229" s="5" t="s">
        <v>241</v>
      </c>
      <c r="AY229" s="4" t="s">
        <v>286</v>
      </c>
      <c r="AZ229" s="4" t="s">
        <v>286</v>
      </c>
      <c r="BA229" s="4" t="s">
        <v>254</v>
      </c>
      <c r="BB229" s="4" t="s">
        <v>287</v>
      </c>
      <c r="BC229" s="4" t="s">
        <v>255</v>
      </c>
      <c r="BD229" s="4" t="s">
        <v>241</v>
      </c>
      <c r="BE229" s="4" t="s">
        <v>257</v>
      </c>
      <c r="BF229" s="4" t="s">
        <v>241</v>
      </c>
      <c r="BJ229" s="4" t="s">
        <v>288</v>
      </c>
      <c r="BK229" s="5" t="s">
        <v>289</v>
      </c>
      <c r="BL229" s="4" t="s">
        <v>290</v>
      </c>
      <c r="BM229" s="4" t="s">
        <v>290</v>
      </c>
      <c r="BN229" s="4" t="s">
        <v>241</v>
      </c>
      <c r="BO229" s="6">
        <f>0</f>
        <v>0</v>
      </c>
      <c r="BP229" s="6">
        <f>-287931</f>
        <v>-287931</v>
      </c>
      <c r="BQ229" s="4" t="s">
        <v>263</v>
      </c>
      <c r="BR229" s="4" t="s">
        <v>264</v>
      </c>
      <c r="BS229" s="4" t="s">
        <v>241</v>
      </c>
      <c r="BT229" s="4" t="s">
        <v>241</v>
      </c>
      <c r="BU229" s="4" t="s">
        <v>241</v>
      </c>
      <c r="BV229" s="4" t="s">
        <v>241</v>
      </c>
      <c r="CE229" s="4" t="s">
        <v>264</v>
      </c>
      <c r="CF229" s="4" t="s">
        <v>241</v>
      </c>
      <c r="CG229" s="4" t="s">
        <v>241</v>
      </c>
      <c r="CK229" s="4" t="s">
        <v>291</v>
      </c>
      <c r="CL229" s="4" t="s">
        <v>266</v>
      </c>
      <c r="CM229" s="4" t="s">
        <v>241</v>
      </c>
      <c r="CO229" s="4" t="s">
        <v>413</v>
      </c>
      <c r="CP229" s="5" t="s">
        <v>268</v>
      </c>
      <c r="CQ229" s="4" t="s">
        <v>269</v>
      </c>
      <c r="CR229" s="4" t="s">
        <v>270</v>
      </c>
      <c r="CS229" s="4" t="s">
        <v>293</v>
      </c>
      <c r="CT229" s="4" t="s">
        <v>241</v>
      </c>
      <c r="CU229" s="4">
        <v>6.7000000000000004E-2</v>
      </c>
      <c r="CV229" s="4" t="s">
        <v>271</v>
      </c>
      <c r="CW229" s="4" t="s">
        <v>272</v>
      </c>
      <c r="CX229" s="4" t="s">
        <v>347</v>
      </c>
      <c r="CY229" s="6">
        <f>0</f>
        <v>0</v>
      </c>
      <c r="CZ229" s="6">
        <f>4297480</f>
        <v>4297480</v>
      </c>
      <c r="DA229" s="6">
        <f>3145756</f>
        <v>3145756</v>
      </c>
      <c r="DC229" s="4" t="s">
        <v>241</v>
      </c>
      <c r="DD229" s="4" t="s">
        <v>241</v>
      </c>
      <c r="DF229" s="4" t="s">
        <v>241</v>
      </c>
      <c r="DG229" s="6">
        <f>0</f>
        <v>0</v>
      </c>
      <c r="DI229" s="4" t="s">
        <v>241</v>
      </c>
      <c r="DJ229" s="4" t="s">
        <v>241</v>
      </c>
      <c r="DK229" s="4" t="s">
        <v>241</v>
      </c>
      <c r="DL229" s="4" t="s">
        <v>241</v>
      </c>
      <c r="DM229" s="4" t="s">
        <v>277</v>
      </c>
      <c r="DN229" s="4" t="s">
        <v>278</v>
      </c>
      <c r="DO229" s="6">
        <f>26.08</f>
        <v>26.08</v>
      </c>
      <c r="DP229" s="4" t="s">
        <v>241</v>
      </c>
      <c r="DQ229" s="4" t="s">
        <v>241</v>
      </c>
      <c r="DR229" s="4" t="s">
        <v>241</v>
      </c>
      <c r="DS229" s="4" t="s">
        <v>241</v>
      </c>
      <c r="DV229" s="4" t="s">
        <v>3304</v>
      </c>
      <c r="DW229" s="4" t="s">
        <v>277</v>
      </c>
      <c r="GN229" s="4" t="s">
        <v>3305</v>
      </c>
      <c r="HO229" s="4" t="s">
        <v>351</v>
      </c>
      <c r="HR229" s="4" t="s">
        <v>278</v>
      </c>
      <c r="HS229" s="4" t="s">
        <v>278</v>
      </c>
      <c r="HT229" s="4" t="s">
        <v>241</v>
      </c>
      <c r="HU229" s="4" t="s">
        <v>241</v>
      </c>
      <c r="HV229" s="4" t="s">
        <v>241</v>
      </c>
      <c r="HW229" s="4" t="s">
        <v>241</v>
      </c>
      <c r="HX229" s="4" t="s">
        <v>241</v>
      </c>
      <c r="HY229" s="4" t="s">
        <v>241</v>
      </c>
      <c r="HZ229" s="4" t="s">
        <v>241</v>
      </c>
      <c r="IA229" s="4" t="s">
        <v>241</v>
      </c>
      <c r="IB229" s="4" t="s">
        <v>241</v>
      </c>
      <c r="IC229" s="4" t="s">
        <v>241</v>
      </c>
      <c r="ID229" s="4" t="s">
        <v>241</v>
      </c>
      <c r="IE229" s="4" t="s">
        <v>241</v>
      </c>
      <c r="IF229" s="4" t="s">
        <v>241</v>
      </c>
    </row>
    <row r="230" spans="1:240" x14ac:dyDescent="0.4">
      <c r="A230" s="4">
        <v>2</v>
      </c>
      <c r="B230" s="4" t="s">
        <v>239</v>
      </c>
      <c r="C230" s="4">
        <v>243</v>
      </c>
      <c r="D230" s="4">
        <v>1</v>
      </c>
      <c r="E230" s="4">
        <v>3</v>
      </c>
      <c r="F230" s="4" t="s">
        <v>326</v>
      </c>
      <c r="G230" s="4" t="s">
        <v>241</v>
      </c>
      <c r="H230" s="4" t="s">
        <v>241</v>
      </c>
      <c r="I230" s="4" t="s">
        <v>3307</v>
      </c>
      <c r="J230" s="4" t="s">
        <v>247</v>
      </c>
      <c r="K230" s="4" t="s">
        <v>256</v>
      </c>
      <c r="L230" s="4" t="s">
        <v>3308</v>
      </c>
      <c r="M230" s="5" t="s">
        <v>3309</v>
      </c>
      <c r="N230" s="4" t="s">
        <v>3306</v>
      </c>
      <c r="O230" s="6">
        <f>19.87</f>
        <v>19.87</v>
      </c>
      <c r="P230" s="4" t="s">
        <v>276</v>
      </c>
      <c r="Q230" s="6">
        <f>2712968</f>
        <v>2712968</v>
      </c>
      <c r="R230" s="6">
        <f>3706240</f>
        <v>3706240</v>
      </c>
      <c r="S230" s="5" t="s">
        <v>719</v>
      </c>
      <c r="T230" s="4" t="s">
        <v>348</v>
      </c>
      <c r="U230" s="4" t="s">
        <v>297</v>
      </c>
      <c r="V230" s="6">
        <f>248318</f>
        <v>248318</v>
      </c>
      <c r="W230" s="6">
        <f>993272</f>
        <v>993272</v>
      </c>
      <c r="X230" s="4" t="s">
        <v>243</v>
      </c>
      <c r="Y230" s="4" t="s">
        <v>244</v>
      </c>
      <c r="Z230" s="4" t="s">
        <v>246</v>
      </c>
      <c r="AA230" s="4" t="s">
        <v>241</v>
      </c>
      <c r="AD230" s="4" t="s">
        <v>241</v>
      </c>
      <c r="AE230" s="5" t="s">
        <v>241</v>
      </c>
      <c r="AF230" s="5" t="s">
        <v>241</v>
      </c>
      <c r="AH230" s="5" t="s">
        <v>241</v>
      </c>
      <c r="AI230" s="5" t="s">
        <v>249</v>
      </c>
      <c r="AJ230" s="4" t="s">
        <v>251</v>
      </c>
      <c r="AK230" s="4" t="s">
        <v>252</v>
      </c>
      <c r="AQ230" s="4" t="s">
        <v>241</v>
      </c>
      <c r="AR230" s="4" t="s">
        <v>241</v>
      </c>
      <c r="AS230" s="4" t="s">
        <v>241</v>
      </c>
      <c r="AT230" s="5" t="s">
        <v>241</v>
      </c>
      <c r="AU230" s="5" t="s">
        <v>241</v>
      </c>
      <c r="AV230" s="5" t="s">
        <v>241</v>
      </c>
      <c r="AY230" s="4" t="s">
        <v>286</v>
      </c>
      <c r="AZ230" s="4" t="s">
        <v>286</v>
      </c>
      <c r="BA230" s="4" t="s">
        <v>254</v>
      </c>
      <c r="BB230" s="4" t="s">
        <v>287</v>
      </c>
      <c r="BC230" s="4" t="s">
        <v>255</v>
      </c>
      <c r="BD230" s="4" t="s">
        <v>241</v>
      </c>
      <c r="BE230" s="4" t="s">
        <v>257</v>
      </c>
      <c r="BF230" s="4" t="s">
        <v>241</v>
      </c>
      <c r="BH230" s="4" t="s">
        <v>258</v>
      </c>
      <c r="BJ230" s="4" t="s">
        <v>288</v>
      </c>
      <c r="BK230" s="5" t="s">
        <v>289</v>
      </c>
      <c r="BL230" s="4" t="s">
        <v>290</v>
      </c>
      <c r="BM230" s="4" t="s">
        <v>290</v>
      </c>
      <c r="BN230" s="4" t="s">
        <v>241</v>
      </c>
      <c r="BO230" s="6">
        <f>0</f>
        <v>0</v>
      </c>
      <c r="BP230" s="6">
        <f>-248318</f>
        <v>-248318</v>
      </c>
      <c r="BQ230" s="4" t="s">
        <v>263</v>
      </c>
      <c r="BR230" s="4" t="s">
        <v>264</v>
      </c>
      <c r="BS230" s="4" t="s">
        <v>241</v>
      </c>
      <c r="BT230" s="4" t="s">
        <v>241</v>
      </c>
      <c r="BU230" s="4" t="s">
        <v>241</v>
      </c>
      <c r="BV230" s="4" t="s">
        <v>241</v>
      </c>
      <c r="CE230" s="4" t="s">
        <v>264</v>
      </c>
      <c r="CF230" s="4" t="s">
        <v>241</v>
      </c>
      <c r="CG230" s="4" t="s">
        <v>241</v>
      </c>
      <c r="CK230" s="4" t="s">
        <v>291</v>
      </c>
      <c r="CL230" s="4" t="s">
        <v>266</v>
      </c>
      <c r="CM230" s="4" t="s">
        <v>241</v>
      </c>
      <c r="CO230" s="4" t="s">
        <v>413</v>
      </c>
      <c r="CP230" s="5" t="s">
        <v>268</v>
      </c>
      <c r="CQ230" s="4" t="s">
        <v>269</v>
      </c>
      <c r="CR230" s="4" t="s">
        <v>270</v>
      </c>
      <c r="CS230" s="4" t="s">
        <v>293</v>
      </c>
      <c r="CT230" s="4" t="s">
        <v>241</v>
      </c>
      <c r="CU230" s="4">
        <v>6.7000000000000004E-2</v>
      </c>
      <c r="CV230" s="4" t="s">
        <v>271</v>
      </c>
      <c r="CW230" s="4" t="s">
        <v>272</v>
      </c>
      <c r="CX230" s="4" t="s">
        <v>347</v>
      </c>
      <c r="CY230" s="6">
        <f>0</f>
        <v>0</v>
      </c>
      <c r="CZ230" s="6">
        <f>3706240</f>
        <v>3706240</v>
      </c>
      <c r="DA230" s="6">
        <f>2712968</f>
        <v>2712968</v>
      </c>
      <c r="DC230" s="4" t="s">
        <v>241</v>
      </c>
      <c r="DD230" s="4" t="s">
        <v>241</v>
      </c>
      <c r="DF230" s="4" t="s">
        <v>241</v>
      </c>
      <c r="DG230" s="6">
        <f>0</f>
        <v>0</v>
      </c>
      <c r="DI230" s="4" t="s">
        <v>241</v>
      </c>
      <c r="DJ230" s="4" t="s">
        <v>241</v>
      </c>
      <c r="DK230" s="4" t="s">
        <v>241</v>
      </c>
      <c r="DL230" s="4" t="s">
        <v>241</v>
      </c>
      <c r="DM230" s="4" t="s">
        <v>277</v>
      </c>
      <c r="DN230" s="4" t="s">
        <v>278</v>
      </c>
      <c r="DO230" s="6">
        <f>19.87</f>
        <v>19.87</v>
      </c>
      <c r="DP230" s="4" t="s">
        <v>241</v>
      </c>
      <c r="DQ230" s="4" t="s">
        <v>241</v>
      </c>
      <c r="DR230" s="4" t="s">
        <v>241</v>
      </c>
      <c r="DS230" s="4" t="s">
        <v>241</v>
      </c>
      <c r="DV230" s="4" t="s">
        <v>3310</v>
      </c>
      <c r="DW230" s="4" t="s">
        <v>277</v>
      </c>
      <c r="GN230" s="4" t="s">
        <v>3311</v>
      </c>
      <c r="HO230" s="4" t="s">
        <v>351</v>
      </c>
      <c r="HR230" s="4" t="s">
        <v>278</v>
      </c>
      <c r="HS230" s="4" t="s">
        <v>278</v>
      </c>
      <c r="HT230" s="4" t="s">
        <v>241</v>
      </c>
      <c r="HU230" s="4" t="s">
        <v>241</v>
      </c>
      <c r="HV230" s="4" t="s">
        <v>241</v>
      </c>
      <c r="HW230" s="4" t="s">
        <v>241</v>
      </c>
      <c r="HX230" s="4" t="s">
        <v>241</v>
      </c>
      <c r="HY230" s="4" t="s">
        <v>241</v>
      </c>
      <c r="HZ230" s="4" t="s">
        <v>241</v>
      </c>
      <c r="IA230" s="4" t="s">
        <v>241</v>
      </c>
      <c r="IB230" s="4" t="s">
        <v>241</v>
      </c>
      <c r="IC230" s="4" t="s">
        <v>241</v>
      </c>
      <c r="ID230" s="4" t="s">
        <v>241</v>
      </c>
      <c r="IE230" s="4" t="s">
        <v>241</v>
      </c>
      <c r="IF230" s="4" t="s">
        <v>241</v>
      </c>
    </row>
    <row r="231" spans="1:240" x14ac:dyDescent="0.4">
      <c r="A231" s="4">
        <v>2</v>
      </c>
      <c r="B231" s="4" t="s">
        <v>239</v>
      </c>
      <c r="C231" s="4">
        <v>244</v>
      </c>
      <c r="D231" s="4">
        <v>1</v>
      </c>
      <c r="E231" s="4">
        <v>3</v>
      </c>
      <c r="F231" s="4" t="s">
        <v>326</v>
      </c>
      <c r="G231" s="4" t="s">
        <v>241</v>
      </c>
      <c r="H231" s="4" t="s">
        <v>241</v>
      </c>
      <c r="I231" s="4" t="s">
        <v>3307</v>
      </c>
      <c r="J231" s="4" t="s">
        <v>247</v>
      </c>
      <c r="K231" s="4" t="s">
        <v>256</v>
      </c>
      <c r="L231" s="4" t="s">
        <v>250</v>
      </c>
      <c r="M231" s="5" t="s">
        <v>3309</v>
      </c>
      <c r="N231" s="4" t="s">
        <v>3306</v>
      </c>
      <c r="O231" s="6">
        <f>19.87</f>
        <v>19.87</v>
      </c>
      <c r="P231" s="4" t="s">
        <v>276</v>
      </c>
      <c r="Q231" s="6">
        <f>437184</f>
        <v>437184</v>
      </c>
      <c r="R231" s="6">
        <f>496800</f>
        <v>496800</v>
      </c>
      <c r="S231" s="5" t="s">
        <v>723</v>
      </c>
      <c r="T231" s="4" t="s">
        <v>357</v>
      </c>
      <c r="U231" s="4" t="s">
        <v>297</v>
      </c>
      <c r="V231" s="6">
        <f>14904</f>
        <v>14904</v>
      </c>
      <c r="W231" s="6">
        <f>59616</f>
        <v>59616</v>
      </c>
      <c r="X231" s="4" t="s">
        <v>243</v>
      </c>
      <c r="Y231" s="4" t="s">
        <v>244</v>
      </c>
      <c r="Z231" s="4" t="s">
        <v>246</v>
      </c>
      <c r="AA231" s="4" t="s">
        <v>241</v>
      </c>
      <c r="AD231" s="4" t="s">
        <v>241</v>
      </c>
      <c r="AE231" s="5" t="s">
        <v>241</v>
      </c>
      <c r="AF231" s="5" t="s">
        <v>241</v>
      </c>
      <c r="AH231" s="5" t="s">
        <v>241</v>
      </c>
      <c r="AI231" s="5" t="s">
        <v>249</v>
      </c>
      <c r="AJ231" s="4" t="s">
        <v>251</v>
      </c>
      <c r="AK231" s="4" t="s">
        <v>252</v>
      </c>
      <c r="AQ231" s="4" t="s">
        <v>241</v>
      </c>
      <c r="AR231" s="4" t="s">
        <v>241</v>
      </c>
      <c r="AS231" s="4" t="s">
        <v>241</v>
      </c>
      <c r="AT231" s="5" t="s">
        <v>241</v>
      </c>
      <c r="AU231" s="5" t="s">
        <v>241</v>
      </c>
      <c r="AV231" s="5" t="s">
        <v>241</v>
      </c>
      <c r="AY231" s="4" t="s">
        <v>286</v>
      </c>
      <c r="AZ231" s="4" t="s">
        <v>286</v>
      </c>
      <c r="BA231" s="4" t="s">
        <v>254</v>
      </c>
      <c r="BB231" s="4" t="s">
        <v>287</v>
      </c>
      <c r="BC231" s="4" t="s">
        <v>255</v>
      </c>
      <c r="BD231" s="4" t="s">
        <v>241</v>
      </c>
      <c r="BE231" s="4" t="s">
        <v>257</v>
      </c>
      <c r="BF231" s="4" t="s">
        <v>241</v>
      </c>
      <c r="BJ231" s="4" t="s">
        <v>288</v>
      </c>
      <c r="BK231" s="5" t="s">
        <v>289</v>
      </c>
      <c r="BL231" s="4" t="s">
        <v>290</v>
      </c>
      <c r="BM231" s="4" t="s">
        <v>290</v>
      </c>
      <c r="BN231" s="4" t="s">
        <v>241</v>
      </c>
      <c r="BO231" s="6">
        <f>0</f>
        <v>0</v>
      </c>
      <c r="BP231" s="6">
        <f>-14904</f>
        <v>-14904</v>
      </c>
      <c r="BQ231" s="4" t="s">
        <v>263</v>
      </c>
      <c r="BR231" s="4" t="s">
        <v>264</v>
      </c>
      <c r="BS231" s="4" t="s">
        <v>241</v>
      </c>
      <c r="BT231" s="4" t="s">
        <v>241</v>
      </c>
      <c r="BU231" s="4" t="s">
        <v>241</v>
      </c>
      <c r="BV231" s="4" t="s">
        <v>241</v>
      </c>
      <c r="CE231" s="4" t="s">
        <v>264</v>
      </c>
      <c r="CF231" s="4" t="s">
        <v>241</v>
      </c>
      <c r="CG231" s="4" t="s">
        <v>241</v>
      </c>
      <c r="CK231" s="4" t="s">
        <v>291</v>
      </c>
      <c r="CL231" s="4" t="s">
        <v>266</v>
      </c>
      <c r="CM231" s="4" t="s">
        <v>241</v>
      </c>
      <c r="CO231" s="4" t="s">
        <v>413</v>
      </c>
      <c r="CP231" s="5" t="s">
        <v>268</v>
      </c>
      <c r="CQ231" s="4" t="s">
        <v>269</v>
      </c>
      <c r="CR231" s="4" t="s">
        <v>270</v>
      </c>
      <c r="CS231" s="4" t="s">
        <v>293</v>
      </c>
      <c r="CT231" s="4" t="s">
        <v>241</v>
      </c>
      <c r="CU231" s="4">
        <v>0.03</v>
      </c>
      <c r="CV231" s="4" t="s">
        <v>271</v>
      </c>
      <c r="CW231" s="4" t="s">
        <v>272</v>
      </c>
      <c r="CX231" s="4" t="s">
        <v>356</v>
      </c>
      <c r="CY231" s="6">
        <f>0</f>
        <v>0</v>
      </c>
      <c r="CZ231" s="6">
        <f>496800</f>
        <v>496800</v>
      </c>
      <c r="DA231" s="6">
        <f>437184</f>
        <v>437184</v>
      </c>
      <c r="DC231" s="4" t="s">
        <v>241</v>
      </c>
      <c r="DD231" s="4" t="s">
        <v>241</v>
      </c>
      <c r="DF231" s="4" t="s">
        <v>241</v>
      </c>
      <c r="DG231" s="6">
        <f>0</f>
        <v>0</v>
      </c>
      <c r="DI231" s="4" t="s">
        <v>241</v>
      </c>
      <c r="DJ231" s="4" t="s">
        <v>241</v>
      </c>
      <c r="DK231" s="4" t="s">
        <v>241</v>
      </c>
      <c r="DL231" s="4" t="s">
        <v>241</v>
      </c>
      <c r="DM231" s="4" t="s">
        <v>278</v>
      </c>
      <c r="DN231" s="4" t="s">
        <v>278</v>
      </c>
      <c r="DO231" s="6">
        <f>19.87</f>
        <v>19.87</v>
      </c>
      <c r="DP231" s="4" t="s">
        <v>241</v>
      </c>
      <c r="DQ231" s="4" t="s">
        <v>241</v>
      </c>
      <c r="DR231" s="4" t="s">
        <v>241</v>
      </c>
      <c r="DS231" s="4" t="s">
        <v>241</v>
      </c>
      <c r="DV231" s="4" t="s">
        <v>3310</v>
      </c>
      <c r="DW231" s="4" t="s">
        <v>323</v>
      </c>
      <c r="GN231" s="4" t="s">
        <v>3315</v>
      </c>
      <c r="HO231" s="4" t="s">
        <v>351</v>
      </c>
      <c r="HR231" s="4" t="s">
        <v>278</v>
      </c>
      <c r="HS231" s="4" t="s">
        <v>278</v>
      </c>
      <c r="HT231" s="4" t="s">
        <v>241</v>
      </c>
      <c r="HU231" s="4" t="s">
        <v>241</v>
      </c>
      <c r="HV231" s="4" t="s">
        <v>241</v>
      </c>
      <c r="HW231" s="4" t="s">
        <v>241</v>
      </c>
      <c r="HX231" s="4" t="s">
        <v>241</v>
      </c>
      <c r="HY231" s="4" t="s">
        <v>241</v>
      </c>
      <c r="HZ231" s="4" t="s">
        <v>241</v>
      </c>
      <c r="IA231" s="4" t="s">
        <v>241</v>
      </c>
      <c r="IB231" s="4" t="s">
        <v>241</v>
      </c>
      <c r="IC231" s="4" t="s">
        <v>241</v>
      </c>
      <c r="ID231" s="4" t="s">
        <v>241</v>
      </c>
      <c r="IE231" s="4" t="s">
        <v>241</v>
      </c>
      <c r="IF231" s="4" t="s">
        <v>241</v>
      </c>
    </row>
    <row r="232" spans="1:240" x14ac:dyDescent="0.4">
      <c r="A232" s="4">
        <v>2</v>
      </c>
      <c r="B232" s="4" t="s">
        <v>239</v>
      </c>
      <c r="C232" s="4">
        <v>245</v>
      </c>
      <c r="D232" s="4">
        <v>1</v>
      </c>
      <c r="E232" s="4">
        <v>3</v>
      </c>
      <c r="F232" s="4" t="s">
        <v>326</v>
      </c>
      <c r="G232" s="4" t="s">
        <v>241</v>
      </c>
      <c r="H232" s="4" t="s">
        <v>241</v>
      </c>
      <c r="I232" s="4" t="s">
        <v>3317</v>
      </c>
      <c r="J232" s="4" t="s">
        <v>247</v>
      </c>
      <c r="K232" s="4" t="s">
        <v>256</v>
      </c>
      <c r="L232" s="4" t="s">
        <v>250</v>
      </c>
      <c r="M232" s="5" t="s">
        <v>3318</v>
      </c>
      <c r="N232" s="4" t="s">
        <v>3316</v>
      </c>
      <c r="O232" s="6">
        <f>26.08</f>
        <v>26.08</v>
      </c>
      <c r="P232" s="4" t="s">
        <v>276</v>
      </c>
      <c r="Q232" s="6">
        <f>3145756</f>
        <v>3145756</v>
      </c>
      <c r="R232" s="6">
        <f>4297480</f>
        <v>4297480</v>
      </c>
      <c r="S232" s="5" t="s">
        <v>719</v>
      </c>
      <c r="T232" s="4" t="s">
        <v>348</v>
      </c>
      <c r="U232" s="4" t="s">
        <v>297</v>
      </c>
      <c r="V232" s="6">
        <f>287931</f>
        <v>287931</v>
      </c>
      <c r="W232" s="6">
        <f>1151724</f>
        <v>1151724</v>
      </c>
      <c r="X232" s="4" t="s">
        <v>243</v>
      </c>
      <c r="Y232" s="4" t="s">
        <v>244</v>
      </c>
      <c r="Z232" s="4" t="s">
        <v>246</v>
      </c>
      <c r="AA232" s="4" t="s">
        <v>241</v>
      </c>
      <c r="AD232" s="4" t="s">
        <v>241</v>
      </c>
      <c r="AE232" s="5" t="s">
        <v>241</v>
      </c>
      <c r="AF232" s="5" t="s">
        <v>241</v>
      </c>
      <c r="AH232" s="5" t="s">
        <v>241</v>
      </c>
      <c r="AI232" s="5" t="s">
        <v>249</v>
      </c>
      <c r="AJ232" s="4" t="s">
        <v>251</v>
      </c>
      <c r="AK232" s="4" t="s">
        <v>252</v>
      </c>
      <c r="AQ232" s="4" t="s">
        <v>241</v>
      </c>
      <c r="AR232" s="4" t="s">
        <v>241</v>
      </c>
      <c r="AS232" s="4" t="s">
        <v>241</v>
      </c>
      <c r="AT232" s="5" t="s">
        <v>241</v>
      </c>
      <c r="AU232" s="5" t="s">
        <v>241</v>
      </c>
      <c r="AV232" s="5" t="s">
        <v>241</v>
      </c>
      <c r="AY232" s="4" t="s">
        <v>286</v>
      </c>
      <c r="AZ232" s="4" t="s">
        <v>286</v>
      </c>
      <c r="BA232" s="4" t="s">
        <v>254</v>
      </c>
      <c r="BB232" s="4" t="s">
        <v>287</v>
      </c>
      <c r="BC232" s="4" t="s">
        <v>255</v>
      </c>
      <c r="BD232" s="4" t="s">
        <v>241</v>
      </c>
      <c r="BE232" s="4" t="s">
        <v>257</v>
      </c>
      <c r="BF232" s="4" t="s">
        <v>241</v>
      </c>
      <c r="BJ232" s="4" t="s">
        <v>288</v>
      </c>
      <c r="BK232" s="5" t="s">
        <v>289</v>
      </c>
      <c r="BL232" s="4" t="s">
        <v>290</v>
      </c>
      <c r="BM232" s="4" t="s">
        <v>290</v>
      </c>
      <c r="BN232" s="4" t="s">
        <v>241</v>
      </c>
      <c r="BO232" s="6">
        <f>0</f>
        <v>0</v>
      </c>
      <c r="BP232" s="6">
        <f>-287931</f>
        <v>-287931</v>
      </c>
      <c r="BQ232" s="4" t="s">
        <v>263</v>
      </c>
      <c r="BR232" s="4" t="s">
        <v>264</v>
      </c>
      <c r="BS232" s="4" t="s">
        <v>241</v>
      </c>
      <c r="BT232" s="4" t="s">
        <v>241</v>
      </c>
      <c r="BU232" s="4" t="s">
        <v>241</v>
      </c>
      <c r="BV232" s="4" t="s">
        <v>241</v>
      </c>
      <c r="CE232" s="4" t="s">
        <v>264</v>
      </c>
      <c r="CF232" s="4" t="s">
        <v>241</v>
      </c>
      <c r="CG232" s="4" t="s">
        <v>241</v>
      </c>
      <c r="CK232" s="4" t="s">
        <v>291</v>
      </c>
      <c r="CL232" s="4" t="s">
        <v>266</v>
      </c>
      <c r="CM232" s="4" t="s">
        <v>241</v>
      </c>
      <c r="CO232" s="4" t="s">
        <v>413</v>
      </c>
      <c r="CP232" s="5" t="s">
        <v>268</v>
      </c>
      <c r="CQ232" s="4" t="s">
        <v>269</v>
      </c>
      <c r="CR232" s="4" t="s">
        <v>270</v>
      </c>
      <c r="CS232" s="4" t="s">
        <v>293</v>
      </c>
      <c r="CT232" s="4" t="s">
        <v>241</v>
      </c>
      <c r="CU232" s="4">
        <v>6.7000000000000004E-2</v>
      </c>
      <c r="CV232" s="4" t="s">
        <v>271</v>
      </c>
      <c r="CW232" s="4" t="s">
        <v>272</v>
      </c>
      <c r="CX232" s="4" t="s">
        <v>347</v>
      </c>
      <c r="CY232" s="6">
        <f>0</f>
        <v>0</v>
      </c>
      <c r="CZ232" s="6">
        <f>4297480</f>
        <v>4297480</v>
      </c>
      <c r="DA232" s="6">
        <f>3145756</f>
        <v>3145756</v>
      </c>
      <c r="DC232" s="4" t="s">
        <v>241</v>
      </c>
      <c r="DD232" s="4" t="s">
        <v>241</v>
      </c>
      <c r="DF232" s="4" t="s">
        <v>241</v>
      </c>
      <c r="DG232" s="6">
        <f>0</f>
        <v>0</v>
      </c>
      <c r="DI232" s="4" t="s">
        <v>241</v>
      </c>
      <c r="DJ232" s="4" t="s">
        <v>241</v>
      </c>
      <c r="DK232" s="4" t="s">
        <v>241</v>
      </c>
      <c r="DL232" s="4" t="s">
        <v>241</v>
      </c>
      <c r="DM232" s="4" t="s">
        <v>277</v>
      </c>
      <c r="DN232" s="4" t="s">
        <v>278</v>
      </c>
      <c r="DO232" s="6">
        <f>26.08</f>
        <v>26.08</v>
      </c>
      <c r="DP232" s="4" t="s">
        <v>241</v>
      </c>
      <c r="DQ232" s="4" t="s">
        <v>241</v>
      </c>
      <c r="DR232" s="4" t="s">
        <v>241</v>
      </c>
      <c r="DS232" s="4" t="s">
        <v>241</v>
      </c>
      <c r="DV232" s="4" t="s">
        <v>3319</v>
      </c>
      <c r="DW232" s="4" t="s">
        <v>277</v>
      </c>
      <c r="GN232" s="4" t="s">
        <v>3320</v>
      </c>
      <c r="HO232" s="4" t="s">
        <v>351</v>
      </c>
      <c r="HR232" s="4" t="s">
        <v>278</v>
      </c>
      <c r="HS232" s="4" t="s">
        <v>278</v>
      </c>
      <c r="HT232" s="4" t="s">
        <v>241</v>
      </c>
      <c r="HU232" s="4" t="s">
        <v>241</v>
      </c>
      <c r="HV232" s="4" t="s">
        <v>241</v>
      </c>
      <c r="HW232" s="4" t="s">
        <v>241</v>
      </c>
      <c r="HX232" s="4" t="s">
        <v>241</v>
      </c>
      <c r="HY232" s="4" t="s">
        <v>241</v>
      </c>
      <c r="HZ232" s="4" t="s">
        <v>241</v>
      </c>
      <c r="IA232" s="4" t="s">
        <v>241</v>
      </c>
      <c r="IB232" s="4" t="s">
        <v>241</v>
      </c>
      <c r="IC232" s="4" t="s">
        <v>241</v>
      </c>
      <c r="ID232" s="4" t="s">
        <v>241</v>
      </c>
      <c r="IE232" s="4" t="s">
        <v>241</v>
      </c>
      <c r="IF232" s="4" t="s">
        <v>241</v>
      </c>
    </row>
    <row r="233" spans="1:240" x14ac:dyDescent="0.4">
      <c r="A233" s="4">
        <v>2</v>
      </c>
      <c r="B233" s="4" t="s">
        <v>239</v>
      </c>
      <c r="C233" s="4">
        <v>246</v>
      </c>
      <c r="D233" s="4">
        <v>1</v>
      </c>
      <c r="E233" s="4">
        <v>3</v>
      </c>
      <c r="F233" s="4" t="s">
        <v>326</v>
      </c>
      <c r="G233" s="4" t="s">
        <v>241</v>
      </c>
      <c r="H233" s="4" t="s">
        <v>241</v>
      </c>
      <c r="I233" s="4" t="s">
        <v>3375</v>
      </c>
      <c r="J233" s="4" t="s">
        <v>247</v>
      </c>
      <c r="K233" s="4" t="s">
        <v>256</v>
      </c>
      <c r="L233" s="4" t="s">
        <v>241</v>
      </c>
      <c r="M233" s="5" t="s">
        <v>3846</v>
      </c>
      <c r="N233" s="4" t="s">
        <v>3845</v>
      </c>
      <c r="O233" s="6">
        <f>44.71</f>
        <v>44.71</v>
      </c>
      <c r="P233" s="4" t="s">
        <v>276</v>
      </c>
      <c r="Q233" s="6">
        <f>6280037</f>
        <v>6280037</v>
      </c>
      <c r="R233" s="6">
        <f>7630664</f>
        <v>7630664</v>
      </c>
      <c r="S233" s="5" t="s">
        <v>757</v>
      </c>
      <c r="T233" s="4" t="s">
        <v>401</v>
      </c>
      <c r="U233" s="4" t="s">
        <v>323</v>
      </c>
      <c r="V233" s="6">
        <f>450209</f>
        <v>450209</v>
      </c>
      <c r="W233" s="6">
        <f>1350627</f>
        <v>1350627</v>
      </c>
      <c r="X233" s="4" t="s">
        <v>243</v>
      </c>
      <c r="Y233" s="4" t="s">
        <v>244</v>
      </c>
      <c r="Z233" s="4" t="s">
        <v>246</v>
      </c>
      <c r="AA233" s="4" t="s">
        <v>241</v>
      </c>
      <c r="AD233" s="4" t="s">
        <v>241</v>
      </c>
      <c r="AE233" s="5" t="s">
        <v>241</v>
      </c>
      <c r="AF233" s="5" t="s">
        <v>241</v>
      </c>
      <c r="AH233" s="5" t="s">
        <v>241</v>
      </c>
      <c r="AI233" s="5" t="s">
        <v>249</v>
      </c>
      <c r="AJ233" s="4" t="s">
        <v>251</v>
      </c>
      <c r="AK233" s="4" t="s">
        <v>252</v>
      </c>
      <c r="AQ233" s="4" t="s">
        <v>241</v>
      </c>
      <c r="AR233" s="4" t="s">
        <v>241</v>
      </c>
      <c r="AS233" s="4" t="s">
        <v>241</v>
      </c>
      <c r="AT233" s="5" t="s">
        <v>241</v>
      </c>
      <c r="AU233" s="5" t="s">
        <v>241</v>
      </c>
      <c r="AV233" s="5" t="s">
        <v>241</v>
      </c>
      <c r="AY233" s="4" t="s">
        <v>286</v>
      </c>
      <c r="AZ233" s="4" t="s">
        <v>286</v>
      </c>
      <c r="BA233" s="4" t="s">
        <v>254</v>
      </c>
      <c r="BB233" s="4" t="s">
        <v>287</v>
      </c>
      <c r="BC233" s="4" t="s">
        <v>255</v>
      </c>
      <c r="BD233" s="4" t="s">
        <v>241</v>
      </c>
      <c r="BE233" s="4" t="s">
        <v>257</v>
      </c>
      <c r="BF233" s="4" t="s">
        <v>241</v>
      </c>
      <c r="BJ233" s="4" t="s">
        <v>288</v>
      </c>
      <c r="BK233" s="5" t="s">
        <v>289</v>
      </c>
      <c r="BL233" s="4" t="s">
        <v>290</v>
      </c>
      <c r="BM233" s="4" t="s">
        <v>290</v>
      </c>
      <c r="BN233" s="4" t="s">
        <v>241</v>
      </c>
      <c r="BO233" s="6">
        <f>0</f>
        <v>0</v>
      </c>
      <c r="BP233" s="6">
        <f>-450209</f>
        <v>-450209</v>
      </c>
      <c r="BQ233" s="4" t="s">
        <v>263</v>
      </c>
      <c r="BR233" s="4" t="s">
        <v>264</v>
      </c>
      <c r="BS233" s="4" t="s">
        <v>241</v>
      </c>
      <c r="BT233" s="4" t="s">
        <v>241</v>
      </c>
      <c r="BU233" s="4" t="s">
        <v>241</v>
      </c>
      <c r="BV233" s="4" t="s">
        <v>241</v>
      </c>
      <c r="CE233" s="4" t="s">
        <v>264</v>
      </c>
      <c r="CF233" s="4" t="s">
        <v>241</v>
      </c>
      <c r="CG233" s="4" t="s">
        <v>241</v>
      </c>
      <c r="CK233" s="4" t="s">
        <v>291</v>
      </c>
      <c r="CL233" s="4" t="s">
        <v>266</v>
      </c>
      <c r="CM233" s="4" t="s">
        <v>241</v>
      </c>
      <c r="CO233" s="4" t="s">
        <v>421</v>
      </c>
      <c r="CP233" s="5" t="s">
        <v>268</v>
      </c>
      <c r="CQ233" s="4" t="s">
        <v>269</v>
      </c>
      <c r="CR233" s="4" t="s">
        <v>270</v>
      </c>
      <c r="CS233" s="4" t="s">
        <v>293</v>
      </c>
      <c r="CT233" s="4" t="s">
        <v>241</v>
      </c>
      <c r="CU233" s="4">
        <v>5.8999999999999997E-2</v>
      </c>
      <c r="CV233" s="4" t="s">
        <v>271</v>
      </c>
      <c r="CW233" s="4" t="s">
        <v>455</v>
      </c>
      <c r="CX233" s="4" t="s">
        <v>347</v>
      </c>
      <c r="CY233" s="6">
        <f>0</f>
        <v>0</v>
      </c>
      <c r="CZ233" s="6">
        <f>7630664</f>
        <v>7630664</v>
      </c>
      <c r="DA233" s="6">
        <f>6280037</f>
        <v>6280037</v>
      </c>
      <c r="DC233" s="4" t="s">
        <v>241</v>
      </c>
      <c r="DD233" s="4" t="s">
        <v>241</v>
      </c>
      <c r="DF233" s="4" t="s">
        <v>241</v>
      </c>
      <c r="DG233" s="6">
        <f>0</f>
        <v>0</v>
      </c>
      <c r="DI233" s="4" t="s">
        <v>241</v>
      </c>
      <c r="DJ233" s="4" t="s">
        <v>241</v>
      </c>
      <c r="DK233" s="4" t="s">
        <v>241</v>
      </c>
      <c r="DL233" s="4" t="s">
        <v>241</v>
      </c>
      <c r="DM233" s="4" t="s">
        <v>277</v>
      </c>
      <c r="DN233" s="4" t="s">
        <v>278</v>
      </c>
      <c r="DO233" s="6">
        <f>44.71</f>
        <v>44.71</v>
      </c>
      <c r="DP233" s="4" t="s">
        <v>241</v>
      </c>
      <c r="DQ233" s="4" t="s">
        <v>241</v>
      </c>
      <c r="DR233" s="4" t="s">
        <v>241</v>
      </c>
      <c r="DS233" s="4" t="s">
        <v>241</v>
      </c>
      <c r="DV233" s="4" t="s">
        <v>3847</v>
      </c>
      <c r="DW233" s="4" t="s">
        <v>277</v>
      </c>
      <c r="GN233" s="4" t="s">
        <v>3848</v>
      </c>
      <c r="HO233" s="4" t="s">
        <v>336</v>
      </c>
      <c r="HR233" s="4" t="s">
        <v>278</v>
      </c>
      <c r="HS233" s="4" t="s">
        <v>278</v>
      </c>
      <c r="HT233" s="4" t="s">
        <v>241</v>
      </c>
      <c r="HU233" s="4" t="s">
        <v>241</v>
      </c>
      <c r="HV233" s="4" t="s">
        <v>241</v>
      </c>
      <c r="HW233" s="4" t="s">
        <v>241</v>
      </c>
      <c r="HX233" s="4" t="s">
        <v>241</v>
      </c>
      <c r="HY233" s="4" t="s">
        <v>241</v>
      </c>
      <c r="HZ233" s="4" t="s">
        <v>241</v>
      </c>
      <c r="IA233" s="4" t="s">
        <v>241</v>
      </c>
      <c r="IB233" s="4" t="s">
        <v>241</v>
      </c>
      <c r="IC233" s="4" t="s">
        <v>241</v>
      </c>
      <c r="ID233" s="4" t="s">
        <v>241</v>
      </c>
      <c r="IE233" s="4" t="s">
        <v>241</v>
      </c>
      <c r="IF233" s="4" t="s">
        <v>241</v>
      </c>
    </row>
    <row r="234" spans="1:240" x14ac:dyDescent="0.4">
      <c r="A234" s="4">
        <v>2</v>
      </c>
      <c r="B234" s="4" t="s">
        <v>239</v>
      </c>
      <c r="C234" s="4">
        <v>247</v>
      </c>
      <c r="D234" s="4">
        <v>1</v>
      </c>
      <c r="E234" s="4">
        <v>3</v>
      </c>
      <c r="F234" s="4" t="s">
        <v>326</v>
      </c>
      <c r="G234" s="4" t="s">
        <v>241</v>
      </c>
      <c r="H234" s="4" t="s">
        <v>241</v>
      </c>
      <c r="I234" s="4" t="s">
        <v>3322</v>
      </c>
      <c r="J234" s="4" t="s">
        <v>247</v>
      </c>
      <c r="K234" s="4" t="s">
        <v>256</v>
      </c>
      <c r="L234" s="4" t="s">
        <v>241</v>
      </c>
      <c r="M234" s="5" t="s">
        <v>3324</v>
      </c>
      <c r="N234" s="4" t="s">
        <v>3321</v>
      </c>
      <c r="O234" s="6">
        <f>44.71</f>
        <v>44.71</v>
      </c>
      <c r="P234" s="4" t="s">
        <v>276</v>
      </c>
      <c r="Q234" s="6">
        <f>6927525</f>
        <v>6927525</v>
      </c>
      <c r="R234" s="6">
        <f>7425000</f>
        <v>7425000</v>
      </c>
      <c r="S234" s="5" t="s">
        <v>3323</v>
      </c>
      <c r="T234" s="4" t="s">
        <v>348</v>
      </c>
      <c r="U234" s="4" t="s">
        <v>278</v>
      </c>
      <c r="V234" s="6">
        <f>7424999</f>
        <v>7424999</v>
      </c>
      <c r="W234" s="6">
        <f>497475</f>
        <v>497475</v>
      </c>
      <c r="X234" s="4" t="s">
        <v>243</v>
      </c>
      <c r="Y234" s="4" t="s">
        <v>244</v>
      </c>
      <c r="Z234" s="4" t="s">
        <v>241</v>
      </c>
      <c r="AA234" s="4" t="s">
        <v>241</v>
      </c>
      <c r="AD234" s="4" t="s">
        <v>241</v>
      </c>
      <c r="AE234" s="5" t="s">
        <v>241</v>
      </c>
      <c r="AF234" s="5" t="s">
        <v>241</v>
      </c>
      <c r="AH234" s="5" t="s">
        <v>241</v>
      </c>
      <c r="AI234" s="5" t="s">
        <v>249</v>
      </c>
      <c r="AJ234" s="4" t="s">
        <v>251</v>
      </c>
      <c r="AK234" s="4" t="s">
        <v>252</v>
      </c>
      <c r="AQ234" s="4" t="s">
        <v>241</v>
      </c>
      <c r="AR234" s="4" t="s">
        <v>241</v>
      </c>
      <c r="AS234" s="4" t="s">
        <v>241</v>
      </c>
      <c r="AT234" s="5" t="s">
        <v>241</v>
      </c>
      <c r="AU234" s="5" t="s">
        <v>241</v>
      </c>
      <c r="AV234" s="5" t="s">
        <v>241</v>
      </c>
      <c r="AY234" s="4" t="s">
        <v>286</v>
      </c>
      <c r="AZ234" s="4" t="s">
        <v>286</v>
      </c>
      <c r="BA234" s="4" t="s">
        <v>254</v>
      </c>
      <c r="BB234" s="4" t="s">
        <v>287</v>
      </c>
      <c r="BC234" s="4" t="s">
        <v>255</v>
      </c>
      <c r="BD234" s="4" t="s">
        <v>241</v>
      </c>
      <c r="BE234" s="4" t="s">
        <v>257</v>
      </c>
      <c r="BF234" s="4" t="s">
        <v>241</v>
      </c>
      <c r="BJ234" s="4" t="s">
        <v>288</v>
      </c>
      <c r="BK234" s="5" t="s">
        <v>289</v>
      </c>
      <c r="BL234" s="4" t="s">
        <v>290</v>
      </c>
      <c r="BM234" s="4" t="s">
        <v>290</v>
      </c>
      <c r="BN234" s="4" t="s">
        <v>241</v>
      </c>
      <c r="BO234" s="6">
        <f>0</f>
        <v>0</v>
      </c>
      <c r="BP234" s="6">
        <f>-497475</f>
        <v>-497475</v>
      </c>
      <c r="BQ234" s="4" t="s">
        <v>263</v>
      </c>
      <c r="BR234" s="4" t="s">
        <v>264</v>
      </c>
      <c r="BS234" s="4" t="s">
        <v>241</v>
      </c>
      <c r="BT234" s="4" t="s">
        <v>241</v>
      </c>
      <c r="BU234" s="4" t="s">
        <v>241</v>
      </c>
      <c r="BV234" s="4" t="s">
        <v>241</v>
      </c>
      <c r="CE234" s="4" t="s">
        <v>264</v>
      </c>
      <c r="CF234" s="4" t="s">
        <v>241</v>
      </c>
      <c r="CG234" s="4" t="s">
        <v>241</v>
      </c>
      <c r="CK234" s="4" t="s">
        <v>291</v>
      </c>
      <c r="CL234" s="4" t="s">
        <v>266</v>
      </c>
      <c r="CM234" s="4" t="s">
        <v>241</v>
      </c>
      <c r="CO234" s="4" t="s">
        <v>426</v>
      </c>
      <c r="CP234" s="5" t="s">
        <v>268</v>
      </c>
      <c r="CQ234" s="4" t="s">
        <v>269</v>
      </c>
      <c r="CR234" s="4" t="s">
        <v>270</v>
      </c>
      <c r="CS234" s="4" t="s">
        <v>293</v>
      </c>
      <c r="CT234" s="4" t="s">
        <v>241</v>
      </c>
      <c r="CU234" s="4">
        <v>6.7000000000000004E-2</v>
      </c>
      <c r="CV234" s="4" t="s">
        <v>271</v>
      </c>
      <c r="CW234" s="4" t="s">
        <v>272</v>
      </c>
      <c r="CX234" s="4" t="s">
        <v>347</v>
      </c>
      <c r="CY234" s="6">
        <f>0</f>
        <v>0</v>
      </c>
      <c r="CZ234" s="6">
        <f>7425000</f>
        <v>7425000</v>
      </c>
      <c r="DA234" s="6">
        <f>1</f>
        <v>1</v>
      </c>
      <c r="DC234" s="4" t="s">
        <v>241</v>
      </c>
      <c r="DD234" s="4" t="s">
        <v>241</v>
      </c>
      <c r="DF234" s="4" t="s">
        <v>241</v>
      </c>
      <c r="DG234" s="6">
        <f>0</f>
        <v>0</v>
      </c>
      <c r="DI234" s="4" t="s">
        <v>241</v>
      </c>
      <c r="DJ234" s="4" t="s">
        <v>241</v>
      </c>
      <c r="DK234" s="4" t="s">
        <v>241</v>
      </c>
      <c r="DL234" s="4" t="s">
        <v>241</v>
      </c>
      <c r="DM234" s="4" t="s">
        <v>278</v>
      </c>
      <c r="DN234" s="4" t="s">
        <v>278</v>
      </c>
      <c r="DO234" s="6">
        <f>44.71</f>
        <v>44.71</v>
      </c>
      <c r="DP234" s="4" t="s">
        <v>241</v>
      </c>
      <c r="DQ234" s="4" t="s">
        <v>241</v>
      </c>
      <c r="DR234" s="4" t="s">
        <v>241</v>
      </c>
      <c r="DS234" s="4" t="s">
        <v>241</v>
      </c>
      <c r="DV234" s="4" t="s">
        <v>3325</v>
      </c>
      <c r="DW234" s="4" t="s">
        <v>277</v>
      </c>
      <c r="GN234" s="4" t="s">
        <v>3326</v>
      </c>
      <c r="HO234" s="4" t="s">
        <v>323</v>
      </c>
      <c r="HR234" s="4" t="s">
        <v>278</v>
      </c>
      <c r="HS234" s="4" t="s">
        <v>278</v>
      </c>
      <c r="HT234" s="4" t="s">
        <v>241</v>
      </c>
      <c r="HU234" s="4" t="s">
        <v>241</v>
      </c>
      <c r="HV234" s="4" t="s">
        <v>241</v>
      </c>
      <c r="HW234" s="4" t="s">
        <v>241</v>
      </c>
      <c r="HX234" s="4" t="s">
        <v>241</v>
      </c>
      <c r="HY234" s="4" t="s">
        <v>241</v>
      </c>
      <c r="HZ234" s="4" t="s">
        <v>241</v>
      </c>
      <c r="IA234" s="4" t="s">
        <v>241</v>
      </c>
      <c r="IB234" s="4" t="s">
        <v>241</v>
      </c>
      <c r="IC234" s="4" t="s">
        <v>241</v>
      </c>
      <c r="ID234" s="4" t="s">
        <v>241</v>
      </c>
      <c r="IE234" s="4" t="s">
        <v>241</v>
      </c>
      <c r="IF234" s="4" t="s">
        <v>241</v>
      </c>
    </row>
    <row r="235" spans="1:240" x14ac:dyDescent="0.4">
      <c r="A235" s="4">
        <v>2</v>
      </c>
      <c r="B235" s="4" t="s">
        <v>239</v>
      </c>
      <c r="C235" s="4">
        <v>248</v>
      </c>
      <c r="D235" s="4">
        <v>1</v>
      </c>
      <c r="E235" s="4">
        <v>3</v>
      </c>
      <c r="F235" s="4" t="s">
        <v>326</v>
      </c>
      <c r="G235" s="4" t="s">
        <v>241</v>
      </c>
      <c r="H235" s="4" t="s">
        <v>241</v>
      </c>
      <c r="I235" s="4" t="s">
        <v>3328</v>
      </c>
      <c r="J235" s="4" t="s">
        <v>247</v>
      </c>
      <c r="K235" s="4" t="s">
        <v>256</v>
      </c>
      <c r="L235" s="4" t="s">
        <v>241</v>
      </c>
      <c r="M235" s="5" t="s">
        <v>3329</v>
      </c>
      <c r="N235" s="4" t="s">
        <v>3327</v>
      </c>
      <c r="O235" s="6">
        <f>33.12</f>
        <v>33.119999999999997</v>
      </c>
      <c r="P235" s="4" t="s">
        <v>276</v>
      </c>
      <c r="Q235" s="6">
        <f>6509445</f>
        <v>6509445</v>
      </c>
      <c r="R235" s="6">
        <f>6976897</f>
        <v>6976897</v>
      </c>
      <c r="S235" s="5" t="s">
        <v>2595</v>
      </c>
      <c r="T235" s="4" t="s">
        <v>348</v>
      </c>
      <c r="U235" s="4" t="s">
        <v>278</v>
      </c>
      <c r="V235" s="6">
        <f>6976896</f>
        <v>6976896</v>
      </c>
      <c r="W235" s="6">
        <f>467452</f>
        <v>467452</v>
      </c>
      <c r="X235" s="4" t="s">
        <v>243</v>
      </c>
      <c r="Y235" s="4" t="s">
        <v>244</v>
      </c>
      <c r="Z235" s="4" t="s">
        <v>241</v>
      </c>
      <c r="AA235" s="4" t="s">
        <v>241</v>
      </c>
      <c r="AD235" s="4" t="s">
        <v>241</v>
      </c>
      <c r="AE235" s="5" t="s">
        <v>241</v>
      </c>
      <c r="AF235" s="5" t="s">
        <v>241</v>
      </c>
      <c r="AH235" s="5" t="s">
        <v>241</v>
      </c>
      <c r="AI235" s="5" t="s">
        <v>249</v>
      </c>
      <c r="AJ235" s="4" t="s">
        <v>251</v>
      </c>
      <c r="AK235" s="4" t="s">
        <v>252</v>
      </c>
      <c r="AQ235" s="4" t="s">
        <v>241</v>
      </c>
      <c r="AR235" s="4" t="s">
        <v>241</v>
      </c>
      <c r="AS235" s="4" t="s">
        <v>241</v>
      </c>
      <c r="AT235" s="5" t="s">
        <v>241</v>
      </c>
      <c r="AU235" s="5" t="s">
        <v>241</v>
      </c>
      <c r="AV235" s="5" t="s">
        <v>241</v>
      </c>
      <c r="AY235" s="4" t="s">
        <v>286</v>
      </c>
      <c r="AZ235" s="4" t="s">
        <v>286</v>
      </c>
      <c r="BA235" s="4" t="s">
        <v>254</v>
      </c>
      <c r="BB235" s="4" t="s">
        <v>287</v>
      </c>
      <c r="BC235" s="4" t="s">
        <v>255</v>
      </c>
      <c r="BD235" s="4" t="s">
        <v>241</v>
      </c>
      <c r="BE235" s="4" t="s">
        <v>257</v>
      </c>
      <c r="BF235" s="4" t="s">
        <v>241</v>
      </c>
      <c r="BJ235" s="4" t="s">
        <v>288</v>
      </c>
      <c r="BK235" s="5" t="s">
        <v>289</v>
      </c>
      <c r="BL235" s="4" t="s">
        <v>290</v>
      </c>
      <c r="BM235" s="4" t="s">
        <v>290</v>
      </c>
      <c r="BN235" s="4" t="s">
        <v>241</v>
      </c>
      <c r="BO235" s="6">
        <f>0</f>
        <v>0</v>
      </c>
      <c r="BP235" s="6">
        <f>-467452</f>
        <v>-467452</v>
      </c>
      <c r="BQ235" s="4" t="s">
        <v>263</v>
      </c>
      <c r="BR235" s="4" t="s">
        <v>264</v>
      </c>
      <c r="BS235" s="4" t="s">
        <v>241</v>
      </c>
      <c r="BT235" s="4" t="s">
        <v>241</v>
      </c>
      <c r="BU235" s="4" t="s">
        <v>241</v>
      </c>
      <c r="BV235" s="4" t="s">
        <v>241</v>
      </c>
      <c r="CE235" s="4" t="s">
        <v>264</v>
      </c>
      <c r="CF235" s="4" t="s">
        <v>241</v>
      </c>
      <c r="CG235" s="4" t="s">
        <v>241</v>
      </c>
      <c r="CK235" s="4" t="s">
        <v>291</v>
      </c>
      <c r="CL235" s="4" t="s">
        <v>266</v>
      </c>
      <c r="CM235" s="4" t="s">
        <v>241</v>
      </c>
      <c r="CO235" s="4" t="s">
        <v>426</v>
      </c>
      <c r="CP235" s="5" t="s">
        <v>268</v>
      </c>
      <c r="CQ235" s="4" t="s">
        <v>269</v>
      </c>
      <c r="CR235" s="4" t="s">
        <v>270</v>
      </c>
      <c r="CS235" s="4" t="s">
        <v>293</v>
      </c>
      <c r="CT235" s="4" t="s">
        <v>241</v>
      </c>
      <c r="CU235" s="4">
        <v>6.7000000000000004E-2</v>
      </c>
      <c r="CV235" s="4" t="s">
        <v>271</v>
      </c>
      <c r="CW235" s="4" t="s">
        <v>272</v>
      </c>
      <c r="CX235" s="4" t="s">
        <v>347</v>
      </c>
      <c r="CY235" s="6">
        <f>0</f>
        <v>0</v>
      </c>
      <c r="CZ235" s="6">
        <f>6976897</f>
        <v>6976897</v>
      </c>
      <c r="DA235" s="6">
        <f>1</f>
        <v>1</v>
      </c>
      <c r="DC235" s="4" t="s">
        <v>241</v>
      </c>
      <c r="DD235" s="4" t="s">
        <v>241</v>
      </c>
      <c r="DF235" s="4" t="s">
        <v>241</v>
      </c>
      <c r="DG235" s="6">
        <f>0</f>
        <v>0</v>
      </c>
      <c r="DI235" s="4" t="s">
        <v>241</v>
      </c>
      <c r="DJ235" s="4" t="s">
        <v>241</v>
      </c>
      <c r="DK235" s="4" t="s">
        <v>241</v>
      </c>
      <c r="DL235" s="4" t="s">
        <v>241</v>
      </c>
      <c r="DM235" s="4" t="s">
        <v>278</v>
      </c>
      <c r="DN235" s="4" t="s">
        <v>278</v>
      </c>
      <c r="DO235" s="6">
        <f>33.12</f>
        <v>33.119999999999997</v>
      </c>
      <c r="DP235" s="4" t="s">
        <v>241</v>
      </c>
      <c r="DQ235" s="4" t="s">
        <v>241</v>
      </c>
      <c r="DR235" s="4" t="s">
        <v>241</v>
      </c>
      <c r="DS235" s="4" t="s">
        <v>241</v>
      </c>
      <c r="DV235" s="4" t="s">
        <v>3330</v>
      </c>
      <c r="DW235" s="4" t="s">
        <v>277</v>
      </c>
      <c r="GN235" s="4" t="s">
        <v>3331</v>
      </c>
      <c r="HO235" s="4" t="s">
        <v>323</v>
      </c>
      <c r="HR235" s="4" t="s">
        <v>278</v>
      </c>
      <c r="HS235" s="4" t="s">
        <v>278</v>
      </c>
      <c r="HT235" s="4" t="s">
        <v>241</v>
      </c>
      <c r="HU235" s="4" t="s">
        <v>241</v>
      </c>
      <c r="HV235" s="4" t="s">
        <v>241</v>
      </c>
      <c r="HW235" s="4" t="s">
        <v>241</v>
      </c>
      <c r="HX235" s="4" t="s">
        <v>241</v>
      </c>
      <c r="HY235" s="4" t="s">
        <v>241</v>
      </c>
      <c r="HZ235" s="4" t="s">
        <v>241</v>
      </c>
      <c r="IA235" s="4" t="s">
        <v>241</v>
      </c>
      <c r="IB235" s="4" t="s">
        <v>241</v>
      </c>
      <c r="IC235" s="4" t="s">
        <v>241</v>
      </c>
      <c r="ID235" s="4" t="s">
        <v>241</v>
      </c>
      <c r="IE235" s="4" t="s">
        <v>241</v>
      </c>
      <c r="IF235" s="4" t="s">
        <v>241</v>
      </c>
    </row>
    <row r="236" spans="1:240" x14ac:dyDescent="0.4">
      <c r="A236" s="4">
        <v>2</v>
      </c>
      <c r="B236" s="4" t="s">
        <v>239</v>
      </c>
      <c r="C236" s="4">
        <v>249</v>
      </c>
      <c r="D236" s="4">
        <v>1</v>
      </c>
      <c r="E236" s="4">
        <v>1</v>
      </c>
      <c r="F236" s="4" t="s">
        <v>240</v>
      </c>
      <c r="G236" s="4" t="s">
        <v>241</v>
      </c>
      <c r="H236" s="4" t="s">
        <v>241</v>
      </c>
      <c r="I236" s="4" t="s">
        <v>3691</v>
      </c>
      <c r="J236" s="4" t="s">
        <v>247</v>
      </c>
      <c r="K236" s="4" t="s">
        <v>256</v>
      </c>
      <c r="L236" s="4" t="s">
        <v>250</v>
      </c>
      <c r="M236" s="5" t="s">
        <v>3692</v>
      </c>
      <c r="N236" s="4" t="s">
        <v>3690</v>
      </c>
      <c r="O236" s="6">
        <f>59.09</f>
        <v>59.09</v>
      </c>
      <c r="P236" s="4" t="s">
        <v>276</v>
      </c>
      <c r="Q236" s="6">
        <f>1</f>
        <v>1</v>
      </c>
      <c r="R236" s="6">
        <f>6204450</f>
        <v>6204450</v>
      </c>
      <c r="S236" s="5" t="s">
        <v>386</v>
      </c>
      <c r="T236" s="4" t="s">
        <v>348</v>
      </c>
      <c r="U236" s="4" t="s">
        <v>335</v>
      </c>
      <c r="W236" s="6">
        <f>6204449</f>
        <v>6204449</v>
      </c>
      <c r="X236" s="4" t="s">
        <v>243</v>
      </c>
      <c r="Y236" s="4" t="s">
        <v>244</v>
      </c>
      <c r="Z236" s="4" t="s">
        <v>246</v>
      </c>
      <c r="AA236" s="4" t="s">
        <v>241</v>
      </c>
      <c r="AD236" s="4" t="s">
        <v>241</v>
      </c>
      <c r="AF236" s="5" t="s">
        <v>241</v>
      </c>
      <c r="AI236" s="5" t="s">
        <v>249</v>
      </c>
      <c r="AJ236" s="4" t="s">
        <v>251</v>
      </c>
      <c r="AK236" s="4" t="s">
        <v>252</v>
      </c>
      <c r="BA236" s="4" t="s">
        <v>254</v>
      </c>
      <c r="BB236" s="4" t="s">
        <v>241</v>
      </c>
      <c r="BC236" s="4" t="s">
        <v>255</v>
      </c>
      <c r="BD236" s="4" t="s">
        <v>241</v>
      </c>
      <c r="BE236" s="4" t="s">
        <v>257</v>
      </c>
      <c r="BF236" s="4" t="s">
        <v>241</v>
      </c>
      <c r="BH236" s="4" t="s">
        <v>258</v>
      </c>
      <c r="BJ236" s="4" t="s">
        <v>367</v>
      </c>
      <c r="BK236" s="5" t="s">
        <v>249</v>
      </c>
      <c r="BL236" s="4" t="s">
        <v>261</v>
      </c>
      <c r="BM236" s="4" t="s">
        <v>262</v>
      </c>
      <c r="BN236" s="4" t="s">
        <v>241</v>
      </c>
      <c r="BO236" s="6">
        <f>0</f>
        <v>0</v>
      </c>
      <c r="BP236" s="6">
        <f>0</f>
        <v>0</v>
      </c>
      <c r="BQ236" s="4" t="s">
        <v>263</v>
      </c>
      <c r="BR236" s="4" t="s">
        <v>264</v>
      </c>
      <c r="CF236" s="4" t="s">
        <v>241</v>
      </c>
      <c r="CG236" s="4" t="s">
        <v>241</v>
      </c>
      <c r="CK236" s="4" t="s">
        <v>291</v>
      </c>
      <c r="CL236" s="4" t="s">
        <v>266</v>
      </c>
      <c r="CM236" s="4" t="s">
        <v>241</v>
      </c>
      <c r="CO236" s="4" t="s">
        <v>387</v>
      </c>
      <c r="CP236" s="5" t="s">
        <v>268</v>
      </c>
      <c r="CQ236" s="4" t="s">
        <v>269</v>
      </c>
      <c r="CR236" s="4" t="s">
        <v>270</v>
      </c>
      <c r="CS236" s="4" t="s">
        <v>241</v>
      </c>
      <c r="CT236" s="4" t="s">
        <v>241</v>
      </c>
      <c r="CU236" s="4">
        <v>0</v>
      </c>
      <c r="CV236" s="4" t="s">
        <v>271</v>
      </c>
      <c r="CW236" s="4" t="s">
        <v>272</v>
      </c>
      <c r="CX236" s="4" t="s">
        <v>347</v>
      </c>
      <c r="CZ236" s="6">
        <f>6204450</f>
        <v>6204450</v>
      </c>
      <c r="DA236" s="6">
        <f>0</f>
        <v>0</v>
      </c>
      <c r="DC236" s="4" t="s">
        <v>241</v>
      </c>
      <c r="DD236" s="4" t="s">
        <v>241</v>
      </c>
      <c r="DF236" s="4" t="s">
        <v>241</v>
      </c>
      <c r="DI236" s="4" t="s">
        <v>241</v>
      </c>
      <c r="DJ236" s="4" t="s">
        <v>241</v>
      </c>
      <c r="DK236" s="4" t="s">
        <v>241</v>
      </c>
      <c r="DL236" s="4" t="s">
        <v>241</v>
      </c>
      <c r="DM236" s="4" t="s">
        <v>277</v>
      </c>
      <c r="DN236" s="4" t="s">
        <v>278</v>
      </c>
      <c r="DO236" s="6">
        <f>59.09</f>
        <v>59.09</v>
      </c>
      <c r="DP236" s="4" t="s">
        <v>241</v>
      </c>
      <c r="DQ236" s="4" t="s">
        <v>241</v>
      </c>
      <c r="DR236" s="4" t="s">
        <v>241</v>
      </c>
      <c r="DS236" s="4" t="s">
        <v>241</v>
      </c>
      <c r="DV236" s="4" t="s">
        <v>3693</v>
      </c>
      <c r="DW236" s="4" t="s">
        <v>277</v>
      </c>
      <c r="HO236" s="4" t="s">
        <v>277</v>
      </c>
      <c r="HR236" s="4" t="s">
        <v>278</v>
      </c>
      <c r="HS236" s="4" t="s">
        <v>278</v>
      </c>
    </row>
    <row r="237" spans="1:240" x14ac:dyDescent="0.4">
      <c r="A237" s="4">
        <v>2</v>
      </c>
      <c r="B237" s="4" t="s">
        <v>239</v>
      </c>
      <c r="C237" s="4">
        <v>250</v>
      </c>
      <c r="D237" s="4">
        <v>1</v>
      </c>
      <c r="E237" s="4">
        <v>1</v>
      </c>
      <c r="F237" s="4" t="s">
        <v>240</v>
      </c>
      <c r="G237" s="4" t="s">
        <v>241</v>
      </c>
      <c r="H237" s="4" t="s">
        <v>241</v>
      </c>
      <c r="I237" s="4" t="s">
        <v>3694</v>
      </c>
      <c r="J237" s="4" t="s">
        <v>247</v>
      </c>
      <c r="K237" s="4" t="s">
        <v>256</v>
      </c>
      <c r="L237" s="4" t="s">
        <v>3102</v>
      </c>
      <c r="M237" s="5" t="s">
        <v>3695</v>
      </c>
      <c r="N237" s="4" t="s">
        <v>3099</v>
      </c>
      <c r="O237" s="6">
        <f>24.3</f>
        <v>24.3</v>
      </c>
      <c r="P237" s="4" t="s">
        <v>276</v>
      </c>
      <c r="Q237" s="6">
        <f>1</f>
        <v>1</v>
      </c>
      <c r="R237" s="6">
        <f>1458000</f>
        <v>1458000</v>
      </c>
      <c r="S237" s="5" t="s">
        <v>248</v>
      </c>
      <c r="T237" s="4" t="s">
        <v>348</v>
      </c>
      <c r="U237" s="4" t="s">
        <v>275</v>
      </c>
      <c r="W237" s="6">
        <f>1457999</f>
        <v>1457999</v>
      </c>
      <c r="X237" s="4" t="s">
        <v>243</v>
      </c>
      <c r="Y237" s="4" t="s">
        <v>244</v>
      </c>
      <c r="Z237" s="4" t="s">
        <v>246</v>
      </c>
      <c r="AA237" s="4" t="s">
        <v>241</v>
      </c>
      <c r="AD237" s="4" t="s">
        <v>241</v>
      </c>
      <c r="AF237" s="5" t="s">
        <v>241</v>
      </c>
      <c r="AI237" s="5" t="s">
        <v>249</v>
      </c>
      <c r="AJ237" s="4" t="s">
        <v>251</v>
      </c>
      <c r="AK237" s="4" t="s">
        <v>252</v>
      </c>
      <c r="BA237" s="4" t="s">
        <v>254</v>
      </c>
      <c r="BB237" s="4" t="s">
        <v>241</v>
      </c>
      <c r="BC237" s="4" t="s">
        <v>255</v>
      </c>
      <c r="BD237" s="4" t="s">
        <v>241</v>
      </c>
      <c r="BE237" s="4" t="s">
        <v>257</v>
      </c>
      <c r="BF237" s="4" t="s">
        <v>241</v>
      </c>
      <c r="BH237" s="4" t="s">
        <v>258</v>
      </c>
      <c r="BJ237" s="4" t="s">
        <v>377</v>
      </c>
      <c r="BK237" s="5" t="s">
        <v>1064</v>
      </c>
      <c r="BL237" s="4" t="s">
        <v>261</v>
      </c>
      <c r="BM237" s="4" t="s">
        <v>262</v>
      </c>
      <c r="BN237" s="4" t="s">
        <v>241</v>
      </c>
      <c r="BO237" s="6">
        <f>0</f>
        <v>0</v>
      </c>
      <c r="BP237" s="6">
        <f>0</f>
        <v>0</v>
      </c>
      <c r="BQ237" s="4" t="s">
        <v>263</v>
      </c>
      <c r="BR237" s="4" t="s">
        <v>264</v>
      </c>
      <c r="CF237" s="4" t="s">
        <v>241</v>
      </c>
      <c r="CG237" s="4" t="s">
        <v>241</v>
      </c>
      <c r="CK237" s="4" t="s">
        <v>265</v>
      </c>
      <c r="CL237" s="4" t="s">
        <v>266</v>
      </c>
      <c r="CM237" s="4" t="s">
        <v>241</v>
      </c>
      <c r="CO237" s="4" t="s">
        <v>267</v>
      </c>
      <c r="CP237" s="5" t="s">
        <v>268</v>
      </c>
      <c r="CQ237" s="4" t="s">
        <v>269</v>
      </c>
      <c r="CR237" s="4" t="s">
        <v>270</v>
      </c>
      <c r="CS237" s="4" t="s">
        <v>241</v>
      </c>
      <c r="CT237" s="4" t="s">
        <v>241</v>
      </c>
      <c r="CU237" s="4">
        <v>0</v>
      </c>
      <c r="CV237" s="4" t="s">
        <v>271</v>
      </c>
      <c r="CW237" s="4" t="s">
        <v>272</v>
      </c>
      <c r="CX237" s="4" t="s">
        <v>347</v>
      </c>
      <c r="CZ237" s="6">
        <f>1458000</f>
        <v>1458000</v>
      </c>
      <c r="DA237" s="6">
        <f>0</f>
        <v>0</v>
      </c>
      <c r="DC237" s="4" t="s">
        <v>241</v>
      </c>
      <c r="DD237" s="4" t="s">
        <v>241</v>
      </c>
      <c r="DF237" s="4" t="s">
        <v>241</v>
      </c>
      <c r="DI237" s="4" t="s">
        <v>241</v>
      </c>
      <c r="DJ237" s="4" t="s">
        <v>241</v>
      </c>
      <c r="DK237" s="4" t="s">
        <v>241</v>
      </c>
      <c r="DL237" s="4" t="s">
        <v>241</v>
      </c>
      <c r="DM237" s="4" t="s">
        <v>277</v>
      </c>
      <c r="DN237" s="4" t="s">
        <v>278</v>
      </c>
      <c r="DO237" s="6">
        <f>24.3</f>
        <v>24.3</v>
      </c>
      <c r="DP237" s="4" t="s">
        <v>241</v>
      </c>
      <c r="DQ237" s="4" t="s">
        <v>241</v>
      </c>
      <c r="DR237" s="4" t="s">
        <v>241</v>
      </c>
      <c r="DS237" s="4" t="s">
        <v>241</v>
      </c>
      <c r="DV237" s="4" t="s">
        <v>3696</v>
      </c>
      <c r="DW237" s="4" t="s">
        <v>277</v>
      </c>
      <c r="HO237" s="4" t="s">
        <v>277</v>
      </c>
      <c r="HR237" s="4" t="s">
        <v>278</v>
      </c>
      <c r="HS237" s="4" t="s">
        <v>278</v>
      </c>
    </row>
    <row r="238" spans="1:240" x14ac:dyDescent="0.4">
      <c r="A238" s="4">
        <v>2</v>
      </c>
      <c r="B238" s="4" t="s">
        <v>239</v>
      </c>
      <c r="C238" s="4">
        <v>257</v>
      </c>
      <c r="D238" s="4">
        <v>1</v>
      </c>
      <c r="E238" s="4">
        <v>3</v>
      </c>
      <c r="F238" s="4" t="s">
        <v>240</v>
      </c>
      <c r="G238" s="4" t="s">
        <v>241</v>
      </c>
      <c r="H238" s="4" t="s">
        <v>241</v>
      </c>
      <c r="I238" s="4" t="s">
        <v>1958</v>
      </c>
      <c r="J238" s="4" t="s">
        <v>1339</v>
      </c>
      <c r="K238" s="4" t="s">
        <v>256</v>
      </c>
      <c r="L238" s="4" t="s">
        <v>1959</v>
      </c>
      <c r="M238" s="5" t="s">
        <v>1960</v>
      </c>
      <c r="N238" s="4" t="s">
        <v>1957</v>
      </c>
      <c r="O238" s="6">
        <f>277.79</f>
        <v>277.79000000000002</v>
      </c>
      <c r="P238" s="4" t="s">
        <v>276</v>
      </c>
      <c r="Q238" s="6">
        <f>8780965</f>
        <v>8780965</v>
      </c>
      <c r="R238" s="6">
        <f>80559100</f>
        <v>80559100</v>
      </c>
      <c r="S238" s="5" t="s">
        <v>1129</v>
      </c>
      <c r="T238" s="4" t="s">
        <v>333</v>
      </c>
      <c r="U238" s="4" t="s">
        <v>552</v>
      </c>
      <c r="V238" s="6">
        <f>2175095</f>
        <v>2175095</v>
      </c>
      <c r="W238" s="6">
        <f>71778135</f>
        <v>71778135</v>
      </c>
      <c r="X238" s="4" t="s">
        <v>243</v>
      </c>
      <c r="Y238" s="4" t="s">
        <v>244</v>
      </c>
      <c r="Z238" s="4" t="s">
        <v>1338</v>
      </c>
      <c r="AA238" s="4" t="s">
        <v>241</v>
      </c>
      <c r="AD238" s="4" t="s">
        <v>241</v>
      </c>
      <c r="AE238" s="5" t="s">
        <v>241</v>
      </c>
      <c r="AF238" s="5" t="s">
        <v>241</v>
      </c>
      <c r="AH238" s="5" t="s">
        <v>241</v>
      </c>
      <c r="AI238" s="5" t="s">
        <v>249</v>
      </c>
      <c r="AJ238" s="4" t="s">
        <v>251</v>
      </c>
      <c r="AK238" s="4" t="s">
        <v>252</v>
      </c>
      <c r="AQ238" s="4" t="s">
        <v>241</v>
      </c>
      <c r="AR238" s="4" t="s">
        <v>241</v>
      </c>
      <c r="AS238" s="4" t="s">
        <v>241</v>
      </c>
      <c r="AT238" s="5" t="s">
        <v>241</v>
      </c>
      <c r="AU238" s="5" t="s">
        <v>241</v>
      </c>
      <c r="AV238" s="5" t="s">
        <v>241</v>
      </c>
      <c r="AY238" s="4" t="s">
        <v>286</v>
      </c>
      <c r="AZ238" s="4" t="s">
        <v>286</v>
      </c>
      <c r="BA238" s="4" t="s">
        <v>254</v>
      </c>
      <c r="BB238" s="4" t="s">
        <v>287</v>
      </c>
      <c r="BC238" s="4" t="s">
        <v>255</v>
      </c>
      <c r="BD238" s="4" t="s">
        <v>241</v>
      </c>
      <c r="BE238" s="4" t="s">
        <v>257</v>
      </c>
      <c r="BF238" s="4" t="s">
        <v>241</v>
      </c>
      <c r="BJ238" s="4" t="s">
        <v>288</v>
      </c>
      <c r="BK238" s="5" t="s">
        <v>289</v>
      </c>
      <c r="BL238" s="4" t="s">
        <v>290</v>
      </c>
      <c r="BM238" s="4" t="s">
        <v>290</v>
      </c>
      <c r="BN238" s="4" t="s">
        <v>241</v>
      </c>
      <c r="BO238" s="6">
        <f>0</f>
        <v>0</v>
      </c>
      <c r="BP238" s="6">
        <f>-2175095</f>
        <v>-2175095</v>
      </c>
      <c r="BQ238" s="4" t="s">
        <v>263</v>
      </c>
      <c r="BR238" s="4" t="s">
        <v>264</v>
      </c>
      <c r="BS238" s="4" t="s">
        <v>241</v>
      </c>
      <c r="BT238" s="4" t="s">
        <v>241</v>
      </c>
      <c r="BU238" s="4" t="s">
        <v>241</v>
      </c>
      <c r="BV238" s="4" t="s">
        <v>241</v>
      </c>
      <c r="CE238" s="4" t="s">
        <v>264</v>
      </c>
      <c r="CF238" s="4" t="s">
        <v>241</v>
      </c>
      <c r="CG238" s="4" t="s">
        <v>241</v>
      </c>
      <c r="CK238" s="4" t="s">
        <v>291</v>
      </c>
      <c r="CL238" s="4" t="s">
        <v>266</v>
      </c>
      <c r="CM238" s="4" t="s">
        <v>241</v>
      </c>
      <c r="CO238" s="4" t="s">
        <v>551</v>
      </c>
      <c r="CP238" s="5" t="s">
        <v>268</v>
      </c>
      <c r="CQ238" s="4" t="s">
        <v>269</v>
      </c>
      <c r="CR238" s="4" t="s">
        <v>270</v>
      </c>
      <c r="CS238" s="4" t="s">
        <v>293</v>
      </c>
      <c r="CT238" s="4" t="s">
        <v>241</v>
      </c>
      <c r="CU238" s="4">
        <v>2.7E-2</v>
      </c>
      <c r="CV238" s="4" t="s">
        <v>271</v>
      </c>
      <c r="CW238" s="4" t="s">
        <v>1920</v>
      </c>
      <c r="CX238" s="4" t="s">
        <v>295</v>
      </c>
      <c r="CY238" s="6">
        <f>0</f>
        <v>0</v>
      </c>
      <c r="CZ238" s="6">
        <f>80559100</f>
        <v>80559100</v>
      </c>
      <c r="DA238" s="6">
        <f>8780965</f>
        <v>8780965</v>
      </c>
      <c r="DC238" s="4" t="s">
        <v>241</v>
      </c>
      <c r="DD238" s="4" t="s">
        <v>241</v>
      </c>
      <c r="DF238" s="4" t="s">
        <v>241</v>
      </c>
      <c r="DG238" s="6">
        <f>0</f>
        <v>0</v>
      </c>
      <c r="DI238" s="4" t="s">
        <v>241</v>
      </c>
      <c r="DJ238" s="4" t="s">
        <v>241</v>
      </c>
      <c r="DK238" s="4" t="s">
        <v>241</v>
      </c>
      <c r="DL238" s="4" t="s">
        <v>241</v>
      </c>
      <c r="DM238" s="4" t="s">
        <v>277</v>
      </c>
      <c r="DN238" s="4" t="s">
        <v>278</v>
      </c>
      <c r="DO238" s="6">
        <f>277.79</f>
        <v>277.79000000000002</v>
      </c>
      <c r="DP238" s="4" t="s">
        <v>241</v>
      </c>
      <c r="DQ238" s="4" t="s">
        <v>241</v>
      </c>
      <c r="DR238" s="4" t="s">
        <v>241</v>
      </c>
      <c r="DS238" s="4" t="s">
        <v>241</v>
      </c>
      <c r="DV238" s="4" t="s">
        <v>1961</v>
      </c>
      <c r="DW238" s="4" t="s">
        <v>277</v>
      </c>
      <c r="GN238" s="4" t="s">
        <v>1962</v>
      </c>
      <c r="HO238" s="4" t="s">
        <v>300</v>
      </c>
      <c r="HR238" s="4" t="s">
        <v>278</v>
      </c>
      <c r="HS238" s="4" t="s">
        <v>278</v>
      </c>
      <c r="HT238" s="4" t="s">
        <v>241</v>
      </c>
      <c r="HU238" s="4" t="s">
        <v>241</v>
      </c>
      <c r="HV238" s="4" t="s">
        <v>241</v>
      </c>
      <c r="HW238" s="4" t="s">
        <v>241</v>
      </c>
      <c r="HX238" s="4" t="s">
        <v>241</v>
      </c>
      <c r="HY238" s="4" t="s">
        <v>241</v>
      </c>
      <c r="HZ238" s="4" t="s">
        <v>241</v>
      </c>
      <c r="IA238" s="4" t="s">
        <v>241</v>
      </c>
      <c r="IB238" s="4" t="s">
        <v>241</v>
      </c>
      <c r="IC238" s="4" t="s">
        <v>241</v>
      </c>
      <c r="ID238" s="4" t="s">
        <v>241</v>
      </c>
      <c r="IE238" s="4" t="s">
        <v>241</v>
      </c>
      <c r="IF238" s="4" t="s">
        <v>241</v>
      </c>
    </row>
    <row r="239" spans="1:240" x14ac:dyDescent="0.4">
      <c r="A239" s="4">
        <v>2</v>
      </c>
      <c r="B239" s="4" t="s">
        <v>239</v>
      </c>
      <c r="C239" s="4">
        <v>258</v>
      </c>
      <c r="D239" s="4">
        <v>1</v>
      </c>
      <c r="E239" s="4">
        <v>3</v>
      </c>
      <c r="F239" s="4" t="s">
        <v>326</v>
      </c>
      <c r="G239" s="4" t="s">
        <v>241</v>
      </c>
      <c r="H239" s="4" t="s">
        <v>241</v>
      </c>
      <c r="I239" s="4" t="s">
        <v>1958</v>
      </c>
      <c r="J239" s="4" t="s">
        <v>1339</v>
      </c>
      <c r="K239" s="4" t="s">
        <v>256</v>
      </c>
      <c r="L239" s="4" t="s">
        <v>2724</v>
      </c>
      <c r="M239" s="5" t="s">
        <v>1960</v>
      </c>
      <c r="N239" s="4" t="s">
        <v>2891</v>
      </c>
      <c r="O239" s="6">
        <f>0</f>
        <v>0</v>
      </c>
      <c r="P239" s="4" t="s">
        <v>276</v>
      </c>
      <c r="Q239" s="6">
        <f>921004</f>
        <v>921004</v>
      </c>
      <c r="R239" s="6">
        <f>1258200</f>
        <v>1258200</v>
      </c>
      <c r="S239" s="5" t="s">
        <v>2790</v>
      </c>
      <c r="T239" s="4" t="s">
        <v>348</v>
      </c>
      <c r="U239" s="4" t="s">
        <v>297</v>
      </c>
      <c r="V239" s="6">
        <f>84299</f>
        <v>84299</v>
      </c>
      <c r="W239" s="6">
        <f>337196</f>
        <v>337196</v>
      </c>
      <c r="X239" s="4" t="s">
        <v>243</v>
      </c>
      <c r="Y239" s="4" t="s">
        <v>244</v>
      </c>
      <c r="Z239" s="4" t="s">
        <v>1338</v>
      </c>
      <c r="AA239" s="4" t="s">
        <v>241</v>
      </c>
      <c r="AD239" s="4" t="s">
        <v>241</v>
      </c>
      <c r="AE239" s="5" t="s">
        <v>241</v>
      </c>
      <c r="AF239" s="5" t="s">
        <v>241</v>
      </c>
      <c r="AH239" s="5" t="s">
        <v>241</v>
      </c>
      <c r="AI239" s="5" t="s">
        <v>249</v>
      </c>
      <c r="AJ239" s="4" t="s">
        <v>251</v>
      </c>
      <c r="AK239" s="4" t="s">
        <v>252</v>
      </c>
      <c r="AQ239" s="4" t="s">
        <v>241</v>
      </c>
      <c r="AR239" s="4" t="s">
        <v>241</v>
      </c>
      <c r="AS239" s="4" t="s">
        <v>241</v>
      </c>
      <c r="AT239" s="5" t="s">
        <v>241</v>
      </c>
      <c r="AU239" s="5" t="s">
        <v>241</v>
      </c>
      <c r="AV239" s="5" t="s">
        <v>241</v>
      </c>
      <c r="AY239" s="4" t="s">
        <v>286</v>
      </c>
      <c r="AZ239" s="4" t="s">
        <v>286</v>
      </c>
      <c r="BA239" s="4" t="s">
        <v>254</v>
      </c>
      <c r="BB239" s="4" t="s">
        <v>287</v>
      </c>
      <c r="BC239" s="4" t="s">
        <v>255</v>
      </c>
      <c r="BD239" s="4" t="s">
        <v>241</v>
      </c>
      <c r="BE239" s="4" t="s">
        <v>257</v>
      </c>
      <c r="BF239" s="4" t="s">
        <v>241</v>
      </c>
      <c r="BJ239" s="4" t="s">
        <v>288</v>
      </c>
      <c r="BK239" s="5" t="s">
        <v>289</v>
      </c>
      <c r="BL239" s="4" t="s">
        <v>290</v>
      </c>
      <c r="BM239" s="4" t="s">
        <v>290</v>
      </c>
      <c r="BN239" s="4" t="s">
        <v>241</v>
      </c>
      <c r="BP239" s="6">
        <f>-84299</f>
        <v>-84299</v>
      </c>
      <c r="BQ239" s="4" t="s">
        <v>263</v>
      </c>
      <c r="BR239" s="4" t="s">
        <v>264</v>
      </c>
      <c r="BS239" s="4" t="s">
        <v>241</v>
      </c>
      <c r="BT239" s="4" t="s">
        <v>241</v>
      </c>
      <c r="BU239" s="4" t="s">
        <v>241</v>
      </c>
      <c r="BV239" s="4" t="s">
        <v>241</v>
      </c>
      <c r="CE239" s="4" t="s">
        <v>264</v>
      </c>
      <c r="CF239" s="4" t="s">
        <v>241</v>
      </c>
      <c r="CG239" s="4" t="s">
        <v>241</v>
      </c>
      <c r="CK239" s="4" t="s">
        <v>291</v>
      </c>
      <c r="CL239" s="4" t="s">
        <v>266</v>
      </c>
      <c r="CM239" s="4" t="s">
        <v>241</v>
      </c>
      <c r="CO239" s="4" t="s">
        <v>413</v>
      </c>
      <c r="CP239" s="5" t="s">
        <v>268</v>
      </c>
      <c r="CQ239" s="4" t="s">
        <v>269</v>
      </c>
      <c r="CR239" s="4" t="s">
        <v>270</v>
      </c>
      <c r="CS239" s="4" t="s">
        <v>293</v>
      </c>
      <c r="CT239" s="4" t="s">
        <v>241</v>
      </c>
      <c r="CU239" s="4">
        <v>6.7000000000000004E-2</v>
      </c>
      <c r="CV239" s="4" t="s">
        <v>271</v>
      </c>
      <c r="CW239" s="4" t="s">
        <v>415</v>
      </c>
      <c r="CX239" s="4" t="s">
        <v>422</v>
      </c>
      <c r="CY239" s="6">
        <f>0</f>
        <v>0</v>
      </c>
      <c r="CZ239" s="6">
        <f>1258200</f>
        <v>1258200</v>
      </c>
      <c r="DA239" s="6">
        <f>921004</f>
        <v>921004</v>
      </c>
      <c r="DC239" s="4" t="s">
        <v>241</v>
      </c>
      <c r="DD239" s="4" t="s">
        <v>241</v>
      </c>
      <c r="DF239" s="4" t="s">
        <v>241</v>
      </c>
      <c r="DG239" s="6">
        <f>0</f>
        <v>0</v>
      </c>
      <c r="DI239" s="4" t="s">
        <v>241</v>
      </c>
      <c r="DJ239" s="4" t="s">
        <v>241</v>
      </c>
      <c r="DK239" s="4" t="s">
        <v>241</v>
      </c>
      <c r="DL239" s="4" t="s">
        <v>241</v>
      </c>
      <c r="DM239" s="4" t="s">
        <v>278</v>
      </c>
      <c r="DN239" s="4" t="s">
        <v>278</v>
      </c>
      <c r="DO239" s="6" t="s">
        <v>241</v>
      </c>
      <c r="DP239" s="4" t="s">
        <v>241</v>
      </c>
      <c r="DQ239" s="4" t="s">
        <v>241</v>
      </c>
      <c r="DR239" s="4" t="s">
        <v>241</v>
      </c>
      <c r="DS239" s="4" t="s">
        <v>241</v>
      </c>
      <c r="DV239" s="4" t="s">
        <v>1961</v>
      </c>
      <c r="DW239" s="4" t="s">
        <v>323</v>
      </c>
      <c r="GN239" s="4" t="s">
        <v>2892</v>
      </c>
      <c r="HO239" s="4" t="s">
        <v>351</v>
      </c>
      <c r="HR239" s="4" t="s">
        <v>278</v>
      </c>
      <c r="HS239" s="4" t="s">
        <v>278</v>
      </c>
      <c r="HT239" s="4" t="s">
        <v>241</v>
      </c>
      <c r="HU239" s="4" t="s">
        <v>241</v>
      </c>
      <c r="HV239" s="4" t="s">
        <v>241</v>
      </c>
      <c r="HW239" s="4" t="s">
        <v>241</v>
      </c>
      <c r="HX239" s="4" t="s">
        <v>241</v>
      </c>
      <c r="HY239" s="4" t="s">
        <v>241</v>
      </c>
      <c r="HZ239" s="4" t="s">
        <v>241</v>
      </c>
      <c r="IA239" s="4" t="s">
        <v>241</v>
      </c>
      <c r="IB239" s="4" t="s">
        <v>241</v>
      </c>
      <c r="IC239" s="4" t="s">
        <v>241</v>
      </c>
      <c r="ID239" s="4" t="s">
        <v>241</v>
      </c>
      <c r="IE239" s="4" t="s">
        <v>241</v>
      </c>
      <c r="IF239" s="4" t="s">
        <v>241</v>
      </c>
    </row>
    <row r="240" spans="1:240" x14ac:dyDescent="0.4">
      <c r="A240" s="4">
        <v>2</v>
      </c>
      <c r="B240" s="4" t="s">
        <v>239</v>
      </c>
      <c r="C240" s="4">
        <v>259</v>
      </c>
      <c r="D240" s="4">
        <v>1</v>
      </c>
      <c r="E240" s="4">
        <v>3</v>
      </c>
      <c r="F240" s="4" t="s">
        <v>240</v>
      </c>
      <c r="G240" s="4" t="s">
        <v>241</v>
      </c>
      <c r="H240" s="4" t="s">
        <v>241</v>
      </c>
      <c r="I240" s="4" t="s">
        <v>1967</v>
      </c>
      <c r="J240" s="4" t="s">
        <v>1339</v>
      </c>
      <c r="K240" s="4" t="s">
        <v>256</v>
      </c>
      <c r="L240" s="4" t="s">
        <v>1957</v>
      </c>
      <c r="M240" s="5" t="s">
        <v>1969</v>
      </c>
      <c r="N240" s="4" t="s">
        <v>1957</v>
      </c>
      <c r="O240" s="6">
        <f>499.89</f>
        <v>499.89</v>
      </c>
      <c r="P240" s="4" t="s">
        <v>276</v>
      </c>
      <c r="Q240" s="6">
        <f>641179800</f>
        <v>641179800</v>
      </c>
      <c r="R240" s="6">
        <f>767880000</f>
        <v>767880000</v>
      </c>
      <c r="S240" s="5" t="s">
        <v>1968</v>
      </c>
      <c r="T240" s="4" t="s">
        <v>441</v>
      </c>
      <c r="U240" s="4" t="s">
        <v>336</v>
      </c>
      <c r="V240" s="6">
        <f>25340040</f>
        <v>25340040</v>
      </c>
      <c r="W240" s="6">
        <f>126700200</f>
        <v>126700200</v>
      </c>
      <c r="X240" s="4" t="s">
        <v>243</v>
      </c>
      <c r="Y240" s="4" t="s">
        <v>244</v>
      </c>
      <c r="Z240" s="4" t="s">
        <v>1338</v>
      </c>
      <c r="AA240" s="4" t="s">
        <v>241</v>
      </c>
      <c r="AD240" s="4" t="s">
        <v>241</v>
      </c>
      <c r="AE240" s="5" t="s">
        <v>241</v>
      </c>
      <c r="AF240" s="5" t="s">
        <v>241</v>
      </c>
      <c r="AH240" s="5" t="s">
        <v>241</v>
      </c>
      <c r="AI240" s="5" t="s">
        <v>249</v>
      </c>
      <c r="AJ240" s="4" t="s">
        <v>251</v>
      </c>
      <c r="AK240" s="4" t="s">
        <v>252</v>
      </c>
      <c r="AQ240" s="4" t="s">
        <v>241</v>
      </c>
      <c r="AR240" s="4" t="s">
        <v>241</v>
      </c>
      <c r="AS240" s="4" t="s">
        <v>241</v>
      </c>
      <c r="AT240" s="5" t="s">
        <v>241</v>
      </c>
      <c r="AU240" s="5" t="s">
        <v>241</v>
      </c>
      <c r="AV240" s="5" t="s">
        <v>241</v>
      </c>
      <c r="AY240" s="4" t="s">
        <v>286</v>
      </c>
      <c r="AZ240" s="4" t="s">
        <v>286</v>
      </c>
      <c r="BA240" s="4" t="s">
        <v>254</v>
      </c>
      <c r="BB240" s="4" t="s">
        <v>287</v>
      </c>
      <c r="BC240" s="4" t="s">
        <v>255</v>
      </c>
      <c r="BD240" s="4" t="s">
        <v>241</v>
      </c>
      <c r="BE240" s="4" t="s">
        <v>257</v>
      </c>
      <c r="BF240" s="4" t="s">
        <v>241</v>
      </c>
      <c r="BH240" s="4" t="s">
        <v>1923</v>
      </c>
      <c r="BJ240" s="4" t="s">
        <v>288</v>
      </c>
      <c r="BK240" s="5" t="s">
        <v>289</v>
      </c>
      <c r="BL240" s="4" t="s">
        <v>290</v>
      </c>
      <c r="BM240" s="4" t="s">
        <v>290</v>
      </c>
      <c r="BN240" s="4" t="s">
        <v>241</v>
      </c>
      <c r="BO240" s="6">
        <f>0</f>
        <v>0</v>
      </c>
      <c r="BP240" s="6">
        <f>-25340040</f>
        <v>-25340040</v>
      </c>
      <c r="BQ240" s="4" t="s">
        <v>263</v>
      </c>
      <c r="BR240" s="4" t="s">
        <v>264</v>
      </c>
      <c r="BS240" s="4" t="s">
        <v>241</v>
      </c>
      <c r="BT240" s="4" t="s">
        <v>241</v>
      </c>
      <c r="BU240" s="4" t="s">
        <v>241</v>
      </c>
      <c r="BV240" s="4" t="s">
        <v>241</v>
      </c>
      <c r="CE240" s="4" t="s">
        <v>264</v>
      </c>
      <c r="CF240" s="4" t="s">
        <v>241</v>
      </c>
      <c r="CG240" s="4" t="s">
        <v>241</v>
      </c>
      <c r="CK240" s="4" t="s">
        <v>291</v>
      </c>
      <c r="CL240" s="4" t="s">
        <v>266</v>
      </c>
      <c r="CM240" s="4" t="s">
        <v>241</v>
      </c>
      <c r="CO240" s="4" t="s">
        <v>593</v>
      </c>
      <c r="CP240" s="5" t="s">
        <v>268</v>
      </c>
      <c r="CQ240" s="4" t="s">
        <v>269</v>
      </c>
      <c r="CR240" s="4" t="s">
        <v>270</v>
      </c>
      <c r="CS240" s="4" t="s">
        <v>293</v>
      </c>
      <c r="CT240" s="4" t="s">
        <v>241</v>
      </c>
      <c r="CU240" s="4">
        <v>3.3000000000000002E-2</v>
      </c>
      <c r="CV240" s="4" t="s">
        <v>271</v>
      </c>
      <c r="CW240" s="4" t="s">
        <v>1920</v>
      </c>
      <c r="CX240" s="4" t="s">
        <v>487</v>
      </c>
      <c r="CY240" s="6">
        <f>0</f>
        <v>0</v>
      </c>
      <c r="CZ240" s="6">
        <f>767880000</f>
        <v>767880000</v>
      </c>
      <c r="DA240" s="6">
        <f>641179800</f>
        <v>641179800</v>
      </c>
      <c r="DC240" s="4" t="s">
        <v>241</v>
      </c>
      <c r="DD240" s="4" t="s">
        <v>241</v>
      </c>
      <c r="DF240" s="4" t="s">
        <v>241</v>
      </c>
      <c r="DG240" s="6">
        <f>0</f>
        <v>0</v>
      </c>
      <c r="DI240" s="4" t="s">
        <v>241</v>
      </c>
      <c r="DJ240" s="4" t="s">
        <v>241</v>
      </c>
      <c r="DK240" s="4" t="s">
        <v>241</v>
      </c>
      <c r="DL240" s="4" t="s">
        <v>241</v>
      </c>
      <c r="DM240" s="4" t="s">
        <v>323</v>
      </c>
      <c r="DN240" s="4" t="s">
        <v>278</v>
      </c>
      <c r="DO240" s="6">
        <f>499.89</f>
        <v>499.89</v>
      </c>
      <c r="DP240" s="4" t="s">
        <v>241</v>
      </c>
      <c r="DQ240" s="4" t="s">
        <v>241</v>
      </c>
      <c r="DR240" s="4" t="s">
        <v>241</v>
      </c>
      <c r="DS240" s="4" t="s">
        <v>241</v>
      </c>
      <c r="DV240" s="4" t="s">
        <v>1970</v>
      </c>
      <c r="DW240" s="4" t="s">
        <v>277</v>
      </c>
      <c r="GN240" s="4" t="s">
        <v>1971</v>
      </c>
      <c r="HO240" s="4" t="s">
        <v>300</v>
      </c>
      <c r="HR240" s="4" t="s">
        <v>278</v>
      </c>
      <c r="HS240" s="4" t="s">
        <v>278</v>
      </c>
      <c r="HT240" s="4" t="s">
        <v>241</v>
      </c>
      <c r="HU240" s="4" t="s">
        <v>241</v>
      </c>
      <c r="HV240" s="4" t="s">
        <v>241</v>
      </c>
      <c r="HW240" s="4" t="s">
        <v>241</v>
      </c>
      <c r="HX240" s="4" t="s">
        <v>241</v>
      </c>
      <c r="HY240" s="4" t="s">
        <v>241</v>
      </c>
      <c r="HZ240" s="4" t="s">
        <v>241</v>
      </c>
      <c r="IA240" s="4" t="s">
        <v>241</v>
      </c>
      <c r="IB240" s="4" t="s">
        <v>241</v>
      </c>
      <c r="IC240" s="4" t="s">
        <v>241</v>
      </c>
      <c r="ID240" s="4" t="s">
        <v>241</v>
      </c>
      <c r="IE240" s="4" t="s">
        <v>241</v>
      </c>
      <c r="IF240" s="4" t="s">
        <v>241</v>
      </c>
    </row>
    <row r="241" spans="1:240" x14ac:dyDescent="0.4">
      <c r="A241" s="4">
        <v>2</v>
      </c>
      <c r="B241" s="4" t="s">
        <v>239</v>
      </c>
      <c r="C241" s="4">
        <v>260</v>
      </c>
      <c r="D241" s="4">
        <v>1</v>
      </c>
      <c r="E241" s="4">
        <v>3</v>
      </c>
      <c r="F241" s="4" t="s">
        <v>326</v>
      </c>
      <c r="G241" s="4" t="s">
        <v>241</v>
      </c>
      <c r="H241" s="4" t="s">
        <v>241</v>
      </c>
      <c r="I241" s="4" t="s">
        <v>1908</v>
      </c>
      <c r="J241" s="4" t="s">
        <v>1339</v>
      </c>
      <c r="K241" s="4" t="s">
        <v>256</v>
      </c>
      <c r="L241" s="4" t="s">
        <v>241</v>
      </c>
      <c r="M241" s="5" t="s">
        <v>1910</v>
      </c>
      <c r="N241" s="4" t="s">
        <v>1914</v>
      </c>
      <c r="O241" s="6">
        <f>6563.29</f>
        <v>6563.29</v>
      </c>
      <c r="P241" s="4" t="s">
        <v>276</v>
      </c>
      <c r="Q241" s="6">
        <f>7965152551</f>
        <v>7965152551</v>
      </c>
      <c r="R241" s="6">
        <f>8528000589</f>
        <v>8528000589</v>
      </c>
      <c r="S241" s="5" t="s">
        <v>1909</v>
      </c>
      <c r="T241" s="4" t="s">
        <v>441</v>
      </c>
      <c r="U241" s="4" t="s">
        <v>277</v>
      </c>
      <c r="V241" s="6">
        <f>281424019</f>
        <v>281424019</v>
      </c>
      <c r="W241" s="6">
        <f>562848038</f>
        <v>562848038</v>
      </c>
      <c r="X241" s="4" t="s">
        <v>243</v>
      </c>
      <c r="Y241" s="4" t="s">
        <v>244</v>
      </c>
      <c r="Z241" s="4" t="s">
        <v>241</v>
      </c>
      <c r="AA241" s="4" t="s">
        <v>241</v>
      </c>
      <c r="AD241" s="4" t="s">
        <v>241</v>
      </c>
      <c r="AE241" s="5" t="s">
        <v>241</v>
      </c>
      <c r="AF241" s="5" t="s">
        <v>241</v>
      </c>
      <c r="AH241" s="5" t="s">
        <v>241</v>
      </c>
      <c r="AI241" s="5" t="s">
        <v>249</v>
      </c>
      <c r="AJ241" s="4" t="s">
        <v>251</v>
      </c>
      <c r="AK241" s="4" t="s">
        <v>252</v>
      </c>
      <c r="AQ241" s="4" t="s">
        <v>241</v>
      </c>
      <c r="AR241" s="4" t="s">
        <v>241</v>
      </c>
      <c r="AS241" s="4" t="s">
        <v>241</v>
      </c>
      <c r="AT241" s="5" t="s">
        <v>241</v>
      </c>
      <c r="AU241" s="5" t="s">
        <v>241</v>
      </c>
      <c r="AV241" s="5" t="s">
        <v>241</v>
      </c>
      <c r="AY241" s="4" t="s">
        <v>286</v>
      </c>
      <c r="AZ241" s="4" t="s">
        <v>286</v>
      </c>
      <c r="BA241" s="4" t="s">
        <v>254</v>
      </c>
      <c r="BB241" s="4" t="s">
        <v>287</v>
      </c>
      <c r="BC241" s="4" t="s">
        <v>255</v>
      </c>
      <c r="BD241" s="4" t="s">
        <v>241</v>
      </c>
      <c r="BE241" s="4" t="s">
        <v>257</v>
      </c>
      <c r="BF241" s="4" t="s">
        <v>241</v>
      </c>
      <c r="BJ241" s="4" t="s">
        <v>288</v>
      </c>
      <c r="BK241" s="5" t="s">
        <v>289</v>
      </c>
      <c r="BL241" s="4" t="s">
        <v>290</v>
      </c>
      <c r="BM241" s="4" t="s">
        <v>290</v>
      </c>
      <c r="BN241" s="4" t="s">
        <v>241</v>
      </c>
      <c r="BO241" s="6">
        <f>0</f>
        <v>0</v>
      </c>
      <c r="BP241" s="6">
        <f>-281424019</f>
        <v>-281424019</v>
      </c>
      <c r="BQ241" s="4" t="s">
        <v>263</v>
      </c>
      <c r="BR241" s="4" t="s">
        <v>264</v>
      </c>
      <c r="BS241" s="4" t="s">
        <v>241</v>
      </c>
      <c r="BT241" s="4" t="s">
        <v>241</v>
      </c>
      <c r="BU241" s="4" t="s">
        <v>241</v>
      </c>
      <c r="BV241" s="4" t="s">
        <v>241</v>
      </c>
      <c r="CE241" s="4" t="s">
        <v>264</v>
      </c>
      <c r="CF241" s="4" t="s">
        <v>241</v>
      </c>
      <c r="CG241" s="4" t="s">
        <v>241</v>
      </c>
      <c r="CK241" s="4" t="s">
        <v>291</v>
      </c>
      <c r="CL241" s="4" t="s">
        <v>266</v>
      </c>
      <c r="CM241" s="4" t="s">
        <v>241</v>
      </c>
      <c r="CO241" s="4" t="s">
        <v>331</v>
      </c>
      <c r="CP241" s="5" t="s">
        <v>268</v>
      </c>
      <c r="CQ241" s="4" t="s">
        <v>269</v>
      </c>
      <c r="CR241" s="4" t="s">
        <v>270</v>
      </c>
      <c r="CS241" s="4" t="s">
        <v>293</v>
      </c>
      <c r="CT241" s="4" t="s">
        <v>241</v>
      </c>
      <c r="CU241" s="4">
        <v>3.3000000000000002E-2</v>
      </c>
      <c r="CV241" s="4" t="s">
        <v>271</v>
      </c>
      <c r="CW241" s="4" t="s">
        <v>1911</v>
      </c>
      <c r="CX241" s="4" t="s">
        <v>487</v>
      </c>
      <c r="CY241" s="6">
        <f>0</f>
        <v>0</v>
      </c>
      <c r="CZ241" s="6">
        <f>8528000589</f>
        <v>8528000589</v>
      </c>
      <c r="DA241" s="6">
        <f>7965152551</f>
        <v>7965152551</v>
      </c>
      <c r="DC241" s="4" t="s">
        <v>241</v>
      </c>
      <c r="DD241" s="4" t="s">
        <v>241</v>
      </c>
      <c r="DF241" s="4" t="s">
        <v>241</v>
      </c>
      <c r="DG241" s="6">
        <f>0</f>
        <v>0</v>
      </c>
      <c r="DI241" s="4" t="s">
        <v>241</v>
      </c>
      <c r="DJ241" s="4" t="s">
        <v>241</v>
      </c>
      <c r="DK241" s="4" t="s">
        <v>241</v>
      </c>
      <c r="DL241" s="4" t="s">
        <v>241</v>
      </c>
      <c r="DM241" s="4" t="s">
        <v>336</v>
      </c>
      <c r="DN241" s="4" t="s">
        <v>277</v>
      </c>
      <c r="DO241" s="6">
        <f>6563.29</f>
        <v>6563.29</v>
      </c>
      <c r="DP241" s="4" t="s">
        <v>241</v>
      </c>
      <c r="DQ241" s="4" t="s">
        <v>241</v>
      </c>
      <c r="DR241" s="4" t="s">
        <v>241</v>
      </c>
      <c r="DS241" s="4" t="s">
        <v>241</v>
      </c>
      <c r="DV241" s="4" t="s">
        <v>1912</v>
      </c>
      <c r="DW241" s="4" t="s">
        <v>277</v>
      </c>
      <c r="GN241" s="4" t="s">
        <v>1915</v>
      </c>
      <c r="HO241" s="4" t="s">
        <v>297</v>
      </c>
      <c r="HR241" s="4" t="s">
        <v>278</v>
      </c>
      <c r="HS241" s="4" t="s">
        <v>278</v>
      </c>
      <c r="HT241" s="4" t="s">
        <v>241</v>
      </c>
      <c r="HU241" s="4" t="s">
        <v>241</v>
      </c>
      <c r="HV241" s="4" t="s">
        <v>241</v>
      </c>
      <c r="HW241" s="4" t="s">
        <v>241</v>
      </c>
      <c r="HX241" s="4" t="s">
        <v>241</v>
      </c>
      <c r="HY241" s="4" t="s">
        <v>241</v>
      </c>
      <c r="HZ241" s="4" t="s">
        <v>241</v>
      </c>
      <c r="IA241" s="4" t="s">
        <v>241</v>
      </c>
      <c r="IB241" s="4" t="s">
        <v>241</v>
      </c>
      <c r="IC241" s="4" t="s">
        <v>241</v>
      </c>
      <c r="ID241" s="4" t="s">
        <v>241</v>
      </c>
      <c r="IE241" s="4" t="s">
        <v>241</v>
      </c>
      <c r="IF241" s="4" t="s">
        <v>241</v>
      </c>
    </row>
    <row r="242" spans="1:240" x14ac:dyDescent="0.4">
      <c r="A242" s="4">
        <v>2</v>
      </c>
      <c r="B242" s="4" t="s">
        <v>239</v>
      </c>
      <c r="C242" s="4">
        <v>261</v>
      </c>
      <c r="D242" s="4">
        <v>1</v>
      </c>
      <c r="E242" s="4">
        <v>3</v>
      </c>
      <c r="F242" s="4" t="s">
        <v>326</v>
      </c>
      <c r="G242" s="4" t="s">
        <v>241</v>
      </c>
      <c r="H242" s="4" t="s">
        <v>241</v>
      </c>
      <c r="I242" s="4" t="s">
        <v>1908</v>
      </c>
      <c r="J242" s="4" t="s">
        <v>1339</v>
      </c>
      <c r="K242" s="4" t="s">
        <v>256</v>
      </c>
      <c r="L242" s="4" t="s">
        <v>241</v>
      </c>
      <c r="M242" s="5" t="s">
        <v>1910</v>
      </c>
      <c r="N242" s="4" t="s">
        <v>1360</v>
      </c>
      <c r="O242" s="6">
        <f>1124.96</f>
        <v>1124.96</v>
      </c>
      <c r="P242" s="4" t="s">
        <v>276</v>
      </c>
      <c r="Q242" s="6">
        <f>1382932379</f>
        <v>1382932379</v>
      </c>
      <c r="R242" s="6">
        <f>1461873549</f>
        <v>1461873549</v>
      </c>
      <c r="S242" s="5" t="s">
        <v>1909</v>
      </c>
      <c r="T242" s="4" t="s">
        <v>333</v>
      </c>
      <c r="U242" s="4" t="s">
        <v>277</v>
      </c>
      <c r="V242" s="6">
        <f>39470585</f>
        <v>39470585</v>
      </c>
      <c r="W242" s="6">
        <f>78941170</f>
        <v>78941170</v>
      </c>
      <c r="X242" s="4" t="s">
        <v>243</v>
      </c>
      <c r="Y242" s="4" t="s">
        <v>244</v>
      </c>
      <c r="Z242" s="4" t="s">
        <v>241</v>
      </c>
      <c r="AA242" s="4" t="s">
        <v>241</v>
      </c>
      <c r="AD242" s="4" t="s">
        <v>241</v>
      </c>
      <c r="AE242" s="5" t="s">
        <v>241</v>
      </c>
      <c r="AF242" s="5" t="s">
        <v>241</v>
      </c>
      <c r="AH242" s="5" t="s">
        <v>241</v>
      </c>
      <c r="AI242" s="5" t="s">
        <v>249</v>
      </c>
      <c r="AJ242" s="4" t="s">
        <v>251</v>
      </c>
      <c r="AK242" s="4" t="s">
        <v>252</v>
      </c>
      <c r="AQ242" s="4" t="s">
        <v>241</v>
      </c>
      <c r="AR242" s="4" t="s">
        <v>241</v>
      </c>
      <c r="AS242" s="4" t="s">
        <v>241</v>
      </c>
      <c r="AT242" s="5" t="s">
        <v>241</v>
      </c>
      <c r="AU242" s="5" t="s">
        <v>241</v>
      </c>
      <c r="AV242" s="5" t="s">
        <v>241</v>
      </c>
      <c r="AY242" s="4" t="s">
        <v>286</v>
      </c>
      <c r="AZ242" s="4" t="s">
        <v>286</v>
      </c>
      <c r="BA242" s="4" t="s">
        <v>254</v>
      </c>
      <c r="BB242" s="4" t="s">
        <v>287</v>
      </c>
      <c r="BC242" s="4" t="s">
        <v>255</v>
      </c>
      <c r="BD242" s="4" t="s">
        <v>241</v>
      </c>
      <c r="BE242" s="4" t="s">
        <v>257</v>
      </c>
      <c r="BF242" s="4" t="s">
        <v>241</v>
      </c>
      <c r="BJ242" s="4" t="s">
        <v>288</v>
      </c>
      <c r="BK242" s="5" t="s">
        <v>289</v>
      </c>
      <c r="BL242" s="4" t="s">
        <v>290</v>
      </c>
      <c r="BM242" s="4" t="s">
        <v>290</v>
      </c>
      <c r="BN242" s="4" t="s">
        <v>241</v>
      </c>
      <c r="BO242" s="6">
        <f>0</f>
        <v>0</v>
      </c>
      <c r="BP242" s="6">
        <f>-39470585</f>
        <v>-39470585</v>
      </c>
      <c r="BQ242" s="4" t="s">
        <v>263</v>
      </c>
      <c r="BR242" s="4" t="s">
        <v>264</v>
      </c>
      <c r="BS242" s="4" t="s">
        <v>241</v>
      </c>
      <c r="BT242" s="4" t="s">
        <v>241</v>
      </c>
      <c r="BU242" s="4" t="s">
        <v>241</v>
      </c>
      <c r="BV242" s="4" t="s">
        <v>241</v>
      </c>
      <c r="CE242" s="4" t="s">
        <v>264</v>
      </c>
      <c r="CF242" s="4" t="s">
        <v>241</v>
      </c>
      <c r="CG242" s="4" t="s">
        <v>241</v>
      </c>
      <c r="CK242" s="4" t="s">
        <v>291</v>
      </c>
      <c r="CL242" s="4" t="s">
        <v>266</v>
      </c>
      <c r="CM242" s="4" t="s">
        <v>241</v>
      </c>
      <c r="CO242" s="4" t="s">
        <v>331</v>
      </c>
      <c r="CP242" s="5" t="s">
        <v>268</v>
      </c>
      <c r="CQ242" s="4" t="s">
        <v>269</v>
      </c>
      <c r="CR242" s="4" t="s">
        <v>270</v>
      </c>
      <c r="CS242" s="4" t="s">
        <v>293</v>
      </c>
      <c r="CT242" s="4" t="s">
        <v>241</v>
      </c>
      <c r="CU242" s="4">
        <v>2.7E-2</v>
      </c>
      <c r="CV242" s="4" t="s">
        <v>271</v>
      </c>
      <c r="CW242" s="4" t="s">
        <v>1911</v>
      </c>
      <c r="CX242" s="4" t="s">
        <v>295</v>
      </c>
      <c r="CY242" s="6">
        <f>0</f>
        <v>0</v>
      </c>
      <c r="CZ242" s="6">
        <f>1461873549</f>
        <v>1461873549</v>
      </c>
      <c r="DA242" s="6">
        <f>1382932379</f>
        <v>1382932379</v>
      </c>
      <c r="DC242" s="4" t="s">
        <v>241</v>
      </c>
      <c r="DD242" s="4" t="s">
        <v>241</v>
      </c>
      <c r="DF242" s="4" t="s">
        <v>241</v>
      </c>
      <c r="DG242" s="6">
        <f>0</f>
        <v>0</v>
      </c>
      <c r="DI242" s="4" t="s">
        <v>241</v>
      </c>
      <c r="DJ242" s="4" t="s">
        <v>241</v>
      </c>
      <c r="DK242" s="4" t="s">
        <v>241</v>
      </c>
      <c r="DL242" s="4" t="s">
        <v>241</v>
      </c>
      <c r="DM242" s="4" t="s">
        <v>323</v>
      </c>
      <c r="DN242" s="4" t="s">
        <v>278</v>
      </c>
      <c r="DO242" s="6">
        <f>1124.96</f>
        <v>1124.96</v>
      </c>
      <c r="DP242" s="4" t="s">
        <v>241</v>
      </c>
      <c r="DQ242" s="4" t="s">
        <v>241</v>
      </c>
      <c r="DR242" s="4" t="s">
        <v>241</v>
      </c>
      <c r="DS242" s="4" t="s">
        <v>241</v>
      </c>
      <c r="DV242" s="4" t="s">
        <v>1912</v>
      </c>
      <c r="DW242" s="4" t="s">
        <v>323</v>
      </c>
      <c r="GN242" s="4" t="s">
        <v>1916</v>
      </c>
      <c r="HO242" s="4" t="s">
        <v>297</v>
      </c>
      <c r="HR242" s="4" t="s">
        <v>278</v>
      </c>
      <c r="HS242" s="4" t="s">
        <v>278</v>
      </c>
      <c r="HT242" s="4" t="s">
        <v>241</v>
      </c>
      <c r="HU242" s="4" t="s">
        <v>241</v>
      </c>
      <c r="HV242" s="4" t="s">
        <v>241</v>
      </c>
      <c r="HW242" s="4" t="s">
        <v>241</v>
      </c>
      <c r="HX242" s="4" t="s">
        <v>241</v>
      </c>
      <c r="HY242" s="4" t="s">
        <v>241</v>
      </c>
      <c r="HZ242" s="4" t="s">
        <v>241</v>
      </c>
      <c r="IA242" s="4" t="s">
        <v>241</v>
      </c>
      <c r="IB242" s="4" t="s">
        <v>241</v>
      </c>
      <c r="IC242" s="4" t="s">
        <v>241</v>
      </c>
      <c r="ID242" s="4" t="s">
        <v>241</v>
      </c>
      <c r="IE242" s="4" t="s">
        <v>241</v>
      </c>
      <c r="IF242" s="4" t="s">
        <v>241</v>
      </c>
    </row>
    <row r="243" spans="1:240" x14ac:dyDescent="0.4">
      <c r="A243" s="4">
        <v>2</v>
      </c>
      <c r="B243" s="4" t="s">
        <v>239</v>
      </c>
      <c r="C243" s="4">
        <v>262</v>
      </c>
      <c r="D243" s="4">
        <v>1</v>
      </c>
      <c r="E243" s="4">
        <v>3</v>
      </c>
      <c r="F243" s="4" t="s">
        <v>326</v>
      </c>
      <c r="G243" s="4" t="s">
        <v>241</v>
      </c>
      <c r="H243" s="4" t="s">
        <v>241</v>
      </c>
      <c r="I243" s="4" t="s">
        <v>1908</v>
      </c>
      <c r="J243" s="4" t="s">
        <v>1339</v>
      </c>
      <c r="K243" s="4" t="s">
        <v>256</v>
      </c>
      <c r="L243" s="4" t="s">
        <v>241</v>
      </c>
      <c r="M243" s="5" t="s">
        <v>1910</v>
      </c>
      <c r="N243" s="4" t="s">
        <v>1907</v>
      </c>
      <c r="O243" s="6">
        <f>214.5</f>
        <v>214.5</v>
      </c>
      <c r="P243" s="4" t="s">
        <v>276</v>
      </c>
      <c r="Q243" s="6">
        <f>263688483</f>
        <v>263688483</v>
      </c>
      <c r="R243" s="6">
        <f>278740467</f>
        <v>278740467</v>
      </c>
      <c r="S243" s="5" t="s">
        <v>1909</v>
      </c>
      <c r="T243" s="4" t="s">
        <v>333</v>
      </c>
      <c r="U243" s="4" t="s">
        <v>277</v>
      </c>
      <c r="V243" s="6">
        <f>7525992</f>
        <v>7525992</v>
      </c>
      <c r="W243" s="6">
        <f>15051984</f>
        <v>15051984</v>
      </c>
      <c r="X243" s="4" t="s">
        <v>243</v>
      </c>
      <c r="Y243" s="4" t="s">
        <v>244</v>
      </c>
      <c r="Z243" s="4" t="s">
        <v>241</v>
      </c>
      <c r="AA243" s="4" t="s">
        <v>241</v>
      </c>
      <c r="AD243" s="4" t="s">
        <v>241</v>
      </c>
      <c r="AE243" s="5" t="s">
        <v>241</v>
      </c>
      <c r="AF243" s="5" t="s">
        <v>241</v>
      </c>
      <c r="AH243" s="5" t="s">
        <v>241</v>
      </c>
      <c r="AI243" s="5" t="s">
        <v>249</v>
      </c>
      <c r="AJ243" s="4" t="s">
        <v>251</v>
      </c>
      <c r="AK243" s="4" t="s">
        <v>252</v>
      </c>
      <c r="AQ243" s="4" t="s">
        <v>241</v>
      </c>
      <c r="AR243" s="4" t="s">
        <v>241</v>
      </c>
      <c r="AS243" s="4" t="s">
        <v>241</v>
      </c>
      <c r="AT243" s="5" t="s">
        <v>241</v>
      </c>
      <c r="AU243" s="5" t="s">
        <v>241</v>
      </c>
      <c r="AV243" s="5" t="s">
        <v>241</v>
      </c>
      <c r="AY243" s="4" t="s">
        <v>286</v>
      </c>
      <c r="AZ243" s="4" t="s">
        <v>286</v>
      </c>
      <c r="BA243" s="4" t="s">
        <v>254</v>
      </c>
      <c r="BB243" s="4" t="s">
        <v>287</v>
      </c>
      <c r="BC243" s="4" t="s">
        <v>255</v>
      </c>
      <c r="BD243" s="4" t="s">
        <v>241</v>
      </c>
      <c r="BE243" s="4" t="s">
        <v>257</v>
      </c>
      <c r="BF243" s="4" t="s">
        <v>241</v>
      </c>
      <c r="BJ243" s="4" t="s">
        <v>288</v>
      </c>
      <c r="BK243" s="5" t="s">
        <v>289</v>
      </c>
      <c r="BL243" s="4" t="s">
        <v>290</v>
      </c>
      <c r="BM243" s="4" t="s">
        <v>290</v>
      </c>
      <c r="BN243" s="4" t="s">
        <v>241</v>
      </c>
      <c r="BO243" s="6">
        <f>0</f>
        <v>0</v>
      </c>
      <c r="BP243" s="6">
        <f>-7525992</f>
        <v>-7525992</v>
      </c>
      <c r="BQ243" s="4" t="s">
        <v>263</v>
      </c>
      <c r="BR243" s="4" t="s">
        <v>264</v>
      </c>
      <c r="BS243" s="4" t="s">
        <v>241</v>
      </c>
      <c r="BT243" s="4" t="s">
        <v>241</v>
      </c>
      <c r="BU243" s="4" t="s">
        <v>241</v>
      </c>
      <c r="BV243" s="4" t="s">
        <v>241</v>
      </c>
      <c r="CE243" s="4" t="s">
        <v>264</v>
      </c>
      <c r="CF243" s="4" t="s">
        <v>241</v>
      </c>
      <c r="CG243" s="4" t="s">
        <v>241</v>
      </c>
      <c r="CK243" s="4" t="s">
        <v>291</v>
      </c>
      <c r="CL243" s="4" t="s">
        <v>266</v>
      </c>
      <c r="CM243" s="4" t="s">
        <v>241</v>
      </c>
      <c r="CO243" s="4" t="s">
        <v>331</v>
      </c>
      <c r="CP243" s="5" t="s">
        <v>268</v>
      </c>
      <c r="CQ243" s="4" t="s">
        <v>269</v>
      </c>
      <c r="CR243" s="4" t="s">
        <v>270</v>
      </c>
      <c r="CS243" s="4" t="s">
        <v>293</v>
      </c>
      <c r="CT243" s="4" t="s">
        <v>241</v>
      </c>
      <c r="CU243" s="4">
        <v>2.7E-2</v>
      </c>
      <c r="CV243" s="4" t="s">
        <v>271</v>
      </c>
      <c r="CW243" s="4" t="s">
        <v>1911</v>
      </c>
      <c r="CX243" s="4" t="s">
        <v>295</v>
      </c>
      <c r="CY243" s="6">
        <f>0</f>
        <v>0</v>
      </c>
      <c r="CZ243" s="6">
        <f>278740467</f>
        <v>278740467</v>
      </c>
      <c r="DA243" s="6">
        <f>263688483</f>
        <v>263688483</v>
      </c>
      <c r="DC243" s="4" t="s">
        <v>241</v>
      </c>
      <c r="DD243" s="4" t="s">
        <v>241</v>
      </c>
      <c r="DF243" s="4" t="s">
        <v>241</v>
      </c>
      <c r="DG243" s="6">
        <f>0</f>
        <v>0</v>
      </c>
      <c r="DI243" s="4" t="s">
        <v>241</v>
      </c>
      <c r="DJ243" s="4" t="s">
        <v>241</v>
      </c>
      <c r="DK243" s="4" t="s">
        <v>241</v>
      </c>
      <c r="DL243" s="4" t="s">
        <v>241</v>
      </c>
      <c r="DM243" s="4" t="s">
        <v>277</v>
      </c>
      <c r="DN243" s="4" t="s">
        <v>278</v>
      </c>
      <c r="DO243" s="6">
        <f>214.5</f>
        <v>214.5</v>
      </c>
      <c r="DP243" s="4" t="s">
        <v>241</v>
      </c>
      <c r="DQ243" s="4" t="s">
        <v>241</v>
      </c>
      <c r="DR243" s="4" t="s">
        <v>241</v>
      </c>
      <c r="DS243" s="4" t="s">
        <v>241</v>
      </c>
      <c r="DV243" s="4" t="s">
        <v>1912</v>
      </c>
      <c r="DW243" s="4" t="s">
        <v>297</v>
      </c>
      <c r="GN243" s="4" t="s">
        <v>1913</v>
      </c>
      <c r="HO243" s="4" t="s">
        <v>297</v>
      </c>
      <c r="HR243" s="4" t="s">
        <v>278</v>
      </c>
      <c r="HS243" s="4" t="s">
        <v>278</v>
      </c>
      <c r="HT243" s="4" t="s">
        <v>241</v>
      </c>
      <c r="HU243" s="4" t="s">
        <v>241</v>
      </c>
      <c r="HV243" s="4" t="s">
        <v>241</v>
      </c>
      <c r="HW243" s="4" t="s">
        <v>241</v>
      </c>
      <c r="HX243" s="4" t="s">
        <v>241</v>
      </c>
      <c r="HY243" s="4" t="s">
        <v>241</v>
      </c>
      <c r="HZ243" s="4" t="s">
        <v>241</v>
      </c>
      <c r="IA243" s="4" t="s">
        <v>241</v>
      </c>
      <c r="IB243" s="4" t="s">
        <v>241</v>
      </c>
      <c r="IC243" s="4" t="s">
        <v>241</v>
      </c>
      <c r="ID243" s="4" t="s">
        <v>241</v>
      </c>
      <c r="IE243" s="4" t="s">
        <v>241</v>
      </c>
      <c r="IF243" s="4" t="s">
        <v>241</v>
      </c>
    </row>
    <row r="244" spans="1:240" x14ac:dyDescent="0.4">
      <c r="A244" s="4">
        <v>2</v>
      </c>
      <c r="B244" s="4" t="s">
        <v>239</v>
      </c>
      <c r="C244" s="4">
        <v>263</v>
      </c>
      <c r="D244" s="4">
        <v>1</v>
      </c>
      <c r="E244" s="4">
        <v>3</v>
      </c>
      <c r="F244" s="4" t="s">
        <v>326</v>
      </c>
      <c r="G244" s="4" t="s">
        <v>241</v>
      </c>
      <c r="H244" s="4" t="s">
        <v>241</v>
      </c>
      <c r="I244" s="4" t="s">
        <v>1908</v>
      </c>
      <c r="J244" s="4" t="s">
        <v>1339</v>
      </c>
      <c r="K244" s="4" t="s">
        <v>256</v>
      </c>
      <c r="L244" s="4" t="s">
        <v>241</v>
      </c>
      <c r="M244" s="5" t="s">
        <v>1910</v>
      </c>
      <c r="N244" s="4" t="s">
        <v>3849</v>
      </c>
      <c r="O244" s="6">
        <f>106.77</f>
        <v>106.77</v>
      </c>
      <c r="P244" s="4" t="s">
        <v>276</v>
      </c>
      <c r="Q244" s="6">
        <f>129589213</f>
        <v>129589213</v>
      </c>
      <c r="R244" s="6">
        <f>138746479</f>
        <v>138746479</v>
      </c>
      <c r="S244" s="5" t="s">
        <v>1909</v>
      </c>
      <c r="T244" s="4" t="s">
        <v>441</v>
      </c>
      <c r="U244" s="4" t="s">
        <v>277</v>
      </c>
      <c r="V244" s="6">
        <f>4578633</f>
        <v>4578633</v>
      </c>
      <c r="W244" s="6">
        <f>9157266</f>
        <v>9157266</v>
      </c>
      <c r="X244" s="4" t="s">
        <v>243</v>
      </c>
      <c r="Y244" s="4" t="s">
        <v>244</v>
      </c>
      <c r="Z244" s="4" t="s">
        <v>241</v>
      </c>
      <c r="AA244" s="4" t="s">
        <v>241</v>
      </c>
      <c r="AD244" s="4" t="s">
        <v>241</v>
      </c>
      <c r="AE244" s="5" t="s">
        <v>241</v>
      </c>
      <c r="AF244" s="5" t="s">
        <v>241</v>
      </c>
      <c r="AH244" s="5" t="s">
        <v>241</v>
      </c>
      <c r="AI244" s="5" t="s">
        <v>249</v>
      </c>
      <c r="AJ244" s="4" t="s">
        <v>251</v>
      </c>
      <c r="AK244" s="4" t="s">
        <v>252</v>
      </c>
      <c r="AQ244" s="4" t="s">
        <v>241</v>
      </c>
      <c r="AR244" s="4" t="s">
        <v>241</v>
      </c>
      <c r="AS244" s="4" t="s">
        <v>241</v>
      </c>
      <c r="AT244" s="5" t="s">
        <v>241</v>
      </c>
      <c r="AU244" s="5" t="s">
        <v>241</v>
      </c>
      <c r="AV244" s="5" t="s">
        <v>241</v>
      </c>
      <c r="AY244" s="4" t="s">
        <v>286</v>
      </c>
      <c r="AZ244" s="4" t="s">
        <v>286</v>
      </c>
      <c r="BA244" s="4" t="s">
        <v>254</v>
      </c>
      <c r="BB244" s="4" t="s">
        <v>287</v>
      </c>
      <c r="BC244" s="4" t="s">
        <v>255</v>
      </c>
      <c r="BD244" s="4" t="s">
        <v>241</v>
      </c>
      <c r="BE244" s="4" t="s">
        <v>257</v>
      </c>
      <c r="BF244" s="4" t="s">
        <v>241</v>
      </c>
      <c r="BJ244" s="4" t="s">
        <v>288</v>
      </c>
      <c r="BK244" s="5" t="s">
        <v>289</v>
      </c>
      <c r="BL244" s="4" t="s">
        <v>290</v>
      </c>
      <c r="BM244" s="4" t="s">
        <v>290</v>
      </c>
      <c r="BN244" s="4" t="s">
        <v>241</v>
      </c>
      <c r="BO244" s="6">
        <f>0</f>
        <v>0</v>
      </c>
      <c r="BP244" s="6">
        <f>-4578633</f>
        <v>-4578633</v>
      </c>
      <c r="BQ244" s="4" t="s">
        <v>263</v>
      </c>
      <c r="BR244" s="4" t="s">
        <v>264</v>
      </c>
      <c r="BS244" s="4" t="s">
        <v>241</v>
      </c>
      <c r="BT244" s="4" t="s">
        <v>241</v>
      </c>
      <c r="BU244" s="4" t="s">
        <v>241</v>
      </c>
      <c r="BV244" s="4" t="s">
        <v>241</v>
      </c>
      <c r="CE244" s="4" t="s">
        <v>264</v>
      </c>
      <c r="CF244" s="4" t="s">
        <v>241</v>
      </c>
      <c r="CG244" s="4" t="s">
        <v>241</v>
      </c>
      <c r="CK244" s="4" t="s">
        <v>291</v>
      </c>
      <c r="CL244" s="4" t="s">
        <v>266</v>
      </c>
      <c r="CM244" s="4" t="s">
        <v>241</v>
      </c>
      <c r="CO244" s="4" t="s">
        <v>331</v>
      </c>
      <c r="CP244" s="5" t="s">
        <v>268</v>
      </c>
      <c r="CQ244" s="4" t="s">
        <v>269</v>
      </c>
      <c r="CR244" s="4" t="s">
        <v>270</v>
      </c>
      <c r="CS244" s="4" t="s">
        <v>293</v>
      </c>
      <c r="CT244" s="4" t="s">
        <v>241</v>
      </c>
      <c r="CU244" s="4">
        <v>3.3000000000000002E-2</v>
      </c>
      <c r="CV244" s="4" t="s">
        <v>271</v>
      </c>
      <c r="CW244" s="4" t="s">
        <v>455</v>
      </c>
      <c r="CX244" s="4" t="s">
        <v>487</v>
      </c>
      <c r="CY244" s="6">
        <f>0</f>
        <v>0</v>
      </c>
      <c r="CZ244" s="6">
        <f>138746479</f>
        <v>138746479</v>
      </c>
      <c r="DA244" s="6">
        <f>129589213</f>
        <v>129589213</v>
      </c>
      <c r="DC244" s="4" t="s">
        <v>241</v>
      </c>
      <c r="DD244" s="4" t="s">
        <v>241</v>
      </c>
      <c r="DF244" s="4" t="s">
        <v>241</v>
      </c>
      <c r="DG244" s="6">
        <f>0</f>
        <v>0</v>
      </c>
      <c r="DI244" s="4" t="s">
        <v>241</v>
      </c>
      <c r="DJ244" s="4" t="s">
        <v>241</v>
      </c>
      <c r="DK244" s="4" t="s">
        <v>241</v>
      </c>
      <c r="DL244" s="4" t="s">
        <v>241</v>
      </c>
      <c r="DM244" s="4" t="s">
        <v>277</v>
      </c>
      <c r="DN244" s="4" t="s">
        <v>278</v>
      </c>
      <c r="DO244" s="6">
        <f>106.77</f>
        <v>106.77</v>
      </c>
      <c r="DP244" s="4" t="s">
        <v>241</v>
      </c>
      <c r="DQ244" s="4" t="s">
        <v>241</v>
      </c>
      <c r="DR244" s="4" t="s">
        <v>241</v>
      </c>
      <c r="DS244" s="4" t="s">
        <v>241</v>
      </c>
      <c r="DV244" s="4" t="s">
        <v>1912</v>
      </c>
      <c r="DW244" s="4" t="s">
        <v>336</v>
      </c>
      <c r="GN244" s="4" t="s">
        <v>3850</v>
      </c>
      <c r="HO244" s="4" t="s">
        <v>297</v>
      </c>
      <c r="HR244" s="4" t="s">
        <v>278</v>
      </c>
      <c r="HS244" s="4" t="s">
        <v>278</v>
      </c>
      <c r="HT244" s="4" t="s">
        <v>241</v>
      </c>
      <c r="HU244" s="4" t="s">
        <v>241</v>
      </c>
      <c r="HV244" s="4" t="s">
        <v>241</v>
      </c>
      <c r="HW244" s="4" t="s">
        <v>241</v>
      </c>
      <c r="HX244" s="4" t="s">
        <v>241</v>
      </c>
      <c r="HY244" s="4" t="s">
        <v>241</v>
      </c>
      <c r="HZ244" s="4" t="s">
        <v>241</v>
      </c>
      <c r="IA244" s="4" t="s">
        <v>241</v>
      </c>
      <c r="IB244" s="4" t="s">
        <v>241</v>
      </c>
      <c r="IC244" s="4" t="s">
        <v>241</v>
      </c>
      <c r="ID244" s="4" t="s">
        <v>241</v>
      </c>
      <c r="IE244" s="4" t="s">
        <v>241</v>
      </c>
      <c r="IF244" s="4" t="s">
        <v>241</v>
      </c>
    </row>
    <row r="245" spans="1:240" x14ac:dyDescent="0.4">
      <c r="A245" s="4">
        <v>2</v>
      </c>
      <c r="B245" s="4" t="s">
        <v>239</v>
      </c>
      <c r="C245" s="4">
        <v>264</v>
      </c>
      <c r="D245" s="4">
        <v>1</v>
      </c>
      <c r="E245" s="4">
        <v>3</v>
      </c>
      <c r="F245" s="4" t="s">
        <v>240</v>
      </c>
      <c r="G245" s="4" t="s">
        <v>241</v>
      </c>
      <c r="H245" s="4" t="s">
        <v>241</v>
      </c>
      <c r="I245" s="4" t="s">
        <v>1748</v>
      </c>
      <c r="J245" s="4" t="s">
        <v>1749</v>
      </c>
      <c r="K245" s="4" t="s">
        <v>256</v>
      </c>
      <c r="L245" s="4" t="s">
        <v>1922</v>
      </c>
      <c r="M245" s="5" t="s">
        <v>1751</v>
      </c>
      <c r="N245" s="4" t="s">
        <v>1922</v>
      </c>
      <c r="O245" s="6">
        <f>6072.24</f>
        <v>6072.24</v>
      </c>
      <c r="P245" s="4" t="s">
        <v>276</v>
      </c>
      <c r="Q245" s="6">
        <f>1390203464</f>
        <v>1390203464</v>
      </c>
      <c r="R245" s="6">
        <f>2056514000</f>
        <v>2056514000</v>
      </c>
      <c r="S245" s="5" t="s">
        <v>1750</v>
      </c>
      <c r="T245" s="4" t="s">
        <v>333</v>
      </c>
      <c r="U245" s="4" t="s">
        <v>353</v>
      </c>
      <c r="V245" s="6">
        <f>55525878</f>
        <v>55525878</v>
      </c>
      <c r="W245" s="6">
        <f>666310536</f>
        <v>666310536</v>
      </c>
      <c r="X245" s="4" t="s">
        <v>243</v>
      </c>
      <c r="Y245" s="4" t="s">
        <v>244</v>
      </c>
      <c r="Z245" s="4" t="s">
        <v>1338</v>
      </c>
      <c r="AA245" s="4" t="s">
        <v>241</v>
      </c>
      <c r="AD245" s="4" t="s">
        <v>241</v>
      </c>
      <c r="AE245" s="5" t="s">
        <v>241</v>
      </c>
      <c r="AF245" s="5" t="s">
        <v>241</v>
      </c>
      <c r="AH245" s="5" t="s">
        <v>241</v>
      </c>
      <c r="AI245" s="5" t="s">
        <v>249</v>
      </c>
      <c r="AJ245" s="4" t="s">
        <v>251</v>
      </c>
      <c r="AK245" s="4" t="s">
        <v>252</v>
      </c>
      <c r="AQ245" s="4" t="s">
        <v>241</v>
      </c>
      <c r="AR245" s="4" t="s">
        <v>241</v>
      </c>
      <c r="AS245" s="4" t="s">
        <v>241</v>
      </c>
      <c r="AT245" s="5" t="s">
        <v>241</v>
      </c>
      <c r="AU245" s="5" t="s">
        <v>241</v>
      </c>
      <c r="AV245" s="5" t="s">
        <v>241</v>
      </c>
      <c r="AY245" s="4" t="s">
        <v>286</v>
      </c>
      <c r="AZ245" s="4" t="s">
        <v>286</v>
      </c>
      <c r="BA245" s="4" t="s">
        <v>254</v>
      </c>
      <c r="BB245" s="4" t="s">
        <v>287</v>
      </c>
      <c r="BC245" s="4" t="s">
        <v>255</v>
      </c>
      <c r="BD245" s="4" t="s">
        <v>241</v>
      </c>
      <c r="BE245" s="4" t="s">
        <v>257</v>
      </c>
      <c r="BF245" s="4" t="s">
        <v>241</v>
      </c>
      <c r="BH245" s="4" t="s">
        <v>1923</v>
      </c>
      <c r="BJ245" s="4" t="s">
        <v>288</v>
      </c>
      <c r="BK245" s="5" t="s">
        <v>289</v>
      </c>
      <c r="BL245" s="4" t="s">
        <v>290</v>
      </c>
      <c r="BM245" s="4" t="s">
        <v>290</v>
      </c>
      <c r="BN245" s="4" t="s">
        <v>241</v>
      </c>
      <c r="BO245" s="6">
        <f>0</f>
        <v>0</v>
      </c>
      <c r="BP245" s="6">
        <f>-55525878</f>
        <v>-55525878</v>
      </c>
      <c r="BQ245" s="4" t="s">
        <v>263</v>
      </c>
      <c r="BR245" s="4" t="s">
        <v>264</v>
      </c>
      <c r="BS245" s="4" t="s">
        <v>241</v>
      </c>
      <c r="BT245" s="4" t="s">
        <v>241</v>
      </c>
      <c r="BU245" s="4" t="s">
        <v>241</v>
      </c>
      <c r="BV245" s="4" t="s">
        <v>241</v>
      </c>
      <c r="CE245" s="4" t="s">
        <v>264</v>
      </c>
      <c r="CF245" s="4" t="s">
        <v>241</v>
      </c>
      <c r="CG245" s="4" t="s">
        <v>241</v>
      </c>
      <c r="CK245" s="4" t="s">
        <v>291</v>
      </c>
      <c r="CL245" s="4" t="s">
        <v>266</v>
      </c>
      <c r="CM245" s="4" t="s">
        <v>241</v>
      </c>
      <c r="CO245" s="4" t="s">
        <v>352</v>
      </c>
      <c r="CP245" s="5" t="s">
        <v>268</v>
      </c>
      <c r="CQ245" s="4" t="s">
        <v>269</v>
      </c>
      <c r="CR245" s="4" t="s">
        <v>270</v>
      </c>
      <c r="CS245" s="4" t="s">
        <v>293</v>
      </c>
      <c r="CT245" s="4" t="s">
        <v>241</v>
      </c>
      <c r="CU245" s="4">
        <v>2.7E-2</v>
      </c>
      <c r="CV245" s="4" t="s">
        <v>271</v>
      </c>
      <c r="CW245" s="4" t="s">
        <v>1920</v>
      </c>
      <c r="CX245" s="4" t="s">
        <v>295</v>
      </c>
      <c r="CY245" s="6">
        <f>0</f>
        <v>0</v>
      </c>
      <c r="CZ245" s="6">
        <f>2056514000</f>
        <v>2056514000</v>
      </c>
      <c r="DA245" s="6">
        <f>1390203464</f>
        <v>1390203464</v>
      </c>
      <c r="DC245" s="4" t="s">
        <v>241</v>
      </c>
      <c r="DD245" s="4" t="s">
        <v>241</v>
      </c>
      <c r="DF245" s="4" t="s">
        <v>241</v>
      </c>
      <c r="DG245" s="6">
        <f>0</f>
        <v>0</v>
      </c>
      <c r="DI245" s="4" t="s">
        <v>241</v>
      </c>
      <c r="DJ245" s="4" t="s">
        <v>241</v>
      </c>
      <c r="DK245" s="4" t="s">
        <v>241</v>
      </c>
      <c r="DL245" s="4" t="s">
        <v>241</v>
      </c>
      <c r="DM245" s="4" t="s">
        <v>277</v>
      </c>
      <c r="DN245" s="4" t="s">
        <v>278</v>
      </c>
      <c r="DO245" s="6">
        <f>6072.24</f>
        <v>6072.24</v>
      </c>
      <c r="DP245" s="4" t="s">
        <v>241</v>
      </c>
      <c r="DQ245" s="4" t="s">
        <v>241</v>
      </c>
      <c r="DR245" s="4" t="s">
        <v>241</v>
      </c>
      <c r="DS245" s="4" t="s">
        <v>241</v>
      </c>
      <c r="DV245" s="4" t="s">
        <v>1752</v>
      </c>
      <c r="DW245" s="4" t="s">
        <v>277</v>
      </c>
      <c r="GN245" s="4" t="s">
        <v>1924</v>
      </c>
      <c r="HO245" s="4" t="s">
        <v>300</v>
      </c>
      <c r="HR245" s="4" t="s">
        <v>278</v>
      </c>
      <c r="HS245" s="4" t="s">
        <v>278</v>
      </c>
      <c r="HT245" s="4" t="s">
        <v>241</v>
      </c>
      <c r="HU245" s="4" t="s">
        <v>241</v>
      </c>
      <c r="HV245" s="4" t="s">
        <v>241</v>
      </c>
      <c r="HW245" s="4" t="s">
        <v>241</v>
      </c>
      <c r="HX245" s="4" t="s">
        <v>241</v>
      </c>
      <c r="HY245" s="4" t="s">
        <v>241</v>
      </c>
      <c r="HZ245" s="4" t="s">
        <v>241</v>
      </c>
      <c r="IA245" s="4" t="s">
        <v>241</v>
      </c>
      <c r="IB245" s="4" t="s">
        <v>241</v>
      </c>
      <c r="IC245" s="4" t="s">
        <v>241</v>
      </c>
      <c r="ID245" s="4" t="s">
        <v>241</v>
      </c>
      <c r="IE245" s="4" t="s">
        <v>241</v>
      </c>
      <c r="IF245" s="4" t="s">
        <v>241</v>
      </c>
    </row>
    <row r="246" spans="1:240" x14ac:dyDescent="0.4">
      <c r="A246" s="4">
        <v>2</v>
      </c>
      <c r="B246" s="4" t="s">
        <v>239</v>
      </c>
      <c r="C246" s="4">
        <v>265</v>
      </c>
      <c r="D246" s="4">
        <v>1</v>
      </c>
      <c r="E246" s="4">
        <v>3</v>
      </c>
      <c r="F246" s="4" t="s">
        <v>240</v>
      </c>
      <c r="G246" s="4" t="s">
        <v>241</v>
      </c>
      <c r="H246" s="4" t="s">
        <v>241</v>
      </c>
      <c r="I246" s="4" t="s">
        <v>1748</v>
      </c>
      <c r="J246" s="4" t="s">
        <v>1749</v>
      </c>
      <c r="K246" s="4" t="s">
        <v>256</v>
      </c>
      <c r="L246" s="4" t="s">
        <v>1907</v>
      </c>
      <c r="M246" s="5" t="s">
        <v>1751</v>
      </c>
      <c r="N246" s="4" t="s">
        <v>1907</v>
      </c>
      <c r="O246" s="6">
        <f>131.2</f>
        <v>131.19999999999999</v>
      </c>
      <c r="P246" s="4" t="s">
        <v>276</v>
      </c>
      <c r="Q246" s="6">
        <f>5682432</f>
        <v>5682432</v>
      </c>
      <c r="R246" s="6">
        <f>9408000</f>
        <v>9408000</v>
      </c>
      <c r="S246" s="5" t="s">
        <v>1750</v>
      </c>
      <c r="T246" s="4" t="s">
        <v>441</v>
      </c>
      <c r="U246" s="4" t="s">
        <v>353</v>
      </c>
      <c r="V246" s="6">
        <f>310464</f>
        <v>310464</v>
      </c>
      <c r="W246" s="6">
        <f>3725568</f>
        <v>3725568</v>
      </c>
      <c r="X246" s="4" t="s">
        <v>243</v>
      </c>
      <c r="Y246" s="4" t="s">
        <v>244</v>
      </c>
      <c r="Z246" s="4" t="s">
        <v>1338</v>
      </c>
      <c r="AA246" s="4" t="s">
        <v>241</v>
      </c>
      <c r="AD246" s="4" t="s">
        <v>241</v>
      </c>
      <c r="AE246" s="5" t="s">
        <v>241</v>
      </c>
      <c r="AF246" s="5" t="s">
        <v>241</v>
      </c>
      <c r="AH246" s="5" t="s">
        <v>241</v>
      </c>
      <c r="AI246" s="5" t="s">
        <v>249</v>
      </c>
      <c r="AJ246" s="4" t="s">
        <v>251</v>
      </c>
      <c r="AK246" s="4" t="s">
        <v>252</v>
      </c>
      <c r="AQ246" s="4" t="s">
        <v>241</v>
      </c>
      <c r="AR246" s="4" t="s">
        <v>241</v>
      </c>
      <c r="AS246" s="4" t="s">
        <v>241</v>
      </c>
      <c r="AT246" s="5" t="s">
        <v>241</v>
      </c>
      <c r="AU246" s="5" t="s">
        <v>241</v>
      </c>
      <c r="AV246" s="5" t="s">
        <v>241</v>
      </c>
      <c r="AY246" s="4" t="s">
        <v>286</v>
      </c>
      <c r="AZ246" s="4" t="s">
        <v>286</v>
      </c>
      <c r="BA246" s="4" t="s">
        <v>254</v>
      </c>
      <c r="BB246" s="4" t="s">
        <v>287</v>
      </c>
      <c r="BC246" s="4" t="s">
        <v>255</v>
      </c>
      <c r="BD246" s="4" t="s">
        <v>241</v>
      </c>
      <c r="BE246" s="4" t="s">
        <v>257</v>
      </c>
      <c r="BF246" s="4" t="s">
        <v>241</v>
      </c>
      <c r="BJ246" s="4" t="s">
        <v>288</v>
      </c>
      <c r="BK246" s="5" t="s">
        <v>289</v>
      </c>
      <c r="BL246" s="4" t="s">
        <v>290</v>
      </c>
      <c r="BM246" s="4" t="s">
        <v>290</v>
      </c>
      <c r="BN246" s="4" t="s">
        <v>241</v>
      </c>
      <c r="BO246" s="6">
        <f>0</f>
        <v>0</v>
      </c>
      <c r="BP246" s="6">
        <f>-310464</f>
        <v>-310464</v>
      </c>
      <c r="BQ246" s="4" t="s">
        <v>263</v>
      </c>
      <c r="BR246" s="4" t="s">
        <v>264</v>
      </c>
      <c r="BS246" s="4" t="s">
        <v>241</v>
      </c>
      <c r="BT246" s="4" t="s">
        <v>241</v>
      </c>
      <c r="BU246" s="4" t="s">
        <v>241</v>
      </c>
      <c r="BV246" s="4" t="s">
        <v>241</v>
      </c>
      <c r="CE246" s="4" t="s">
        <v>264</v>
      </c>
      <c r="CF246" s="4" t="s">
        <v>241</v>
      </c>
      <c r="CG246" s="4" t="s">
        <v>241</v>
      </c>
      <c r="CK246" s="4" t="s">
        <v>291</v>
      </c>
      <c r="CL246" s="4" t="s">
        <v>266</v>
      </c>
      <c r="CM246" s="4" t="s">
        <v>241</v>
      </c>
      <c r="CO246" s="4" t="s">
        <v>352</v>
      </c>
      <c r="CP246" s="5" t="s">
        <v>268</v>
      </c>
      <c r="CQ246" s="4" t="s">
        <v>269</v>
      </c>
      <c r="CR246" s="4" t="s">
        <v>270</v>
      </c>
      <c r="CS246" s="4" t="s">
        <v>293</v>
      </c>
      <c r="CT246" s="4" t="s">
        <v>241</v>
      </c>
      <c r="CU246" s="4">
        <v>3.3000000000000002E-2</v>
      </c>
      <c r="CV246" s="4" t="s">
        <v>271</v>
      </c>
      <c r="CW246" s="4" t="s">
        <v>1917</v>
      </c>
      <c r="CX246" s="4" t="s">
        <v>487</v>
      </c>
      <c r="CY246" s="6">
        <f>0</f>
        <v>0</v>
      </c>
      <c r="CZ246" s="6">
        <f>9408000</f>
        <v>9408000</v>
      </c>
      <c r="DA246" s="6">
        <f>5682432</f>
        <v>5682432</v>
      </c>
      <c r="DC246" s="4" t="s">
        <v>241</v>
      </c>
      <c r="DD246" s="4" t="s">
        <v>241</v>
      </c>
      <c r="DF246" s="4" t="s">
        <v>241</v>
      </c>
      <c r="DG246" s="6">
        <f>0</f>
        <v>0</v>
      </c>
      <c r="DI246" s="4" t="s">
        <v>241</v>
      </c>
      <c r="DJ246" s="4" t="s">
        <v>241</v>
      </c>
      <c r="DK246" s="4" t="s">
        <v>241</v>
      </c>
      <c r="DL246" s="4" t="s">
        <v>241</v>
      </c>
      <c r="DM246" s="4" t="s">
        <v>277</v>
      </c>
      <c r="DN246" s="4" t="s">
        <v>278</v>
      </c>
      <c r="DO246" s="6">
        <f>131.2</f>
        <v>131.19999999999999</v>
      </c>
      <c r="DP246" s="4" t="s">
        <v>241</v>
      </c>
      <c r="DQ246" s="4" t="s">
        <v>241</v>
      </c>
      <c r="DR246" s="4" t="s">
        <v>241</v>
      </c>
      <c r="DS246" s="4" t="s">
        <v>241</v>
      </c>
      <c r="DV246" s="4" t="s">
        <v>1752</v>
      </c>
      <c r="DW246" s="4" t="s">
        <v>323</v>
      </c>
      <c r="GN246" s="4" t="s">
        <v>1918</v>
      </c>
      <c r="HO246" s="4" t="s">
        <v>300</v>
      </c>
      <c r="HR246" s="4" t="s">
        <v>278</v>
      </c>
      <c r="HS246" s="4" t="s">
        <v>278</v>
      </c>
      <c r="HT246" s="4" t="s">
        <v>241</v>
      </c>
      <c r="HU246" s="4" t="s">
        <v>241</v>
      </c>
      <c r="HV246" s="4" t="s">
        <v>241</v>
      </c>
      <c r="HW246" s="4" t="s">
        <v>241</v>
      </c>
      <c r="HX246" s="4" t="s">
        <v>241</v>
      </c>
      <c r="HY246" s="4" t="s">
        <v>241</v>
      </c>
      <c r="HZ246" s="4" t="s">
        <v>241</v>
      </c>
      <c r="IA246" s="4" t="s">
        <v>241</v>
      </c>
      <c r="IB246" s="4" t="s">
        <v>241</v>
      </c>
      <c r="IC246" s="4" t="s">
        <v>241</v>
      </c>
      <c r="ID246" s="4" t="s">
        <v>241</v>
      </c>
      <c r="IE246" s="4" t="s">
        <v>241</v>
      </c>
      <c r="IF246" s="4" t="s">
        <v>241</v>
      </c>
    </row>
    <row r="247" spans="1:240" x14ac:dyDescent="0.4">
      <c r="A247" s="4">
        <v>2</v>
      </c>
      <c r="B247" s="4" t="s">
        <v>239</v>
      </c>
      <c r="C247" s="4">
        <v>266</v>
      </c>
      <c r="D247" s="4">
        <v>1</v>
      </c>
      <c r="E247" s="4">
        <v>3</v>
      </c>
      <c r="F247" s="4" t="s">
        <v>240</v>
      </c>
      <c r="G247" s="4" t="s">
        <v>241</v>
      </c>
      <c r="H247" s="4" t="s">
        <v>241</v>
      </c>
      <c r="I247" s="4" t="s">
        <v>1748</v>
      </c>
      <c r="J247" s="4" t="s">
        <v>1749</v>
      </c>
      <c r="K247" s="4" t="s">
        <v>256</v>
      </c>
      <c r="L247" s="4" t="s">
        <v>340</v>
      </c>
      <c r="M247" s="5" t="s">
        <v>1751</v>
      </c>
      <c r="N247" s="4" t="s">
        <v>340</v>
      </c>
      <c r="O247" s="6">
        <f>23.04</f>
        <v>23.04</v>
      </c>
      <c r="P247" s="4" t="s">
        <v>276</v>
      </c>
      <c r="Q247" s="6">
        <f>1008000</f>
        <v>1008000</v>
      </c>
      <c r="R247" s="6">
        <f>1575000</f>
        <v>1575000</v>
      </c>
      <c r="S247" s="5" t="s">
        <v>1750</v>
      </c>
      <c r="T247" s="4" t="s">
        <v>357</v>
      </c>
      <c r="U247" s="4" t="s">
        <v>353</v>
      </c>
      <c r="V247" s="6">
        <f>47250</f>
        <v>47250</v>
      </c>
      <c r="W247" s="6">
        <f>567000</f>
        <v>567000</v>
      </c>
      <c r="X247" s="4" t="s">
        <v>243</v>
      </c>
      <c r="Y247" s="4" t="s">
        <v>244</v>
      </c>
      <c r="Z247" s="4" t="s">
        <v>1338</v>
      </c>
      <c r="AA247" s="4" t="s">
        <v>241</v>
      </c>
      <c r="AD247" s="4" t="s">
        <v>241</v>
      </c>
      <c r="AE247" s="5" t="s">
        <v>241</v>
      </c>
      <c r="AF247" s="5" t="s">
        <v>241</v>
      </c>
      <c r="AH247" s="5" t="s">
        <v>241</v>
      </c>
      <c r="AI247" s="5" t="s">
        <v>249</v>
      </c>
      <c r="AJ247" s="4" t="s">
        <v>251</v>
      </c>
      <c r="AK247" s="4" t="s">
        <v>252</v>
      </c>
      <c r="AQ247" s="4" t="s">
        <v>241</v>
      </c>
      <c r="AR247" s="4" t="s">
        <v>241</v>
      </c>
      <c r="AS247" s="4" t="s">
        <v>241</v>
      </c>
      <c r="AT247" s="5" t="s">
        <v>241</v>
      </c>
      <c r="AU247" s="5" t="s">
        <v>241</v>
      </c>
      <c r="AV247" s="5" t="s">
        <v>241</v>
      </c>
      <c r="AY247" s="4" t="s">
        <v>286</v>
      </c>
      <c r="AZ247" s="4" t="s">
        <v>286</v>
      </c>
      <c r="BA247" s="4" t="s">
        <v>254</v>
      </c>
      <c r="BB247" s="4" t="s">
        <v>287</v>
      </c>
      <c r="BC247" s="4" t="s">
        <v>255</v>
      </c>
      <c r="BD247" s="4" t="s">
        <v>241</v>
      </c>
      <c r="BE247" s="4" t="s">
        <v>257</v>
      </c>
      <c r="BF247" s="4" t="s">
        <v>241</v>
      </c>
      <c r="BJ247" s="4" t="s">
        <v>288</v>
      </c>
      <c r="BK247" s="5" t="s">
        <v>289</v>
      </c>
      <c r="BL247" s="4" t="s">
        <v>290</v>
      </c>
      <c r="BM247" s="4" t="s">
        <v>290</v>
      </c>
      <c r="BN247" s="4" t="s">
        <v>241</v>
      </c>
      <c r="BO247" s="6">
        <f>0</f>
        <v>0</v>
      </c>
      <c r="BP247" s="6">
        <f>-47250</f>
        <v>-47250</v>
      </c>
      <c r="BQ247" s="4" t="s">
        <v>263</v>
      </c>
      <c r="BR247" s="4" t="s">
        <v>264</v>
      </c>
      <c r="BS247" s="4" t="s">
        <v>241</v>
      </c>
      <c r="BT247" s="4" t="s">
        <v>241</v>
      </c>
      <c r="BU247" s="4" t="s">
        <v>241</v>
      </c>
      <c r="BV247" s="4" t="s">
        <v>241</v>
      </c>
      <c r="CE247" s="4" t="s">
        <v>264</v>
      </c>
      <c r="CF247" s="4" t="s">
        <v>241</v>
      </c>
      <c r="CG247" s="4" t="s">
        <v>241</v>
      </c>
      <c r="CK247" s="4" t="s">
        <v>291</v>
      </c>
      <c r="CL247" s="4" t="s">
        <v>266</v>
      </c>
      <c r="CM247" s="4" t="s">
        <v>241</v>
      </c>
      <c r="CO247" s="4" t="s">
        <v>352</v>
      </c>
      <c r="CP247" s="5" t="s">
        <v>268</v>
      </c>
      <c r="CQ247" s="4" t="s">
        <v>269</v>
      </c>
      <c r="CR247" s="4" t="s">
        <v>270</v>
      </c>
      <c r="CS247" s="4" t="s">
        <v>293</v>
      </c>
      <c r="CT247" s="4" t="s">
        <v>241</v>
      </c>
      <c r="CU247" s="4">
        <v>0.03</v>
      </c>
      <c r="CV247" s="4" t="s">
        <v>271</v>
      </c>
      <c r="CW247" s="4" t="s">
        <v>332</v>
      </c>
      <c r="CX247" s="4" t="s">
        <v>356</v>
      </c>
      <c r="CY247" s="6">
        <f>0</f>
        <v>0</v>
      </c>
      <c r="CZ247" s="6">
        <f>1575000</f>
        <v>1575000</v>
      </c>
      <c r="DA247" s="6">
        <f>1008000</f>
        <v>1008000</v>
      </c>
      <c r="DC247" s="4" t="s">
        <v>241</v>
      </c>
      <c r="DD247" s="4" t="s">
        <v>241</v>
      </c>
      <c r="DF247" s="4" t="s">
        <v>241</v>
      </c>
      <c r="DG247" s="6">
        <f>0</f>
        <v>0</v>
      </c>
      <c r="DI247" s="4" t="s">
        <v>241</v>
      </c>
      <c r="DJ247" s="4" t="s">
        <v>241</v>
      </c>
      <c r="DK247" s="4" t="s">
        <v>241</v>
      </c>
      <c r="DL247" s="4" t="s">
        <v>241</v>
      </c>
      <c r="DM247" s="4" t="s">
        <v>277</v>
      </c>
      <c r="DN247" s="4" t="s">
        <v>278</v>
      </c>
      <c r="DO247" s="6">
        <f>23.04</f>
        <v>23.04</v>
      </c>
      <c r="DP247" s="4" t="s">
        <v>241</v>
      </c>
      <c r="DQ247" s="4" t="s">
        <v>241</v>
      </c>
      <c r="DR247" s="4" t="s">
        <v>241</v>
      </c>
      <c r="DS247" s="4" t="s">
        <v>241</v>
      </c>
      <c r="DV247" s="4" t="s">
        <v>1752</v>
      </c>
      <c r="DW247" s="4" t="s">
        <v>297</v>
      </c>
      <c r="GN247" s="4" t="s">
        <v>1753</v>
      </c>
      <c r="HO247" s="4" t="s">
        <v>300</v>
      </c>
      <c r="HR247" s="4" t="s">
        <v>278</v>
      </c>
      <c r="HS247" s="4" t="s">
        <v>278</v>
      </c>
      <c r="HT247" s="4" t="s">
        <v>241</v>
      </c>
      <c r="HU247" s="4" t="s">
        <v>241</v>
      </c>
      <c r="HV247" s="4" t="s">
        <v>241</v>
      </c>
      <c r="HW247" s="4" t="s">
        <v>241</v>
      </c>
      <c r="HX247" s="4" t="s">
        <v>241</v>
      </c>
      <c r="HY247" s="4" t="s">
        <v>241</v>
      </c>
      <c r="HZ247" s="4" t="s">
        <v>241</v>
      </c>
      <c r="IA247" s="4" t="s">
        <v>241</v>
      </c>
      <c r="IB247" s="4" t="s">
        <v>241</v>
      </c>
      <c r="IC247" s="4" t="s">
        <v>241</v>
      </c>
      <c r="ID247" s="4" t="s">
        <v>241</v>
      </c>
      <c r="IE247" s="4" t="s">
        <v>241</v>
      </c>
      <c r="IF247" s="4" t="s">
        <v>241</v>
      </c>
    </row>
    <row r="248" spans="1:240" x14ac:dyDescent="0.4">
      <c r="A248" s="4">
        <v>2</v>
      </c>
      <c r="B248" s="4" t="s">
        <v>239</v>
      </c>
      <c r="C248" s="4">
        <v>267</v>
      </c>
      <c r="D248" s="4">
        <v>1</v>
      </c>
      <c r="E248" s="4">
        <v>1</v>
      </c>
      <c r="F248" s="4" t="s">
        <v>240</v>
      </c>
      <c r="G248" s="4" t="s">
        <v>241</v>
      </c>
      <c r="H248" s="4" t="s">
        <v>241</v>
      </c>
      <c r="I248" s="4" t="s">
        <v>3697</v>
      </c>
      <c r="J248" s="4" t="s">
        <v>673</v>
      </c>
      <c r="K248" s="4" t="s">
        <v>256</v>
      </c>
      <c r="L248" s="4" t="s">
        <v>3027</v>
      </c>
      <c r="M248" s="5" t="s">
        <v>1855</v>
      </c>
      <c r="N248" s="4" t="s">
        <v>3027</v>
      </c>
      <c r="O248" s="6">
        <f>39.6</f>
        <v>39.6</v>
      </c>
      <c r="P248" s="4" t="s">
        <v>276</v>
      </c>
      <c r="Q248" s="6">
        <f>1</f>
        <v>1</v>
      </c>
      <c r="R248" s="6">
        <f>2376000</f>
        <v>2376000</v>
      </c>
      <c r="S248" s="5" t="s">
        <v>248</v>
      </c>
      <c r="T248" s="4" t="s">
        <v>348</v>
      </c>
      <c r="U248" s="4" t="s">
        <v>275</v>
      </c>
      <c r="W248" s="6">
        <f>2375999</f>
        <v>2375999</v>
      </c>
      <c r="X248" s="4" t="s">
        <v>243</v>
      </c>
      <c r="Y248" s="4" t="s">
        <v>244</v>
      </c>
      <c r="Z248" s="4" t="s">
        <v>282</v>
      </c>
      <c r="AA248" s="4" t="s">
        <v>241</v>
      </c>
      <c r="AD248" s="4" t="s">
        <v>241</v>
      </c>
      <c r="AF248" s="5" t="s">
        <v>241</v>
      </c>
      <c r="AI248" s="5" t="s">
        <v>249</v>
      </c>
      <c r="AJ248" s="4" t="s">
        <v>251</v>
      </c>
      <c r="AK248" s="4" t="s">
        <v>252</v>
      </c>
      <c r="BA248" s="4" t="s">
        <v>254</v>
      </c>
      <c r="BB248" s="4" t="s">
        <v>241</v>
      </c>
      <c r="BC248" s="4" t="s">
        <v>255</v>
      </c>
      <c r="BD248" s="4" t="s">
        <v>241</v>
      </c>
      <c r="BE248" s="4" t="s">
        <v>257</v>
      </c>
      <c r="BF248" s="4" t="s">
        <v>241</v>
      </c>
      <c r="BH248" s="4" t="s">
        <v>1923</v>
      </c>
      <c r="BJ248" s="4" t="s">
        <v>367</v>
      </c>
      <c r="BK248" s="5" t="s">
        <v>249</v>
      </c>
      <c r="BL248" s="4" t="s">
        <v>261</v>
      </c>
      <c r="BM248" s="4" t="s">
        <v>262</v>
      </c>
      <c r="BN248" s="4" t="s">
        <v>241</v>
      </c>
      <c r="BO248" s="6">
        <f>0</f>
        <v>0</v>
      </c>
      <c r="BP248" s="6">
        <f>0</f>
        <v>0</v>
      </c>
      <c r="BQ248" s="4" t="s">
        <v>263</v>
      </c>
      <c r="BR248" s="4" t="s">
        <v>264</v>
      </c>
      <c r="CF248" s="4" t="s">
        <v>241</v>
      </c>
      <c r="CG248" s="4" t="s">
        <v>241</v>
      </c>
      <c r="CK248" s="4" t="s">
        <v>265</v>
      </c>
      <c r="CL248" s="4" t="s">
        <v>266</v>
      </c>
      <c r="CM248" s="4" t="s">
        <v>241</v>
      </c>
      <c r="CO248" s="4" t="s">
        <v>267</v>
      </c>
      <c r="CP248" s="5" t="s">
        <v>268</v>
      </c>
      <c r="CQ248" s="4" t="s">
        <v>269</v>
      </c>
      <c r="CR248" s="4" t="s">
        <v>270</v>
      </c>
      <c r="CS248" s="4" t="s">
        <v>241</v>
      </c>
      <c r="CT248" s="4" t="s">
        <v>241</v>
      </c>
      <c r="CU248" s="4">
        <v>0</v>
      </c>
      <c r="CV248" s="4" t="s">
        <v>271</v>
      </c>
      <c r="CW248" s="4" t="s">
        <v>272</v>
      </c>
      <c r="CX248" s="4" t="s">
        <v>347</v>
      </c>
      <c r="CZ248" s="6">
        <f>2376000</f>
        <v>2376000</v>
      </c>
      <c r="DA248" s="6">
        <f>0</f>
        <v>0</v>
      </c>
      <c r="DC248" s="4" t="s">
        <v>241</v>
      </c>
      <c r="DD248" s="4" t="s">
        <v>241</v>
      </c>
      <c r="DF248" s="4" t="s">
        <v>241</v>
      </c>
      <c r="DI248" s="4" t="s">
        <v>241</v>
      </c>
      <c r="DJ248" s="4" t="s">
        <v>241</v>
      </c>
      <c r="DK248" s="4" t="s">
        <v>241</v>
      </c>
      <c r="DL248" s="4" t="s">
        <v>241</v>
      </c>
      <c r="DM248" s="4" t="s">
        <v>277</v>
      </c>
      <c r="DN248" s="4" t="s">
        <v>278</v>
      </c>
      <c r="DO248" s="6">
        <f>39.6</f>
        <v>39.6</v>
      </c>
      <c r="DP248" s="4" t="s">
        <v>241</v>
      </c>
      <c r="DQ248" s="4" t="s">
        <v>241</v>
      </c>
      <c r="DR248" s="4" t="s">
        <v>241</v>
      </c>
      <c r="DS248" s="4" t="s">
        <v>241</v>
      </c>
      <c r="DV248" s="4" t="s">
        <v>3698</v>
      </c>
      <c r="DW248" s="4" t="s">
        <v>277</v>
      </c>
      <c r="HO248" s="4" t="s">
        <v>277</v>
      </c>
      <c r="HR248" s="4" t="s">
        <v>278</v>
      </c>
      <c r="HS248" s="4" t="s">
        <v>278</v>
      </c>
    </row>
    <row r="249" spans="1:240" x14ac:dyDescent="0.4">
      <c r="A249" s="4">
        <v>2</v>
      </c>
      <c r="B249" s="4" t="s">
        <v>239</v>
      </c>
      <c r="C249" s="4">
        <v>268</v>
      </c>
      <c r="D249" s="4">
        <v>1</v>
      </c>
      <c r="E249" s="4">
        <v>1</v>
      </c>
      <c r="F249" s="4" t="s">
        <v>240</v>
      </c>
      <c r="G249" s="4" t="s">
        <v>241</v>
      </c>
      <c r="H249" s="4" t="s">
        <v>241</v>
      </c>
      <c r="I249" s="4" t="s">
        <v>3699</v>
      </c>
      <c r="J249" s="4" t="s">
        <v>673</v>
      </c>
      <c r="K249" s="4" t="s">
        <v>256</v>
      </c>
      <c r="L249" s="4" t="s">
        <v>3027</v>
      </c>
      <c r="M249" s="5" t="s">
        <v>3700</v>
      </c>
      <c r="N249" s="4" t="s">
        <v>3027</v>
      </c>
      <c r="O249" s="6">
        <f>165.62</f>
        <v>165.62</v>
      </c>
      <c r="P249" s="4" t="s">
        <v>276</v>
      </c>
      <c r="Q249" s="6">
        <f>1</f>
        <v>1</v>
      </c>
      <c r="R249" s="6">
        <f>9937200</f>
        <v>9937200</v>
      </c>
      <c r="S249" s="5" t="s">
        <v>248</v>
      </c>
      <c r="T249" s="4" t="s">
        <v>348</v>
      </c>
      <c r="U249" s="4" t="s">
        <v>275</v>
      </c>
      <c r="W249" s="6">
        <f>9937199</f>
        <v>9937199</v>
      </c>
      <c r="X249" s="4" t="s">
        <v>243</v>
      </c>
      <c r="Y249" s="4" t="s">
        <v>244</v>
      </c>
      <c r="Z249" s="4" t="s">
        <v>282</v>
      </c>
      <c r="AA249" s="4" t="s">
        <v>241</v>
      </c>
      <c r="AD249" s="4" t="s">
        <v>241</v>
      </c>
      <c r="AF249" s="5" t="s">
        <v>241</v>
      </c>
      <c r="AI249" s="5" t="s">
        <v>249</v>
      </c>
      <c r="AJ249" s="4" t="s">
        <v>251</v>
      </c>
      <c r="AK249" s="4" t="s">
        <v>252</v>
      </c>
      <c r="BA249" s="4" t="s">
        <v>254</v>
      </c>
      <c r="BB249" s="4" t="s">
        <v>241</v>
      </c>
      <c r="BC249" s="4" t="s">
        <v>255</v>
      </c>
      <c r="BD249" s="4" t="s">
        <v>241</v>
      </c>
      <c r="BE249" s="4" t="s">
        <v>257</v>
      </c>
      <c r="BF249" s="4" t="s">
        <v>241</v>
      </c>
      <c r="BH249" s="4" t="s">
        <v>1923</v>
      </c>
      <c r="BJ249" s="4" t="s">
        <v>367</v>
      </c>
      <c r="BK249" s="5" t="s">
        <v>249</v>
      </c>
      <c r="BL249" s="4" t="s">
        <v>261</v>
      </c>
      <c r="BM249" s="4" t="s">
        <v>262</v>
      </c>
      <c r="BN249" s="4" t="s">
        <v>241</v>
      </c>
      <c r="BO249" s="6">
        <f>0</f>
        <v>0</v>
      </c>
      <c r="BP249" s="6">
        <f>0</f>
        <v>0</v>
      </c>
      <c r="BQ249" s="4" t="s">
        <v>263</v>
      </c>
      <c r="BR249" s="4" t="s">
        <v>264</v>
      </c>
      <c r="CF249" s="4" t="s">
        <v>241</v>
      </c>
      <c r="CG249" s="4" t="s">
        <v>241</v>
      </c>
      <c r="CK249" s="4" t="s">
        <v>265</v>
      </c>
      <c r="CL249" s="4" t="s">
        <v>266</v>
      </c>
      <c r="CM249" s="4" t="s">
        <v>241</v>
      </c>
      <c r="CO249" s="4" t="s">
        <v>267</v>
      </c>
      <c r="CP249" s="5" t="s">
        <v>268</v>
      </c>
      <c r="CQ249" s="4" t="s">
        <v>269</v>
      </c>
      <c r="CR249" s="4" t="s">
        <v>270</v>
      </c>
      <c r="CS249" s="4" t="s">
        <v>241</v>
      </c>
      <c r="CT249" s="4" t="s">
        <v>241</v>
      </c>
      <c r="CU249" s="4">
        <v>0</v>
      </c>
      <c r="CV249" s="4" t="s">
        <v>271</v>
      </c>
      <c r="CW249" s="4" t="s">
        <v>272</v>
      </c>
      <c r="CX249" s="4" t="s">
        <v>347</v>
      </c>
      <c r="CZ249" s="6">
        <f>9937200</f>
        <v>9937200</v>
      </c>
      <c r="DA249" s="6">
        <f>0</f>
        <v>0</v>
      </c>
      <c r="DC249" s="4" t="s">
        <v>241</v>
      </c>
      <c r="DD249" s="4" t="s">
        <v>241</v>
      </c>
      <c r="DF249" s="4" t="s">
        <v>241</v>
      </c>
      <c r="DI249" s="4" t="s">
        <v>241</v>
      </c>
      <c r="DJ249" s="4" t="s">
        <v>241</v>
      </c>
      <c r="DK249" s="4" t="s">
        <v>241</v>
      </c>
      <c r="DL249" s="4" t="s">
        <v>241</v>
      </c>
      <c r="DM249" s="4" t="s">
        <v>277</v>
      </c>
      <c r="DN249" s="4" t="s">
        <v>278</v>
      </c>
      <c r="DO249" s="6">
        <f>165.62</f>
        <v>165.62</v>
      </c>
      <c r="DP249" s="4" t="s">
        <v>241</v>
      </c>
      <c r="DQ249" s="4" t="s">
        <v>241</v>
      </c>
      <c r="DR249" s="4" t="s">
        <v>241</v>
      </c>
      <c r="DS249" s="4" t="s">
        <v>241</v>
      </c>
      <c r="DV249" s="4" t="s">
        <v>3701</v>
      </c>
      <c r="DW249" s="4" t="s">
        <v>277</v>
      </c>
      <c r="HO249" s="4" t="s">
        <v>277</v>
      </c>
      <c r="HR249" s="4" t="s">
        <v>278</v>
      </c>
      <c r="HS249" s="4" t="s">
        <v>278</v>
      </c>
    </row>
    <row r="250" spans="1:240" x14ac:dyDescent="0.4">
      <c r="A250" s="4">
        <v>2</v>
      </c>
      <c r="B250" s="4" t="s">
        <v>239</v>
      </c>
      <c r="C250" s="4">
        <v>269</v>
      </c>
      <c r="D250" s="4">
        <v>1</v>
      </c>
      <c r="E250" s="4">
        <v>1</v>
      </c>
      <c r="F250" s="4" t="s">
        <v>240</v>
      </c>
      <c r="G250" s="4" t="s">
        <v>241</v>
      </c>
      <c r="H250" s="4" t="s">
        <v>241</v>
      </c>
      <c r="I250" s="4" t="s">
        <v>3702</v>
      </c>
      <c r="J250" s="4" t="s">
        <v>673</v>
      </c>
      <c r="K250" s="4" t="s">
        <v>256</v>
      </c>
      <c r="L250" s="4" t="s">
        <v>3027</v>
      </c>
      <c r="M250" s="5" t="s">
        <v>3703</v>
      </c>
      <c r="N250" s="4" t="s">
        <v>3027</v>
      </c>
      <c r="O250" s="6">
        <f>33.58</f>
        <v>33.58</v>
      </c>
      <c r="P250" s="4" t="s">
        <v>276</v>
      </c>
      <c r="Q250" s="6">
        <f>1</f>
        <v>1</v>
      </c>
      <c r="R250" s="6">
        <f>2014800</f>
        <v>2014800</v>
      </c>
      <c r="S250" s="5" t="s">
        <v>248</v>
      </c>
      <c r="T250" s="4" t="s">
        <v>348</v>
      </c>
      <c r="U250" s="4" t="s">
        <v>275</v>
      </c>
      <c r="W250" s="6">
        <f>2014799</f>
        <v>2014799</v>
      </c>
      <c r="X250" s="4" t="s">
        <v>243</v>
      </c>
      <c r="Y250" s="4" t="s">
        <v>244</v>
      </c>
      <c r="Z250" s="4" t="s">
        <v>282</v>
      </c>
      <c r="AA250" s="4" t="s">
        <v>241</v>
      </c>
      <c r="AD250" s="4" t="s">
        <v>241</v>
      </c>
      <c r="AF250" s="5" t="s">
        <v>241</v>
      </c>
      <c r="AI250" s="5" t="s">
        <v>249</v>
      </c>
      <c r="AJ250" s="4" t="s">
        <v>251</v>
      </c>
      <c r="AK250" s="4" t="s">
        <v>252</v>
      </c>
      <c r="BA250" s="4" t="s">
        <v>254</v>
      </c>
      <c r="BB250" s="4" t="s">
        <v>241</v>
      </c>
      <c r="BC250" s="4" t="s">
        <v>255</v>
      </c>
      <c r="BD250" s="4" t="s">
        <v>241</v>
      </c>
      <c r="BE250" s="4" t="s">
        <v>257</v>
      </c>
      <c r="BF250" s="4" t="s">
        <v>241</v>
      </c>
      <c r="BH250" s="4" t="s">
        <v>1923</v>
      </c>
      <c r="BJ250" s="4" t="s">
        <v>377</v>
      </c>
      <c r="BK250" s="5" t="s">
        <v>405</v>
      </c>
      <c r="BL250" s="4" t="s">
        <v>261</v>
      </c>
      <c r="BM250" s="4" t="s">
        <v>262</v>
      </c>
      <c r="BN250" s="4" t="s">
        <v>241</v>
      </c>
      <c r="BO250" s="6">
        <f>0</f>
        <v>0</v>
      </c>
      <c r="BP250" s="6">
        <f>0</f>
        <v>0</v>
      </c>
      <c r="BQ250" s="4" t="s">
        <v>263</v>
      </c>
      <c r="BR250" s="4" t="s">
        <v>264</v>
      </c>
      <c r="CF250" s="4" t="s">
        <v>241</v>
      </c>
      <c r="CG250" s="4" t="s">
        <v>241</v>
      </c>
      <c r="CK250" s="4" t="s">
        <v>265</v>
      </c>
      <c r="CL250" s="4" t="s">
        <v>266</v>
      </c>
      <c r="CM250" s="4" t="s">
        <v>241</v>
      </c>
      <c r="CO250" s="4" t="s">
        <v>267</v>
      </c>
      <c r="CP250" s="5" t="s">
        <v>268</v>
      </c>
      <c r="CQ250" s="4" t="s">
        <v>269</v>
      </c>
      <c r="CR250" s="4" t="s">
        <v>270</v>
      </c>
      <c r="CS250" s="4" t="s">
        <v>241</v>
      </c>
      <c r="CT250" s="4" t="s">
        <v>241</v>
      </c>
      <c r="CU250" s="4">
        <v>0</v>
      </c>
      <c r="CV250" s="4" t="s">
        <v>271</v>
      </c>
      <c r="CW250" s="4" t="s">
        <v>272</v>
      </c>
      <c r="CX250" s="4" t="s">
        <v>347</v>
      </c>
      <c r="CZ250" s="6">
        <f>2014800</f>
        <v>2014800</v>
      </c>
      <c r="DA250" s="6">
        <f>0</f>
        <v>0</v>
      </c>
      <c r="DC250" s="4" t="s">
        <v>241</v>
      </c>
      <c r="DD250" s="4" t="s">
        <v>241</v>
      </c>
      <c r="DF250" s="4" t="s">
        <v>241</v>
      </c>
      <c r="DI250" s="4" t="s">
        <v>241</v>
      </c>
      <c r="DJ250" s="4" t="s">
        <v>241</v>
      </c>
      <c r="DK250" s="4" t="s">
        <v>241</v>
      </c>
      <c r="DL250" s="4" t="s">
        <v>241</v>
      </c>
      <c r="DM250" s="4" t="s">
        <v>277</v>
      </c>
      <c r="DN250" s="4" t="s">
        <v>278</v>
      </c>
      <c r="DO250" s="6">
        <f>33.58</f>
        <v>33.58</v>
      </c>
      <c r="DP250" s="4" t="s">
        <v>241</v>
      </c>
      <c r="DQ250" s="4" t="s">
        <v>241</v>
      </c>
      <c r="DR250" s="4" t="s">
        <v>241</v>
      </c>
      <c r="DS250" s="4" t="s">
        <v>241</v>
      </c>
      <c r="DV250" s="4" t="s">
        <v>3704</v>
      </c>
      <c r="DW250" s="4" t="s">
        <v>277</v>
      </c>
      <c r="HO250" s="4" t="s">
        <v>277</v>
      </c>
      <c r="HR250" s="4" t="s">
        <v>278</v>
      </c>
      <c r="HS250" s="4" t="s">
        <v>278</v>
      </c>
    </row>
    <row r="251" spans="1:240" x14ac:dyDescent="0.4">
      <c r="A251" s="4">
        <v>2</v>
      </c>
      <c r="B251" s="4" t="s">
        <v>239</v>
      </c>
      <c r="C251" s="4">
        <v>270</v>
      </c>
      <c r="D251" s="4">
        <v>1</v>
      </c>
      <c r="E251" s="4">
        <v>1</v>
      </c>
      <c r="F251" s="4" t="s">
        <v>240</v>
      </c>
      <c r="G251" s="4" t="s">
        <v>241</v>
      </c>
      <c r="H251" s="4" t="s">
        <v>241</v>
      </c>
      <c r="I251" s="4" t="s">
        <v>3705</v>
      </c>
      <c r="J251" s="4" t="s">
        <v>673</v>
      </c>
      <c r="K251" s="4" t="s">
        <v>256</v>
      </c>
      <c r="L251" s="4" t="s">
        <v>3027</v>
      </c>
      <c r="M251" s="5" t="s">
        <v>3706</v>
      </c>
      <c r="N251" s="4" t="s">
        <v>3027</v>
      </c>
      <c r="O251" s="6">
        <f>29.1</f>
        <v>29.1</v>
      </c>
      <c r="P251" s="4" t="s">
        <v>276</v>
      </c>
      <c r="Q251" s="6">
        <f>1</f>
        <v>1</v>
      </c>
      <c r="R251" s="6">
        <f>1746000</f>
        <v>1746000</v>
      </c>
      <c r="S251" s="5" t="s">
        <v>248</v>
      </c>
      <c r="T251" s="4" t="s">
        <v>274</v>
      </c>
      <c r="U251" s="4" t="s">
        <v>275</v>
      </c>
      <c r="W251" s="6">
        <f>1745999</f>
        <v>1745999</v>
      </c>
      <c r="X251" s="4" t="s">
        <v>243</v>
      </c>
      <c r="Y251" s="4" t="s">
        <v>244</v>
      </c>
      <c r="Z251" s="4" t="s">
        <v>282</v>
      </c>
      <c r="AA251" s="4" t="s">
        <v>241</v>
      </c>
      <c r="AD251" s="4" t="s">
        <v>241</v>
      </c>
      <c r="AF251" s="5" t="s">
        <v>241</v>
      </c>
      <c r="AI251" s="5" t="s">
        <v>249</v>
      </c>
      <c r="AJ251" s="4" t="s">
        <v>251</v>
      </c>
      <c r="AK251" s="4" t="s">
        <v>252</v>
      </c>
      <c r="BA251" s="4" t="s">
        <v>254</v>
      </c>
      <c r="BB251" s="4" t="s">
        <v>241</v>
      </c>
      <c r="BC251" s="4" t="s">
        <v>255</v>
      </c>
      <c r="BD251" s="4" t="s">
        <v>241</v>
      </c>
      <c r="BE251" s="4" t="s">
        <v>257</v>
      </c>
      <c r="BF251" s="4" t="s">
        <v>241</v>
      </c>
      <c r="BH251" s="4" t="s">
        <v>1923</v>
      </c>
      <c r="BJ251" s="4" t="s">
        <v>367</v>
      </c>
      <c r="BK251" s="5" t="s">
        <v>249</v>
      </c>
      <c r="BL251" s="4" t="s">
        <v>261</v>
      </c>
      <c r="BM251" s="4" t="s">
        <v>262</v>
      </c>
      <c r="BN251" s="4" t="s">
        <v>241</v>
      </c>
      <c r="BO251" s="6">
        <f>0</f>
        <v>0</v>
      </c>
      <c r="BP251" s="6">
        <f>0</f>
        <v>0</v>
      </c>
      <c r="BQ251" s="4" t="s">
        <v>263</v>
      </c>
      <c r="BR251" s="4" t="s">
        <v>264</v>
      </c>
      <c r="CF251" s="4" t="s">
        <v>241</v>
      </c>
      <c r="CG251" s="4" t="s">
        <v>241</v>
      </c>
      <c r="CK251" s="4" t="s">
        <v>265</v>
      </c>
      <c r="CL251" s="4" t="s">
        <v>266</v>
      </c>
      <c r="CM251" s="4" t="s">
        <v>241</v>
      </c>
      <c r="CO251" s="4" t="s">
        <v>267</v>
      </c>
      <c r="CP251" s="5" t="s">
        <v>268</v>
      </c>
      <c r="CQ251" s="4" t="s">
        <v>269</v>
      </c>
      <c r="CR251" s="4" t="s">
        <v>270</v>
      </c>
      <c r="CS251" s="4" t="s">
        <v>241</v>
      </c>
      <c r="CT251" s="4" t="s">
        <v>241</v>
      </c>
      <c r="CU251" s="4">
        <v>0</v>
      </c>
      <c r="CV251" s="4" t="s">
        <v>271</v>
      </c>
      <c r="CW251" s="4" t="s">
        <v>272</v>
      </c>
      <c r="CX251" s="4" t="s">
        <v>273</v>
      </c>
      <c r="CZ251" s="6">
        <f>1746000</f>
        <v>1746000</v>
      </c>
      <c r="DA251" s="6">
        <f>0</f>
        <v>0</v>
      </c>
      <c r="DC251" s="4" t="s">
        <v>241</v>
      </c>
      <c r="DD251" s="4" t="s">
        <v>241</v>
      </c>
      <c r="DF251" s="4" t="s">
        <v>241</v>
      </c>
      <c r="DI251" s="4" t="s">
        <v>241</v>
      </c>
      <c r="DJ251" s="4" t="s">
        <v>241</v>
      </c>
      <c r="DK251" s="4" t="s">
        <v>241</v>
      </c>
      <c r="DL251" s="4" t="s">
        <v>241</v>
      </c>
      <c r="DM251" s="4" t="s">
        <v>323</v>
      </c>
      <c r="DN251" s="4" t="s">
        <v>278</v>
      </c>
      <c r="DO251" s="6">
        <f>29.1</f>
        <v>29.1</v>
      </c>
      <c r="DP251" s="4" t="s">
        <v>241</v>
      </c>
      <c r="DQ251" s="4" t="s">
        <v>241</v>
      </c>
      <c r="DR251" s="4" t="s">
        <v>241</v>
      </c>
      <c r="DS251" s="4" t="s">
        <v>241</v>
      </c>
      <c r="DV251" s="4" t="s">
        <v>3707</v>
      </c>
      <c r="DW251" s="4" t="s">
        <v>277</v>
      </c>
      <c r="HO251" s="4" t="s">
        <v>277</v>
      </c>
      <c r="HR251" s="4" t="s">
        <v>278</v>
      </c>
      <c r="HS251" s="4" t="s">
        <v>278</v>
      </c>
    </row>
    <row r="252" spans="1:240" x14ac:dyDescent="0.4">
      <c r="A252" s="4">
        <v>2</v>
      </c>
      <c r="B252" s="4" t="s">
        <v>239</v>
      </c>
      <c r="C252" s="4">
        <v>271</v>
      </c>
      <c r="D252" s="4">
        <v>1</v>
      </c>
      <c r="E252" s="4">
        <v>3</v>
      </c>
      <c r="F252" s="4" t="s">
        <v>240</v>
      </c>
      <c r="G252" s="4" t="s">
        <v>241</v>
      </c>
      <c r="H252" s="4" t="s">
        <v>241</v>
      </c>
      <c r="I252" s="4" t="s">
        <v>3335</v>
      </c>
      <c r="J252" s="4" t="s">
        <v>673</v>
      </c>
      <c r="K252" s="4" t="s">
        <v>256</v>
      </c>
      <c r="L252" s="4" t="s">
        <v>3027</v>
      </c>
      <c r="M252" s="5" t="s">
        <v>3337</v>
      </c>
      <c r="N252" s="4" t="s">
        <v>3027</v>
      </c>
      <c r="O252" s="6">
        <f>49.69</f>
        <v>49.69</v>
      </c>
      <c r="P252" s="4" t="s">
        <v>276</v>
      </c>
      <c r="Q252" s="6">
        <f>1333920</f>
        <v>1333920</v>
      </c>
      <c r="R252" s="6">
        <f>3360000</f>
        <v>3360000</v>
      </c>
      <c r="S252" s="5" t="s">
        <v>3336</v>
      </c>
      <c r="T252" s="4" t="s">
        <v>348</v>
      </c>
      <c r="U252" s="4" t="s">
        <v>343</v>
      </c>
      <c r="V252" s="6">
        <f>225120</f>
        <v>225120</v>
      </c>
      <c r="W252" s="6">
        <f>2026080</f>
        <v>2026080</v>
      </c>
      <c r="X252" s="4" t="s">
        <v>243</v>
      </c>
      <c r="Y252" s="4" t="s">
        <v>244</v>
      </c>
      <c r="Z252" s="4" t="s">
        <v>282</v>
      </c>
      <c r="AA252" s="4" t="s">
        <v>241</v>
      </c>
      <c r="AD252" s="4" t="s">
        <v>241</v>
      </c>
      <c r="AE252" s="5" t="s">
        <v>241</v>
      </c>
      <c r="AF252" s="5" t="s">
        <v>241</v>
      </c>
      <c r="AH252" s="5" t="s">
        <v>241</v>
      </c>
      <c r="AI252" s="5" t="s">
        <v>249</v>
      </c>
      <c r="AJ252" s="4" t="s">
        <v>251</v>
      </c>
      <c r="AK252" s="4" t="s">
        <v>252</v>
      </c>
      <c r="AQ252" s="4" t="s">
        <v>241</v>
      </c>
      <c r="AR252" s="4" t="s">
        <v>241</v>
      </c>
      <c r="AS252" s="4" t="s">
        <v>241</v>
      </c>
      <c r="AT252" s="5" t="s">
        <v>241</v>
      </c>
      <c r="AU252" s="5" t="s">
        <v>241</v>
      </c>
      <c r="AV252" s="5" t="s">
        <v>241</v>
      </c>
      <c r="AY252" s="4" t="s">
        <v>286</v>
      </c>
      <c r="AZ252" s="4" t="s">
        <v>286</v>
      </c>
      <c r="BA252" s="4" t="s">
        <v>254</v>
      </c>
      <c r="BB252" s="4" t="s">
        <v>287</v>
      </c>
      <c r="BC252" s="4" t="s">
        <v>255</v>
      </c>
      <c r="BD252" s="4" t="s">
        <v>241</v>
      </c>
      <c r="BE252" s="4" t="s">
        <v>257</v>
      </c>
      <c r="BF252" s="4" t="s">
        <v>241</v>
      </c>
      <c r="BH252" s="4" t="s">
        <v>1923</v>
      </c>
      <c r="BJ252" s="4" t="s">
        <v>288</v>
      </c>
      <c r="BK252" s="5" t="s">
        <v>289</v>
      </c>
      <c r="BL252" s="4" t="s">
        <v>290</v>
      </c>
      <c r="BM252" s="4" t="s">
        <v>290</v>
      </c>
      <c r="BN252" s="4" t="s">
        <v>241</v>
      </c>
      <c r="BO252" s="6">
        <f>0</f>
        <v>0</v>
      </c>
      <c r="BP252" s="6">
        <f>-225120</f>
        <v>-225120</v>
      </c>
      <c r="BQ252" s="4" t="s">
        <v>263</v>
      </c>
      <c r="BR252" s="4" t="s">
        <v>264</v>
      </c>
      <c r="BS252" s="4" t="s">
        <v>241</v>
      </c>
      <c r="BT252" s="4" t="s">
        <v>241</v>
      </c>
      <c r="BU252" s="4" t="s">
        <v>241</v>
      </c>
      <c r="BV252" s="4" t="s">
        <v>241</v>
      </c>
      <c r="CE252" s="4" t="s">
        <v>264</v>
      </c>
      <c r="CF252" s="4" t="s">
        <v>241</v>
      </c>
      <c r="CG252" s="4" t="s">
        <v>241</v>
      </c>
      <c r="CK252" s="4" t="s">
        <v>291</v>
      </c>
      <c r="CL252" s="4" t="s">
        <v>266</v>
      </c>
      <c r="CM252" s="4" t="s">
        <v>241</v>
      </c>
      <c r="CO252" s="4" t="s">
        <v>826</v>
      </c>
      <c r="CP252" s="5" t="s">
        <v>268</v>
      </c>
      <c r="CQ252" s="4" t="s">
        <v>269</v>
      </c>
      <c r="CR252" s="4" t="s">
        <v>270</v>
      </c>
      <c r="CS252" s="4" t="s">
        <v>293</v>
      </c>
      <c r="CT252" s="4" t="s">
        <v>241</v>
      </c>
      <c r="CU252" s="4">
        <v>6.7000000000000004E-2</v>
      </c>
      <c r="CV252" s="4" t="s">
        <v>271</v>
      </c>
      <c r="CW252" s="4" t="s">
        <v>272</v>
      </c>
      <c r="CX252" s="4" t="s">
        <v>347</v>
      </c>
      <c r="CY252" s="6">
        <f>0</f>
        <v>0</v>
      </c>
      <c r="CZ252" s="6">
        <f>3360000</f>
        <v>3360000</v>
      </c>
      <c r="DA252" s="6">
        <f>1333920</f>
        <v>1333920</v>
      </c>
      <c r="DC252" s="4" t="s">
        <v>241</v>
      </c>
      <c r="DD252" s="4" t="s">
        <v>241</v>
      </c>
      <c r="DF252" s="4" t="s">
        <v>241</v>
      </c>
      <c r="DG252" s="6">
        <f>0</f>
        <v>0</v>
      </c>
      <c r="DI252" s="4" t="s">
        <v>241</v>
      </c>
      <c r="DJ252" s="4" t="s">
        <v>241</v>
      </c>
      <c r="DK252" s="4" t="s">
        <v>241</v>
      </c>
      <c r="DL252" s="4" t="s">
        <v>241</v>
      </c>
      <c r="DM252" s="4" t="s">
        <v>277</v>
      </c>
      <c r="DN252" s="4" t="s">
        <v>278</v>
      </c>
      <c r="DO252" s="6">
        <f>49.69</f>
        <v>49.69</v>
      </c>
      <c r="DP252" s="4" t="s">
        <v>241</v>
      </c>
      <c r="DQ252" s="4" t="s">
        <v>241</v>
      </c>
      <c r="DR252" s="4" t="s">
        <v>241</v>
      </c>
      <c r="DS252" s="4" t="s">
        <v>241</v>
      </c>
      <c r="DV252" s="4" t="s">
        <v>3338</v>
      </c>
      <c r="DW252" s="4" t="s">
        <v>277</v>
      </c>
      <c r="GN252" s="4" t="s">
        <v>3339</v>
      </c>
      <c r="HO252" s="4" t="s">
        <v>341</v>
      </c>
      <c r="HR252" s="4" t="s">
        <v>278</v>
      </c>
      <c r="HS252" s="4" t="s">
        <v>278</v>
      </c>
      <c r="HT252" s="4" t="s">
        <v>241</v>
      </c>
      <c r="HU252" s="4" t="s">
        <v>241</v>
      </c>
      <c r="HV252" s="4" t="s">
        <v>241</v>
      </c>
      <c r="HW252" s="4" t="s">
        <v>241</v>
      </c>
      <c r="HX252" s="4" t="s">
        <v>241</v>
      </c>
      <c r="HY252" s="4" t="s">
        <v>241</v>
      </c>
      <c r="HZ252" s="4" t="s">
        <v>241</v>
      </c>
      <c r="IA252" s="4" t="s">
        <v>241</v>
      </c>
      <c r="IB252" s="4" t="s">
        <v>241</v>
      </c>
      <c r="IC252" s="4" t="s">
        <v>241</v>
      </c>
      <c r="ID252" s="4" t="s">
        <v>241</v>
      </c>
      <c r="IE252" s="4" t="s">
        <v>241</v>
      </c>
      <c r="IF252" s="4" t="s">
        <v>241</v>
      </c>
    </row>
    <row r="253" spans="1:240" x14ac:dyDescent="0.4">
      <c r="A253" s="4">
        <v>2</v>
      </c>
      <c r="B253" s="4" t="s">
        <v>239</v>
      </c>
      <c r="C253" s="4">
        <v>272</v>
      </c>
      <c r="D253" s="4">
        <v>1</v>
      </c>
      <c r="E253" s="4">
        <v>3</v>
      </c>
      <c r="F253" s="4" t="s">
        <v>240</v>
      </c>
      <c r="G253" s="4" t="s">
        <v>241</v>
      </c>
      <c r="H253" s="4" t="s">
        <v>241</v>
      </c>
      <c r="I253" s="4" t="s">
        <v>3340</v>
      </c>
      <c r="J253" s="4" t="s">
        <v>673</v>
      </c>
      <c r="K253" s="4" t="s">
        <v>256</v>
      </c>
      <c r="L253" s="4" t="s">
        <v>3027</v>
      </c>
      <c r="M253" s="5" t="s">
        <v>3342</v>
      </c>
      <c r="N253" s="4" t="s">
        <v>3027</v>
      </c>
      <c r="O253" s="6">
        <f>320.76</f>
        <v>320.76</v>
      </c>
      <c r="P253" s="4" t="s">
        <v>276</v>
      </c>
      <c r="Q253" s="6">
        <f>39648960</f>
        <v>39648960</v>
      </c>
      <c r="R253" s="6">
        <f>56160000</f>
        <v>56160000</v>
      </c>
      <c r="S253" s="5" t="s">
        <v>3341</v>
      </c>
      <c r="T253" s="4" t="s">
        <v>274</v>
      </c>
      <c r="U253" s="4" t="s">
        <v>300</v>
      </c>
      <c r="V253" s="6">
        <f>2358720</f>
        <v>2358720</v>
      </c>
      <c r="W253" s="6">
        <f>16511040</f>
        <v>16511040</v>
      </c>
      <c r="X253" s="4" t="s">
        <v>243</v>
      </c>
      <c r="Y253" s="4" t="s">
        <v>244</v>
      </c>
      <c r="Z253" s="4" t="s">
        <v>282</v>
      </c>
      <c r="AA253" s="4" t="s">
        <v>241</v>
      </c>
      <c r="AD253" s="4" t="s">
        <v>241</v>
      </c>
      <c r="AE253" s="5" t="s">
        <v>241</v>
      </c>
      <c r="AF253" s="5" t="s">
        <v>241</v>
      </c>
      <c r="AH253" s="5" t="s">
        <v>241</v>
      </c>
      <c r="AI253" s="5" t="s">
        <v>249</v>
      </c>
      <c r="AJ253" s="4" t="s">
        <v>251</v>
      </c>
      <c r="AK253" s="4" t="s">
        <v>252</v>
      </c>
      <c r="AQ253" s="4" t="s">
        <v>241</v>
      </c>
      <c r="AR253" s="4" t="s">
        <v>241</v>
      </c>
      <c r="AS253" s="4" t="s">
        <v>241</v>
      </c>
      <c r="AT253" s="5" t="s">
        <v>241</v>
      </c>
      <c r="AU253" s="5" t="s">
        <v>241</v>
      </c>
      <c r="AV253" s="5" t="s">
        <v>241</v>
      </c>
      <c r="AY253" s="4" t="s">
        <v>286</v>
      </c>
      <c r="AZ253" s="4" t="s">
        <v>286</v>
      </c>
      <c r="BA253" s="4" t="s">
        <v>254</v>
      </c>
      <c r="BB253" s="4" t="s">
        <v>287</v>
      </c>
      <c r="BC253" s="4" t="s">
        <v>255</v>
      </c>
      <c r="BD253" s="4" t="s">
        <v>241</v>
      </c>
      <c r="BE253" s="4" t="s">
        <v>257</v>
      </c>
      <c r="BF253" s="4" t="s">
        <v>241</v>
      </c>
      <c r="BH253" s="4" t="s">
        <v>1923</v>
      </c>
      <c r="BJ253" s="4" t="s">
        <v>288</v>
      </c>
      <c r="BK253" s="5" t="s">
        <v>289</v>
      </c>
      <c r="BL253" s="4" t="s">
        <v>290</v>
      </c>
      <c r="BM253" s="4" t="s">
        <v>290</v>
      </c>
      <c r="BN253" s="4" t="s">
        <v>241</v>
      </c>
      <c r="BO253" s="6">
        <f>0</f>
        <v>0</v>
      </c>
      <c r="BP253" s="6">
        <f>-2358720</f>
        <v>-2358720</v>
      </c>
      <c r="BQ253" s="4" t="s">
        <v>263</v>
      </c>
      <c r="BR253" s="4" t="s">
        <v>264</v>
      </c>
      <c r="BS253" s="4" t="s">
        <v>241</v>
      </c>
      <c r="BT253" s="4" t="s">
        <v>241</v>
      </c>
      <c r="BU253" s="4" t="s">
        <v>241</v>
      </c>
      <c r="BV253" s="4" t="s">
        <v>241</v>
      </c>
      <c r="CE253" s="4" t="s">
        <v>264</v>
      </c>
      <c r="CF253" s="4" t="s">
        <v>241</v>
      </c>
      <c r="CG253" s="4" t="s">
        <v>241</v>
      </c>
      <c r="CK253" s="4" t="s">
        <v>291</v>
      </c>
      <c r="CL253" s="4" t="s">
        <v>266</v>
      </c>
      <c r="CM253" s="4" t="s">
        <v>241</v>
      </c>
      <c r="CO253" s="4" t="s">
        <v>1542</v>
      </c>
      <c r="CP253" s="5" t="s">
        <v>268</v>
      </c>
      <c r="CQ253" s="4" t="s">
        <v>269</v>
      </c>
      <c r="CR253" s="4" t="s">
        <v>270</v>
      </c>
      <c r="CS253" s="4" t="s">
        <v>293</v>
      </c>
      <c r="CT253" s="4" t="s">
        <v>241</v>
      </c>
      <c r="CU253" s="4">
        <v>4.2000000000000003E-2</v>
      </c>
      <c r="CV253" s="4" t="s">
        <v>271</v>
      </c>
      <c r="CW253" s="4" t="s">
        <v>272</v>
      </c>
      <c r="CX253" s="4" t="s">
        <v>273</v>
      </c>
      <c r="CY253" s="6">
        <f>0</f>
        <v>0</v>
      </c>
      <c r="CZ253" s="6">
        <f>56160000</f>
        <v>56160000</v>
      </c>
      <c r="DA253" s="6">
        <f>39648960</f>
        <v>39648960</v>
      </c>
      <c r="DC253" s="4" t="s">
        <v>241</v>
      </c>
      <c r="DD253" s="4" t="s">
        <v>241</v>
      </c>
      <c r="DF253" s="4" t="s">
        <v>241</v>
      </c>
      <c r="DG253" s="6">
        <f>0</f>
        <v>0</v>
      </c>
      <c r="DI253" s="4" t="s">
        <v>241</v>
      </c>
      <c r="DJ253" s="4" t="s">
        <v>241</v>
      </c>
      <c r="DK253" s="4" t="s">
        <v>241</v>
      </c>
      <c r="DL253" s="4" t="s">
        <v>241</v>
      </c>
      <c r="DM253" s="4" t="s">
        <v>277</v>
      </c>
      <c r="DN253" s="4" t="s">
        <v>278</v>
      </c>
      <c r="DO253" s="6">
        <f>320.76</f>
        <v>320.76</v>
      </c>
      <c r="DP253" s="4" t="s">
        <v>241</v>
      </c>
      <c r="DQ253" s="4" t="s">
        <v>241</v>
      </c>
      <c r="DR253" s="4" t="s">
        <v>241</v>
      </c>
      <c r="DS253" s="4" t="s">
        <v>241</v>
      </c>
      <c r="DV253" s="4" t="s">
        <v>3343</v>
      </c>
      <c r="DW253" s="4" t="s">
        <v>277</v>
      </c>
      <c r="GN253" s="4" t="s">
        <v>3344</v>
      </c>
      <c r="HO253" s="4" t="s">
        <v>341</v>
      </c>
      <c r="HR253" s="4" t="s">
        <v>278</v>
      </c>
      <c r="HS253" s="4" t="s">
        <v>278</v>
      </c>
      <c r="HT253" s="4" t="s">
        <v>241</v>
      </c>
      <c r="HU253" s="4" t="s">
        <v>241</v>
      </c>
      <c r="HV253" s="4" t="s">
        <v>241</v>
      </c>
      <c r="HW253" s="4" t="s">
        <v>241</v>
      </c>
      <c r="HX253" s="4" t="s">
        <v>241</v>
      </c>
      <c r="HY253" s="4" t="s">
        <v>241</v>
      </c>
      <c r="HZ253" s="4" t="s">
        <v>241</v>
      </c>
      <c r="IA253" s="4" t="s">
        <v>241</v>
      </c>
      <c r="IB253" s="4" t="s">
        <v>241</v>
      </c>
      <c r="IC253" s="4" t="s">
        <v>241</v>
      </c>
      <c r="ID253" s="4" t="s">
        <v>241</v>
      </c>
      <c r="IE253" s="4" t="s">
        <v>241</v>
      </c>
      <c r="IF253" s="4" t="s">
        <v>241</v>
      </c>
    </row>
    <row r="254" spans="1:240" x14ac:dyDescent="0.4">
      <c r="A254" s="4">
        <v>2</v>
      </c>
      <c r="B254" s="4" t="s">
        <v>239</v>
      </c>
      <c r="C254" s="4">
        <v>273</v>
      </c>
      <c r="D254" s="4">
        <v>1</v>
      </c>
      <c r="E254" s="4">
        <v>1</v>
      </c>
      <c r="F254" s="4" t="s">
        <v>240</v>
      </c>
      <c r="G254" s="4" t="s">
        <v>241</v>
      </c>
      <c r="H254" s="4" t="s">
        <v>241</v>
      </c>
      <c r="I254" s="4" t="s">
        <v>3708</v>
      </c>
      <c r="J254" s="4" t="s">
        <v>458</v>
      </c>
      <c r="K254" s="4" t="s">
        <v>256</v>
      </c>
      <c r="L254" s="4" t="s">
        <v>3027</v>
      </c>
      <c r="M254" s="5" t="s">
        <v>3710</v>
      </c>
      <c r="N254" s="4" t="s">
        <v>3027</v>
      </c>
      <c r="O254" s="6">
        <f>35.34</f>
        <v>35.340000000000003</v>
      </c>
      <c r="P254" s="4" t="s">
        <v>276</v>
      </c>
      <c r="Q254" s="6">
        <f>1</f>
        <v>1</v>
      </c>
      <c r="R254" s="6">
        <f>2120400</f>
        <v>2120400</v>
      </c>
      <c r="S254" s="5" t="s">
        <v>3709</v>
      </c>
      <c r="T254" s="4" t="s">
        <v>348</v>
      </c>
      <c r="U254" s="4" t="s">
        <v>3712</v>
      </c>
      <c r="W254" s="6">
        <f>2120399</f>
        <v>2120399</v>
      </c>
      <c r="X254" s="4" t="s">
        <v>243</v>
      </c>
      <c r="Y254" s="4" t="s">
        <v>244</v>
      </c>
      <c r="Z254" s="4" t="s">
        <v>282</v>
      </c>
      <c r="AA254" s="4" t="s">
        <v>241</v>
      </c>
      <c r="AD254" s="4" t="s">
        <v>241</v>
      </c>
      <c r="AF254" s="5" t="s">
        <v>241</v>
      </c>
      <c r="AI254" s="5" t="s">
        <v>249</v>
      </c>
      <c r="AJ254" s="4" t="s">
        <v>251</v>
      </c>
      <c r="AK254" s="4" t="s">
        <v>252</v>
      </c>
      <c r="BA254" s="4" t="s">
        <v>254</v>
      </c>
      <c r="BB254" s="4" t="s">
        <v>241</v>
      </c>
      <c r="BC254" s="4" t="s">
        <v>255</v>
      </c>
      <c r="BD254" s="4" t="s">
        <v>241</v>
      </c>
      <c r="BE254" s="4" t="s">
        <v>257</v>
      </c>
      <c r="BF254" s="4" t="s">
        <v>241</v>
      </c>
      <c r="BH254" s="4" t="s">
        <v>1923</v>
      </c>
      <c r="BJ254" s="4" t="s">
        <v>367</v>
      </c>
      <c r="BK254" s="5" t="s">
        <v>249</v>
      </c>
      <c r="BL254" s="4" t="s">
        <v>261</v>
      </c>
      <c r="BM254" s="4" t="s">
        <v>262</v>
      </c>
      <c r="BN254" s="4" t="s">
        <v>241</v>
      </c>
      <c r="BO254" s="6">
        <f>0</f>
        <v>0</v>
      </c>
      <c r="BP254" s="6">
        <f>0</f>
        <v>0</v>
      </c>
      <c r="BQ254" s="4" t="s">
        <v>263</v>
      </c>
      <c r="BR254" s="4" t="s">
        <v>264</v>
      </c>
      <c r="CF254" s="4" t="s">
        <v>241</v>
      </c>
      <c r="CG254" s="4" t="s">
        <v>241</v>
      </c>
      <c r="CK254" s="4" t="s">
        <v>265</v>
      </c>
      <c r="CL254" s="4" t="s">
        <v>266</v>
      </c>
      <c r="CM254" s="4" t="s">
        <v>241</v>
      </c>
      <c r="CO254" s="4" t="s">
        <v>3711</v>
      </c>
      <c r="CP254" s="5" t="s">
        <v>268</v>
      </c>
      <c r="CQ254" s="4" t="s">
        <v>269</v>
      </c>
      <c r="CR254" s="4" t="s">
        <v>270</v>
      </c>
      <c r="CS254" s="4" t="s">
        <v>241</v>
      </c>
      <c r="CT254" s="4" t="s">
        <v>241</v>
      </c>
      <c r="CU254" s="4">
        <v>0</v>
      </c>
      <c r="CV254" s="4" t="s">
        <v>271</v>
      </c>
      <c r="CW254" s="4" t="s">
        <v>272</v>
      </c>
      <c r="CX254" s="4" t="s">
        <v>347</v>
      </c>
      <c r="CZ254" s="6">
        <f>2120400</f>
        <v>2120400</v>
      </c>
      <c r="DA254" s="6">
        <f>0</f>
        <v>0</v>
      </c>
      <c r="DC254" s="4" t="s">
        <v>241</v>
      </c>
      <c r="DD254" s="4" t="s">
        <v>241</v>
      </c>
      <c r="DF254" s="4" t="s">
        <v>241</v>
      </c>
      <c r="DI254" s="4" t="s">
        <v>241</v>
      </c>
      <c r="DJ254" s="4" t="s">
        <v>241</v>
      </c>
      <c r="DK254" s="4" t="s">
        <v>241</v>
      </c>
      <c r="DL254" s="4" t="s">
        <v>241</v>
      </c>
      <c r="DM254" s="4" t="s">
        <v>277</v>
      </c>
      <c r="DN254" s="4" t="s">
        <v>278</v>
      </c>
      <c r="DO254" s="6">
        <f>35.34</f>
        <v>35.340000000000003</v>
      </c>
      <c r="DP254" s="4" t="s">
        <v>241</v>
      </c>
      <c r="DQ254" s="4" t="s">
        <v>241</v>
      </c>
      <c r="DR254" s="4" t="s">
        <v>241</v>
      </c>
      <c r="DS254" s="4" t="s">
        <v>241</v>
      </c>
      <c r="DV254" s="4" t="s">
        <v>3713</v>
      </c>
      <c r="DW254" s="4" t="s">
        <v>277</v>
      </c>
      <c r="HO254" s="4" t="s">
        <v>277</v>
      </c>
      <c r="HR254" s="4" t="s">
        <v>278</v>
      </c>
      <c r="HS254" s="4" t="s">
        <v>278</v>
      </c>
    </row>
    <row r="255" spans="1:240" x14ac:dyDescent="0.4">
      <c r="A255" s="4">
        <v>2</v>
      </c>
      <c r="B255" s="4" t="s">
        <v>239</v>
      </c>
      <c r="C255" s="4">
        <v>274</v>
      </c>
      <c r="D255" s="4">
        <v>1</v>
      </c>
      <c r="E255" s="4">
        <v>1</v>
      </c>
      <c r="F255" s="4" t="s">
        <v>240</v>
      </c>
      <c r="G255" s="4" t="s">
        <v>241</v>
      </c>
      <c r="H255" s="4" t="s">
        <v>241</v>
      </c>
      <c r="I255" s="4" t="s">
        <v>3708</v>
      </c>
      <c r="J255" s="4" t="s">
        <v>458</v>
      </c>
      <c r="K255" s="4" t="s">
        <v>256</v>
      </c>
      <c r="L255" s="4" t="s">
        <v>3027</v>
      </c>
      <c r="M255" s="5" t="s">
        <v>3710</v>
      </c>
      <c r="N255" s="4" t="s">
        <v>3027</v>
      </c>
      <c r="O255" s="6">
        <f>34.78</f>
        <v>34.78</v>
      </c>
      <c r="P255" s="4" t="s">
        <v>276</v>
      </c>
      <c r="Q255" s="6">
        <f>1</f>
        <v>1</v>
      </c>
      <c r="R255" s="6">
        <f>2086800</f>
        <v>2086800</v>
      </c>
      <c r="S255" s="5" t="s">
        <v>3709</v>
      </c>
      <c r="T255" s="4" t="s">
        <v>348</v>
      </c>
      <c r="U255" s="4" t="s">
        <v>3712</v>
      </c>
      <c r="W255" s="6">
        <f>2086799</f>
        <v>2086799</v>
      </c>
      <c r="X255" s="4" t="s">
        <v>243</v>
      </c>
      <c r="Y255" s="4" t="s">
        <v>244</v>
      </c>
      <c r="Z255" s="4" t="s">
        <v>282</v>
      </c>
      <c r="AA255" s="4" t="s">
        <v>241</v>
      </c>
      <c r="AD255" s="4" t="s">
        <v>241</v>
      </c>
      <c r="AF255" s="5" t="s">
        <v>241</v>
      </c>
      <c r="AI255" s="5" t="s">
        <v>249</v>
      </c>
      <c r="AJ255" s="4" t="s">
        <v>251</v>
      </c>
      <c r="AK255" s="4" t="s">
        <v>252</v>
      </c>
      <c r="BA255" s="4" t="s">
        <v>254</v>
      </c>
      <c r="BB255" s="4" t="s">
        <v>241</v>
      </c>
      <c r="BC255" s="4" t="s">
        <v>255</v>
      </c>
      <c r="BD255" s="4" t="s">
        <v>241</v>
      </c>
      <c r="BE255" s="4" t="s">
        <v>257</v>
      </c>
      <c r="BF255" s="4" t="s">
        <v>241</v>
      </c>
      <c r="BJ255" s="4" t="s">
        <v>367</v>
      </c>
      <c r="BK255" s="5" t="s">
        <v>249</v>
      </c>
      <c r="BL255" s="4" t="s">
        <v>261</v>
      </c>
      <c r="BM255" s="4" t="s">
        <v>262</v>
      </c>
      <c r="BN255" s="4" t="s">
        <v>241</v>
      </c>
      <c r="BO255" s="6">
        <f>0</f>
        <v>0</v>
      </c>
      <c r="BP255" s="6">
        <f>0</f>
        <v>0</v>
      </c>
      <c r="BQ255" s="4" t="s">
        <v>263</v>
      </c>
      <c r="BR255" s="4" t="s">
        <v>264</v>
      </c>
      <c r="CF255" s="4" t="s">
        <v>241</v>
      </c>
      <c r="CG255" s="4" t="s">
        <v>241</v>
      </c>
      <c r="CK255" s="4" t="s">
        <v>265</v>
      </c>
      <c r="CL255" s="4" t="s">
        <v>266</v>
      </c>
      <c r="CM255" s="4" t="s">
        <v>241</v>
      </c>
      <c r="CO255" s="4" t="s">
        <v>3711</v>
      </c>
      <c r="CP255" s="5" t="s">
        <v>268</v>
      </c>
      <c r="CQ255" s="4" t="s">
        <v>269</v>
      </c>
      <c r="CR255" s="4" t="s">
        <v>270</v>
      </c>
      <c r="CS255" s="4" t="s">
        <v>241</v>
      </c>
      <c r="CT255" s="4" t="s">
        <v>241</v>
      </c>
      <c r="CU255" s="4">
        <v>0</v>
      </c>
      <c r="CV255" s="4" t="s">
        <v>271</v>
      </c>
      <c r="CW255" s="4" t="s">
        <v>272</v>
      </c>
      <c r="CX255" s="4" t="s">
        <v>347</v>
      </c>
      <c r="CZ255" s="6">
        <f>2086800</f>
        <v>2086800</v>
      </c>
      <c r="DA255" s="6">
        <f>0</f>
        <v>0</v>
      </c>
      <c r="DC255" s="4" t="s">
        <v>241</v>
      </c>
      <c r="DD255" s="4" t="s">
        <v>241</v>
      </c>
      <c r="DF255" s="4" t="s">
        <v>241</v>
      </c>
      <c r="DI255" s="4" t="s">
        <v>241</v>
      </c>
      <c r="DJ255" s="4" t="s">
        <v>241</v>
      </c>
      <c r="DK255" s="4" t="s">
        <v>241</v>
      </c>
      <c r="DL255" s="4" t="s">
        <v>241</v>
      </c>
      <c r="DM255" s="4" t="s">
        <v>277</v>
      </c>
      <c r="DN255" s="4" t="s">
        <v>278</v>
      </c>
      <c r="DO255" s="6">
        <f>34.78</f>
        <v>34.78</v>
      </c>
      <c r="DP255" s="4" t="s">
        <v>241</v>
      </c>
      <c r="DQ255" s="4" t="s">
        <v>241</v>
      </c>
      <c r="DR255" s="4" t="s">
        <v>241</v>
      </c>
      <c r="DS255" s="4" t="s">
        <v>241</v>
      </c>
      <c r="DV255" s="4" t="s">
        <v>3713</v>
      </c>
      <c r="DW255" s="4" t="s">
        <v>323</v>
      </c>
      <c r="HO255" s="4" t="s">
        <v>277</v>
      </c>
      <c r="HR255" s="4" t="s">
        <v>278</v>
      </c>
      <c r="HS255" s="4" t="s">
        <v>278</v>
      </c>
    </row>
    <row r="256" spans="1:240" x14ac:dyDescent="0.4">
      <c r="A256" s="4">
        <v>2</v>
      </c>
      <c r="B256" s="4" t="s">
        <v>239</v>
      </c>
      <c r="C256" s="4">
        <v>275</v>
      </c>
      <c r="D256" s="4">
        <v>1</v>
      </c>
      <c r="E256" s="4">
        <v>1</v>
      </c>
      <c r="F256" s="4" t="s">
        <v>240</v>
      </c>
      <c r="G256" s="4" t="s">
        <v>241</v>
      </c>
      <c r="H256" s="4" t="s">
        <v>241</v>
      </c>
      <c r="I256" s="4" t="s">
        <v>3708</v>
      </c>
      <c r="J256" s="4" t="s">
        <v>458</v>
      </c>
      <c r="K256" s="4" t="s">
        <v>256</v>
      </c>
      <c r="L256" s="4" t="s">
        <v>3027</v>
      </c>
      <c r="M256" s="5" t="s">
        <v>3710</v>
      </c>
      <c r="N256" s="4" t="s">
        <v>3027</v>
      </c>
      <c r="O256" s="6">
        <f>21.28</f>
        <v>21.28</v>
      </c>
      <c r="P256" s="4" t="s">
        <v>276</v>
      </c>
      <c r="Q256" s="6">
        <f>1</f>
        <v>1</v>
      </c>
      <c r="R256" s="6">
        <f>1276800</f>
        <v>1276800</v>
      </c>
      <c r="S256" s="5" t="s">
        <v>3709</v>
      </c>
      <c r="T256" s="4" t="s">
        <v>348</v>
      </c>
      <c r="U256" s="4" t="s">
        <v>3712</v>
      </c>
      <c r="W256" s="6">
        <f>1276799</f>
        <v>1276799</v>
      </c>
      <c r="X256" s="4" t="s">
        <v>243</v>
      </c>
      <c r="Y256" s="4" t="s">
        <v>244</v>
      </c>
      <c r="Z256" s="4" t="s">
        <v>282</v>
      </c>
      <c r="AA256" s="4" t="s">
        <v>241</v>
      </c>
      <c r="AD256" s="4" t="s">
        <v>241</v>
      </c>
      <c r="AF256" s="5" t="s">
        <v>241</v>
      </c>
      <c r="AI256" s="5" t="s">
        <v>249</v>
      </c>
      <c r="AJ256" s="4" t="s">
        <v>251</v>
      </c>
      <c r="AK256" s="4" t="s">
        <v>252</v>
      </c>
      <c r="BA256" s="4" t="s">
        <v>254</v>
      </c>
      <c r="BB256" s="4" t="s">
        <v>241</v>
      </c>
      <c r="BC256" s="4" t="s">
        <v>255</v>
      </c>
      <c r="BD256" s="4" t="s">
        <v>241</v>
      </c>
      <c r="BE256" s="4" t="s">
        <v>257</v>
      </c>
      <c r="BF256" s="4" t="s">
        <v>241</v>
      </c>
      <c r="BJ256" s="4" t="s">
        <v>367</v>
      </c>
      <c r="BK256" s="5" t="s">
        <v>249</v>
      </c>
      <c r="BL256" s="4" t="s">
        <v>261</v>
      </c>
      <c r="BM256" s="4" t="s">
        <v>262</v>
      </c>
      <c r="BN256" s="4" t="s">
        <v>241</v>
      </c>
      <c r="BO256" s="6">
        <f>0</f>
        <v>0</v>
      </c>
      <c r="BP256" s="6">
        <f>0</f>
        <v>0</v>
      </c>
      <c r="BQ256" s="4" t="s">
        <v>263</v>
      </c>
      <c r="BR256" s="4" t="s">
        <v>264</v>
      </c>
      <c r="CF256" s="4" t="s">
        <v>241</v>
      </c>
      <c r="CG256" s="4" t="s">
        <v>241</v>
      </c>
      <c r="CK256" s="4" t="s">
        <v>265</v>
      </c>
      <c r="CL256" s="4" t="s">
        <v>266</v>
      </c>
      <c r="CM256" s="4" t="s">
        <v>241</v>
      </c>
      <c r="CO256" s="4" t="s">
        <v>3711</v>
      </c>
      <c r="CP256" s="5" t="s">
        <v>268</v>
      </c>
      <c r="CQ256" s="4" t="s">
        <v>269</v>
      </c>
      <c r="CR256" s="4" t="s">
        <v>270</v>
      </c>
      <c r="CS256" s="4" t="s">
        <v>241</v>
      </c>
      <c r="CT256" s="4" t="s">
        <v>241</v>
      </c>
      <c r="CU256" s="4">
        <v>0</v>
      </c>
      <c r="CV256" s="4" t="s">
        <v>271</v>
      </c>
      <c r="CW256" s="4" t="s">
        <v>272</v>
      </c>
      <c r="CX256" s="4" t="s">
        <v>347</v>
      </c>
      <c r="CZ256" s="6">
        <f>1276800</f>
        <v>1276800</v>
      </c>
      <c r="DA256" s="6">
        <f>0</f>
        <v>0</v>
      </c>
      <c r="DC256" s="4" t="s">
        <v>241</v>
      </c>
      <c r="DD256" s="4" t="s">
        <v>241</v>
      </c>
      <c r="DF256" s="4" t="s">
        <v>241</v>
      </c>
      <c r="DI256" s="4" t="s">
        <v>241</v>
      </c>
      <c r="DJ256" s="4" t="s">
        <v>241</v>
      </c>
      <c r="DK256" s="4" t="s">
        <v>241</v>
      </c>
      <c r="DL256" s="4" t="s">
        <v>241</v>
      </c>
      <c r="DM256" s="4" t="s">
        <v>277</v>
      </c>
      <c r="DN256" s="4" t="s">
        <v>278</v>
      </c>
      <c r="DO256" s="6">
        <f>21.28</f>
        <v>21.28</v>
      </c>
      <c r="DP256" s="4" t="s">
        <v>241</v>
      </c>
      <c r="DQ256" s="4" t="s">
        <v>241</v>
      </c>
      <c r="DR256" s="4" t="s">
        <v>241</v>
      </c>
      <c r="DS256" s="4" t="s">
        <v>241</v>
      </c>
      <c r="DV256" s="4" t="s">
        <v>3713</v>
      </c>
      <c r="DW256" s="4" t="s">
        <v>297</v>
      </c>
      <c r="HO256" s="4" t="s">
        <v>277</v>
      </c>
      <c r="HR256" s="4" t="s">
        <v>278</v>
      </c>
      <c r="HS256" s="4" t="s">
        <v>278</v>
      </c>
    </row>
    <row r="257" spans="1:240" x14ac:dyDescent="0.4">
      <c r="A257" s="4">
        <v>2</v>
      </c>
      <c r="B257" s="4" t="s">
        <v>239</v>
      </c>
      <c r="C257" s="4">
        <v>276</v>
      </c>
      <c r="D257" s="4">
        <v>1</v>
      </c>
      <c r="E257" s="4">
        <v>1</v>
      </c>
      <c r="F257" s="4" t="s">
        <v>240</v>
      </c>
      <c r="G257" s="4" t="s">
        <v>241</v>
      </c>
      <c r="H257" s="4" t="s">
        <v>241</v>
      </c>
      <c r="I257" s="4" t="s">
        <v>3708</v>
      </c>
      <c r="J257" s="4" t="s">
        <v>483</v>
      </c>
      <c r="K257" s="4" t="s">
        <v>256</v>
      </c>
      <c r="L257" s="4" t="s">
        <v>3027</v>
      </c>
      <c r="M257" s="5" t="s">
        <v>3714</v>
      </c>
      <c r="N257" s="4" t="s">
        <v>3027</v>
      </c>
      <c r="O257" s="6">
        <f>33.2</f>
        <v>33.200000000000003</v>
      </c>
      <c r="P257" s="4" t="s">
        <v>276</v>
      </c>
      <c r="Q257" s="6">
        <f>1</f>
        <v>1</v>
      </c>
      <c r="R257" s="6">
        <f>1992000</f>
        <v>1992000</v>
      </c>
      <c r="S257" s="5" t="s">
        <v>1021</v>
      </c>
      <c r="T257" s="4" t="s">
        <v>441</v>
      </c>
      <c r="U257" s="4" t="s">
        <v>306</v>
      </c>
      <c r="W257" s="6">
        <f>1991999</f>
        <v>1991999</v>
      </c>
      <c r="X257" s="4" t="s">
        <v>243</v>
      </c>
      <c r="Y257" s="4" t="s">
        <v>244</v>
      </c>
      <c r="Z257" s="4" t="s">
        <v>282</v>
      </c>
      <c r="AA257" s="4" t="s">
        <v>241</v>
      </c>
      <c r="AD257" s="4" t="s">
        <v>241</v>
      </c>
      <c r="AF257" s="5" t="s">
        <v>241</v>
      </c>
      <c r="AI257" s="5" t="s">
        <v>249</v>
      </c>
      <c r="AJ257" s="4" t="s">
        <v>251</v>
      </c>
      <c r="AK257" s="4" t="s">
        <v>252</v>
      </c>
      <c r="BA257" s="4" t="s">
        <v>254</v>
      </c>
      <c r="BB257" s="4" t="s">
        <v>241</v>
      </c>
      <c r="BC257" s="4" t="s">
        <v>255</v>
      </c>
      <c r="BD257" s="4" t="s">
        <v>241</v>
      </c>
      <c r="BE257" s="4" t="s">
        <v>257</v>
      </c>
      <c r="BF257" s="4" t="s">
        <v>241</v>
      </c>
      <c r="BJ257" s="4" t="s">
        <v>374</v>
      </c>
      <c r="BK257" s="5" t="s">
        <v>375</v>
      </c>
      <c r="BL257" s="4" t="s">
        <v>261</v>
      </c>
      <c r="BM257" s="4" t="s">
        <v>262</v>
      </c>
      <c r="BN257" s="4" t="s">
        <v>241</v>
      </c>
      <c r="BO257" s="6">
        <f>0</f>
        <v>0</v>
      </c>
      <c r="BP257" s="6">
        <f>0</f>
        <v>0</v>
      </c>
      <c r="BQ257" s="4" t="s">
        <v>263</v>
      </c>
      <c r="BR257" s="4" t="s">
        <v>264</v>
      </c>
      <c r="CF257" s="4" t="s">
        <v>241</v>
      </c>
      <c r="CG257" s="4" t="s">
        <v>241</v>
      </c>
      <c r="CK257" s="4" t="s">
        <v>265</v>
      </c>
      <c r="CL257" s="4" t="s">
        <v>266</v>
      </c>
      <c r="CM257" s="4" t="s">
        <v>241</v>
      </c>
      <c r="CO257" s="4" t="s">
        <v>1603</v>
      </c>
      <c r="CP257" s="5" t="s">
        <v>268</v>
      </c>
      <c r="CQ257" s="4" t="s">
        <v>269</v>
      </c>
      <c r="CR257" s="4" t="s">
        <v>270</v>
      </c>
      <c r="CS257" s="4" t="s">
        <v>241</v>
      </c>
      <c r="CT257" s="4" t="s">
        <v>241</v>
      </c>
      <c r="CU257" s="4">
        <v>0</v>
      </c>
      <c r="CV257" s="4" t="s">
        <v>271</v>
      </c>
      <c r="CW257" s="4" t="s">
        <v>272</v>
      </c>
      <c r="CX257" s="4" t="s">
        <v>487</v>
      </c>
      <c r="CZ257" s="6">
        <f>1992000</f>
        <v>1992000</v>
      </c>
      <c r="DA257" s="6">
        <f>0</f>
        <v>0</v>
      </c>
      <c r="DC257" s="4" t="s">
        <v>241</v>
      </c>
      <c r="DD257" s="4" t="s">
        <v>241</v>
      </c>
      <c r="DF257" s="4" t="s">
        <v>241</v>
      </c>
      <c r="DI257" s="4" t="s">
        <v>241</v>
      </c>
      <c r="DJ257" s="4" t="s">
        <v>241</v>
      </c>
      <c r="DK257" s="4" t="s">
        <v>241</v>
      </c>
      <c r="DL257" s="4" t="s">
        <v>241</v>
      </c>
      <c r="DM257" s="4" t="s">
        <v>277</v>
      </c>
      <c r="DN257" s="4" t="s">
        <v>278</v>
      </c>
      <c r="DO257" s="6">
        <f>33.2</f>
        <v>33.200000000000003</v>
      </c>
      <c r="DP257" s="4" t="s">
        <v>241</v>
      </c>
      <c r="DQ257" s="4" t="s">
        <v>241</v>
      </c>
      <c r="DR257" s="4" t="s">
        <v>241</v>
      </c>
      <c r="DS257" s="4" t="s">
        <v>241</v>
      </c>
      <c r="DV257" s="4" t="s">
        <v>3715</v>
      </c>
      <c r="DW257" s="4" t="s">
        <v>277</v>
      </c>
      <c r="HO257" s="4" t="s">
        <v>277</v>
      </c>
      <c r="HR257" s="4" t="s">
        <v>278</v>
      </c>
      <c r="HS257" s="4" t="s">
        <v>278</v>
      </c>
    </row>
    <row r="258" spans="1:240" x14ac:dyDescent="0.4">
      <c r="A258" s="4">
        <v>2</v>
      </c>
      <c r="B258" s="4" t="s">
        <v>239</v>
      </c>
      <c r="C258" s="4">
        <v>277</v>
      </c>
      <c r="D258" s="4">
        <v>1</v>
      </c>
      <c r="E258" s="4">
        <v>2</v>
      </c>
      <c r="F258" s="4" t="s">
        <v>240</v>
      </c>
      <c r="I258" s="4" t="s">
        <v>241</v>
      </c>
      <c r="J258" s="4" t="s">
        <v>1203</v>
      </c>
      <c r="K258" s="4" t="s">
        <v>256</v>
      </c>
      <c r="L258" s="4" t="s">
        <v>280</v>
      </c>
      <c r="M258" s="5" t="s">
        <v>3853</v>
      </c>
      <c r="N258" s="4" t="s">
        <v>280</v>
      </c>
      <c r="O258" s="6">
        <f>2301.63</f>
        <v>2301.63</v>
      </c>
      <c r="P258" s="4" t="s">
        <v>276</v>
      </c>
      <c r="Q258" s="6">
        <f>172718941</f>
        <v>172718941</v>
      </c>
      <c r="R258" s="6">
        <f>455722740</f>
        <v>455722740</v>
      </c>
      <c r="S258" s="5" t="s">
        <v>4085</v>
      </c>
      <c r="T258" s="4" t="s">
        <v>333</v>
      </c>
      <c r="U258" s="4" t="s">
        <v>314</v>
      </c>
      <c r="W258" s="6">
        <f>283003799</f>
        <v>283003799</v>
      </c>
      <c r="X258" s="4" t="s">
        <v>243</v>
      </c>
      <c r="Y258" s="4" t="s">
        <v>244</v>
      </c>
      <c r="Z258" s="4" t="s">
        <v>282</v>
      </c>
      <c r="AA258" s="4" t="s">
        <v>241</v>
      </c>
      <c r="AD258" s="4" t="s">
        <v>241</v>
      </c>
      <c r="AE258" s="5" t="s">
        <v>241</v>
      </c>
      <c r="AF258" s="5" t="s">
        <v>241</v>
      </c>
      <c r="AH258" s="5" t="s">
        <v>241</v>
      </c>
      <c r="AI258" s="5" t="s">
        <v>249</v>
      </c>
      <c r="AJ258" s="4" t="s">
        <v>251</v>
      </c>
      <c r="AK258" s="4" t="s">
        <v>252</v>
      </c>
      <c r="AQ258" s="4" t="s">
        <v>241</v>
      </c>
      <c r="AR258" s="4" t="s">
        <v>241</v>
      </c>
      <c r="AS258" s="4" t="s">
        <v>241</v>
      </c>
      <c r="AT258" s="5" t="s">
        <v>241</v>
      </c>
      <c r="AU258" s="5" t="s">
        <v>241</v>
      </c>
      <c r="AV258" s="5" t="s">
        <v>241</v>
      </c>
      <c r="AY258" s="4" t="s">
        <v>286</v>
      </c>
      <c r="AZ258" s="4" t="s">
        <v>286</v>
      </c>
      <c r="BA258" s="4" t="s">
        <v>254</v>
      </c>
      <c r="BB258" s="4" t="s">
        <v>287</v>
      </c>
      <c r="BC258" s="4" t="s">
        <v>255</v>
      </c>
      <c r="BD258" s="4" t="s">
        <v>241</v>
      </c>
      <c r="BE258" s="4" t="s">
        <v>257</v>
      </c>
      <c r="BF258" s="4" t="s">
        <v>241</v>
      </c>
      <c r="BJ258" s="4" t="s">
        <v>288</v>
      </c>
      <c r="BK258" s="5" t="s">
        <v>289</v>
      </c>
      <c r="BL258" s="4" t="s">
        <v>290</v>
      </c>
      <c r="BM258" s="4" t="s">
        <v>290</v>
      </c>
      <c r="BN258" s="4" t="s">
        <v>241</v>
      </c>
      <c r="BO258" s="6">
        <f>0</f>
        <v>0</v>
      </c>
      <c r="BP258" s="6">
        <f>-12304513</f>
        <v>-12304513</v>
      </c>
      <c r="BQ258" s="4" t="s">
        <v>263</v>
      </c>
      <c r="BR258" s="4" t="s">
        <v>264</v>
      </c>
      <c r="BS258" s="4" t="s">
        <v>241</v>
      </c>
      <c r="BT258" s="4" t="s">
        <v>241</v>
      </c>
      <c r="BU258" s="4" t="s">
        <v>241</v>
      </c>
      <c r="BV258" s="4" t="s">
        <v>241</v>
      </c>
      <c r="CE258" s="4" t="s">
        <v>264</v>
      </c>
      <c r="CF258" s="4" t="s">
        <v>241</v>
      </c>
      <c r="CG258" s="4" t="s">
        <v>241</v>
      </c>
      <c r="CK258" s="4" t="s">
        <v>291</v>
      </c>
      <c r="CL258" s="4" t="s">
        <v>266</v>
      </c>
      <c r="CM258" s="4" t="s">
        <v>241</v>
      </c>
      <c r="CO258" s="4" t="s">
        <v>313</v>
      </c>
      <c r="CP258" s="5" t="s">
        <v>268</v>
      </c>
      <c r="CQ258" s="4" t="s">
        <v>269</v>
      </c>
      <c r="CR258" s="4" t="s">
        <v>270</v>
      </c>
      <c r="CS258" s="4" t="s">
        <v>293</v>
      </c>
      <c r="CT258" s="4" t="s">
        <v>241</v>
      </c>
      <c r="CU258" s="4">
        <v>0</v>
      </c>
      <c r="CV258" s="4" t="s">
        <v>271</v>
      </c>
      <c r="CW258" s="4" t="s">
        <v>294</v>
      </c>
      <c r="CX258" s="4" t="s">
        <v>487</v>
      </c>
      <c r="CY258" s="6">
        <f>0</f>
        <v>0</v>
      </c>
      <c r="CZ258" s="6">
        <f>455722740</f>
        <v>455722740</v>
      </c>
      <c r="DA258" s="6">
        <f>185023454</f>
        <v>185023454</v>
      </c>
      <c r="DC258" s="4" t="s">
        <v>241</v>
      </c>
      <c r="DD258" s="4" t="s">
        <v>241</v>
      </c>
      <c r="DF258" s="4" t="s">
        <v>241</v>
      </c>
      <c r="DG258" s="6">
        <f>0</f>
        <v>0</v>
      </c>
      <c r="DI258" s="4" t="s">
        <v>241</v>
      </c>
      <c r="DJ258" s="4" t="s">
        <v>241</v>
      </c>
      <c r="DK258" s="4" t="s">
        <v>241</v>
      </c>
      <c r="DL258" s="4" t="s">
        <v>241</v>
      </c>
      <c r="DM258" s="4" t="s">
        <v>323</v>
      </c>
      <c r="DN258" s="4" t="s">
        <v>278</v>
      </c>
      <c r="DO258" s="6">
        <f>2301.63</f>
        <v>2301.63</v>
      </c>
      <c r="DP258" s="4" t="s">
        <v>241</v>
      </c>
      <c r="DQ258" s="4" t="s">
        <v>241</v>
      </c>
      <c r="DR258" s="4" t="s">
        <v>241</v>
      </c>
      <c r="DS258" s="4" t="s">
        <v>241</v>
      </c>
      <c r="DV258" s="4" t="s">
        <v>3854</v>
      </c>
      <c r="DW258" s="4" t="s">
        <v>277</v>
      </c>
      <c r="GN258" s="4" t="s">
        <v>4086</v>
      </c>
      <c r="HO258" s="4" t="s">
        <v>300</v>
      </c>
      <c r="HR258" s="4" t="s">
        <v>278</v>
      </c>
      <c r="HS258" s="4" t="s">
        <v>278</v>
      </c>
      <c r="HT258" s="4" t="s">
        <v>241</v>
      </c>
      <c r="HU258" s="4" t="s">
        <v>241</v>
      </c>
      <c r="HV258" s="4" t="s">
        <v>241</v>
      </c>
      <c r="HW258" s="4" t="s">
        <v>241</v>
      </c>
      <c r="HX258" s="4" t="s">
        <v>241</v>
      </c>
      <c r="HY258" s="4" t="s">
        <v>241</v>
      </c>
      <c r="HZ258" s="4" t="s">
        <v>241</v>
      </c>
      <c r="IA258" s="4" t="s">
        <v>241</v>
      </c>
      <c r="IB258" s="4" t="s">
        <v>241</v>
      </c>
      <c r="IC258" s="4" t="s">
        <v>241</v>
      </c>
      <c r="ID258" s="4" t="s">
        <v>241</v>
      </c>
      <c r="IE258" s="4" t="s">
        <v>241</v>
      </c>
      <c r="IF258" s="4" t="s">
        <v>241</v>
      </c>
    </row>
    <row r="259" spans="1:240" x14ac:dyDescent="0.4">
      <c r="A259" s="4">
        <v>2</v>
      </c>
      <c r="B259" s="4" t="s">
        <v>239</v>
      </c>
      <c r="C259" s="4">
        <v>278</v>
      </c>
      <c r="D259" s="4">
        <v>1</v>
      </c>
      <c r="E259" s="4">
        <v>3</v>
      </c>
      <c r="F259" s="4" t="s">
        <v>240</v>
      </c>
      <c r="G259" s="4" t="s">
        <v>241</v>
      </c>
      <c r="H259" s="4" t="s">
        <v>241</v>
      </c>
      <c r="I259" s="4" t="s">
        <v>3851</v>
      </c>
      <c r="J259" s="4" t="s">
        <v>1203</v>
      </c>
      <c r="K259" s="4" t="s">
        <v>256</v>
      </c>
      <c r="L259" s="4" t="s">
        <v>454</v>
      </c>
      <c r="M259" s="5" t="s">
        <v>3853</v>
      </c>
      <c r="N259" s="4" t="s">
        <v>454</v>
      </c>
      <c r="O259" s="6">
        <f>618.82</f>
        <v>618.82000000000005</v>
      </c>
      <c r="P259" s="4" t="s">
        <v>276</v>
      </c>
      <c r="Q259" s="6">
        <f>14317037</f>
        <v>14317037</v>
      </c>
      <c r="R259" s="6">
        <f>59406720</f>
        <v>59406720</v>
      </c>
      <c r="S259" s="5" t="s">
        <v>3852</v>
      </c>
      <c r="T259" s="4" t="s">
        <v>441</v>
      </c>
      <c r="U259" s="4" t="s">
        <v>314</v>
      </c>
      <c r="V259" s="6">
        <f>1960421</f>
        <v>1960421</v>
      </c>
      <c r="W259" s="6">
        <f>45089683</f>
        <v>45089683</v>
      </c>
      <c r="X259" s="4" t="s">
        <v>243</v>
      </c>
      <c r="Y259" s="4" t="s">
        <v>244</v>
      </c>
      <c r="Z259" s="4" t="s">
        <v>282</v>
      </c>
      <c r="AA259" s="4" t="s">
        <v>241</v>
      </c>
      <c r="AD259" s="4" t="s">
        <v>241</v>
      </c>
      <c r="AE259" s="5" t="s">
        <v>241</v>
      </c>
      <c r="AF259" s="5" t="s">
        <v>241</v>
      </c>
      <c r="AH259" s="5" t="s">
        <v>241</v>
      </c>
      <c r="AI259" s="5" t="s">
        <v>249</v>
      </c>
      <c r="AJ259" s="4" t="s">
        <v>251</v>
      </c>
      <c r="AK259" s="4" t="s">
        <v>252</v>
      </c>
      <c r="AQ259" s="4" t="s">
        <v>241</v>
      </c>
      <c r="AR259" s="4" t="s">
        <v>241</v>
      </c>
      <c r="AS259" s="4" t="s">
        <v>241</v>
      </c>
      <c r="AT259" s="5" t="s">
        <v>241</v>
      </c>
      <c r="AU259" s="5" t="s">
        <v>241</v>
      </c>
      <c r="AV259" s="5" t="s">
        <v>241</v>
      </c>
      <c r="AY259" s="4" t="s">
        <v>286</v>
      </c>
      <c r="AZ259" s="4" t="s">
        <v>286</v>
      </c>
      <c r="BA259" s="4" t="s">
        <v>254</v>
      </c>
      <c r="BB259" s="4" t="s">
        <v>287</v>
      </c>
      <c r="BC259" s="4" t="s">
        <v>255</v>
      </c>
      <c r="BD259" s="4" t="s">
        <v>241</v>
      </c>
      <c r="BE259" s="4" t="s">
        <v>257</v>
      </c>
      <c r="BF259" s="4" t="s">
        <v>241</v>
      </c>
      <c r="BJ259" s="4" t="s">
        <v>288</v>
      </c>
      <c r="BK259" s="5" t="s">
        <v>289</v>
      </c>
      <c r="BL259" s="4" t="s">
        <v>290</v>
      </c>
      <c r="BM259" s="4" t="s">
        <v>290</v>
      </c>
      <c r="BN259" s="4" t="s">
        <v>241</v>
      </c>
      <c r="BO259" s="6">
        <f>0</f>
        <v>0</v>
      </c>
      <c r="BP259" s="6">
        <f>-1960421</f>
        <v>-1960421</v>
      </c>
      <c r="BQ259" s="4" t="s">
        <v>263</v>
      </c>
      <c r="BR259" s="4" t="s">
        <v>264</v>
      </c>
      <c r="BS259" s="4" t="s">
        <v>241</v>
      </c>
      <c r="BT259" s="4" t="s">
        <v>241</v>
      </c>
      <c r="BU259" s="4" t="s">
        <v>241</v>
      </c>
      <c r="BV259" s="4" t="s">
        <v>241</v>
      </c>
      <c r="CE259" s="4" t="s">
        <v>264</v>
      </c>
      <c r="CF259" s="4" t="s">
        <v>241</v>
      </c>
      <c r="CG259" s="4" t="s">
        <v>241</v>
      </c>
      <c r="CK259" s="4" t="s">
        <v>291</v>
      </c>
      <c r="CL259" s="4" t="s">
        <v>266</v>
      </c>
      <c r="CM259" s="4" t="s">
        <v>241</v>
      </c>
      <c r="CO259" s="4" t="s">
        <v>313</v>
      </c>
      <c r="CP259" s="5" t="s">
        <v>268</v>
      </c>
      <c r="CQ259" s="4" t="s">
        <v>269</v>
      </c>
      <c r="CR259" s="4" t="s">
        <v>270</v>
      </c>
      <c r="CS259" s="4" t="s">
        <v>293</v>
      </c>
      <c r="CT259" s="4" t="s">
        <v>241</v>
      </c>
      <c r="CU259" s="4">
        <v>3.3000000000000002E-2</v>
      </c>
      <c r="CV259" s="4" t="s">
        <v>271</v>
      </c>
      <c r="CW259" s="4" t="s">
        <v>455</v>
      </c>
      <c r="CX259" s="4" t="s">
        <v>487</v>
      </c>
      <c r="CY259" s="6">
        <f>0</f>
        <v>0</v>
      </c>
      <c r="CZ259" s="6">
        <f>59406720</f>
        <v>59406720</v>
      </c>
      <c r="DA259" s="6">
        <f>14317037</f>
        <v>14317037</v>
      </c>
      <c r="DC259" s="4" t="s">
        <v>241</v>
      </c>
      <c r="DD259" s="4" t="s">
        <v>241</v>
      </c>
      <c r="DF259" s="4" t="s">
        <v>241</v>
      </c>
      <c r="DG259" s="6">
        <f>0</f>
        <v>0</v>
      </c>
      <c r="DI259" s="4" t="s">
        <v>241</v>
      </c>
      <c r="DJ259" s="4" t="s">
        <v>241</v>
      </c>
      <c r="DK259" s="4" t="s">
        <v>241</v>
      </c>
      <c r="DL259" s="4" t="s">
        <v>241</v>
      </c>
      <c r="DM259" s="4" t="s">
        <v>323</v>
      </c>
      <c r="DN259" s="4" t="s">
        <v>278</v>
      </c>
      <c r="DO259" s="6">
        <f>618.82</f>
        <v>618.82000000000005</v>
      </c>
      <c r="DP259" s="4" t="s">
        <v>241</v>
      </c>
      <c r="DQ259" s="4" t="s">
        <v>241</v>
      </c>
      <c r="DR259" s="4" t="s">
        <v>241</v>
      </c>
      <c r="DS259" s="4" t="s">
        <v>241</v>
      </c>
      <c r="DV259" s="4" t="s">
        <v>3854</v>
      </c>
      <c r="DW259" s="4" t="s">
        <v>323</v>
      </c>
      <c r="GN259" s="4" t="s">
        <v>3855</v>
      </c>
      <c r="HO259" s="4" t="s">
        <v>300</v>
      </c>
      <c r="HR259" s="4" t="s">
        <v>278</v>
      </c>
      <c r="HS259" s="4" t="s">
        <v>278</v>
      </c>
      <c r="HT259" s="4" t="s">
        <v>241</v>
      </c>
      <c r="HU259" s="4" t="s">
        <v>241</v>
      </c>
      <c r="HV259" s="4" t="s">
        <v>241</v>
      </c>
      <c r="HW259" s="4" t="s">
        <v>241</v>
      </c>
      <c r="HX259" s="4" t="s">
        <v>241</v>
      </c>
      <c r="HY259" s="4" t="s">
        <v>241</v>
      </c>
      <c r="HZ259" s="4" t="s">
        <v>241</v>
      </c>
      <c r="IA259" s="4" t="s">
        <v>241</v>
      </c>
      <c r="IB259" s="4" t="s">
        <v>241</v>
      </c>
      <c r="IC259" s="4" t="s">
        <v>241</v>
      </c>
      <c r="ID259" s="4" t="s">
        <v>241</v>
      </c>
      <c r="IE259" s="4" t="s">
        <v>241</v>
      </c>
      <c r="IF259" s="4" t="s">
        <v>241</v>
      </c>
    </row>
    <row r="260" spans="1:240" x14ac:dyDescent="0.4">
      <c r="A260" s="4">
        <v>2</v>
      </c>
      <c r="B260" s="4" t="s">
        <v>239</v>
      </c>
      <c r="C260" s="4">
        <v>279</v>
      </c>
      <c r="D260" s="4">
        <v>1</v>
      </c>
      <c r="E260" s="4">
        <v>1</v>
      </c>
      <c r="F260" s="4" t="s">
        <v>240</v>
      </c>
      <c r="G260" s="4" t="s">
        <v>241</v>
      </c>
      <c r="H260" s="4" t="s">
        <v>241</v>
      </c>
      <c r="I260" s="4" t="s">
        <v>281</v>
      </c>
      <c r="J260" s="4" t="s">
        <v>283</v>
      </c>
      <c r="K260" s="4" t="s">
        <v>256</v>
      </c>
      <c r="L260" s="4" t="s">
        <v>429</v>
      </c>
      <c r="M260" s="5" t="s">
        <v>285</v>
      </c>
      <c r="N260" s="4" t="s">
        <v>429</v>
      </c>
      <c r="O260" s="6">
        <f>119.24</f>
        <v>119.24</v>
      </c>
      <c r="P260" s="4" t="s">
        <v>276</v>
      </c>
      <c r="Q260" s="6">
        <f>1</f>
        <v>1</v>
      </c>
      <c r="R260" s="6">
        <f>11447040</f>
        <v>11447040</v>
      </c>
      <c r="S260" s="5" t="s">
        <v>3716</v>
      </c>
      <c r="T260" s="4" t="s">
        <v>274</v>
      </c>
      <c r="U260" s="4" t="s">
        <v>274</v>
      </c>
      <c r="W260" s="6">
        <f>11447039</f>
        <v>11447039</v>
      </c>
      <c r="X260" s="4" t="s">
        <v>243</v>
      </c>
      <c r="Y260" s="4" t="s">
        <v>244</v>
      </c>
      <c r="Z260" s="4" t="s">
        <v>282</v>
      </c>
      <c r="AA260" s="4" t="s">
        <v>241</v>
      </c>
      <c r="AD260" s="4" t="s">
        <v>241</v>
      </c>
      <c r="AF260" s="5" t="s">
        <v>241</v>
      </c>
      <c r="AI260" s="5" t="s">
        <v>249</v>
      </c>
      <c r="AJ260" s="4" t="s">
        <v>251</v>
      </c>
      <c r="AK260" s="4" t="s">
        <v>252</v>
      </c>
      <c r="BA260" s="4" t="s">
        <v>254</v>
      </c>
      <c r="BB260" s="4" t="s">
        <v>241</v>
      </c>
      <c r="BC260" s="4" t="s">
        <v>255</v>
      </c>
      <c r="BD260" s="4" t="s">
        <v>241</v>
      </c>
      <c r="BE260" s="4" t="s">
        <v>257</v>
      </c>
      <c r="BF260" s="4" t="s">
        <v>241</v>
      </c>
      <c r="BJ260" s="4" t="s">
        <v>367</v>
      </c>
      <c r="BK260" s="5" t="s">
        <v>249</v>
      </c>
      <c r="BL260" s="4" t="s">
        <v>261</v>
      </c>
      <c r="BM260" s="4" t="s">
        <v>262</v>
      </c>
      <c r="BN260" s="4" t="s">
        <v>241</v>
      </c>
      <c r="BO260" s="6">
        <f>0</f>
        <v>0</v>
      </c>
      <c r="BP260" s="6">
        <f>0</f>
        <v>0</v>
      </c>
      <c r="BQ260" s="4" t="s">
        <v>263</v>
      </c>
      <c r="BR260" s="4" t="s">
        <v>264</v>
      </c>
      <c r="CF260" s="4" t="s">
        <v>241</v>
      </c>
      <c r="CG260" s="4" t="s">
        <v>241</v>
      </c>
      <c r="CK260" s="4" t="s">
        <v>291</v>
      </c>
      <c r="CL260" s="4" t="s">
        <v>266</v>
      </c>
      <c r="CM260" s="4" t="s">
        <v>241</v>
      </c>
      <c r="CO260" s="4" t="s">
        <v>439</v>
      </c>
      <c r="CP260" s="5" t="s">
        <v>268</v>
      </c>
      <c r="CQ260" s="4" t="s">
        <v>269</v>
      </c>
      <c r="CR260" s="4" t="s">
        <v>270</v>
      </c>
      <c r="CS260" s="4" t="s">
        <v>241</v>
      </c>
      <c r="CT260" s="4" t="s">
        <v>241</v>
      </c>
      <c r="CU260" s="4">
        <v>0</v>
      </c>
      <c r="CV260" s="4" t="s">
        <v>271</v>
      </c>
      <c r="CW260" s="4" t="s">
        <v>272</v>
      </c>
      <c r="CX260" s="4" t="s">
        <v>273</v>
      </c>
      <c r="CZ260" s="6">
        <f>11447040</f>
        <v>11447040</v>
      </c>
      <c r="DA260" s="6">
        <f>0</f>
        <v>0</v>
      </c>
      <c r="DC260" s="4" t="s">
        <v>241</v>
      </c>
      <c r="DD260" s="4" t="s">
        <v>241</v>
      </c>
      <c r="DF260" s="4" t="s">
        <v>241</v>
      </c>
      <c r="DI260" s="4" t="s">
        <v>241</v>
      </c>
      <c r="DJ260" s="4" t="s">
        <v>241</v>
      </c>
      <c r="DK260" s="4" t="s">
        <v>241</v>
      </c>
      <c r="DL260" s="4" t="s">
        <v>241</v>
      </c>
      <c r="DM260" s="4" t="s">
        <v>277</v>
      </c>
      <c r="DN260" s="4" t="s">
        <v>278</v>
      </c>
      <c r="DO260" s="6">
        <f>119.24</f>
        <v>119.24</v>
      </c>
      <c r="DP260" s="4" t="s">
        <v>241</v>
      </c>
      <c r="DQ260" s="4" t="s">
        <v>241</v>
      </c>
      <c r="DR260" s="4" t="s">
        <v>241</v>
      </c>
      <c r="DS260" s="4" t="s">
        <v>241</v>
      </c>
      <c r="DV260" s="4" t="s">
        <v>298</v>
      </c>
      <c r="DW260" s="4" t="s">
        <v>277</v>
      </c>
      <c r="HO260" s="4" t="s">
        <v>277</v>
      </c>
      <c r="HR260" s="4" t="s">
        <v>278</v>
      </c>
      <c r="HS260" s="4" t="s">
        <v>278</v>
      </c>
    </row>
    <row r="261" spans="1:240" x14ac:dyDescent="0.4">
      <c r="A261" s="4">
        <v>2</v>
      </c>
      <c r="B261" s="4" t="s">
        <v>239</v>
      </c>
      <c r="C261" s="4">
        <v>280</v>
      </c>
      <c r="D261" s="4">
        <v>1</v>
      </c>
      <c r="E261" s="4">
        <v>3</v>
      </c>
      <c r="F261" s="4" t="s">
        <v>240</v>
      </c>
      <c r="G261" s="4" t="s">
        <v>241</v>
      </c>
      <c r="H261" s="4" t="s">
        <v>241</v>
      </c>
      <c r="I261" s="4" t="s">
        <v>281</v>
      </c>
      <c r="J261" s="4" t="s">
        <v>283</v>
      </c>
      <c r="K261" s="4" t="s">
        <v>256</v>
      </c>
      <c r="L261" s="4" t="s">
        <v>454</v>
      </c>
      <c r="M261" s="5" t="s">
        <v>285</v>
      </c>
      <c r="N261" s="4" t="s">
        <v>454</v>
      </c>
      <c r="O261" s="6">
        <f>37.69</f>
        <v>37.69</v>
      </c>
      <c r="P261" s="4" t="s">
        <v>276</v>
      </c>
      <c r="Q261" s="6">
        <f>82918</f>
        <v>82918</v>
      </c>
      <c r="R261" s="6">
        <f>2072950</f>
        <v>2072950</v>
      </c>
      <c r="S261" s="5" t="s">
        <v>1760</v>
      </c>
      <c r="T261" s="4" t="s">
        <v>404</v>
      </c>
      <c r="U261" s="4" t="s">
        <v>453</v>
      </c>
      <c r="V261" s="6">
        <f>82918</f>
        <v>82918</v>
      </c>
      <c r="W261" s="6">
        <f>1990032</f>
        <v>1990032</v>
      </c>
      <c r="X261" s="4" t="s">
        <v>243</v>
      </c>
      <c r="Y261" s="4" t="s">
        <v>244</v>
      </c>
      <c r="Z261" s="4" t="s">
        <v>282</v>
      </c>
      <c r="AA261" s="4" t="s">
        <v>241</v>
      </c>
      <c r="AD261" s="4" t="s">
        <v>241</v>
      </c>
      <c r="AE261" s="5" t="s">
        <v>241</v>
      </c>
      <c r="AF261" s="5" t="s">
        <v>241</v>
      </c>
      <c r="AH261" s="5" t="s">
        <v>241</v>
      </c>
      <c r="AI261" s="5" t="s">
        <v>249</v>
      </c>
      <c r="AJ261" s="4" t="s">
        <v>251</v>
      </c>
      <c r="AK261" s="4" t="s">
        <v>252</v>
      </c>
      <c r="AQ261" s="4" t="s">
        <v>241</v>
      </c>
      <c r="AR261" s="4" t="s">
        <v>241</v>
      </c>
      <c r="AS261" s="4" t="s">
        <v>241</v>
      </c>
      <c r="AT261" s="5" t="s">
        <v>241</v>
      </c>
      <c r="AU261" s="5" t="s">
        <v>241</v>
      </c>
      <c r="AV261" s="5" t="s">
        <v>241</v>
      </c>
      <c r="AY261" s="4" t="s">
        <v>286</v>
      </c>
      <c r="AZ261" s="4" t="s">
        <v>286</v>
      </c>
      <c r="BA261" s="4" t="s">
        <v>254</v>
      </c>
      <c r="BB261" s="4" t="s">
        <v>287</v>
      </c>
      <c r="BC261" s="4" t="s">
        <v>255</v>
      </c>
      <c r="BD261" s="4" t="s">
        <v>241</v>
      </c>
      <c r="BE261" s="4" t="s">
        <v>257</v>
      </c>
      <c r="BF261" s="4" t="s">
        <v>241</v>
      </c>
      <c r="BJ261" s="4" t="s">
        <v>288</v>
      </c>
      <c r="BK261" s="5" t="s">
        <v>289</v>
      </c>
      <c r="BL261" s="4" t="s">
        <v>290</v>
      </c>
      <c r="BM261" s="4" t="s">
        <v>290</v>
      </c>
      <c r="BN261" s="4" t="s">
        <v>241</v>
      </c>
      <c r="BO261" s="6">
        <f>0</f>
        <v>0</v>
      </c>
      <c r="BP261" s="6">
        <f>-82918</f>
        <v>-82918</v>
      </c>
      <c r="BQ261" s="4" t="s">
        <v>263</v>
      </c>
      <c r="BR261" s="4" t="s">
        <v>264</v>
      </c>
      <c r="BS261" s="4" t="s">
        <v>241</v>
      </c>
      <c r="BT261" s="4" t="s">
        <v>241</v>
      </c>
      <c r="BU261" s="4" t="s">
        <v>241</v>
      </c>
      <c r="BV261" s="4" t="s">
        <v>241</v>
      </c>
      <c r="CE261" s="4" t="s">
        <v>264</v>
      </c>
      <c r="CF261" s="4" t="s">
        <v>241</v>
      </c>
      <c r="CG261" s="4" t="s">
        <v>241</v>
      </c>
      <c r="CK261" s="4" t="s">
        <v>291</v>
      </c>
      <c r="CL261" s="4" t="s">
        <v>266</v>
      </c>
      <c r="CM261" s="4" t="s">
        <v>241</v>
      </c>
      <c r="CO261" s="4" t="s">
        <v>1568</v>
      </c>
      <c r="CP261" s="5" t="s">
        <v>268</v>
      </c>
      <c r="CQ261" s="4" t="s">
        <v>269</v>
      </c>
      <c r="CR261" s="4" t="s">
        <v>270</v>
      </c>
      <c r="CS261" s="4" t="s">
        <v>293</v>
      </c>
      <c r="CT261" s="4" t="s">
        <v>241</v>
      </c>
      <c r="CU261" s="4">
        <v>0.04</v>
      </c>
      <c r="CV261" s="4" t="s">
        <v>271</v>
      </c>
      <c r="CW261" s="4" t="s">
        <v>455</v>
      </c>
      <c r="CX261" s="4" t="s">
        <v>273</v>
      </c>
      <c r="CY261" s="6">
        <f>0</f>
        <v>0</v>
      </c>
      <c r="CZ261" s="6">
        <f>2072950</f>
        <v>2072950</v>
      </c>
      <c r="DA261" s="6">
        <f>82918</f>
        <v>82918</v>
      </c>
      <c r="DC261" s="4" t="s">
        <v>241</v>
      </c>
      <c r="DD261" s="4" t="s">
        <v>241</v>
      </c>
      <c r="DF261" s="4" t="s">
        <v>241</v>
      </c>
      <c r="DG261" s="6">
        <f>0</f>
        <v>0</v>
      </c>
      <c r="DI261" s="4" t="s">
        <v>241</v>
      </c>
      <c r="DJ261" s="4" t="s">
        <v>241</v>
      </c>
      <c r="DK261" s="4" t="s">
        <v>241</v>
      </c>
      <c r="DL261" s="4" t="s">
        <v>241</v>
      </c>
      <c r="DM261" s="4" t="s">
        <v>277</v>
      </c>
      <c r="DN261" s="4" t="s">
        <v>278</v>
      </c>
      <c r="DO261" s="6">
        <f>37.69</f>
        <v>37.69</v>
      </c>
      <c r="DP261" s="4" t="s">
        <v>241</v>
      </c>
      <c r="DQ261" s="4" t="s">
        <v>241</v>
      </c>
      <c r="DR261" s="4" t="s">
        <v>241</v>
      </c>
      <c r="DS261" s="4" t="s">
        <v>241</v>
      </c>
      <c r="DV261" s="4" t="s">
        <v>298</v>
      </c>
      <c r="DW261" s="4" t="s">
        <v>323</v>
      </c>
      <c r="GN261" s="4" t="s">
        <v>3857</v>
      </c>
      <c r="HO261" s="4" t="s">
        <v>300</v>
      </c>
      <c r="HR261" s="4" t="s">
        <v>278</v>
      </c>
      <c r="HS261" s="4" t="s">
        <v>278</v>
      </c>
      <c r="HT261" s="4" t="s">
        <v>241</v>
      </c>
      <c r="HU261" s="4" t="s">
        <v>241</v>
      </c>
      <c r="HV261" s="4" t="s">
        <v>241</v>
      </c>
      <c r="HW261" s="4" t="s">
        <v>241</v>
      </c>
      <c r="HX261" s="4" t="s">
        <v>241</v>
      </c>
      <c r="HY261" s="4" t="s">
        <v>241</v>
      </c>
      <c r="HZ261" s="4" t="s">
        <v>241</v>
      </c>
      <c r="IA261" s="4" t="s">
        <v>241</v>
      </c>
      <c r="IB261" s="4" t="s">
        <v>241</v>
      </c>
      <c r="IC261" s="4" t="s">
        <v>241</v>
      </c>
      <c r="ID261" s="4" t="s">
        <v>241</v>
      </c>
      <c r="IE261" s="4" t="s">
        <v>241</v>
      </c>
      <c r="IF261" s="4" t="s">
        <v>241</v>
      </c>
    </row>
    <row r="262" spans="1:240" x14ac:dyDescent="0.4">
      <c r="A262" s="4">
        <v>2</v>
      </c>
      <c r="B262" s="4" t="s">
        <v>239</v>
      </c>
      <c r="C262" s="4">
        <v>281</v>
      </c>
      <c r="D262" s="4">
        <v>1</v>
      </c>
      <c r="E262" s="4">
        <v>3</v>
      </c>
      <c r="F262" s="4" t="s">
        <v>240</v>
      </c>
      <c r="G262" s="4" t="s">
        <v>241</v>
      </c>
      <c r="H262" s="4" t="s">
        <v>241</v>
      </c>
      <c r="I262" s="4" t="s">
        <v>281</v>
      </c>
      <c r="J262" s="4" t="s">
        <v>283</v>
      </c>
      <c r="K262" s="4" t="s">
        <v>256</v>
      </c>
      <c r="L262" s="4" t="s">
        <v>280</v>
      </c>
      <c r="M262" s="5" t="s">
        <v>285</v>
      </c>
      <c r="N262" s="4" t="s">
        <v>280</v>
      </c>
      <c r="O262" s="6">
        <f>4010.4</f>
        <v>4010.4</v>
      </c>
      <c r="P262" s="4" t="s">
        <v>276</v>
      </c>
      <c r="Q262" s="6">
        <f>790048800</f>
        <v>790048800</v>
      </c>
      <c r="R262" s="6">
        <f>1580097600</f>
        <v>1580097600</v>
      </c>
      <c r="S262" s="5" t="s">
        <v>284</v>
      </c>
      <c r="T262" s="4" t="s">
        <v>296</v>
      </c>
      <c r="U262" s="4" t="s">
        <v>274</v>
      </c>
      <c r="V262" s="6">
        <f>31601952</f>
        <v>31601952</v>
      </c>
      <c r="W262" s="6">
        <f>790048800</f>
        <v>790048800</v>
      </c>
      <c r="X262" s="4" t="s">
        <v>243</v>
      </c>
      <c r="Y262" s="4" t="s">
        <v>244</v>
      </c>
      <c r="Z262" s="4" t="s">
        <v>282</v>
      </c>
      <c r="AA262" s="4" t="s">
        <v>241</v>
      </c>
      <c r="AD262" s="4" t="s">
        <v>241</v>
      </c>
      <c r="AE262" s="5" t="s">
        <v>241</v>
      </c>
      <c r="AF262" s="5" t="s">
        <v>241</v>
      </c>
      <c r="AH262" s="5" t="s">
        <v>241</v>
      </c>
      <c r="AI262" s="5" t="s">
        <v>249</v>
      </c>
      <c r="AJ262" s="4" t="s">
        <v>251</v>
      </c>
      <c r="AK262" s="4" t="s">
        <v>252</v>
      </c>
      <c r="AQ262" s="4" t="s">
        <v>241</v>
      </c>
      <c r="AR262" s="4" t="s">
        <v>241</v>
      </c>
      <c r="AS262" s="4" t="s">
        <v>241</v>
      </c>
      <c r="AT262" s="5" t="s">
        <v>241</v>
      </c>
      <c r="AU262" s="5" t="s">
        <v>241</v>
      </c>
      <c r="AV262" s="5" t="s">
        <v>241</v>
      </c>
      <c r="AY262" s="4" t="s">
        <v>286</v>
      </c>
      <c r="AZ262" s="4" t="s">
        <v>286</v>
      </c>
      <c r="BA262" s="4" t="s">
        <v>254</v>
      </c>
      <c r="BB262" s="4" t="s">
        <v>287</v>
      </c>
      <c r="BC262" s="4" t="s">
        <v>255</v>
      </c>
      <c r="BD262" s="4" t="s">
        <v>241</v>
      </c>
      <c r="BE262" s="4" t="s">
        <v>257</v>
      </c>
      <c r="BF262" s="4" t="s">
        <v>241</v>
      </c>
      <c r="BJ262" s="4" t="s">
        <v>288</v>
      </c>
      <c r="BK262" s="5" t="s">
        <v>289</v>
      </c>
      <c r="BL262" s="4" t="s">
        <v>290</v>
      </c>
      <c r="BM262" s="4" t="s">
        <v>290</v>
      </c>
      <c r="BN262" s="4" t="s">
        <v>241</v>
      </c>
      <c r="BO262" s="6">
        <f>0</f>
        <v>0</v>
      </c>
      <c r="BP262" s="6">
        <f>-31601952</f>
        <v>-31601952</v>
      </c>
      <c r="BQ262" s="4" t="s">
        <v>263</v>
      </c>
      <c r="BR262" s="4" t="s">
        <v>264</v>
      </c>
      <c r="BS262" s="4" t="s">
        <v>241</v>
      </c>
      <c r="BT262" s="4" t="s">
        <v>241</v>
      </c>
      <c r="BU262" s="4" t="s">
        <v>241</v>
      </c>
      <c r="BV262" s="4" t="s">
        <v>241</v>
      </c>
      <c r="CE262" s="4" t="s">
        <v>264</v>
      </c>
      <c r="CF262" s="4" t="s">
        <v>241</v>
      </c>
      <c r="CG262" s="4" t="s">
        <v>241</v>
      </c>
      <c r="CK262" s="4" t="s">
        <v>291</v>
      </c>
      <c r="CL262" s="4" t="s">
        <v>266</v>
      </c>
      <c r="CM262" s="4" t="s">
        <v>241</v>
      </c>
      <c r="CO262" s="4" t="s">
        <v>292</v>
      </c>
      <c r="CP262" s="5" t="s">
        <v>268</v>
      </c>
      <c r="CQ262" s="4" t="s">
        <v>269</v>
      </c>
      <c r="CR262" s="4" t="s">
        <v>270</v>
      </c>
      <c r="CS262" s="4" t="s">
        <v>293</v>
      </c>
      <c r="CT262" s="4" t="s">
        <v>241</v>
      </c>
      <c r="CU262" s="4">
        <v>0.02</v>
      </c>
      <c r="CV262" s="4" t="s">
        <v>271</v>
      </c>
      <c r="CW262" s="4" t="s">
        <v>294</v>
      </c>
      <c r="CX262" s="4" t="s">
        <v>295</v>
      </c>
      <c r="CY262" s="6">
        <f>0</f>
        <v>0</v>
      </c>
      <c r="CZ262" s="6">
        <f>1580097600</f>
        <v>1580097600</v>
      </c>
      <c r="DA262" s="6">
        <f>790048800</f>
        <v>790048800</v>
      </c>
      <c r="DC262" s="4" t="s">
        <v>241</v>
      </c>
      <c r="DD262" s="4" t="s">
        <v>241</v>
      </c>
      <c r="DF262" s="4" t="s">
        <v>241</v>
      </c>
      <c r="DG262" s="6">
        <f>0</f>
        <v>0</v>
      </c>
      <c r="DI262" s="4" t="s">
        <v>241</v>
      </c>
      <c r="DJ262" s="4" t="s">
        <v>241</v>
      </c>
      <c r="DK262" s="4" t="s">
        <v>241</v>
      </c>
      <c r="DL262" s="4" t="s">
        <v>241</v>
      </c>
      <c r="DM262" s="4" t="s">
        <v>297</v>
      </c>
      <c r="DN262" s="4" t="s">
        <v>278</v>
      </c>
      <c r="DO262" s="6">
        <f>4010.4</f>
        <v>4010.4</v>
      </c>
      <c r="DP262" s="4" t="s">
        <v>241</v>
      </c>
      <c r="DQ262" s="4" t="s">
        <v>241</v>
      </c>
      <c r="DR262" s="4" t="s">
        <v>241</v>
      </c>
      <c r="DS262" s="4" t="s">
        <v>241</v>
      </c>
      <c r="DV262" s="4" t="s">
        <v>298</v>
      </c>
      <c r="DW262" s="4" t="s">
        <v>297</v>
      </c>
      <c r="GN262" s="4" t="s">
        <v>299</v>
      </c>
      <c r="HO262" s="4" t="s">
        <v>300</v>
      </c>
      <c r="HR262" s="4" t="s">
        <v>278</v>
      </c>
      <c r="HS262" s="4" t="s">
        <v>278</v>
      </c>
      <c r="HT262" s="4" t="s">
        <v>241</v>
      </c>
      <c r="HU262" s="4" t="s">
        <v>241</v>
      </c>
      <c r="HV262" s="4" t="s">
        <v>241</v>
      </c>
      <c r="HW262" s="4" t="s">
        <v>241</v>
      </c>
      <c r="HX262" s="4" t="s">
        <v>241</v>
      </c>
      <c r="HY262" s="4" t="s">
        <v>241</v>
      </c>
      <c r="HZ262" s="4" t="s">
        <v>241</v>
      </c>
      <c r="IA262" s="4" t="s">
        <v>241</v>
      </c>
      <c r="IB262" s="4" t="s">
        <v>241</v>
      </c>
      <c r="IC262" s="4" t="s">
        <v>241</v>
      </c>
      <c r="ID262" s="4" t="s">
        <v>241</v>
      </c>
      <c r="IE262" s="4" t="s">
        <v>241</v>
      </c>
      <c r="IF262" s="4" t="s">
        <v>241</v>
      </c>
    </row>
    <row r="263" spans="1:240" x14ac:dyDescent="0.4">
      <c r="A263" s="4">
        <v>2</v>
      </c>
      <c r="B263" s="4" t="s">
        <v>239</v>
      </c>
      <c r="C263" s="4">
        <v>282</v>
      </c>
      <c r="D263" s="4">
        <v>1</v>
      </c>
      <c r="E263" s="4">
        <v>1</v>
      </c>
      <c r="F263" s="4" t="s">
        <v>240</v>
      </c>
      <c r="G263" s="4" t="s">
        <v>241</v>
      </c>
      <c r="H263" s="4" t="s">
        <v>241</v>
      </c>
      <c r="I263" s="4" t="s">
        <v>281</v>
      </c>
      <c r="J263" s="4" t="s">
        <v>283</v>
      </c>
      <c r="K263" s="4" t="s">
        <v>256</v>
      </c>
      <c r="L263" s="4" t="s">
        <v>454</v>
      </c>
      <c r="M263" s="5" t="s">
        <v>285</v>
      </c>
      <c r="N263" s="4" t="s">
        <v>454</v>
      </c>
      <c r="O263" s="6">
        <f>103.68</f>
        <v>103.68</v>
      </c>
      <c r="P263" s="4" t="s">
        <v>276</v>
      </c>
      <c r="Q263" s="6">
        <f>1</f>
        <v>1</v>
      </c>
      <c r="R263" s="6">
        <f>6220800</f>
        <v>6220800</v>
      </c>
      <c r="S263" s="5" t="s">
        <v>3873</v>
      </c>
      <c r="T263" s="4" t="s">
        <v>404</v>
      </c>
      <c r="U263" s="4" t="s">
        <v>668</v>
      </c>
      <c r="W263" s="6">
        <f>6220799</f>
        <v>6220799</v>
      </c>
      <c r="X263" s="4" t="s">
        <v>243</v>
      </c>
      <c r="Y263" s="4" t="s">
        <v>244</v>
      </c>
      <c r="Z263" s="4" t="s">
        <v>282</v>
      </c>
      <c r="AA263" s="4" t="s">
        <v>241</v>
      </c>
      <c r="AD263" s="4" t="s">
        <v>241</v>
      </c>
      <c r="AF263" s="5" t="s">
        <v>241</v>
      </c>
      <c r="AI263" s="5" t="s">
        <v>249</v>
      </c>
      <c r="AJ263" s="4" t="s">
        <v>251</v>
      </c>
      <c r="AK263" s="4" t="s">
        <v>252</v>
      </c>
      <c r="BA263" s="4" t="s">
        <v>254</v>
      </c>
      <c r="BB263" s="4" t="s">
        <v>241</v>
      </c>
      <c r="BC263" s="4" t="s">
        <v>255</v>
      </c>
      <c r="BD263" s="4" t="s">
        <v>241</v>
      </c>
      <c r="BE263" s="4" t="s">
        <v>257</v>
      </c>
      <c r="BF263" s="4" t="s">
        <v>241</v>
      </c>
      <c r="BJ263" s="4" t="s">
        <v>259</v>
      </c>
      <c r="BK263" s="5" t="s">
        <v>260</v>
      </c>
      <c r="BL263" s="4" t="s">
        <v>261</v>
      </c>
      <c r="BM263" s="4" t="s">
        <v>262</v>
      </c>
      <c r="BN263" s="4" t="s">
        <v>241</v>
      </c>
      <c r="BO263" s="6">
        <f>0</f>
        <v>0</v>
      </c>
      <c r="BP263" s="6">
        <f>0</f>
        <v>0</v>
      </c>
      <c r="BQ263" s="4" t="s">
        <v>263</v>
      </c>
      <c r="BR263" s="4" t="s">
        <v>264</v>
      </c>
      <c r="CF263" s="4" t="s">
        <v>241</v>
      </c>
      <c r="CG263" s="4" t="s">
        <v>241</v>
      </c>
      <c r="CK263" s="4" t="s">
        <v>265</v>
      </c>
      <c r="CL263" s="4" t="s">
        <v>266</v>
      </c>
      <c r="CM263" s="4" t="s">
        <v>241</v>
      </c>
      <c r="CO263" s="4" t="s">
        <v>1021</v>
      </c>
      <c r="CP263" s="5" t="s">
        <v>268</v>
      </c>
      <c r="CQ263" s="4" t="s">
        <v>269</v>
      </c>
      <c r="CR263" s="4" t="s">
        <v>270</v>
      </c>
      <c r="CS263" s="4" t="s">
        <v>241</v>
      </c>
      <c r="CT263" s="4" t="s">
        <v>241</v>
      </c>
      <c r="CU263" s="4">
        <v>0</v>
      </c>
      <c r="CV263" s="4" t="s">
        <v>271</v>
      </c>
      <c r="CW263" s="4" t="s">
        <v>455</v>
      </c>
      <c r="CX263" s="4" t="s">
        <v>273</v>
      </c>
      <c r="CZ263" s="6">
        <f>6220800</f>
        <v>6220800</v>
      </c>
      <c r="DA263" s="6">
        <f>0</f>
        <v>0</v>
      </c>
      <c r="DC263" s="4" t="s">
        <v>241</v>
      </c>
      <c r="DD263" s="4" t="s">
        <v>241</v>
      </c>
      <c r="DF263" s="4" t="s">
        <v>241</v>
      </c>
      <c r="DI263" s="4" t="s">
        <v>241</v>
      </c>
      <c r="DJ263" s="4" t="s">
        <v>241</v>
      </c>
      <c r="DK263" s="4" t="s">
        <v>241</v>
      </c>
      <c r="DL263" s="4" t="s">
        <v>241</v>
      </c>
      <c r="DM263" s="4" t="s">
        <v>277</v>
      </c>
      <c r="DN263" s="4" t="s">
        <v>278</v>
      </c>
      <c r="DO263" s="6">
        <f>103.68</f>
        <v>103.68</v>
      </c>
      <c r="DP263" s="4" t="s">
        <v>241</v>
      </c>
      <c r="DQ263" s="4" t="s">
        <v>241</v>
      </c>
      <c r="DR263" s="4" t="s">
        <v>241</v>
      </c>
      <c r="DS263" s="4" t="s">
        <v>241</v>
      </c>
      <c r="DV263" s="4" t="s">
        <v>298</v>
      </c>
      <c r="DW263" s="4" t="s">
        <v>336</v>
      </c>
      <c r="HO263" s="4" t="s">
        <v>277</v>
      </c>
      <c r="HR263" s="4" t="s">
        <v>278</v>
      </c>
      <c r="HS263" s="4" t="s">
        <v>278</v>
      </c>
    </row>
    <row r="264" spans="1:240" x14ac:dyDescent="0.4">
      <c r="A264" s="4">
        <v>2</v>
      </c>
      <c r="B264" s="4" t="s">
        <v>239</v>
      </c>
      <c r="C264" s="4">
        <v>283</v>
      </c>
      <c r="D264" s="4">
        <v>1</v>
      </c>
      <c r="E264" s="4">
        <v>1</v>
      </c>
      <c r="F264" s="4" t="s">
        <v>240</v>
      </c>
      <c r="G264" s="4" t="s">
        <v>241</v>
      </c>
      <c r="H264" s="4" t="s">
        <v>241</v>
      </c>
      <c r="I264" s="4" t="s">
        <v>281</v>
      </c>
      <c r="J264" s="4" t="s">
        <v>283</v>
      </c>
      <c r="K264" s="4" t="s">
        <v>256</v>
      </c>
      <c r="L264" s="4" t="s">
        <v>454</v>
      </c>
      <c r="M264" s="5" t="s">
        <v>285</v>
      </c>
      <c r="N264" s="4" t="s">
        <v>454</v>
      </c>
      <c r="O264" s="6">
        <f>51</f>
        <v>51</v>
      </c>
      <c r="P264" s="4" t="s">
        <v>276</v>
      </c>
      <c r="Q264" s="6">
        <f>1</f>
        <v>1</v>
      </c>
      <c r="R264" s="6">
        <f>3060000</f>
        <v>3060000</v>
      </c>
      <c r="S264" s="5" t="s">
        <v>1095</v>
      </c>
      <c r="T264" s="4" t="s">
        <v>404</v>
      </c>
      <c r="U264" s="4" t="s">
        <v>514</v>
      </c>
      <c r="W264" s="6">
        <f>3059999</f>
        <v>3059999</v>
      </c>
      <c r="X264" s="4" t="s">
        <v>243</v>
      </c>
      <c r="Y264" s="4" t="s">
        <v>244</v>
      </c>
      <c r="Z264" s="4" t="s">
        <v>282</v>
      </c>
      <c r="AA264" s="4" t="s">
        <v>241</v>
      </c>
      <c r="AD264" s="4" t="s">
        <v>241</v>
      </c>
      <c r="AF264" s="5" t="s">
        <v>241</v>
      </c>
      <c r="AI264" s="5" t="s">
        <v>249</v>
      </c>
      <c r="AJ264" s="4" t="s">
        <v>251</v>
      </c>
      <c r="AK264" s="4" t="s">
        <v>252</v>
      </c>
      <c r="BA264" s="4" t="s">
        <v>254</v>
      </c>
      <c r="BB264" s="4" t="s">
        <v>241</v>
      </c>
      <c r="BC264" s="4" t="s">
        <v>255</v>
      </c>
      <c r="BD264" s="4" t="s">
        <v>241</v>
      </c>
      <c r="BE264" s="4" t="s">
        <v>257</v>
      </c>
      <c r="BF264" s="4" t="s">
        <v>241</v>
      </c>
      <c r="BJ264" s="4" t="s">
        <v>367</v>
      </c>
      <c r="BK264" s="5" t="s">
        <v>249</v>
      </c>
      <c r="BL264" s="4" t="s">
        <v>261</v>
      </c>
      <c r="BM264" s="4" t="s">
        <v>262</v>
      </c>
      <c r="BN264" s="4" t="s">
        <v>241</v>
      </c>
      <c r="BO264" s="6">
        <f>0</f>
        <v>0</v>
      </c>
      <c r="BP264" s="6">
        <f>0</f>
        <v>0</v>
      </c>
      <c r="BQ264" s="4" t="s">
        <v>263</v>
      </c>
      <c r="BR264" s="4" t="s">
        <v>264</v>
      </c>
      <c r="CF264" s="4" t="s">
        <v>241</v>
      </c>
      <c r="CG264" s="4" t="s">
        <v>241</v>
      </c>
      <c r="CK264" s="4" t="s">
        <v>265</v>
      </c>
      <c r="CL264" s="4" t="s">
        <v>266</v>
      </c>
      <c r="CM264" s="4" t="s">
        <v>241</v>
      </c>
      <c r="CO264" s="4" t="s">
        <v>1018</v>
      </c>
      <c r="CP264" s="5" t="s">
        <v>268</v>
      </c>
      <c r="CQ264" s="4" t="s">
        <v>269</v>
      </c>
      <c r="CR264" s="4" t="s">
        <v>270</v>
      </c>
      <c r="CS264" s="4" t="s">
        <v>241</v>
      </c>
      <c r="CT264" s="4" t="s">
        <v>241</v>
      </c>
      <c r="CU264" s="4">
        <v>0</v>
      </c>
      <c r="CV264" s="4" t="s">
        <v>271</v>
      </c>
      <c r="CW264" s="4" t="s">
        <v>455</v>
      </c>
      <c r="CX264" s="4" t="s">
        <v>273</v>
      </c>
      <c r="CZ264" s="6">
        <f>3060000</f>
        <v>3060000</v>
      </c>
      <c r="DA264" s="6">
        <f>0</f>
        <v>0</v>
      </c>
      <c r="DC264" s="4" t="s">
        <v>241</v>
      </c>
      <c r="DD264" s="4" t="s">
        <v>241</v>
      </c>
      <c r="DF264" s="4" t="s">
        <v>241</v>
      </c>
      <c r="DI264" s="4" t="s">
        <v>241</v>
      </c>
      <c r="DJ264" s="4" t="s">
        <v>241</v>
      </c>
      <c r="DK264" s="4" t="s">
        <v>241</v>
      </c>
      <c r="DL264" s="4" t="s">
        <v>241</v>
      </c>
      <c r="DM264" s="4" t="s">
        <v>277</v>
      </c>
      <c r="DN264" s="4" t="s">
        <v>278</v>
      </c>
      <c r="DO264" s="6">
        <f>51</f>
        <v>51</v>
      </c>
      <c r="DP264" s="4" t="s">
        <v>241</v>
      </c>
      <c r="DQ264" s="4" t="s">
        <v>241</v>
      </c>
      <c r="DR264" s="4" t="s">
        <v>241</v>
      </c>
      <c r="DS264" s="4" t="s">
        <v>241</v>
      </c>
      <c r="DV264" s="4" t="s">
        <v>298</v>
      </c>
      <c r="DW264" s="4" t="s">
        <v>351</v>
      </c>
      <c r="HO264" s="4" t="s">
        <v>277</v>
      </c>
      <c r="HR264" s="4" t="s">
        <v>278</v>
      </c>
      <c r="HS264" s="4" t="s">
        <v>278</v>
      </c>
    </row>
    <row r="265" spans="1:240" x14ac:dyDescent="0.4">
      <c r="A265" s="4">
        <v>2</v>
      </c>
      <c r="B265" s="4" t="s">
        <v>239</v>
      </c>
      <c r="C265" s="4">
        <v>284</v>
      </c>
      <c r="D265" s="4">
        <v>1</v>
      </c>
      <c r="E265" s="4">
        <v>1</v>
      </c>
      <c r="F265" s="4" t="s">
        <v>240</v>
      </c>
      <c r="G265" s="4" t="s">
        <v>241</v>
      </c>
      <c r="H265" s="4" t="s">
        <v>241</v>
      </c>
      <c r="I265" s="4" t="s">
        <v>281</v>
      </c>
      <c r="J265" s="4" t="s">
        <v>283</v>
      </c>
      <c r="K265" s="4" t="s">
        <v>256</v>
      </c>
      <c r="L265" s="4" t="s">
        <v>454</v>
      </c>
      <c r="M265" s="5" t="s">
        <v>285</v>
      </c>
      <c r="N265" s="4" t="s">
        <v>454</v>
      </c>
      <c r="O265" s="6">
        <f>53.77</f>
        <v>53.77</v>
      </c>
      <c r="P265" s="4" t="s">
        <v>276</v>
      </c>
      <c r="Q265" s="6">
        <f>1</f>
        <v>1</v>
      </c>
      <c r="R265" s="6">
        <f>3226200</f>
        <v>3226200</v>
      </c>
      <c r="S265" s="5" t="s">
        <v>1603</v>
      </c>
      <c r="T265" s="4" t="s">
        <v>441</v>
      </c>
      <c r="U265" s="4" t="s">
        <v>1071</v>
      </c>
      <c r="W265" s="6">
        <f>3226199</f>
        <v>3226199</v>
      </c>
      <c r="X265" s="4" t="s">
        <v>243</v>
      </c>
      <c r="Y265" s="4" t="s">
        <v>244</v>
      </c>
      <c r="Z265" s="4" t="s">
        <v>282</v>
      </c>
      <c r="AA265" s="4" t="s">
        <v>241</v>
      </c>
      <c r="AD265" s="4" t="s">
        <v>241</v>
      </c>
      <c r="AF265" s="5" t="s">
        <v>241</v>
      </c>
      <c r="AI265" s="5" t="s">
        <v>249</v>
      </c>
      <c r="AJ265" s="4" t="s">
        <v>251</v>
      </c>
      <c r="AK265" s="4" t="s">
        <v>252</v>
      </c>
      <c r="BA265" s="4" t="s">
        <v>254</v>
      </c>
      <c r="BB265" s="4" t="s">
        <v>241</v>
      </c>
      <c r="BC265" s="4" t="s">
        <v>255</v>
      </c>
      <c r="BD265" s="4" t="s">
        <v>241</v>
      </c>
      <c r="BE265" s="4" t="s">
        <v>257</v>
      </c>
      <c r="BF265" s="4" t="s">
        <v>241</v>
      </c>
      <c r="BJ265" s="4" t="s">
        <v>374</v>
      </c>
      <c r="BK265" s="5" t="s">
        <v>375</v>
      </c>
      <c r="BL265" s="4" t="s">
        <v>261</v>
      </c>
      <c r="BM265" s="4" t="s">
        <v>262</v>
      </c>
      <c r="BN265" s="4" t="s">
        <v>241</v>
      </c>
      <c r="BO265" s="6">
        <f>0</f>
        <v>0</v>
      </c>
      <c r="BP265" s="6">
        <f>0</f>
        <v>0</v>
      </c>
      <c r="BQ265" s="4" t="s">
        <v>263</v>
      </c>
      <c r="BR265" s="4" t="s">
        <v>264</v>
      </c>
      <c r="CF265" s="4" t="s">
        <v>241</v>
      </c>
      <c r="CG265" s="4" t="s">
        <v>241</v>
      </c>
      <c r="CK265" s="4" t="s">
        <v>265</v>
      </c>
      <c r="CL265" s="4" t="s">
        <v>266</v>
      </c>
      <c r="CM265" s="4" t="s">
        <v>241</v>
      </c>
      <c r="CO265" s="4" t="s">
        <v>741</v>
      </c>
      <c r="CP265" s="5" t="s">
        <v>268</v>
      </c>
      <c r="CQ265" s="4" t="s">
        <v>269</v>
      </c>
      <c r="CR265" s="4" t="s">
        <v>270</v>
      </c>
      <c r="CS265" s="4" t="s">
        <v>241</v>
      </c>
      <c r="CT265" s="4" t="s">
        <v>241</v>
      </c>
      <c r="CU265" s="4">
        <v>0</v>
      </c>
      <c r="CV265" s="4" t="s">
        <v>271</v>
      </c>
      <c r="CW265" s="4" t="s">
        <v>455</v>
      </c>
      <c r="CX265" s="4" t="s">
        <v>487</v>
      </c>
      <c r="CZ265" s="6">
        <f>3226200</f>
        <v>3226200</v>
      </c>
      <c r="DA265" s="6">
        <f>0</f>
        <v>0</v>
      </c>
      <c r="DC265" s="4" t="s">
        <v>241</v>
      </c>
      <c r="DD265" s="4" t="s">
        <v>241</v>
      </c>
      <c r="DF265" s="4" t="s">
        <v>241</v>
      </c>
      <c r="DI265" s="4" t="s">
        <v>241</v>
      </c>
      <c r="DJ265" s="4" t="s">
        <v>241</v>
      </c>
      <c r="DK265" s="4" t="s">
        <v>241</v>
      </c>
      <c r="DL265" s="4" t="s">
        <v>241</v>
      </c>
      <c r="DM265" s="4" t="s">
        <v>277</v>
      </c>
      <c r="DN265" s="4" t="s">
        <v>278</v>
      </c>
      <c r="DO265" s="6">
        <f>53.77</f>
        <v>53.77</v>
      </c>
      <c r="DP265" s="4" t="s">
        <v>241</v>
      </c>
      <c r="DQ265" s="4" t="s">
        <v>241</v>
      </c>
      <c r="DR265" s="4" t="s">
        <v>241</v>
      </c>
      <c r="DS265" s="4" t="s">
        <v>241</v>
      </c>
      <c r="DV265" s="4" t="s">
        <v>298</v>
      </c>
      <c r="DW265" s="4" t="s">
        <v>300</v>
      </c>
      <c r="HO265" s="4" t="s">
        <v>277</v>
      </c>
      <c r="HR265" s="4" t="s">
        <v>278</v>
      </c>
      <c r="HS265" s="4" t="s">
        <v>278</v>
      </c>
    </row>
    <row r="266" spans="1:240" x14ac:dyDescent="0.4">
      <c r="A266" s="4">
        <v>2</v>
      </c>
      <c r="B266" s="4" t="s">
        <v>239</v>
      </c>
      <c r="C266" s="4">
        <v>285</v>
      </c>
      <c r="D266" s="4">
        <v>1</v>
      </c>
      <c r="E266" s="4">
        <v>1</v>
      </c>
      <c r="F266" s="4" t="s">
        <v>240</v>
      </c>
      <c r="G266" s="4" t="s">
        <v>241</v>
      </c>
      <c r="H266" s="4" t="s">
        <v>241</v>
      </c>
      <c r="I266" s="4" t="s">
        <v>281</v>
      </c>
      <c r="J266" s="4" t="s">
        <v>283</v>
      </c>
      <c r="K266" s="4" t="s">
        <v>256</v>
      </c>
      <c r="L266" s="4" t="s">
        <v>3833</v>
      </c>
      <c r="M266" s="5" t="s">
        <v>285</v>
      </c>
      <c r="N266" s="4" t="s">
        <v>3833</v>
      </c>
      <c r="O266" s="6">
        <f>53</f>
        <v>53</v>
      </c>
      <c r="P266" s="4" t="s">
        <v>276</v>
      </c>
      <c r="Q266" s="6">
        <f>1</f>
        <v>1</v>
      </c>
      <c r="R266" s="6">
        <f>3180000</f>
        <v>3180000</v>
      </c>
      <c r="S266" s="5" t="s">
        <v>248</v>
      </c>
      <c r="T266" s="4" t="s">
        <v>274</v>
      </c>
      <c r="U266" s="4" t="s">
        <v>275</v>
      </c>
      <c r="W266" s="6">
        <f>3179999</f>
        <v>3179999</v>
      </c>
      <c r="X266" s="4" t="s">
        <v>243</v>
      </c>
      <c r="Y266" s="4" t="s">
        <v>244</v>
      </c>
      <c r="Z266" s="4" t="s">
        <v>282</v>
      </c>
      <c r="AA266" s="4" t="s">
        <v>241</v>
      </c>
      <c r="AD266" s="4" t="s">
        <v>241</v>
      </c>
      <c r="AF266" s="5" t="s">
        <v>241</v>
      </c>
      <c r="AI266" s="5" t="s">
        <v>249</v>
      </c>
      <c r="AJ266" s="4" t="s">
        <v>251</v>
      </c>
      <c r="AK266" s="4" t="s">
        <v>252</v>
      </c>
      <c r="BA266" s="4" t="s">
        <v>254</v>
      </c>
      <c r="BB266" s="4" t="s">
        <v>241</v>
      </c>
      <c r="BC266" s="4" t="s">
        <v>255</v>
      </c>
      <c r="BD266" s="4" t="s">
        <v>241</v>
      </c>
      <c r="BE266" s="4" t="s">
        <v>257</v>
      </c>
      <c r="BF266" s="4" t="s">
        <v>241</v>
      </c>
      <c r="BJ266" s="4" t="s">
        <v>377</v>
      </c>
      <c r="BK266" s="5" t="s">
        <v>378</v>
      </c>
      <c r="BL266" s="4" t="s">
        <v>261</v>
      </c>
      <c r="BM266" s="4" t="s">
        <v>262</v>
      </c>
      <c r="BN266" s="4" t="s">
        <v>241</v>
      </c>
      <c r="BO266" s="6">
        <f>0</f>
        <v>0</v>
      </c>
      <c r="BP266" s="6">
        <f>0</f>
        <v>0</v>
      </c>
      <c r="BQ266" s="4" t="s">
        <v>263</v>
      </c>
      <c r="BR266" s="4" t="s">
        <v>264</v>
      </c>
      <c r="CF266" s="4" t="s">
        <v>241</v>
      </c>
      <c r="CG266" s="4" t="s">
        <v>241</v>
      </c>
      <c r="CK266" s="4" t="s">
        <v>265</v>
      </c>
      <c r="CL266" s="4" t="s">
        <v>266</v>
      </c>
      <c r="CM266" s="4" t="s">
        <v>241</v>
      </c>
      <c r="CO266" s="4" t="s">
        <v>267</v>
      </c>
      <c r="CP266" s="5" t="s">
        <v>268</v>
      </c>
      <c r="CQ266" s="4" t="s">
        <v>269</v>
      </c>
      <c r="CR266" s="4" t="s">
        <v>270</v>
      </c>
      <c r="CS266" s="4" t="s">
        <v>241</v>
      </c>
      <c r="CT266" s="4" t="s">
        <v>241</v>
      </c>
      <c r="CU266" s="4">
        <v>0</v>
      </c>
      <c r="CV266" s="4" t="s">
        <v>271</v>
      </c>
      <c r="CW266" s="4" t="s">
        <v>3834</v>
      </c>
      <c r="CX266" s="4" t="s">
        <v>347</v>
      </c>
      <c r="CZ266" s="6">
        <f>3180000</f>
        <v>3180000</v>
      </c>
      <c r="DA266" s="6">
        <f>0</f>
        <v>0</v>
      </c>
      <c r="DC266" s="4" t="s">
        <v>241</v>
      </c>
      <c r="DD266" s="4" t="s">
        <v>241</v>
      </c>
      <c r="DF266" s="4" t="s">
        <v>241</v>
      </c>
      <c r="DI266" s="4" t="s">
        <v>241</v>
      </c>
      <c r="DJ266" s="4" t="s">
        <v>241</v>
      </c>
      <c r="DK266" s="4" t="s">
        <v>241</v>
      </c>
      <c r="DL266" s="4" t="s">
        <v>241</v>
      </c>
      <c r="DM266" s="4" t="s">
        <v>323</v>
      </c>
      <c r="DN266" s="4" t="s">
        <v>278</v>
      </c>
      <c r="DO266" s="6">
        <f>53</f>
        <v>53</v>
      </c>
      <c r="DP266" s="4" t="s">
        <v>241</v>
      </c>
      <c r="DQ266" s="4" t="s">
        <v>241</v>
      </c>
      <c r="DR266" s="4" t="s">
        <v>241</v>
      </c>
      <c r="DS266" s="4" t="s">
        <v>241</v>
      </c>
      <c r="DV266" s="4" t="s">
        <v>298</v>
      </c>
      <c r="DW266" s="4" t="s">
        <v>341</v>
      </c>
      <c r="HO266" s="4" t="s">
        <v>277</v>
      </c>
      <c r="HR266" s="4" t="s">
        <v>278</v>
      </c>
      <c r="HS266" s="4" t="s">
        <v>278</v>
      </c>
    </row>
    <row r="267" spans="1:240" x14ac:dyDescent="0.4">
      <c r="A267" s="4">
        <v>2</v>
      </c>
      <c r="B267" s="4" t="s">
        <v>239</v>
      </c>
      <c r="C267" s="4">
        <v>286</v>
      </c>
      <c r="D267" s="4">
        <v>1</v>
      </c>
      <c r="E267" s="4">
        <v>1</v>
      </c>
      <c r="F267" s="4" t="s">
        <v>240</v>
      </c>
      <c r="G267" s="4" t="s">
        <v>241</v>
      </c>
      <c r="H267" s="4" t="s">
        <v>241</v>
      </c>
      <c r="I267" s="4" t="s">
        <v>281</v>
      </c>
      <c r="J267" s="4" t="s">
        <v>283</v>
      </c>
      <c r="K267" s="4" t="s">
        <v>256</v>
      </c>
      <c r="L267" s="4" t="s">
        <v>3833</v>
      </c>
      <c r="M267" s="5" t="s">
        <v>285</v>
      </c>
      <c r="N267" s="4" t="s">
        <v>3833</v>
      </c>
      <c r="O267" s="6">
        <f>68</f>
        <v>68</v>
      </c>
      <c r="P267" s="4" t="s">
        <v>276</v>
      </c>
      <c r="Q267" s="6">
        <f>1</f>
        <v>1</v>
      </c>
      <c r="R267" s="6">
        <f>4080000</f>
        <v>4080000</v>
      </c>
      <c r="S267" s="5" t="s">
        <v>1095</v>
      </c>
      <c r="T267" s="4" t="s">
        <v>333</v>
      </c>
      <c r="U267" s="4" t="s">
        <v>514</v>
      </c>
      <c r="W267" s="6">
        <f>4079999</f>
        <v>4079999</v>
      </c>
      <c r="X267" s="4" t="s">
        <v>243</v>
      </c>
      <c r="Y267" s="4" t="s">
        <v>244</v>
      </c>
      <c r="Z267" s="4" t="s">
        <v>282</v>
      </c>
      <c r="AA267" s="4" t="s">
        <v>241</v>
      </c>
      <c r="AD267" s="4" t="s">
        <v>241</v>
      </c>
      <c r="AF267" s="5" t="s">
        <v>241</v>
      </c>
      <c r="AI267" s="5" t="s">
        <v>249</v>
      </c>
      <c r="AJ267" s="4" t="s">
        <v>251</v>
      </c>
      <c r="AK267" s="4" t="s">
        <v>252</v>
      </c>
      <c r="BA267" s="4" t="s">
        <v>254</v>
      </c>
      <c r="BB267" s="4" t="s">
        <v>241</v>
      </c>
      <c r="BC267" s="4" t="s">
        <v>255</v>
      </c>
      <c r="BD267" s="4" t="s">
        <v>241</v>
      </c>
      <c r="BE267" s="4" t="s">
        <v>257</v>
      </c>
      <c r="BF267" s="4" t="s">
        <v>241</v>
      </c>
      <c r="BJ267" s="4" t="s">
        <v>259</v>
      </c>
      <c r="BK267" s="5" t="s">
        <v>260</v>
      </c>
      <c r="BL267" s="4" t="s">
        <v>261</v>
      </c>
      <c r="BM267" s="4" t="s">
        <v>262</v>
      </c>
      <c r="BN267" s="4" t="s">
        <v>241</v>
      </c>
      <c r="BO267" s="6">
        <f>0</f>
        <v>0</v>
      </c>
      <c r="BP267" s="6">
        <f>0</f>
        <v>0</v>
      </c>
      <c r="BQ267" s="4" t="s">
        <v>263</v>
      </c>
      <c r="BR267" s="4" t="s">
        <v>264</v>
      </c>
      <c r="CF267" s="4" t="s">
        <v>241</v>
      </c>
      <c r="CG267" s="4" t="s">
        <v>241</v>
      </c>
      <c r="CK267" s="4" t="s">
        <v>265</v>
      </c>
      <c r="CL267" s="4" t="s">
        <v>266</v>
      </c>
      <c r="CM267" s="4" t="s">
        <v>241</v>
      </c>
      <c r="CO267" s="4" t="s">
        <v>1018</v>
      </c>
      <c r="CP267" s="5" t="s">
        <v>268</v>
      </c>
      <c r="CQ267" s="4" t="s">
        <v>269</v>
      </c>
      <c r="CR267" s="4" t="s">
        <v>270</v>
      </c>
      <c r="CS267" s="4" t="s">
        <v>241</v>
      </c>
      <c r="CT267" s="4" t="s">
        <v>241</v>
      </c>
      <c r="CU267" s="4">
        <v>0</v>
      </c>
      <c r="CV267" s="4" t="s">
        <v>271</v>
      </c>
      <c r="CW267" s="4" t="s">
        <v>3834</v>
      </c>
      <c r="CX267" s="4" t="s">
        <v>487</v>
      </c>
      <c r="CZ267" s="6">
        <f>4080000</f>
        <v>4080000</v>
      </c>
      <c r="DA267" s="6">
        <f>0</f>
        <v>0</v>
      </c>
      <c r="DC267" s="4" t="s">
        <v>241</v>
      </c>
      <c r="DD267" s="4" t="s">
        <v>241</v>
      </c>
      <c r="DF267" s="4" t="s">
        <v>241</v>
      </c>
      <c r="DI267" s="4" t="s">
        <v>241</v>
      </c>
      <c r="DJ267" s="4" t="s">
        <v>241</v>
      </c>
      <c r="DK267" s="4" t="s">
        <v>241</v>
      </c>
      <c r="DL267" s="4" t="s">
        <v>241</v>
      </c>
      <c r="DM267" s="4" t="s">
        <v>277</v>
      </c>
      <c r="DN267" s="4" t="s">
        <v>278</v>
      </c>
      <c r="DO267" s="6">
        <f>68</f>
        <v>68</v>
      </c>
      <c r="DP267" s="4" t="s">
        <v>241</v>
      </c>
      <c r="DQ267" s="4" t="s">
        <v>241</v>
      </c>
      <c r="DR267" s="4" t="s">
        <v>241</v>
      </c>
      <c r="DS267" s="4" t="s">
        <v>241</v>
      </c>
      <c r="DV267" s="4" t="s">
        <v>298</v>
      </c>
      <c r="DW267" s="4" t="s">
        <v>343</v>
      </c>
      <c r="HO267" s="4" t="s">
        <v>277</v>
      </c>
      <c r="HR267" s="4" t="s">
        <v>278</v>
      </c>
      <c r="HS267" s="4" t="s">
        <v>278</v>
      </c>
    </row>
    <row r="268" spans="1:240" x14ac:dyDescent="0.4">
      <c r="A268" s="4">
        <v>2</v>
      </c>
      <c r="B268" s="4" t="s">
        <v>239</v>
      </c>
      <c r="C268" s="4">
        <v>287</v>
      </c>
      <c r="D268" s="4">
        <v>1</v>
      </c>
      <c r="E268" s="4">
        <v>3</v>
      </c>
      <c r="F268" s="4" t="s">
        <v>326</v>
      </c>
      <c r="G268" s="4" t="s">
        <v>241</v>
      </c>
      <c r="H268" s="4" t="s">
        <v>241</v>
      </c>
      <c r="I268" s="4" t="s">
        <v>281</v>
      </c>
      <c r="J268" s="4" t="s">
        <v>283</v>
      </c>
      <c r="K268" s="4" t="s">
        <v>256</v>
      </c>
      <c r="L268" s="4" t="s">
        <v>2889</v>
      </c>
      <c r="M268" s="5" t="s">
        <v>285</v>
      </c>
      <c r="N268" s="4" t="s">
        <v>2888</v>
      </c>
      <c r="O268" s="6">
        <f>0</f>
        <v>0</v>
      </c>
      <c r="P268" s="4" t="s">
        <v>276</v>
      </c>
      <c r="Q268" s="6">
        <f>8856000</f>
        <v>8856000</v>
      </c>
      <c r="R268" s="6">
        <f>17712000</f>
        <v>17712000</v>
      </c>
      <c r="S268" s="5" t="s">
        <v>882</v>
      </c>
      <c r="T268" s="4" t="s">
        <v>343</v>
      </c>
      <c r="U268" s="4" t="s">
        <v>297</v>
      </c>
      <c r="V268" s="6">
        <f>2214000</f>
        <v>2214000</v>
      </c>
      <c r="W268" s="6">
        <f>8856000</f>
        <v>8856000</v>
      </c>
      <c r="X268" s="4" t="s">
        <v>243</v>
      </c>
      <c r="Y268" s="4" t="s">
        <v>244</v>
      </c>
      <c r="Z268" s="4" t="s">
        <v>282</v>
      </c>
      <c r="AA268" s="4" t="s">
        <v>241</v>
      </c>
      <c r="AD268" s="4" t="s">
        <v>241</v>
      </c>
      <c r="AE268" s="5" t="s">
        <v>241</v>
      </c>
      <c r="AF268" s="5" t="s">
        <v>241</v>
      </c>
      <c r="AH268" s="5" t="s">
        <v>241</v>
      </c>
      <c r="AI268" s="5" t="s">
        <v>249</v>
      </c>
      <c r="AJ268" s="4" t="s">
        <v>251</v>
      </c>
      <c r="AK268" s="4" t="s">
        <v>252</v>
      </c>
      <c r="AQ268" s="4" t="s">
        <v>241</v>
      </c>
      <c r="AR268" s="4" t="s">
        <v>241</v>
      </c>
      <c r="AS268" s="4" t="s">
        <v>241</v>
      </c>
      <c r="AT268" s="5" t="s">
        <v>241</v>
      </c>
      <c r="AU268" s="5" t="s">
        <v>241</v>
      </c>
      <c r="AV268" s="5" t="s">
        <v>241</v>
      </c>
      <c r="AY268" s="4" t="s">
        <v>286</v>
      </c>
      <c r="AZ268" s="4" t="s">
        <v>286</v>
      </c>
      <c r="BA268" s="4" t="s">
        <v>254</v>
      </c>
      <c r="BB268" s="4" t="s">
        <v>287</v>
      </c>
      <c r="BC268" s="4" t="s">
        <v>255</v>
      </c>
      <c r="BD268" s="4" t="s">
        <v>241</v>
      </c>
      <c r="BE268" s="4" t="s">
        <v>257</v>
      </c>
      <c r="BF268" s="4" t="s">
        <v>241</v>
      </c>
      <c r="BJ268" s="4" t="s">
        <v>288</v>
      </c>
      <c r="BK268" s="5" t="s">
        <v>289</v>
      </c>
      <c r="BL268" s="4" t="s">
        <v>290</v>
      </c>
      <c r="BM268" s="4" t="s">
        <v>290</v>
      </c>
      <c r="BN268" s="4" t="s">
        <v>241</v>
      </c>
      <c r="BP268" s="6">
        <f>-2214000</f>
        <v>-2214000</v>
      </c>
      <c r="BQ268" s="4" t="s">
        <v>263</v>
      </c>
      <c r="BR268" s="4" t="s">
        <v>264</v>
      </c>
      <c r="BS268" s="4" t="s">
        <v>241</v>
      </c>
      <c r="BT268" s="4" t="s">
        <v>241</v>
      </c>
      <c r="BU268" s="4" t="s">
        <v>241</v>
      </c>
      <c r="BV268" s="4" t="s">
        <v>241</v>
      </c>
      <c r="CE268" s="4" t="s">
        <v>264</v>
      </c>
      <c r="CF268" s="4" t="s">
        <v>241</v>
      </c>
      <c r="CG268" s="4" t="s">
        <v>241</v>
      </c>
      <c r="CK268" s="4" t="s">
        <v>291</v>
      </c>
      <c r="CL268" s="4" t="s">
        <v>266</v>
      </c>
      <c r="CM268" s="4" t="s">
        <v>241</v>
      </c>
      <c r="CO268" s="4" t="s">
        <v>413</v>
      </c>
      <c r="CP268" s="5" t="s">
        <v>268</v>
      </c>
      <c r="CQ268" s="4" t="s">
        <v>269</v>
      </c>
      <c r="CR268" s="4" t="s">
        <v>270</v>
      </c>
      <c r="CS268" s="4" t="s">
        <v>293</v>
      </c>
      <c r="CT268" s="4" t="s">
        <v>241</v>
      </c>
      <c r="CU268" s="4">
        <v>0.125</v>
      </c>
      <c r="CV268" s="4" t="s">
        <v>271</v>
      </c>
      <c r="CW268" s="4" t="s">
        <v>415</v>
      </c>
      <c r="CX268" s="4" t="s">
        <v>2643</v>
      </c>
      <c r="CY268" s="6">
        <f>0</f>
        <v>0</v>
      </c>
      <c r="CZ268" s="6">
        <f>17712000</f>
        <v>17712000</v>
      </c>
      <c r="DA268" s="6">
        <f>8856000</f>
        <v>8856000</v>
      </c>
      <c r="DC268" s="4" t="s">
        <v>241</v>
      </c>
      <c r="DD268" s="4" t="s">
        <v>241</v>
      </c>
      <c r="DF268" s="4" t="s">
        <v>241</v>
      </c>
      <c r="DG268" s="6">
        <f>0</f>
        <v>0</v>
      </c>
      <c r="DI268" s="4" t="s">
        <v>241</v>
      </c>
      <c r="DJ268" s="4" t="s">
        <v>241</v>
      </c>
      <c r="DK268" s="4" t="s">
        <v>241</v>
      </c>
      <c r="DL268" s="4" t="s">
        <v>241</v>
      </c>
      <c r="DM268" s="4" t="s">
        <v>278</v>
      </c>
      <c r="DN268" s="4" t="s">
        <v>278</v>
      </c>
      <c r="DO268" s="6" t="s">
        <v>241</v>
      </c>
      <c r="DP268" s="4" t="s">
        <v>241</v>
      </c>
      <c r="DQ268" s="4" t="s">
        <v>241</v>
      </c>
      <c r="DR268" s="4" t="s">
        <v>241</v>
      </c>
      <c r="DS268" s="4" t="s">
        <v>241</v>
      </c>
      <c r="DV268" s="4" t="s">
        <v>298</v>
      </c>
      <c r="DW268" s="4" t="s">
        <v>417</v>
      </c>
      <c r="GN268" s="4" t="s">
        <v>2890</v>
      </c>
      <c r="HO268" s="4" t="s">
        <v>351</v>
      </c>
      <c r="HR268" s="4" t="s">
        <v>278</v>
      </c>
      <c r="HS268" s="4" t="s">
        <v>278</v>
      </c>
      <c r="HT268" s="4" t="s">
        <v>241</v>
      </c>
      <c r="HU268" s="4" t="s">
        <v>241</v>
      </c>
      <c r="HV268" s="4" t="s">
        <v>241</v>
      </c>
      <c r="HW268" s="4" t="s">
        <v>241</v>
      </c>
      <c r="HX268" s="4" t="s">
        <v>241</v>
      </c>
      <c r="HY268" s="4" t="s">
        <v>241</v>
      </c>
      <c r="HZ268" s="4" t="s">
        <v>241</v>
      </c>
      <c r="IA268" s="4" t="s">
        <v>241</v>
      </c>
      <c r="IB268" s="4" t="s">
        <v>241</v>
      </c>
      <c r="IC268" s="4" t="s">
        <v>241</v>
      </c>
      <c r="ID268" s="4" t="s">
        <v>241</v>
      </c>
      <c r="IE268" s="4" t="s">
        <v>241</v>
      </c>
      <c r="IF268" s="4" t="s">
        <v>241</v>
      </c>
    </row>
    <row r="269" spans="1:240" x14ac:dyDescent="0.4">
      <c r="A269" s="4">
        <v>2</v>
      </c>
      <c r="B269" s="4" t="s">
        <v>239</v>
      </c>
      <c r="C269" s="4">
        <v>288</v>
      </c>
      <c r="D269" s="4">
        <v>1</v>
      </c>
      <c r="E269" s="4">
        <v>3</v>
      </c>
      <c r="F269" s="4" t="s">
        <v>326</v>
      </c>
      <c r="G269" s="4" t="s">
        <v>241</v>
      </c>
      <c r="H269" s="4" t="s">
        <v>241</v>
      </c>
      <c r="I269" s="4" t="s">
        <v>281</v>
      </c>
      <c r="J269" s="4" t="s">
        <v>283</v>
      </c>
      <c r="K269" s="4" t="s">
        <v>256</v>
      </c>
      <c r="L269" s="4" t="s">
        <v>2886</v>
      </c>
      <c r="M269" s="5" t="s">
        <v>285</v>
      </c>
      <c r="N269" s="4" t="s">
        <v>2885</v>
      </c>
      <c r="O269" s="6">
        <f>0</f>
        <v>0</v>
      </c>
      <c r="P269" s="4" t="s">
        <v>276</v>
      </c>
      <c r="Q269" s="6">
        <f>5091228</f>
        <v>5091228</v>
      </c>
      <c r="R269" s="6">
        <f>6372000</f>
        <v>6372000</v>
      </c>
      <c r="S269" s="5" t="s">
        <v>1094</v>
      </c>
      <c r="T269" s="4" t="s">
        <v>348</v>
      </c>
      <c r="U269" s="4" t="s">
        <v>323</v>
      </c>
      <c r="V269" s="6">
        <f>426924</f>
        <v>426924</v>
      </c>
      <c r="W269" s="6">
        <f>1280772</f>
        <v>1280772</v>
      </c>
      <c r="X269" s="4" t="s">
        <v>243</v>
      </c>
      <c r="Y269" s="4" t="s">
        <v>244</v>
      </c>
      <c r="Z269" s="4" t="s">
        <v>241</v>
      </c>
      <c r="AA269" s="4" t="s">
        <v>241</v>
      </c>
      <c r="AD269" s="4" t="s">
        <v>241</v>
      </c>
      <c r="AE269" s="5" t="s">
        <v>241</v>
      </c>
      <c r="AF269" s="5" t="s">
        <v>241</v>
      </c>
      <c r="AH269" s="5" t="s">
        <v>241</v>
      </c>
      <c r="AI269" s="5" t="s">
        <v>249</v>
      </c>
      <c r="AJ269" s="4" t="s">
        <v>251</v>
      </c>
      <c r="AK269" s="4" t="s">
        <v>252</v>
      </c>
      <c r="AQ269" s="4" t="s">
        <v>241</v>
      </c>
      <c r="AR269" s="4" t="s">
        <v>241</v>
      </c>
      <c r="AS269" s="4" t="s">
        <v>241</v>
      </c>
      <c r="AT269" s="5" t="s">
        <v>241</v>
      </c>
      <c r="AU269" s="5" t="s">
        <v>241</v>
      </c>
      <c r="AV269" s="5" t="s">
        <v>241</v>
      </c>
      <c r="AY269" s="4" t="s">
        <v>286</v>
      </c>
      <c r="AZ269" s="4" t="s">
        <v>286</v>
      </c>
      <c r="BA269" s="4" t="s">
        <v>254</v>
      </c>
      <c r="BB269" s="4" t="s">
        <v>287</v>
      </c>
      <c r="BC269" s="4" t="s">
        <v>255</v>
      </c>
      <c r="BD269" s="4" t="s">
        <v>241</v>
      </c>
      <c r="BE269" s="4" t="s">
        <v>257</v>
      </c>
      <c r="BF269" s="4" t="s">
        <v>241</v>
      </c>
      <c r="BJ269" s="4" t="s">
        <v>288</v>
      </c>
      <c r="BK269" s="5" t="s">
        <v>289</v>
      </c>
      <c r="BL269" s="4" t="s">
        <v>290</v>
      </c>
      <c r="BM269" s="4" t="s">
        <v>290</v>
      </c>
      <c r="BN269" s="4" t="s">
        <v>241</v>
      </c>
      <c r="BP269" s="6">
        <f>-426924</f>
        <v>-426924</v>
      </c>
      <c r="BQ269" s="4" t="s">
        <v>263</v>
      </c>
      <c r="BR269" s="4" t="s">
        <v>264</v>
      </c>
      <c r="BS269" s="4" t="s">
        <v>241</v>
      </c>
      <c r="BT269" s="4" t="s">
        <v>241</v>
      </c>
      <c r="BU269" s="4" t="s">
        <v>241</v>
      </c>
      <c r="BV269" s="4" t="s">
        <v>241</v>
      </c>
      <c r="CE269" s="4" t="s">
        <v>264</v>
      </c>
      <c r="CF269" s="4" t="s">
        <v>241</v>
      </c>
      <c r="CG269" s="4" t="s">
        <v>241</v>
      </c>
      <c r="CK269" s="4" t="s">
        <v>291</v>
      </c>
      <c r="CL269" s="4" t="s">
        <v>266</v>
      </c>
      <c r="CM269" s="4" t="s">
        <v>241</v>
      </c>
      <c r="CO269" s="4" t="s">
        <v>421</v>
      </c>
      <c r="CP269" s="5" t="s">
        <v>268</v>
      </c>
      <c r="CQ269" s="4" t="s">
        <v>269</v>
      </c>
      <c r="CR269" s="4" t="s">
        <v>270</v>
      </c>
      <c r="CS269" s="4" t="s">
        <v>293</v>
      </c>
      <c r="CT269" s="4" t="s">
        <v>241</v>
      </c>
      <c r="CU269" s="4">
        <v>6.7000000000000004E-2</v>
      </c>
      <c r="CV269" s="4" t="s">
        <v>271</v>
      </c>
      <c r="CW269" s="4" t="s">
        <v>415</v>
      </c>
      <c r="CX269" s="4" t="s">
        <v>422</v>
      </c>
      <c r="CY269" s="6">
        <f>0</f>
        <v>0</v>
      </c>
      <c r="CZ269" s="6">
        <f>6372000</f>
        <v>6372000</v>
      </c>
      <c r="DA269" s="6">
        <f>5091228</f>
        <v>5091228</v>
      </c>
      <c r="DC269" s="4" t="s">
        <v>241</v>
      </c>
      <c r="DD269" s="4" t="s">
        <v>241</v>
      </c>
      <c r="DF269" s="4" t="s">
        <v>241</v>
      </c>
      <c r="DG269" s="6">
        <f>0</f>
        <v>0</v>
      </c>
      <c r="DI269" s="4" t="s">
        <v>241</v>
      </c>
      <c r="DJ269" s="4" t="s">
        <v>241</v>
      </c>
      <c r="DK269" s="4" t="s">
        <v>241</v>
      </c>
      <c r="DL269" s="4" t="s">
        <v>241</v>
      </c>
      <c r="DM269" s="4" t="s">
        <v>278</v>
      </c>
      <c r="DN269" s="4" t="s">
        <v>278</v>
      </c>
      <c r="DO269" s="6" t="s">
        <v>241</v>
      </c>
      <c r="DP269" s="4" t="s">
        <v>241</v>
      </c>
      <c r="DQ269" s="4" t="s">
        <v>241</v>
      </c>
      <c r="DR269" s="4" t="s">
        <v>241</v>
      </c>
      <c r="DS269" s="4" t="s">
        <v>241</v>
      </c>
      <c r="DV269" s="4" t="s">
        <v>298</v>
      </c>
      <c r="DW269" s="4" t="s">
        <v>427</v>
      </c>
      <c r="GN269" s="4" t="s">
        <v>2887</v>
      </c>
      <c r="HO269" s="4" t="s">
        <v>336</v>
      </c>
      <c r="HR269" s="4" t="s">
        <v>278</v>
      </c>
      <c r="HS269" s="4" t="s">
        <v>278</v>
      </c>
      <c r="HT269" s="4" t="s">
        <v>241</v>
      </c>
      <c r="HU269" s="4" t="s">
        <v>241</v>
      </c>
      <c r="HV269" s="4" t="s">
        <v>241</v>
      </c>
      <c r="HW269" s="4" t="s">
        <v>241</v>
      </c>
      <c r="HX269" s="4" t="s">
        <v>241</v>
      </c>
      <c r="HY269" s="4" t="s">
        <v>241</v>
      </c>
      <c r="HZ269" s="4" t="s">
        <v>241</v>
      </c>
      <c r="IA269" s="4" t="s">
        <v>241</v>
      </c>
      <c r="IB269" s="4" t="s">
        <v>241</v>
      </c>
      <c r="IC269" s="4" t="s">
        <v>241</v>
      </c>
      <c r="ID269" s="4" t="s">
        <v>241</v>
      </c>
      <c r="IE269" s="4" t="s">
        <v>241</v>
      </c>
      <c r="IF269" s="4" t="s">
        <v>241</v>
      </c>
    </row>
    <row r="270" spans="1:240" x14ac:dyDescent="0.4">
      <c r="A270" s="4">
        <v>2</v>
      </c>
      <c r="B270" s="4" t="s">
        <v>239</v>
      </c>
      <c r="C270" s="4">
        <v>289</v>
      </c>
      <c r="D270" s="4">
        <v>1</v>
      </c>
      <c r="E270" s="4">
        <v>1</v>
      </c>
      <c r="F270" s="4" t="s">
        <v>240</v>
      </c>
      <c r="G270" s="4" t="s">
        <v>241</v>
      </c>
      <c r="H270" s="4" t="s">
        <v>241</v>
      </c>
      <c r="I270" s="4" t="s">
        <v>301</v>
      </c>
      <c r="J270" s="4" t="s">
        <v>302</v>
      </c>
      <c r="K270" s="4" t="s">
        <v>256</v>
      </c>
      <c r="L270" s="4" t="s">
        <v>454</v>
      </c>
      <c r="M270" s="5" t="s">
        <v>304</v>
      </c>
      <c r="N270" s="4" t="s">
        <v>454</v>
      </c>
      <c r="O270" s="6">
        <f>165.62</f>
        <v>165.62</v>
      </c>
      <c r="P270" s="4" t="s">
        <v>276</v>
      </c>
      <c r="Q270" s="6">
        <f>1</f>
        <v>1</v>
      </c>
      <c r="R270" s="6">
        <f>10930920</f>
        <v>10930920</v>
      </c>
      <c r="S270" s="5" t="s">
        <v>3840</v>
      </c>
      <c r="T270" s="4" t="s">
        <v>401</v>
      </c>
      <c r="U270" s="4" t="s">
        <v>365</v>
      </c>
      <c r="W270" s="6">
        <f>10930919</f>
        <v>10930919</v>
      </c>
      <c r="X270" s="4" t="s">
        <v>243</v>
      </c>
      <c r="Y270" s="4" t="s">
        <v>244</v>
      </c>
      <c r="Z270" s="4" t="s">
        <v>282</v>
      </c>
      <c r="AA270" s="4" t="s">
        <v>241</v>
      </c>
      <c r="AD270" s="4" t="s">
        <v>241</v>
      </c>
      <c r="AF270" s="5" t="s">
        <v>241</v>
      </c>
      <c r="AI270" s="5" t="s">
        <v>249</v>
      </c>
      <c r="AJ270" s="4" t="s">
        <v>251</v>
      </c>
      <c r="AK270" s="4" t="s">
        <v>252</v>
      </c>
      <c r="BA270" s="4" t="s">
        <v>254</v>
      </c>
      <c r="BB270" s="4" t="s">
        <v>241</v>
      </c>
      <c r="BC270" s="4" t="s">
        <v>255</v>
      </c>
      <c r="BD270" s="4" t="s">
        <v>241</v>
      </c>
      <c r="BE270" s="4" t="s">
        <v>257</v>
      </c>
      <c r="BF270" s="4" t="s">
        <v>241</v>
      </c>
      <c r="BJ270" s="4" t="s">
        <v>377</v>
      </c>
      <c r="BK270" s="5" t="s">
        <v>378</v>
      </c>
      <c r="BL270" s="4" t="s">
        <v>261</v>
      </c>
      <c r="BM270" s="4" t="s">
        <v>262</v>
      </c>
      <c r="BN270" s="4" t="s">
        <v>241</v>
      </c>
      <c r="BO270" s="6">
        <f>0</f>
        <v>0</v>
      </c>
      <c r="BP270" s="6">
        <f>0</f>
        <v>0</v>
      </c>
      <c r="BQ270" s="4" t="s">
        <v>263</v>
      </c>
      <c r="BR270" s="4" t="s">
        <v>264</v>
      </c>
      <c r="CF270" s="4" t="s">
        <v>241</v>
      </c>
      <c r="CG270" s="4" t="s">
        <v>241</v>
      </c>
      <c r="CK270" s="4" t="s">
        <v>291</v>
      </c>
      <c r="CL270" s="4" t="s">
        <v>266</v>
      </c>
      <c r="CM270" s="4" t="s">
        <v>241</v>
      </c>
      <c r="CO270" s="4" t="s">
        <v>1568</v>
      </c>
      <c r="CP270" s="5" t="s">
        <v>268</v>
      </c>
      <c r="CQ270" s="4" t="s">
        <v>269</v>
      </c>
      <c r="CR270" s="4" t="s">
        <v>270</v>
      </c>
      <c r="CS270" s="4" t="s">
        <v>241</v>
      </c>
      <c r="CT270" s="4" t="s">
        <v>241</v>
      </c>
      <c r="CU270" s="4">
        <v>0</v>
      </c>
      <c r="CV270" s="4" t="s">
        <v>271</v>
      </c>
      <c r="CW270" s="4" t="s">
        <v>455</v>
      </c>
      <c r="CX270" s="4" t="s">
        <v>347</v>
      </c>
      <c r="CZ270" s="6">
        <f>10930920</f>
        <v>10930920</v>
      </c>
      <c r="DA270" s="6">
        <f>0</f>
        <v>0</v>
      </c>
      <c r="DC270" s="4" t="s">
        <v>241</v>
      </c>
      <c r="DD270" s="4" t="s">
        <v>241</v>
      </c>
      <c r="DF270" s="4" t="s">
        <v>241</v>
      </c>
      <c r="DI270" s="4" t="s">
        <v>241</v>
      </c>
      <c r="DJ270" s="4" t="s">
        <v>241</v>
      </c>
      <c r="DK270" s="4" t="s">
        <v>241</v>
      </c>
      <c r="DL270" s="4" t="s">
        <v>241</v>
      </c>
      <c r="DM270" s="4" t="s">
        <v>277</v>
      </c>
      <c r="DN270" s="4" t="s">
        <v>278</v>
      </c>
      <c r="DO270" s="6">
        <f>165.62</f>
        <v>165.62</v>
      </c>
      <c r="DP270" s="4" t="s">
        <v>241</v>
      </c>
      <c r="DQ270" s="4" t="s">
        <v>241</v>
      </c>
      <c r="DR270" s="4" t="s">
        <v>241</v>
      </c>
      <c r="DS270" s="4" t="s">
        <v>241</v>
      </c>
      <c r="DV270" s="4" t="s">
        <v>307</v>
      </c>
      <c r="DW270" s="4" t="s">
        <v>277</v>
      </c>
      <c r="HO270" s="4" t="s">
        <v>277</v>
      </c>
      <c r="HR270" s="4" t="s">
        <v>278</v>
      </c>
      <c r="HS270" s="4" t="s">
        <v>278</v>
      </c>
    </row>
    <row r="271" spans="1:240" x14ac:dyDescent="0.4">
      <c r="A271" s="4">
        <v>2</v>
      </c>
      <c r="B271" s="4" t="s">
        <v>239</v>
      </c>
      <c r="C271" s="4">
        <v>290</v>
      </c>
      <c r="D271" s="4">
        <v>1</v>
      </c>
      <c r="E271" s="4">
        <v>1</v>
      </c>
      <c r="F271" s="4" t="s">
        <v>240</v>
      </c>
      <c r="G271" s="4" t="s">
        <v>241</v>
      </c>
      <c r="H271" s="4" t="s">
        <v>241</v>
      </c>
      <c r="I271" s="4" t="s">
        <v>301</v>
      </c>
      <c r="J271" s="4" t="s">
        <v>302</v>
      </c>
      <c r="K271" s="4" t="s">
        <v>256</v>
      </c>
      <c r="L271" s="4" t="s">
        <v>454</v>
      </c>
      <c r="M271" s="5" t="s">
        <v>304</v>
      </c>
      <c r="N271" s="4" t="s">
        <v>454</v>
      </c>
      <c r="O271" s="6">
        <f>572.95</f>
        <v>572.95000000000005</v>
      </c>
      <c r="P271" s="4" t="s">
        <v>276</v>
      </c>
      <c r="Q271" s="6">
        <f>1</f>
        <v>1</v>
      </c>
      <c r="R271" s="6">
        <f>34377000</f>
        <v>34377000</v>
      </c>
      <c r="S271" s="5" t="s">
        <v>2133</v>
      </c>
      <c r="T271" s="4" t="s">
        <v>441</v>
      </c>
      <c r="U271" s="4" t="s">
        <v>412</v>
      </c>
      <c r="W271" s="6">
        <f>34376999</f>
        <v>34376999</v>
      </c>
      <c r="X271" s="4" t="s">
        <v>243</v>
      </c>
      <c r="Y271" s="4" t="s">
        <v>244</v>
      </c>
      <c r="Z271" s="4" t="s">
        <v>282</v>
      </c>
      <c r="AA271" s="4" t="s">
        <v>241</v>
      </c>
      <c r="AD271" s="4" t="s">
        <v>241</v>
      </c>
      <c r="AF271" s="5" t="s">
        <v>241</v>
      </c>
      <c r="AI271" s="5" t="s">
        <v>249</v>
      </c>
      <c r="AJ271" s="4" t="s">
        <v>251</v>
      </c>
      <c r="AK271" s="4" t="s">
        <v>252</v>
      </c>
      <c r="BA271" s="4" t="s">
        <v>254</v>
      </c>
      <c r="BB271" s="4" t="s">
        <v>241</v>
      </c>
      <c r="BC271" s="4" t="s">
        <v>255</v>
      </c>
      <c r="BD271" s="4" t="s">
        <v>241</v>
      </c>
      <c r="BE271" s="4" t="s">
        <v>257</v>
      </c>
      <c r="BF271" s="4" t="s">
        <v>241</v>
      </c>
      <c r="BJ271" s="4" t="s">
        <v>259</v>
      </c>
      <c r="BK271" s="5" t="s">
        <v>260</v>
      </c>
      <c r="BL271" s="4" t="s">
        <v>261</v>
      </c>
      <c r="BM271" s="4" t="s">
        <v>262</v>
      </c>
      <c r="BN271" s="4" t="s">
        <v>241</v>
      </c>
      <c r="BO271" s="6">
        <f>0</f>
        <v>0</v>
      </c>
      <c r="BP271" s="6">
        <f>0</f>
        <v>0</v>
      </c>
      <c r="BQ271" s="4" t="s">
        <v>263</v>
      </c>
      <c r="BR271" s="4" t="s">
        <v>264</v>
      </c>
      <c r="CF271" s="4" t="s">
        <v>241</v>
      </c>
      <c r="CG271" s="4" t="s">
        <v>241</v>
      </c>
      <c r="CK271" s="4" t="s">
        <v>265</v>
      </c>
      <c r="CL271" s="4" t="s">
        <v>266</v>
      </c>
      <c r="CM271" s="4" t="s">
        <v>241</v>
      </c>
      <c r="CO271" s="4" t="s">
        <v>1670</v>
      </c>
      <c r="CP271" s="5" t="s">
        <v>268</v>
      </c>
      <c r="CQ271" s="4" t="s">
        <v>269</v>
      </c>
      <c r="CR271" s="4" t="s">
        <v>270</v>
      </c>
      <c r="CS271" s="4" t="s">
        <v>241</v>
      </c>
      <c r="CT271" s="4" t="s">
        <v>241</v>
      </c>
      <c r="CU271" s="4">
        <v>0</v>
      </c>
      <c r="CV271" s="4" t="s">
        <v>271</v>
      </c>
      <c r="CW271" s="4" t="s">
        <v>455</v>
      </c>
      <c r="CX271" s="4" t="s">
        <v>487</v>
      </c>
      <c r="CZ271" s="6">
        <f>34377000</f>
        <v>34377000</v>
      </c>
      <c r="DA271" s="6">
        <f>0</f>
        <v>0</v>
      </c>
      <c r="DC271" s="4" t="s">
        <v>241</v>
      </c>
      <c r="DD271" s="4" t="s">
        <v>241</v>
      </c>
      <c r="DF271" s="4" t="s">
        <v>241</v>
      </c>
      <c r="DI271" s="4" t="s">
        <v>241</v>
      </c>
      <c r="DJ271" s="4" t="s">
        <v>241</v>
      </c>
      <c r="DK271" s="4" t="s">
        <v>241</v>
      </c>
      <c r="DL271" s="4" t="s">
        <v>241</v>
      </c>
      <c r="DM271" s="4" t="s">
        <v>277</v>
      </c>
      <c r="DN271" s="4" t="s">
        <v>278</v>
      </c>
      <c r="DO271" s="6">
        <f>572.95</f>
        <v>572.95000000000005</v>
      </c>
      <c r="DP271" s="4" t="s">
        <v>241</v>
      </c>
      <c r="DQ271" s="4" t="s">
        <v>241</v>
      </c>
      <c r="DR271" s="4" t="s">
        <v>241</v>
      </c>
      <c r="DS271" s="4" t="s">
        <v>241</v>
      </c>
      <c r="DV271" s="4" t="s">
        <v>307</v>
      </c>
      <c r="DW271" s="4" t="s">
        <v>323</v>
      </c>
      <c r="HO271" s="4" t="s">
        <v>277</v>
      </c>
      <c r="HR271" s="4" t="s">
        <v>278</v>
      </c>
      <c r="HS271" s="4" t="s">
        <v>278</v>
      </c>
    </row>
    <row r="272" spans="1:240" x14ac:dyDescent="0.4">
      <c r="A272" s="4">
        <v>2</v>
      </c>
      <c r="B272" s="4" t="s">
        <v>239</v>
      </c>
      <c r="C272" s="4">
        <v>291</v>
      </c>
      <c r="D272" s="4">
        <v>1</v>
      </c>
      <c r="E272" s="4">
        <v>3</v>
      </c>
      <c r="F272" s="4" t="s">
        <v>240</v>
      </c>
      <c r="G272" s="4" t="s">
        <v>241</v>
      </c>
      <c r="H272" s="4" t="s">
        <v>241</v>
      </c>
      <c r="I272" s="4" t="s">
        <v>301</v>
      </c>
      <c r="J272" s="4" t="s">
        <v>302</v>
      </c>
      <c r="K272" s="4" t="s">
        <v>256</v>
      </c>
      <c r="L272" s="4" t="s">
        <v>280</v>
      </c>
      <c r="M272" s="5" t="s">
        <v>304</v>
      </c>
      <c r="N272" s="4" t="s">
        <v>280</v>
      </c>
      <c r="O272" s="6">
        <f>3185.13</f>
        <v>3185.13</v>
      </c>
      <c r="P272" s="4" t="s">
        <v>276</v>
      </c>
      <c r="Q272" s="6">
        <f>34399404</f>
        <v>34399404</v>
      </c>
      <c r="R272" s="6">
        <f>573323400</f>
        <v>573323400</v>
      </c>
      <c r="S272" s="5" t="s">
        <v>303</v>
      </c>
      <c r="T272" s="4" t="s">
        <v>296</v>
      </c>
      <c r="U272" s="4" t="s">
        <v>306</v>
      </c>
      <c r="V272" s="6">
        <f>11466468</f>
        <v>11466468</v>
      </c>
      <c r="W272" s="6">
        <f>538923996</f>
        <v>538923996</v>
      </c>
      <c r="X272" s="4" t="s">
        <v>243</v>
      </c>
      <c r="Y272" s="4" t="s">
        <v>244</v>
      </c>
      <c r="Z272" s="4" t="s">
        <v>282</v>
      </c>
      <c r="AA272" s="4" t="s">
        <v>241</v>
      </c>
      <c r="AD272" s="4" t="s">
        <v>241</v>
      </c>
      <c r="AE272" s="5" t="s">
        <v>241</v>
      </c>
      <c r="AF272" s="5" t="s">
        <v>241</v>
      </c>
      <c r="AH272" s="5" t="s">
        <v>241</v>
      </c>
      <c r="AI272" s="5" t="s">
        <v>249</v>
      </c>
      <c r="AJ272" s="4" t="s">
        <v>251</v>
      </c>
      <c r="AK272" s="4" t="s">
        <v>252</v>
      </c>
      <c r="AQ272" s="4" t="s">
        <v>241</v>
      </c>
      <c r="AR272" s="4" t="s">
        <v>241</v>
      </c>
      <c r="AS272" s="4" t="s">
        <v>241</v>
      </c>
      <c r="AT272" s="5" t="s">
        <v>241</v>
      </c>
      <c r="AU272" s="5" t="s">
        <v>241</v>
      </c>
      <c r="AV272" s="5" t="s">
        <v>241</v>
      </c>
      <c r="AY272" s="4" t="s">
        <v>286</v>
      </c>
      <c r="AZ272" s="4" t="s">
        <v>286</v>
      </c>
      <c r="BA272" s="4" t="s">
        <v>254</v>
      </c>
      <c r="BB272" s="4" t="s">
        <v>287</v>
      </c>
      <c r="BC272" s="4" t="s">
        <v>255</v>
      </c>
      <c r="BD272" s="4" t="s">
        <v>241</v>
      </c>
      <c r="BE272" s="4" t="s">
        <v>257</v>
      </c>
      <c r="BF272" s="4" t="s">
        <v>241</v>
      </c>
      <c r="BJ272" s="4" t="s">
        <v>288</v>
      </c>
      <c r="BK272" s="5" t="s">
        <v>289</v>
      </c>
      <c r="BL272" s="4" t="s">
        <v>290</v>
      </c>
      <c r="BM272" s="4" t="s">
        <v>290</v>
      </c>
      <c r="BN272" s="4" t="s">
        <v>241</v>
      </c>
      <c r="BO272" s="6">
        <f>0</f>
        <v>0</v>
      </c>
      <c r="BP272" s="6">
        <f>-11466468</f>
        <v>-11466468</v>
      </c>
      <c r="BQ272" s="4" t="s">
        <v>263</v>
      </c>
      <c r="BR272" s="4" t="s">
        <v>264</v>
      </c>
      <c r="BS272" s="4" t="s">
        <v>241</v>
      </c>
      <c r="BT272" s="4" t="s">
        <v>241</v>
      </c>
      <c r="BU272" s="4" t="s">
        <v>241</v>
      </c>
      <c r="BV272" s="4" t="s">
        <v>241</v>
      </c>
      <c r="CE272" s="4" t="s">
        <v>264</v>
      </c>
      <c r="CF272" s="4" t="s">
        <v>241</v>
      </c>
      <c r="CG272" s="4" t="s">
        <v>241</v>
      </c>
      <c r="CK272" s="4" t="s">
        <v>265</v>
      </c>
      <c r="CL272" s="4" t="s">
        <v>266</v>
      </c>
      <c r="CM272" s="4" t="s">
        <v>241</v>
      </c>
      <c r="CO272" s="4" t="s">
        <v>305</v>
      </c>
      <c r="CP272" s="5" t="s">
        <v>268</v>
      </c>
      <c r="CQ272" s="4" t="s">
        <v>269</v>
      </c>
      <c r="CR272" s="4" t="s">
        <v>270</v>
      </c>
      <c r="CS272" s="4" t="s">
        <v>293</v>
      </c>
      <c r="CT272" s="4" t="s">
        <v>241</v>
      </c>
      <c r="CU272" s="4">
        <v>0.02</v>
      </c>
      <c r="CV272" s="4" t="s">
        <v>271</v>
      </c>
      <c r="CW272" s="4" t="s">
        <v>294</v>
      </c>
      <c r="CX272" s="4" t="s">
        <v>295</v>
      </c>
      <c r="CY272" s="6">
        <f>0</f>
        <v>0</v>
      </c>
      <c r="CZ272" s="6">
        <f>573323400</f>
        <v>573323400</v>
      </c>
      <c r="DA272" s="6">
        <f>34399404</f>
        <v>34399404</v>
      </c>
      <c r="DC272" s="4" t="s">
        <v>241</v>
      </c>
      <c r="DD272" s="4" t="s">
        <v>241</v>
      </c>
      <c r="DF272" s="4" t="s">
        <v>241</v>
      </c>
      <c r="DG272" s="6">
        <f>0</f>
        <v>0</v>
      </c>
      <c r="DI272" s="4" t="s">
        <v>241</v>
      </c>
      <c r="DJ272" s="4" t="s">
        <v>241</v>
      </c>
      <c r="DK272" s="4" t="s">
        <v>241</v>
      </c>
      <c r="DL272" s="4" t="s">
        <v>241</v>
      </c>
      <c r="DM272" s="4" t="s">
        <v>297</v>
      </c>
      <c r="DN272" s="4" t="s">
        <v>278</v>
      </c>
      <c r="DO272" s="6">
        <f>3185.13</f>
        <v>3185.13</v>
      </c>
      <c r="DP272" s="4" t="s">
        <v>241</v>
      </c>
      <c r="DQ272" s="4" t="s">
        <v>241</v>
      </c>
      <c r="DR272" s="4" t="s">
        <v>241</v>
      </c>
      <c r="DS272" s="4" t="s">
        <v>241</v>
      </c>
      <c r="DV272" s="4" t="s">
        <v>307</v>
      </c>
      <c r="DW272" s="4" t="s">
        <v>297</v>
      </c>
      <c r="GN272" s="4" t="s">
        <v>308</v>
      </c>
      <c r="HO272" s="4" t="s">
        <v>300</v>
      </c>
      <c r="HR272" s="4" t="s">
        <v>278</v>
      </c>
      <c r="HS272" s="4" t="s">
        <v>278</v>
      </c>
      <c r="HT272" s="4" t="s">
        <v>241</v>
      </c>
      <c r="HU272" s="4" t="s">
        <v>241</v>
      </c>
      <c r="HV272" s="4" t="s">
        <v>241</v>
      </c>
      <c r="HW272" s="4" t="s">
        <v>241</v>
      </c>
      <c r="HX272" s="4" t="s">
        <v>241</v>
      </c>
      <c r="HY272" s="4" t="s">
        <v>241</v>
      </c>
      <c r="HZ272" s="4" t="s">
        <v>241</v>
      </c>
      <c r="IA272" s="4" t="s">
        <v>241</v>
      </c>
      <c r="IB272" s="4" t="s">
        <v>241</v>
      </c>
      <c r="IC272" s="4" t="s">
        <v>241</v>
      </c>
      <c r="ID272" s="4" t="s">
        <v>241</v>
      </c>
      <c r="IE272" s="4" t="s">
        <v>241</v>
      </c>
      <c r="IF272" s="4" t="s">
        <v>241</v>
      </c>
    </row>
    <row r="273" spans="1:240" x14ac:dyDescent="0.4">
      <c r="A273" s="4">
        <v>2</v>
      </c>
      <c r="B273" s="4" t="s">
        <v>239</v>
      </c>
      <c r="C273" s="4">
        <v>292</v>
      </c>
      <c r="D273" s="4">
        <v>1</v>
      </c>
      <c r="E273" s="4">
        <v>3</v>
      </c>
      <c r="F273" s="4" t="s">
        <v>240</v>
      </c>
      <c r="G273" s="4" t="s">
        <v>241</v>
      </c>
      <c r="H273" s="4" t="s">
        <v>241</v>
      </c>
      <c r="I273" s="4" t="s">
        <v>309</v>
      </c>
      <c r="J273" s="4" t="s">
        <v>310</v>
      </c>
      <c r="K273" s="4" t="s">
        <v>256</v>
      </c>
      <c r="L273" s="4" t="s">
        <v>280</v>
      </c>
      <c r="M273" s="5" t="s">
        <v>312</v>
      </c>
      <c r="N273" s="4" t="s">
        <v>280</v>
      </c>
      <c r="O273" s="6">
        <f>2904</f>
        <v>2904</v>
      </c>
      <c r="P273" s="4" t="s">
        <v>276</v>
      </c>
      <c r="Q273" s="6">
        <f>426539520</f>
        <v>426539520</v>
      </c>
      <c r="R273" s="6">
        <f>789888000</f>
        <v>789888000</v>
      </c>
      <c r="S273" s="5" t="s">
        <v>311</v>
      </c>
      <c r="T273" s="4" t="s">
        <v>296</v>
      </c>
      <c r="U273" s="4" t="s">
        <v>314</v>
      </c>
      <c r="V273" s="6">
        <f>15797760</f>
        <v>15797760</v>
      </c>
      <c r="W273" s="6">
        <f>363348480</f>
        <v>363348480</v>
      </c>
      <c r="X273" s="4" t="s">
        <v>243</v>
      </c>
      <c r="Y273" s="4" t="s">
        <v>244</v>
      </c>
      <c r="Z273" s="4" t="s">
        <v>282</v>
      </c>
      <c r="AA273" s="4" t="s">
        <v>241</v>
      </c>
      <c r="AD273" s="4" t="s">
        <v>241</v>
      </c>
      <c r="AE273" s="5" t="s">
        <v>241</v>
      </c>
      <c r="AF273" s="5" t="s">
        <v>241</v>
      </c>
      <c r="AH273" s="5" t="s">
        <v>241</v>
      </c>
      <c r="AI273" s="5" t="s">
        <v>249</v>
      </c>
      <c r="AJ273" s="4" t="s">
        <v>251</v>
      </c>
      <c r="AK273" s="4" t="s">
        <v>252</v>
      </c>
      <c r="AQ273" s="4" t="s">
        <v>241</v>
      </c>
      <c r="AR273" s="4" t="s">
        <v>241</v>
      </c>
      <c r="AS273" s="4" t="s">
        <v>241</v>
      </c>
      <c r="AT273" s="5" t="s">
        <v>241</v>
      </c>
      <c r="AU273" s="5" t="s">
        <v>241</v>
      </c>
      <c r="AV273" s="5" t="s">
        <v>241</v>
      </c>
      <c r="AY273" s="4" t="s">
        <v>286</v>
      </c>
      <c r="AZ273" s="4" t="s">
        <v>286</v>
      </c>
      <c r="BA273" s="4" t="s">
        <v>254</v>
      </c>
      <c r="BB273" s="4" t="s">
        <v>287</v>
      </c>
      <c r="BC273" s="4" t="s">
        <v>255</v>
      </c>
      <c r="BD273" s="4" t="s">
        <v>241</v>
      </c>
      <c r="BE273" s="4" t="s">
        <v>257</v>
      </c>
      <c r="BF273" s="4" t="s">
        <v>241</v>
      </c>
      <c r="BJ273" s="4" t="s">
        <v>288</v>
      </c>
      <c r="BK273" s="5" t="s">
        <v>289</v>
      </c>
      <c r="BL273" s="4" t="s">
        <v>290</v>
      </c>
      <c r="BM273" s="4" t="s">
        <v>290</v>
      </c>
      <c r="BN273" s="4" t="s">
        <v>241</v>
      </c>
      <c r="BO273" s="6">
        <f>0</f>
        <v>0</v>
      </c>
      <c r="BP273" s="6">
        <f>-15797760</f>
        <v>-15797760</v>
      </c>
      <c r="BQ273" s="4" t="s">
        <v>263</v>
      </c>
      <c r="BR273" s="4" t="s">
        <v>264</v>
      </c>
      <c r="BS273" s="4" t="s">
        <v>241</v>
      </c>
      <c r="BT273" s="4" t="s">
        <v>241</v>
      </c>
      <c r="BU273" s="4" t="s">
        <v>241</v>
      </c>
      <c r="BV273" s="4" t="s">
        <v>241</v>
      </c>
      <c r="CE273" s="4" t="s">
        <v>264</v>
      </c>
      <c r="CF273" s="4" t="s">
        <v>241</v>
      </c>
      <c r="CG273" s="4" t="s">
        <v>241</v>
      </c>
      <c r="CK273" s="4" t="s">
        <v>291</v>
      </c>
      <c r="CL273" s="4" t="s">
        <v>266</v>
      </c>
      <c r="CM273" s="4" t="s">
        <v>241</v>
      </c>
      <c r="CO273" s="4" t="s">
        <v>313</v>
      </c>
      <c r="CP273" s="5" t="s">
        <v>268</v>
      </c>
      <c r="CQ273" s="4" t="s">
        <v>269</v>
      </c>
      <c r="CR273" s="4" t="s">
        <v>270</v>
      </c>
      <c r="CS273" s="4" t="s">
        <v>293</v>
      </c>
      <c r="CT273" s="4" t="s">
        <v>241</v>
      </c>
      <c r="CU273" s="4">
        <v>0.02</v>
      </c>
      <c r="CV273" s="4" t="s">
        <v>271</v>
      </c>
      <c r="CW273" s="4" t="s">
        <v>294</v>
      </c>
      <c r="CX273" s="4" t="s">
        <v>295</v>
      </c>
      <c r="CY273" s="6">
        <f>0</f>
        <v>0</v>
      </c>
      <c r="CZ273" s="6">
        <f>789888000</f>
        <v>789888000</v>
      </c>
      <c r="DA273" s="6">
        <f>426539520</f>
        <v>426539520</v>
      </c>
      <c r="DC273" s="4" t="s">
        <v>241</v>
      </c>
      <c r="DD273" s="4" t="s">
        <v>241</v>
      </c>
      <c r="DF273" s="4" t="s">
        <v>241</v>
      </c>
      <c r="DG273" s="6">
        <f>0</f>
        <v>0</v>
      </c>
      <c r="DI273" s="4" t="s">
        <v>241</v>
      </c>
      <c r="DJ273" s="4" t="s">
        <v>241</v>
      </c>
      <c r="DK273" s="4" t="s">
        <v>241</v>
      </c>
      <c r="DL273" s="4" t="s">
        <v>241</v>
      </c>
      <c r="DM273" s="4" t="s">
        <v>297</v>
      </c>
      <c r="DN273" s="4" t="s">
        <v>278</v>
      </c>
      <c r="DO273" s="6">
        <f>2904</f>
        <v>2904</v>
      </c>
      <c r="DP273" s="4" t="s">
        <v>241</v>
      </c>
      <c r="DQ273" s="4" t="s">
        <v>241</v>
      </c>
      <c r="DR273" s="4" t="s">
        <v>241</v>
      </c>
      <c r="DS273" s="4" t="s">
        <v>241</v>
      </c>
      <c r="DV273" s="4" t="s">
        <v>315</v>
      </c>
      <c r="DW273" s="4" t="s">
        <v>277</v>
      </c>
      <c r="GN273" s="4" t="s">
        <v>316</v>
      </c>
      <c r="HO273" s="4" t="s">
        <v>300</v>
      </c>
      <c r="HR273" s="4" t="s">
        <v>278</v>
      </c>
      <c r="HS273" s="4" t="s">
        <v>278</v>
      </c>
      <c r="HT273" s="4" t="s">
        <v>241</v>
      </c>
      <c r="HU273" s="4" t="s">
        <v>241</v>
      </c>
      <c r="HV273" s="4" t="s">
        <v>241</v>
      </c>
      <c r="HW273" s="4" t="s">
        <v>241</v>
      </c>
      <c r="HX273" s="4" t="s">
        <v>241</v>
      </c>
      <c r="HY273" s="4" t="s">
        <v>241</v>
      </c>
      <c r="HZ273" s="4" t="s">
        <v>241</v>
      </c>
      <c r="IA273" s="4" t="s">
        <v>241</v>
      </c>
      <c r="IB273" s="4" t="s">
        <v>241</v>
      </c>
      <c r="IC273" s="4" t="s">
        <v>241</v>
      </c>
      <c r="ID273" s="4" t="s">
        <v>241</v>
      </c>
      <c r="IE273" s="4" t="s">
        <v>241</v>
      </c>
      <c r="IF273" s="4" t="s">
        <v>241</v>
      </c>
    </row>
    <row r="274" spans="1:240" x14ac:dyDescent="0.4">
      <c r="A274" s="4">
        <v>2</v>
      </c>
      <c r="B274" s="4" t="s">
        <v>239</v>
      </c>
      <c r="C274" s="4">
        <v>293</v>
      </c>
      <c r="D274" s="4">
        <v>1</v>
      </c>
      <c r="E274" s="4">
        <v>1</v>
      </c>
      <c r="F274" s="4" t="s">
        <v>240</v>
      </c>
      <c r="G274" s="4" t="s">
        <v>241</v>
      </c>
      <c r="H274" s="4" t="s">
        <v>241</v>
      </c>
      <c r="I274" s="4" t="s">
        <v>309</v>
      </c>
      <c r="J274" s="4" t="s">
        <v>310</v>
      </c>
      <c r="K274" s="4" t="s">
        <v>256</v>
      </c>
      <c r="L274" s="4" t="s">
        <v>414</v>
      </c>
      <c r="M274" s="5" t="s">
        <v>312</v>
      </c>
      <c r="N274" s="4" t="s">
        <v>414</v>
      </c>
      <c r="O274" s="6">
        <f>21</f>
        <v>21</v>
      </c>
      <c r="P274" s="4" t="s">
        <v>276</v>
      </c>
      <c r="Q274" s="6">
        <f>1</f>
        <v>1</v>
      </c>
      <c r="R274" s="6">
        <f>5040000</f>
        <v>5040000</v>
      </c>
      <c r="S274" s="5" t="s">
        <v>311</v>
      </c>
      <c r="T274" s="4" t="s">
        <v>348</v>
      </c>
      <c r="U274" s="4" t="s">
        <v>401</v>
      </c>
      <c r="W274" s="6">
        <f>5039999</f>
        <v>5039999</v>
      </c>
      <c r="X274" s="4" t="s">
        <v>243</v>
      </c>
      <c r="Y274" s="4" t="s">
        <v>244</v>
      </c>
      <c r="Z274" s="4" t="s">
        <v>282</v>
      </c>
      <c r="AA274" s="4" t="s">
        <v>241</v>
      </c>
      <c r="AD274" s="4" t="s">
        <v>241</v>
      </c>
      <c r="AF274" s="5" t="s">
        <v>241</v>
      </c>
      <c r="AI274" s="5" t="s">
        <v>249</v>
      </c>
      <c r="AJ274" s="4" t="s">
        <v>251</v>
      </c>
      <c r="AK274" s="4" t="s">
        <v>252</v>
      </c>
      <c r="BA274" s="4" t="s">
        <v>254</v>
      </c>
      <c r="BB274" s="4" t="s">
        <v>241</v>
      </c>
      <c r="BC274" s="4" t="s">
        <v>255</v>
      </c>
      <c r="BD274" s="4" t="s">
        <v>241</v>
      </c>
      <c r="BE274" s="4" t="s">
        <v>257</v>
      </c>
      <c r="BF274" s="4" t="s">
        <v>241</v>
      </c>
      <c r="BJ274" s="4" t="s">
        <v>367</v>
      </c>
      <c r="BK274" s="5" t="s">
        <v>249</v>
      </c>
      <c r="BL274" s="4" t="s">
        <v>261</v>
      </c>
      <c r="BM274" s="4" t="s">
        <v>262</v>
      </c>
      <c r="BN274" s="4" t="s">
        <v>241</v>
      </c>
      <c r="BO274" s="6">
        <f>0</f>
        <v>0</v>
      </c>
      <c r="BP274" s="6">
        <f>0</f>
        <v>0</v>
      </c>
      <c r="BQ274" s="4" t="s">
        <v>263</v>
      </c>
      <c r="BR274" s="4" t="s">
        <v>264</v>
      </c>
      <c r="CF274" s="4" t="s">
        <v>241</v>
      </c>
      <c r="CG274" s="4" t="s">
        <v>241</v>
      </c>
      <c r="CK274" s="4" t="s">
        <v>291</v>
      </c>
      <c r="CL274" s="4" t="s">
        <v>266</v>
      </c>
      <c r="CM274" s="4" t="s">
        <v>241</v>
      </c>
      <c r="CO274" s="4" t="s">
        <v>313</v>
      </c>
      <c r="CP274" s="5" t="s">
        <v>268</v>
      </c>
      <c r="CQ274" s="4" t="s">
        <v>269</v>
      </c>
      <c r="CR274" s="4" t="s">
        <v>270</v>
      </c>
      <c r="CS274" s="4" t="s">
        <v>241</v>
      </c>
      <c r="CT274" s="4" t="s">
        <v>241</v>
      </c>
      <c r="CU274" s="4">
        <v>0</v>
      </c>
      <c r="CV274" s="4" t="s">
        <v>271</v>
      </c>
      <c r="CW274" s="4" t="s">
        <v>415</v>
      </c>
      <c r="CX274" s="4" t="s">
        <v>416</v>
      </c>
      <c r="CZ274" s="6">
        <f>5040000</f>
        <v>5040000</v>
      </c>
      <c r="DA274" s="6">
        <f>0</f>
        <v>0</v>
      </c>
      <c r="DC274" s="4" t="s">
        <v>241</v>
      </c>
      <c r="DD274" s="4" t="s">
        <v>241</v>
      </c>
      <c r="DF274" s="4" t="s">
        <v>241</v>
      </c>
      <c r="DI274" s="4" t="s">
        <v>241</v>
      </c>
      <c r="DJ274" s="4" t="s">
        <v>241</v>
      </c>
      <c r="DK274" s="4" t="s">
        <v>241</v>
      </c>
      <c r="DL274" s="4" t="s">
        <v>241</v>
      </c>
      <c r="DM274" s="4" t="s">
        <v>277</v>
      </c>
      <c r="DN274" s="4" t="s">
        <v>278</v>
      </c>
      <c r="DO274" s="6">
        <f>21</f>
        <v>21</v>
      </c>
      <c r="DP274" s="4" t="s">
        <v>241</v>
      </c>
      <c r="DQ274" s="4" t="s">
        <v>241</v>
      </c>
      <c r="DR274" s="4" t="s">
        <v>241</v>
      </c>
      <c r="DS274" s="4" t="s">
        <v>241</v>
      </c>
      <c r="DV274" s="4" t="s">
        <v>315</v>
      </c>
      <c r="DW274" s="4" t="s">
        <v>323</v>
      </c>
      <c r="HO274" s="4" t="s">
        <v>277</v>
      </c>
      <c r="HR274" s="4" t="s">
        <v>278</v>
      </c>
      <c r="HS274" s="4" t="s">
        <v>278</v>
      </c>
    </row>
    <row r="275" spans="1:240" x14ac:dyDescent="0.4">
      <c r="A275" s="4">
        <v>2</v>
      </c>
      <c r="B275" s="4" t="s">
        <v>239</v>
      </c>
      <c r="C275" s="4">
        <v>294</v>
      </c>
      <c r="D275" s="4">
        <v>1</v>
      </c>
      <c r="E275" s="4">
        <v>3</v>
      </c>
      <c r="F275" s="4" t="s">
        <v>326</v>
      </c>
      <c r="G275" s="4" t="s">
        <v>241</v>
      </c>
      <c r="H275" s="4" t="s">
        <v>241</v>
      </c>
      <c r="I275" s="4" t="s">
        <v>309</v>
      </c>
      <c r="J275" s="4" t="s">
        <v>310</v>
      </c>
      <c r="K275" s="4" t="s">
        <v>256</v>
      </c>
      <c r="L275" s="4" t="s">
        <v>2535</v>
      </c>
      <c r="M275" s="5" t="s">
        <v>312</v>
      </c>
      <c r="N275" s="4" t="s">
        <v>2883</v>
      </c>
      <c r="O275" s="6">
        <f>0</f>
        <v>0</v>
      </c>
      <c r="P275" s="4" t="s">
        <v>276</v>
      </c>
      <c r="Q275" s="6">
        <f>1196120</f>
        <v>1196120</v>
      </c>
      <c r="R275" s="6">
        <f>1634040</f>
        <v>1634040</v>
      </c>
      <c r="S275" s="5" t="s">
        <v>678</v>
      </c>
      <c r="T275" s="4" t="s">
        <v>348</v>
      </c>
      <c r="U275" s="4" t="s">
        <v>297</v>
      </c>
      <c r="V275" s="6">
        <f>109480</f>
        <v>109480</v>
      </c>
      <c r="W275" s="6">
        <f>437920</f>
        <v>437920</v>
      </c>
      <c r="X275" s="4" t="s">
        <v>243</v>
      </c>
      <c r="Y275" s="4" t="s">
        <v>244</v>
      </c>
      <c r="Z275" s="4" t="s">
        <v>282</v>
      </c>
      <c r="AA275" s="4" t="s">
        <v>241</v>
      </c>
      <c r="AD275" s="4" t="s">
        <v>241</v>
      </c>
      <c r="AE275" s="5" t="s">
        <v>241</v>
      </c>
      <c r="AF275" s="5" t="s">
        <v>241</v>
      </c>
      <c r="AH275" s="5" t="s">
        <v>241</v>
      </c>
      <c r="AI275" s="5" t="s">
        <v>249</v>
      </c>
      <c r="AJ275" s="4" t="s">
        <v>251</v>
      </c>
      <c r="AK275" s="4" t="s">
        <v>252</v>
      </c>
      <c r="AQ275" s="4" t="s">
        <v>241</v>
      </c>
      <c r="AR275" s="4" t="s">
        <v>241</v>
      </c>
      <c r="AS275" s="4" t="s">
        <v>241</v>
      </c>
      <c r="AT275" s="5" t="s">
        <v>241</v>
      </c>
      <c r="AU275" s="5" t="s">
        <v>241</v>
      </c>
      <c r="AV275" s="5" t="s">
        <v>241</v>
      </c>
      <c r="AY275" s="4" t="s">
        <v>286</v>
      </c>
      <c r="AZ275" s="4" t="s">
        <v>286</v>
      </c>
      <c r="BA275" s="4" t="s">
        <v>254</v>
      </c>
      <c r="BB275" s="4" t="s">
        <v>287</v>
      </c>
      <c r="BC275" s="4" t="s">
        <v>255</v>
      </c>
      <c r="BD275" s="4" t="s">
        <v>241</v>
      </c>
      <c r="BE275" s="4" t="s">
        <v>257</v>
      </c>
      <c r="BF275" s="4" t="s">
        <v>241</v>
      </c>
      <c r="BJ275" s="4" t="s">
        <v>288</v>
      </c>
      <c r="BK275" s="5" t="s">
        <v>289</v>
      </c>
      <c r="BL275" s="4" t="s">
        <v>290</v>
      </c>
      <c r="BM275" s="4" t="s">
        <v>290</v>
      </c>
      <c r="BN275" s="4" t="s">
        <v>241</v>
      </c>
      <c r="BP275" s="6">
        <f>-109480</f>
        <v>-109480</v>
      </c>
      <c r="BQ275" s="4" t="s">
        <v>263</v>
      </c>
      <c r="BR275" s="4" t="s">
        <v>264</v>
      </c>
      <c r="BS275" s="4" t="s">
        <v>241</v>
      </c>
      <c r="BT275" s="4" t="s">
        <v>241</v>
      </c>
      <c r="BU275" s="4" t="s">
        <v>241</v>
      </c>
      <c r="BV275" s="4" t="s">
        <v>241</v>
      </c>
      <c r="CE275" s="4" t="s">
        <v>264</v>
      </c>
      <c r="CF275" s="4" t="s">
        <v>241</v>
      </c>
      <c r="CG275" s="4" t="s">
        <v>241</v>
      </c>
      <c r="CK275" s="4" t="s">
        <v>291</v>
      </c>
      <c r="CL275" s="4" t="s">
        <v>266</v>
      </c>
      <c r="CM275" s="4" t="s">
        <v>241</v>
      </c>
      <c r="CO275" s="4" t="s">
        <v>413</v>
      </c>
      <c r="CP275" s="5" t="s">
        <v>268</v>
      </c>
      <c r="CQ275" s="4" t="s">
        <v>269</v>
      </c>
      <c r="CR275" s="4" t="s">
        <v>270</v>
      </c>
      <c r="CS275" s="4" t="s">
        <v>293</v>
      </c>
      <c r="CT275" s="4" t="s">
        <v>241</v>
      </c>
      <c r="CU275" s="4">
        <v>6.7000000000000004E-2</v>
      </c>
      <c r="CV275" s="4" t="s">
        <v>271</v>
      </c>
      <c r="CW275" s="4" t="s">
        <v>415</v>
      </c>
      <c r="CX275" s="4" t="s">
        <v>422</v>
      </c>
      <c r="CY275" s="6">
        <f>0</f>
        <v>0</v>
      </c>
      <c r="CZ275" s="6">
        <f>1634040</f>
        <v>1634040</v>
      </c>
      <c r="DA275" s="6">
        <f>1196120</f>
        <v>1196120</v>
      </c>
      <c r="DC275" s="4" t="s">
        <v>241</v>
      </c>
      <c r="DD275" s="4" t="s">
        <v>241</v>
      </c>
      <c r="DF275" s="4" t="s">
        <v>241</v>
      </c>
      <c r="DG275" s="6">
        <f>0</f>
        <v>0</v>
      </c>
      <c r="DI275" s="4" t="s">
        <v>241</v>
      </c>
      <c r="DJ275" s="4" t="s">
        <v>241</v>
      </c>
      <c r="DK275" s="4" t="s">
        <v>241</v>
      </c>
      <c r="DL275" s="4" t="s">
        <v>241</v>
      </c>
      <c r="DM275" s="4" t="s">
        <v>278</v>
      </c>
      <c r="DN275" s="4" t="s">
        <v>278</v>
      </c>
      <c r="DO275" s="6" t="s">
        <v>241</v>
      </c>
      <c r="DP275" s="4" t="s">
        <v>241</v>
      </c>
      <c r="DQ275" s="4" t="s">
        <v>241</v>
      </c>
      <c r="DR275" s="4" t="s">
        <v>241</v>
      </c>
      <c r="DS275" s="4" t="s">
        <v>241</v>
      </c>
      <c r="DV275" s="4" t="s">
        <v>315</v>
      </c>
      <c r="DW275" s="4" t="s">
        <v>297</v>
      </c>
      <c r="GN275" s="4" t="s">
        <v>2884</v>
      </c>
      <c r="HO275" s="4" t="s">
        <v>351</v>
      </c>
      <c r="HR275" s="4" t="s">
        <v>278</v>
      </c>
      <c r="HS275" s="4" t="s">
        <v>278</v>
      </c>
      <c r="HT275" s="4" t="s">
        <v>241</v>
      </c>
      <c r="HU275" s="4" t="s">
        <v>241</v>
      </c>
      <c r="HV275" s="4" t="s">
        <v>241</v>
      </c>
      <c r="HW275" s="4" t="s">
        <v>241</v>
      </c>
      <c r="HX275" s="4" t="s">
        <v>241</v>
      </c>
      <c r="HY275" s="4" t="s">
        <v>241</v>
      </c>
      <c r="HZ275" s="4" t="s">
        <v>241</v>
      </c>
      <c r="IA275" s="4" t="s">
        <v>241</v>
      </c>
      <c r="IB275" s="4" t="s">
        <v>241</v>
      </c>
      <c r="IC275" s="4" t="s">
        <v>241</v>
      </c>
      <c r="ID275" s="4" t="s">
        <v>241</v>
      </c>
      <c r="IE275" s="4" t="s">
        <v>241</v>
      </c>
      <c r="IF275" s="4" t="s">
        <v>241</v>
      </c>
    </row>
    <row r="276" spans="1:240" x14ac:dyDescent="0.4">
      <c r="A276" s="4">
        <v>2</v>
      </c>
      <c r="B276" s="4" t="s">
        <v>239</v>
      </c>
      <c r="C276" s="4">
        <v>295</v>
      </c>
      <c r="D276" s="4">
        <v>1</v>
      </c>
      <c r="E276" s="4">
        <v>3</v>
      </c>
      <c r="F276" s="4" t="s">
        <v>240</v>
      </c>
      <c r="G276" s="4" t="s">
        <v>241</v>
      </c>
      <c r="H276" s="4" t="s">
        <v>241</v>
      </c>
      <c r="I276" s="4" t="s">
        <v>3858</v>
      </c>
      <c r="J276" s="4" t="s">
        <v>310</v>
      </c>
      <c r="K276" s="4" t="s">
        <v>256</v>
      </c>
      <c r="L276" s="4" t="s">
        <v>3859</v>
      </c>
      <c r="M276" s="5" t="s">
        <v>312</v>
      </c>
      <c r="N276" s="4" t="s">
        <v>454</v>
      </c>
      <c r="O276" s="6">
        <f>450</f>
        <v>450</v>
      </c>
      <c r="P276" s="4" t="s">
        <v>276</v>
      </c>
      <c r="Q276" s="6">
        <f>13773150</f>
        <v>13773150</v>
      </c>
      <c r="R276" s="6">
        <f>57150000</f>
        <v>57150000</v>
      </c>
      <c r="S276" s="5" t="s">
        <v>311</v>
      </c>
      <c r="T276" s="4" t="s">
        <v>441</v>
      </c>
      <c r="U276" s="4" t="s">
        <v>314</v>
      </c>
      <c r="V276" s="6">
        <f>1885950</f>
        <v>1885950</v>
      </c>
      <c r="W276" s="6">
        <f>43376850</f>
        <v>43376850</v>
      </c>
      <c r="X276" s="4" t="s">
        <v>243</v>
      </c>
      <c r="Y276" s="4" t="s">
        <v>244</v>
      </c>
      <c r="Z276" s="4" t="s">
        <v>282</v>
      </c>
      <c r="AA276" s="4" t="s">
        <v>241</v>
      </c>
      <c r="AD276" s="4" t="s">
        <v>241</v>
      </c>
      <c r="AE276" s="5" t="s">
        <v>241</v>
      </c>
      <c r="AF276" s="5" t="s">
        <v>241</v>
      </c>
      <c r="AH276" s="5" t="s">
        <v>241</v>
      </c>
      <c r="AI276" s="5" t="s">
        <v>249</v>
      </c>
      <c r="AJ276" s="4" t="s">
        <v>251</v>
      </c>
      <c r="AK276" s="4" t="s">
        <v>252</v>
      </c>
      <c r="AQ276" s="4" t="s">
        <v>241</v>
      </c>
      <c r="AR276" s="4" t="s">
        <v>241</v>
      </c>
      <c r="AS276" s="4" t="s">
        <v>241</v>
      </c>
      <c r="AT276" s="5" t="s">
        <v>241</v>
      </c>
      <c r="AU276" s="5" t="s">
        <v>241</v>
      </c>
      <c r="AV276" s="5" t="s">
        <v>241</v>
      </c>
      <c r="AY276" s="4" t="s">
        <v>286</v>
      </c>
      <c r="AZ276" s="4" t="s">
        <v>286</v>
      </c>
      <c r="BA276" s="4" t="s">
        <v>254</v>
      </c>
      <c r="BB276" s="4" t="s">
        <v>287</v>
      </c>
      <c r="BC276" s="4" t="s">
        <v>255</v>
      </c>
      <c r="BD276" s="4" t="s">
        <v>241</v>
      </c>
      <c r="BE276" s="4" t="s">
        <v>257</v>
      </c>
      <c r="BF276" s="4" t="s">
        <v>241</v>
      </c>
      <c r="BH276" s="4" t="s">
        <v>1923</v>
      </c>
      <c r="BJ276" s="4" t="s">
        <v>288</v>
      </c>
      <c r="BK276" s="5" t="s">
        <v>289</v>
      </c>
      <c r="BL276" s="4" t="s">
        <v>290</v>
      </c>
      <c r="BM276" s="4" t="s">
        <v>290</v>
      </c>
      <c r="BN276" s="4" t="s">
        <v>241</v>
      </c>
      <c r="BO276" s="6">
        <f>0</f>
        <v>0</v>
      </c>
      <c r="BP276" s="6">
        <f>-1885950</f>
        <v>-1885950</v>
      </c>
      <c r="BQ276" s="4" t="s">
        <v>263</v>
      </c>
      <c r="BR276" s="4" t="s">
        <v>264</v>
      </c>
      <c r="BS276" s="4" t="s">
        <v>241</v>
      </c>
      <c r="BT276" s="4" t="s">
        <v>241</v>
      </c>
      <c r="BU276" s="4" t="s">
        <v>241</v>
      </c>
      <c r="BV276" s="4" t="s">
        <v>241</v>
      </c>
      <c r="CE276" s="4" t="s">
        <v>264</v>
      </c>
      <c r="CF276" s="4" t="s">
        <v>241</v>
      </c>
      <c r="CG276" s="4" t="s">
        <v>241</v>
      </c>
      <c r="CK276" s="4" t="s">
        <v>291</v>
      </c>
      <c r="CL276" s="4" t="s">
        <v>266</v>
      </c>
      <c r="CM276" s="4" t="s">
        <v>241</v>
      </c>
      <c r="CO276" s="4" t="s">
        <v>313</v>
      </c>
      <c r="CP276" s="5" t="s">
        <v>268</v>
      </c>
      <c r="CQ276" s="4" t="s">
        <v>269</v>
      </c>
      <c r="CR276" s="4" t="s">
        <v>270</v>
      </c>
      <c r="CS276" s="4" t="s">
        <v>293</v>
      </c>
      <c r="CT276" s="4" t="s">
        <v>241</v>
      </c>
      <c r="CU276" s="4">
        <v>3.3000000000000002E-2</v>
      </c>
      <c r="CV276" s="4" t="s">
        <v>271</v>
      </c>
      <c r="CW276" s="4" t="s">
        <v>455</v>
      </c>
      <c r="CX276" s="4" t="s">
        <v>487</v>
      </c>
      <c r="CY276" s="6">
        <f>0</f>
        <v>0</v>
      </c>
      <c r="CZ276" s="6">
        <f>57150000</f>
        <v>57150000</v>
      </c>
      <c r="DA276" s="6">
        <f>13773150</f>
        <v>13773150</v>
      </c>
      <c r="DC276" s="4" t="s">
        <v>241</v>
      </c>
      <c r="DD276" s="4" t="s">
        <v>241</v>
      </c>
      <c r="DF276" s="4" t="s">
        <v>241</v>
      </c>
      <c r="DG276" s="6">
        <f>0</f>
        <v>0</v>
      </c>
      <c r="DI276" s="4" t="s">
        <v>241</v>
      </c>
      <c r="DJ276" s="4" t="s">
        <v>241</v>
      </c>
      <c r="DK276" s="4" t="s">
        <v>241</v>
      </c>
      <c r="DL276" s="4" t="s">
        <v>241</v>
      </c>
      <c r="DM276" s="4" t="s">
        <v>277</v>
      </c>
      <c r="DN276" s="4" t="s">
        <v>278</v>
      </c>
      <c r="DO276" s="6">
        <f>450</f>
        <v>450</v>
      </c>
      <c r="DP276" s="4" t="s">
        <v>241</v>
      </c>
      <c r="DQ276" s="4" t="s">
        <v>241</v>
      </c>
      <c r="DR276" s="4" t="s">
        <v>241</v>
      </c>
      <c r="DS276" s="4" t="s">
        <v>241</v>
      </c>
      <c r="DV276" s="4" t="s">
        <v>3860</v>
      </c>
      <c r="DW276" s="4" t="s">
        <v>277</v>
      </c>
      <c r="GN276" s="4" t="s">
        <v>3861</v>
      </c>
      <c r="HO276" s="4" t="s">
        <v>300</v>
      </c>
      <c r="HR276" s="4" t="s">
        <v>278</v>
      </c>
      <c r="HS276" s="4" t="s">
        <v>278</v>
      </c>
      <c r="HT276" s="4" t="s">
        <v>241</v>
      </c>
      <c r="HU276" s="4" t="s">
        <v>241</v>
      </c>
      <c r="HV276" s="4" t="s">
        <v>241</v>
      </c>
      <c r="HW276" s="4" t="s">
        <v>241</v>
      </c>
      <c r="HX276" s="4" t="s">
        <v>241</v>
      </c>
      <c r="HY276" s="4" t="s">
        <v>241</v>
      </c>
      <c r="HZ276" s="4" t="s">
        <v>241</v>
      </c>
      <c r="IA276" s="4" t="s">
        <v>241</v>
      </c>
      <c r="IB276" s="4" t="s">
        <v>241</v>
      </c>
      <c r="IC276" s="4" t="s">
        <v>241</v>
      </c>
      <c r="ID276" s="4" t="s">
        <v>241</v>
      </c>
      <c r="IE276" s="4" t="s">
        <v>241</v>
      </c>
      <c r="IF276" s="4" t="s">
        <v>241</v>
      </c>
    </row>
    <row r="277" spans="1:240" x14ac:dyDescent="0.4">
      <c r="A277" s="4">
        <v>2</v>
      </c>
      <c r="B277" s="4" t="s">
        <v>239</v>
      </c>
      <c r="C277" s="4">
        <v>296</v>
      </c>
      <c r="D277" s="4">
        <v>1</v>
      </c>
      <c r="E277" s="4">
        <v>3</v>
      </c>
      <c r="F277" s="4" t="s">
        <v>240</v>
      </c>
      <c r="G277" s="4" t="s">
        <v>241</v>
      </c>
      <c r="H277" s="4" t="s">
        <v>241</v>
      </c>
      <c r="I277" s="4" t="s">
        <v>317</v>
      </c>
      <c r="J277" s="4" t="s">
        <v>318</v>
      </c>
      <c r="K277" s="4" t="s">
        <v>256</v>
      </c>
      <c r="L277" s="4" t="s">
        <v>280</v>
      </c>
      <c r="M277" s="5" t="s">
        <v>320</v>
      </c>
      <c r="N277" s="4" t="s">
        <v>280</v>
      </c>
      <c r="O277" s="6">
        <f>576.68</f>
        <v>576.67999999999995</v>
      </c>
      <c r="P277" s="4" t="s">
        <v>276</v>
      </c>
      <c r="Q277" s="6">
        <f>114182640</f>
        <v>114182640</v>
      </c>
      <c r="R277" s="6">
        <f>158587000</f>
        <v>158587000</v>
      </c>
      <c r="S277" s="5" t="s">
        <v>319</v>
      </c>
      <c r="T277" s="4" t="s">
        <v>296</v>
      </c>
      <c r="U277" s="4" t="s">
        <v>322</v>
      </c>
      <c r="V277" s="6">
        <f>3171740</f>
        <v>3171740</v>
      </c>
      <c r="W277" s="6">
        <f>44404360</f>
        <v>44404360</v>
      </c>
      <c r="X277" s="4" t="s">
        <v>243</v>
      </c>
      <c r="Y277" s="4" t="s">
        <v>244</v>
      </c>
      <c r="Z277" s="4" t="s">
        <v>282</v>
      </c>
      <c r="AA277" s="4" t="s">
        <v>241</v>
      </c>
      <c r="AD277" s="4" t="s">
        <v>241</v>
      </c>
      <c r="AE277" s="5" t="s">
        <v>241</v>
      </c>
      <c r="AF277" s="5" t="s">
        <v>241</v>
      </c>
      <c r="AH277" s="5" t="s">
        <v>241</v>
      </c>
      <c r="AI277" s="5" t="s">
        <v>249</v>
      </c>
      <c r="AJ277" s="4" t="s">
        <v>251</v>
      </c>
      <c r="AK277" s="4" t="s">
        <v>252</v>
      </c>
      <c r="AQ277" s="4" t="s">
        <v>241</v>
      </c>
      <c r="AR277" s="4" t="s">
        <v>241</v>
      </c>
      <c r="AS277" s="4" t="s">
        <v>241</v>
      </c>
      <c r="AT277" s="5" t="s">
        <v>241</v>
      </c>
      <c r="AU277" s="5" t="s">
        <v>241</v>
      </c>
      <c r="AV277" s="5" t="s">
        <v>241</v>
      </c>
      <c r="AY277" s="4" t="s">
        <v>286</v>
      </c>
      <c r="AZ277" s="4" t="s">
        <v>286</v>
      </c>
      <c r="BA277" s="4" t="s">
        <v>254</v>
      </c>
      <c r="BB277" s="4" t="s">
        <v>287</v>
      </c>
      <c r="BC277" s="4" t="s">
        <v>255</v>
      </c>
      <c r="BD277" s="4" t="s">
        <v>241</v>
      </c>
      <c r="BE277" s="4" t="s">
        <v>257</v>
      </c>
      <c r="BF277" s="4" t="s">
        <v>241</v>
      </c>
      <c r="BJ277" s="4" t="s">
        <v>288</v>
      </c>
      <c r="BK277" s="5" t="s">
        <v>289</v>
      </c>
      <c r="BL277" s="4" t="s">
        <v>290</v>
      </c>
      <c r="BM277" s="4" t="s">
        <v>290</v>
      </c>
      <c r="BN277" s="4" t="s">
        <v>241</v>
      </c>
      <c r="BO277" s="6">
        <f>0</f>
        <v>0</v>
      </c>
      <c r="BP277" s="6">
        <f>-3171740</f>
        <v>-3171740</v>
      </c>
      <c r="BQ277" s="4" t="s">
        <v>263</v>
      </c>
      <c r="BR277" s="4" t="s">
        <v>264</v>
      </c>
      <c r="BS277" s="4" t="s">
        <v>241</v>
      </c>
      <c r="BT277" s="4" t="s">
        <v>241</v>
      </c>
      <c r="BU277" s="4" t="s">
        <v>241</v>
      </c>
      <c r="BV277" s="4" t="s">
        <v>241</v>
      </c>
      <c r="CE277" s="4" t="s">
        <v>264</v>
      </c>
      <c r="CF277" s="4" t="s">
        <v>241</v>
      </c>
      <c r="CG277" s="4" t="s">
        <v>241</v>
      </c>
      <c r="CK277" s="4" t="s">
        <v>291</v>
      </c>
      <c r="CL277" s="4" t="s">
        <v>266</v>
      </c>
      <c r="CM277" s="4" t="s">
        <v>241</v>
      </c>
      <c r="CO277" s="4" t="s">
        <v>321</v>
      </c>
      <c r="CP277" s="5" t="s">
        <v>268</v>
      </c>
      <c r="CQ277" s="4" t="s">
        <v>269</v>
      </c>
      <c r="CR277" s="4" t="s">
        <v>270</v>
      </c>
      <c r="CS277" s="4" t="s">
        <v>293</v>
      </c>
      <c r="CT277" s="4" t="s">
        <v>241</v>
      </c>
      <c r="CU277" s="4">
        <v>0.02</v>
      </c>
      <c r="CV277" s="4" t="s">
        <v>271</v>
      </c>
      <c r="CW277" s="4" t="s">
        <v>294</v>
      </c>
      <c r="CX277" s="4" t="s">
        <v>295</v>
      </c>
      <c r="CY277" s="6">
        <f>0</f>
        <v>0</v>
      </c>
      <c r="CZ277" s="6">
        <f>158587000</f>
        <v>158587000</v>
      </c>
      <c r="DA277" s="6">
        <f>114182640</f>
        <v>114182640</v>
      </c>
      <c r="DC277" s="4" t="s">
        <v>241</v>
      </c>
      <c r="DD277" s="4" t="s">
        <v>241</v>
      </c>
      <c r="DF277" s="4" t="s">
        <v>241</v>
      </c>
      <c r="DG277" s="6">
        <f>0</f>
        <v>0</v>
      </c>
      <c r="DI277" s="4" t="s">
        <v>241</v>
      </c>
      <c r="DJ277" s="4" t="s">
        <v>241</v>
      </c>
      <c r="DK277" s="4" t="s">
        <v>241</v>
      </c>
      <c r="DL277" s="4" t="s">
        <v>241</v>
      </c>
      <c r="DM277" s="4" t="s">
        <v>323</v>
      </c>
      <c r="DN277" s="4" t="s">
        <v>278</v>
      </c>
      <c r="DO277" s="6">
        <f>576.68</f>
        <v>576.67999999999995</v>
      </c>
      <c r="DP277" s="4" t="s">
        <v>241</v>
      </c>
      <c r="DQ277" s="4" t="s">
        <v>241</v>
      </c>
      <c r="DR277" s="4" t="s">
        <v>241</v>
      </c>
      <c r="DS277" s="4" t="s">
        <v>241</v>
      </c>
      <c r="DV277" s="4" t="s">
        <v>324</v>
      </c>
      <c r="DW277" s="4" t="s">
        <v>277</v>
      </c>
      <c r="GN277" s="4" t="s">
        <v>325</v>
      </c>
      <c r="HO277" s="4" t="s">
        <v>300</v>
      </c>
      <c r="HR277" s="4" t="s">
        <v>278</v>
      </c>
      <c r="HS277" s="4" t="s">
        <v>278</v>
      </c>
      <c r="HT277" s="4" t="s">
        <v>241</v>
      </c>
      <c r="HU277" s="4" t="s">
        <v>241</v>
      </c>
      <c r="HV277" s="4" t="s">
        <v>241</v>
      </c>
      <c r="HW277" s="4" t="s">
        <v>241</v>
      </c>
      <c r="HX277" s="4" t="s">
        <v>241</v>
      </c>
      <c r="HY277" s="4" t="s">
        <v>241</v>
      </c>
      <c r="HZ277" s="4" t="s">
        <v>241</v>
      </c>
      <c r="IA277" s="4" t="s">
        <v>241</v>
      </c>
      <c r="IB277" s="4" t="s">
        <v>241</v>
      </c>
      <c r="IC277" s="4" t="s">
        <v>241</v>
      </c>
      <c r="ID277" s="4" t="s">
        <v>241</v>
      </c>
      <c r="IE277" s="4" t="s">
        <v>241</v>
      </c>
      <c r="IF277" s="4" t="s">
        <v>241</v>
      </c>
    </row>
    <row r="278" spans="1:240" x14ac:dyDescent="0.4">
      <c r="A278" s="4">
        <v>2</v>
      </c>
      <c r="B278" s="4" t="s">
        <v>239</v>
      </c>
      <c r="C278" s="4">
        <v>297</v>
      </c>
      <c r="D278" s="4">
        <v>1</v>
      </c>
      <c r="E278" s="4">
        <v>1</v>
      </c>
      <c r="F278" s="4" t="s">
        <v>240</v>
      </c>
      <c r="G278" s="4" t="s">
        <v>241</v>
      </c>
      <c r="H278" s="4" t="s">
        <v>241</v>
      </c>
      <c r="I278" s="4" t="s">
        <v>317</v>
      </c>
      <c r="J278" s="4" t="s">
        <v>318</v>
      </c>
      <c r="K278" s="4" t="s">
        <v>256</v>
      </c>
      <c r="L278" s="4" t="s">
        <v>1185</v>
      </c>
      <c r="M278" s="5" t="s">
        <v>320</v>
      </c>
      <c r="N278" s="4" t="s">
        <v>1185</v>
      </c>
      <c r="O278" s="6">
        <f>66.74</f>
        <v>66.739999999999995</v>
      </c>
      <c r="P278" s="4" t="s">
        <v>276</v>
      </c>
      <c r="Q278" s="6">
        <f>1</f>
        <v>1</v>
      </c>
      <c r="R278" s="6">
        <f>4004400</f>
        <v>4004400</v>
      </c>
      <c r="S278" s="5" t="s">
        <v>3717</v>
      </c>
      <c r="T278" s="4" t="s">
        <v>348</v>
      </c>
      <c r="U278" s="4" t="s">
        <v>1042</v>
      </c>
      <c r="W278" s="6">
        <f>4004399</f>
        <v>4004399</v>
      </c>
      <c r="X278" s="4" t="s">
        <v>243</v>
      </c>
      <c r="Y278" s="4" t="s">
        <v>244</v>
      </c>
      <c r="Z278" s="4" t="s">
        <v>282</v>
      </c>
      <c r="AA278" s="4" t="s">
        <v>241</v>
      </c>
      <c r="AD278" s="4" t="s">
        <v>241</v>
      </c>
      <c r="AF278" s="5" t="s">
        <v>241</v>
      </c>
      <c r="AI278" s="5" t="s">
        <v>249</v>
      </c>
      <c r="AJ278" s="4" t="s">
        <v>251</v>
      </c>
      <c r="AK278" s="4" t="s">
        <v>252</v>
      </c>
      <c r="BA278" s="4" t="s">
        <v>254</v>
      </c>
      <c r="BB278" s="4" t="s">
        <v>241</v>
      </c>
      <c r="BC278" s="4" t="s">
        <v>255</v>
      </c>
      <c r="BD278" s="4" t="s">
        <v>241</v>
      </c>
      <c r="BE278" s="4" t="s">
        <v>257</v>
      </c>
      <c r="BF278" s="4" t="s">
        <v>241</v>
      </c>
      <c r="BJ278" s="4" t="s">
        <v>377</v>
      </c>
      <c r="BK278" s="5" t="s">
        <v>378</v>
      </c>
      <c r="BL278" s="4" t="s">
        <v>261</v>
      </c>
      <c r="BM278" s="4" t="s">
        <v>262</v>
      </c>
      <c r="BN278" s="4" t="s">
        <v>241</v>
      </c>
      <c r="BO278" s="6">
        <f>0</f>
        <v>0</v>
      </c>
      <c r="BP278" s="6">
        <f>0</f>
        <v>0</v>
      </c>
      <c r="BQ278" s="4" t="s">
        <v>263</v>
      </c>
      <c r="BR278" s="4" t="s">
        <v>264</v>
      </c>
      <c r="CF278" s="4" t="s">
        <v>241</v>
      </c>
      <c r="CG278" s="4" t="s">
        <v>241</v>
      </c>
      <c r="CK278" s="4" t="s">
        <v>265</v>
      </c>
      <c r="CL278" s="4" t="s">
        <v>266</v>
      </c>
      <c r="CM278" s="4" t="s">
        <v>241</v>
      </c>
      <c r="CO278" s="4" t="s">
        <v>914</v>
      </c>
      <c r="CP278" s="5" t="s">
        <v>268</v>
      </c>
      <c r="CQ278" s="4" t="s">
        <v>269</v>
      </c>
      <c r="CR278" s="4" t="s">
        <v>270</v>
      </c>
      <c r="CS278" s="4" t="s">
        <v>241</v>
      </c>
      <c r="CT278" s="4" t="s">
        <v>241</v>
      </c>
      <c r="CU278" s="4">
        <v>0</v>
      </c>
      <c r="CV278" s="4" t="s">
        <v>271</v>
      </c>
      <c r="CW278" s="4" t="s">
        <v>272</v>
      </c>
      <c r="CX278" s="4" t="s">
        <v>347</v>
      </c>
      <c r="CZ278" s="6">
        <f>4004400</f>
        <v>4004400</v>
      </c>
      <c r="DA278" s="6">
        <f>0</f>
        <v>0</v>
      </c>
      <c r="DC278" s="4" t="s">
        <v>241</v>
      </c>
      <c r="DD278" s="4" t="s">
        <v>241</v>
      </c>
      <c r="DF278" s="4" t="s">
        <v>241</v>
      </c>
      <c r="DI278" s="4" t="s">
        <v>241</v>
      </c>
      <c r="DJ278" s="4" t="s">
        <v>241</v>
      </c>
      <c r="DK278" s="4" t="s">
        <v>241</v>
      </c>
      <c r="DL278" s="4" t="s">
        <v>241</v>
      </c>
      <c r="DM278" s="4" t="s">
        <v>277</v>
      </c>
      <c r="DN278" s="4" t="s">
        <v>278</v>
      </c>
      <c r="DO278" s="6">
        <f>66.74</f>
        <v>66.739999999999995</v>
      </c>
      <c r="DP278" s="4" t="s">
        <v>241</v>
      </c>
      <c r="DQ278" s="4" t="s">
        <v>241</v>
      </c>
      <c r="DR278" s="4" t="s">
        <v>241</v>
      </c>
      <c r="DS278" s="4" t="s">
        <v>241</v>
      </c>
      <c r="DV278" s="4" t="s">
        <v>324</v>
      </c>
      <c r="DW278" s="4" t="s">
        <v>323</v>
      </c>
      <c r="HO278" s="4" t="s">
        <v>277</v>
      </c>
      <c r="HR278" s="4" t="s">
        <v>278</v>
      </c>
      <c r="HS278" s="4" t="s">
        <v>278</v>
      </c>
    </row>
    <row r="279" spans="1:240" x14ac:dyDescent="0.4">
      <c r="A279" s="4">
        <v>2</v>
      </c>
      <c r="B279" s="4" t="s">
        <v>239</v>
      </c>
      <c r="C279" s="4">
        <v>299</v>
      </c>
      <c r="D279" s="4">
        <v>1</v>
      </c>
      <c r="E279" s="4">
        <v>3</v>
      </c>
      <c r="F279" s="4" t="s">
        <v>240</v>
      </c>
      <c r="G279" s="4" t="s">
        <v>241</v>
      </c>
      <c r="H279" s="4" t="s">
        <v>241</v>
      </c>
      <c r="I279" s="4" t="s">
        <v>3367</v>
      </c>
      <c r="J279" s="4" t="s">
        <v>418</v>
      </c>
      <c r="K279" s="4" t="s">
        <v>256</v>
      </c>
      <c r="L279" s="4" t="s">
        <v>3027</v>
      </c>
      <c r="M279" s="5" t="s">
        <v>3368</v>
      </c>
      <c r="N279" s="4" t="s">
        <v>3027</v>
      </c>
      <c r="O279" s="6">
        <f>195</f>
        <v>195</v>
      </c>
      <c r="P279" s="4" t="s">
        <v>276</v>
      </c>
      <c r="Q279" s="6">
        <f>8086650</f>
        <v>8086650</v>
      </c>
      <c r="R279" s="6">
        <f>28275000</f>
        <v>28275000</v>
      </c>
      <c r="S279" s="5" t="s">
        <v>1937</v>
      </c>
      <c r="T279" s="4" t="s">
        <v>274</v>
      </c>
      <c r="U279" s="4" t="s">
        <v>371</v>
      </c>
      <c r="V279" s="6">
        <f>1187550</f>
        <v>1187550</v>
      </c>
      <c r="W279" s="6">
        <f>20188350</f>
        <v>20188350</v>
      </c>
      <c r="X279" s="4" t="s">
        <v>243</v>
      </c>
      <c r="Y279" s="4" t="s">
        <v>244</v>
      </c>
      <c r="Z279" s="4" t="s">
        <v>282</v>
      </c>
      <c r="AA279" s="4" t="s">
        <v>241</v>
      </c>
      <c r="AD279" s="4" t="s">
        <v>241</v>
      </c>
      <c r="AE279" s="5" t="s">
        <v>241</v>
      </c>
      <c r="AF279" s="5" t="s">
        <v>241</v>
      </c>
      <c r="AH279" s="5" t="s">
        <v>241</v>
      </c>
      <c r="AI279" s="5" t="s">
        <v>249</v>
      </c>
      <c r="AJ279" s="4" t="s">
        <v>251</v>
      </c>
      <c r="AK279" s="4" t="s">
        <v>252</v>
      </c>
      <c r="AQ279" s="4" t="s">
        <v>241</v>
      </c>
      <c r="AR279" s="4" t="s">
        <v>241</v>
      </c>
      <c r="AS279" s="4" t="s">
        <v>241</v>
      </c>
      <c r="AT279" s="5" t="s">
        <v>241</v>
      </c>
      <c r="AU279" s="5" t="s">
        <v>241</v>
      </c>
      <c r="AV279" s="5" t="s">
        <v>241</v>
      </c>
      <c r="AY279" s="4" t="s">
        <v>286</v>
      </c>
      <c r="AZ279" s="4" t="s">
        <v>286</v>
      </c>
      <c r="BA279" s="4" t="s">
        <v>254</v>
      </c>
      <c r="BB279" s="4" t="s">
        <v>287</v>
      </c>
      <c r="BC279" s="4" t="s">
        <v>255</v>
      </c>
      <c r="BD279" s="4" t="s">
        <v>241</v>
      </c>
      <c r="BE279" s="4" t="s">
        <v>257</v>
      </c>
      <c r="BF279" s="4" t="s">
        <v>241</v>
      </c>
      <c r="BH279" s="4" t="s">
        <v>1923</v>
      </c>
      <c r="BJ279" s="4" t="s">
        <v>288</v>
      </c>
      <c r="BK279" s="5" t="s">
        <v>289</v>
      </c>
      <c r="BL279" s="4" t="s">
        <v>290</v>
      </c>
      <c r="BM279" s="4" t="s">
        <v>290</v>
      </c>
      <c r="BN279" s="4" t="s">
        <v>241</v>
      </c>
      <c r="BO279" s="6">
        <f>0</f>
        <v>0</v>
      </c>
      <c r="BP279" s="6">
        <f>-1187550</f>
        <v>-1187550</v>
      </c>
      <c r="BQ279" s="4" t="s">
        <v>263</v>
      </c>
      <c r="BR279" s="4" t="s">
        <v>264</v>
      </c>
      <c r="BS279" s="4" t="s">
        <v>241</v>
      </c>
      <c r="BT279" s="4" t="s">
        <v>241</v>
      </c>
      <c r="BU279" s="4" t="s">
        <v>241</v>
      </c>
      <c r="BV279" s="4" t="s">
        <v>241</v>
      </c>
      <c r="CE279" s="4" t="s">
        <v>264</v>
      </c>
      <c r="CF279" s="4" t="s">
        <v>241</v>
      </c>
      <c r="CG279" s="4" t="s">
        <v>241</v>
      </c>
      <c r="CK279" s="4" t="s">
        <v>291</v>
      </c>
      <c r="CL279" s="4" t="s">
        <v>266</v>
      </c>
      <c r="CM279" s="4" t="s">
        <v>241</v>
      </c>
      <c r="CO279" s="4" t="s">
        <v>407</v>
      </c>
      <c r="CP279" s="5" t="s">
        <v>268</v>
      </c>
      <c r="CQ279" s="4" t="s">
        <v>269</v>
      </c>
      <c r="CR279" s="4" t="s">
        <v>270</v>
      </c>
      <c r="CS279" s="4" t="s">
        <v>293</v>
      </c>
      <c r="CT279" s="4" t="s">
        <v>241</v>
      </c>
      <c r="CU279" s="4">
        <v>4.2000000000000003E-2</v>
      </c>
      <c r="CV279" s="4" t="s">
        <v>271</v>
      </c>
      <c r="CW279" s="4" t="s">
        <v>272</v>
      </c>
      <c r="CX279" s="4" t="s">
        <v>273</v>
      </c>
      <c r="CY279" s="6">
        <f>0</f>
        <v>0</v>
      </c>
      <c r="CZ279" s="6">
        <f>28275000</f>
        <v>28275000</v>
      </c>
      <c r="DA279" s="6">
        <f>8086650</f>
        <v>8086650</v>
      </c>
      <c r="DC279" s="4" t="s">
        <v>241</v>
      </c>
      <c r="DD279" s="4" t="s">
        <v>241</v>
      </c>
      <c r="DF279" s="4" t="s">
        <v>241</v>
      </c>
      <c r="DG279" s="6">
        <f>0</f>
        <v>0</v>
      </c>
      <c r="DI279" s="4" t="s">
        <v>241</v>
      </c>
      <c r="DJ279" s="4" t="s">
        <v>241</v>
      </c>
      <c r="DK279" s="4" t="s">
        <v>241</v>
      </c>
      <c r="DL279" s="4" t="s">
        <v>241</v>
      </c>
      <c r="DM279" s="4" t="s">
        <v>323</v>
      </c>
      <c r="DN279" s="4" t="s">
        <v>278</v>
      </c>
      <c r="DO279" s="6">
        <f>195</f>
        <v>195</v>
      </c>
      <c r="DP279" s="4" t="s">
        <v>241</v>
      </c>
      <c r="DQ279" s="4" t="s">
        <v>241</v>
      </c>
      <c r="DR279" s="4" t="s">
        <v>241</v>
      </c>
      <c r="DS279" s="4" t="s">
        <v>241</v>
      </c>
      <c r="DV279" s="4" t="s">
        <v>3369</v>
      </c>
      <c r="DW279" s="4" t="s">
        <v>277</v>
      </c>
      <c r="GN279" s="4" t="s">
        <v>3370</v>
      </c>
      <c r="HO279" s="4" t="s">
        <v>300</v>
      </c>
      <c r="HR279" s="4" t="s">
        <v>278</v>
      </c>
      <c r="HS279" s="4" t="s">
        <v>278</v>
      </c>
      <c r="HT279" s="4" t="s">
        <v>241</v>
      </c>
      <c r="HU279" s="4" t="s">
        <v>241</v>
      </c>
      <c r="HV279" s="4" t="s">
        <v>241</v>
      </c>
      <c r="HW279" s="4" t="s">
        <v>241</v>
      </c>
      <c r="HX279" s="4" t="s">
        <v>241</v>
      </c>
      <c r="HY279" s="4" t="s">
        <v>241</v>
      </c>
      <c r="HZ279" s="4" t="s">
        <v>241</v>
      </c>
      <c r="IA279" s="4" t="s">
        <v>241</v>
      </c>
      <c r="IB279" s="4" t="s">
        <v>241</v>
      </c>
      <c r="IC279" s="4" t="s">
        <v>241</v>
      </c>
      <c r="ID279" s="4" t="s">
        <v>241</v>
      </c>
      <c r="IE279" s="4" t="s">
        <v>241</v>
      </c>
      <c r="IF279" s="4" t="s">
        <v>241</v>
      </c>
    </row>
    <row r="280" spans="1:240" x14ac:dyDescent="0.4">
      <c r="A280" s="4">
        <v>2</v>
      </c>
      <c r="B280" s="4" t="s">
        <v>239</v>
      </c>
      <c r="C280" s="4">
        <v>300</v>
      </c>
      <c r="D280" s="4">
        <v>1</v>
      </c>
      <c r="E280" s="4">
        <v>3</v>
      </c>
      <c r="F280" s="4" t="s">
        <v>240</v>
      </c>
      <c r="G280" s="4" t="s">
        <v>241</v>
      </c>
      <c r="H280" s="4" t="s">
        <v>241</v>
      </c>
      <c r="I280" s="4" t="s">
        <v>2879</v>
      </c>
      <c r="J280" s="4" t="s">
        <v>2015</v>
      </c>
      <c r="K280" s="4" t="s">
        <v>256</v>
      </c>
      <c r="L280" s="4" t="s">
        <v>995</v>
      </c>
      <c r="M280" s="5" t="s">
        <v>687</v>
      </c>
      <c r="N280" s="4" t="s">
        <v>995</v>
      </c>
      <c r="O280" s="6">
        <f>486</f>
        <v>486</v>
      </c>
      <c r="P280" s="4" t="s">
        <v>276</v>
      </c>
      <c r="Q280" s="6">
        <f>21669768</f>
        <v>21669768</v>
      </c>
      <c r="R280" s="6">
        <f>152604000</f>
        <v>152604000</v>
      </c>
      <c r="S280" s="5" t="s">
        <v>1349</v>
      </c>
      <c r="T280" s="4" t="s">
        <v>441</v>
      </c>
      <c r="U280" s="4" t="s">
        <v>404</v>
      </c>
      <c r="V280" s="6">
        <f>5035932</f>
        <v>5035932</v>
      </c>
      <c r="W280" s="6">
        <f>130934232</f>
        <v>130934232</v>
      </c>
      <c r="X280" s="4" t="s">
        <v>243</v>
      </c>
      <c r="Y280" s="4" t="s">
        <v>244</v>
      </c>
      <c r="Z280" s="4" t="s">
        <v>465</v>
      </c>
      <c r="AA280" s="4" t="s">
        <v>241</v>
      </c>
      <c r="AD280" s="4" t="s">
        <v>241</v>
      </c>
      <c r="AE280" s="5" t="s">
        <v>241</v>
      </c>
      <c r="AF280" s="5" t="s">
        <v>241</v>
      </c>
      <c r="AH280" s="5" t="s">
        <v>241</v>
      </c>
      <c r="AI280" s="5" t="s">
        <v>249</v>
      </c>
      <c r="AJ280" s="4" t="s">
        <v>251</v>
      </c>
      <c r="AK280" s="4" t="s">
        <v>252</v>
      </c>
      <c r="AQ280" s="4" t="s">
        <v>241</v>
      </c>
      <c r="AR280" s="4" t="s">
        <v>241</v>
      </c>
      <c r="AS280" s="4" t="s">
        <v>241</v>
      </c>
      <c r="AT280" s="5" t="s">
        <v>241</v>
      </c>
      <c r="AU280" s="5" t="s">
        <v>241</v>
      </c>
      <c r="AV280" s="5" t="s">
        <v>241</v>
      </c>
      <c r="AY280" s="4" t="s">
        <v>286</v>
      </c>
      <c r="AZ280" s="4" t="s">
        <v>286</v>
      </c>
      <c r="BA280" s="4" t="s">
        <v>254</v>
      </c>
      <c r="BB280" s="4" t="s">
        <v>287</v>
      </c>
      <c r="BC280" s="4" t="s">
        <v>255</v>
      </c>
      <c r="BD280" s="4" t="s">
        <v>241</v>
      </c>
      <c r="BE280" s="4" t="s">
        <v>257</v>
      </c>
      <c r="BF280" s="4" t="s">
        <v>241</v>
      </c>
      <c r="BH280" s="4" t="s">
        <v>1923</v>
      </c>
      <c r="BJ280" s="4" t="s">
        <v>288</v>
      </c>
      <c r="BK280" s="5" t="s">
        <v>289</v>
      </c>
      <c r="BL280" s="4" t="s">
        <v>290</v>
      </c>
      <c r="BM280" s="4" t="s">
        <v>290</v>
      </c>
      <c r="BN280" s="4" t="s">
        <v>241</v>
      </c>
      <c r="BO280" s="6">
        <f>0</f>
        <v>0</v>
      </c>
      <c r="BP280" s="6">
        <f>-5035932</f>
        <v>-5035932</v>
      </c>
      <c r="BQ280" s="4" t="s">
        <v>263</v>
      </c>
      <c r="BR280" s="4" t="s">
        <v>264</v>
      </c>
      <c r="BS280" s="4" t="s">
        <v>241</v>
      </c>
      <c r="BT280" s="4" t="s">
        <v>241</v>
      </c>
      <c r="BU280" s="4" t="s">
        <v>241</v>
      </c>
      <c r="BV280" s="4" t="s">
        <v>241</v>
      </c>
      <c r="CE280" s="4" t="s">
        <v>264</v>
      </c>
      <c r="CF280" s="4" t="s">
        <v>241</v>
      </c>
      <c r="CG280" s="4" t="s">
        <v>241</v>
      </c>
      <c r="CK280" s="4" t="s">
        <v>291</v>
      </c>
      <c r="CL280" s="4" t="s">
        <v>266</v>
      </c>
      <c r="CM280" s="4" t="s">
        <v>241</v>
      </c>
      <c r="CO280" s="4" t="s">
        <v>387</v>
      </c>
      <c r="CP280" s="5" t="s">
        <v>268</v>
      </c>
      <c r="CQ280" s="4" t="s">
        <v>269</v>
      </c>
      <c r="CR280" s="4" t="s">
        <v>270</v>
      </c>
      <c r="CS280" s="4" t="s">
        <v>293</v>
      </c>
      <c r="CT280" s="4" t="s">
        <v>241</v>
      </c>
      <c r="CU280" s="4">
        <v>3.3000000000000002E-2</v>
      </c>
      <c r="CV280" s="4" t="s">
        <v>271</v>
      </c>
      <c r="CW280" s="4" t="s">
        <v>456</v>
      </c>
      <c r="CX280" s="4" t="s">
        <v>487</v>
      </c>
      <c r="CY280" s="6">
        <f>0</f>
        <v>0</v>
      </c>
      <c r="CZ280" s="6">
        <f>152604000</f>
        <v>152604000</v>
      </c>
      <c r="DA280" s="6">
        <f>21669768</f>
        <v>21669768</v>
      </c>
      <c r="DC280" s="4" t="s">
        <v>241</v>
      </c>
      <c r="DD280" s="4" t="s">
        <v>241</v>
      </c>
      <c r="DF280" s="4" t="s">
        <v>241</v>
      </c>
      <c r="DG280" s="6">
        <f>0</f>
        <v>0</v>
      </c>
      <c r="DI280" s="4" t="s">
        <v>241</v>
      </c>
      <c r="DJ280" s="4" t="s">
        <v>241</v>
      </c>
      <c r="DK280" s="4" t="s">
        <v>241</v>
      </c>
      <c r="DL280" s="4" t="s">
        <v>241</v>
      </c>
      <c r="DM280" s="4" t="s">
        <v>323</v>
      </c>
      <c r="DN280" s="4" t="s">
        <v>278</v>
      </c>
      <c r="DO280" s="6">
        <f>486</f>
        <v>486</v>
      </c>
      <c r="DP280" s="4" t="s">
        <v>241</v>
      </c>
      <c r="DQ280" s="4" t="s">
        <v>241</v>
      </c>
      <c r="DR280" s="4" t="s">
        <v>241</v>
      </c>
      <c r="DS280" s="4" t="s">
        <v>241</v>
      </c>
      <c r="DV280" s="4" t="s">
        <v>2881</v>
      </c>
      <c r="DW280" s="4" t="s">
        <v>277</v>
      </c>
      <c r="GN280" s="4" t="s">
        <v>3895</v>
      </c>
      <c r="HO280" s="4" t="s">
        <v>300</v>
      </c>
      <c r="HR280" s="4" t="s">
        <v>278</v>
      </c>
      <c r="HS280" s="4" t="s">
        <v>278</v>
      </c>
      <c r="HT280" s="4" t="s">
        <v>241</v>
      </c>
      <c r="HU280" s="4" t="s">
        <v>241</v>
      </c>
      <c r="HV280" s="4" t="s">
        <v>241</v>
      </c>
      <c r="HW280" s="4" t="s">
        <v>241</v>
      </c>
      <c r="HX280" s="4" t="s">
        <v>241</v>
      </c>
      <c r="HY280" s="4" t="s">
        <v>241</v>
      </c>
      <c r="HZ280" s="4" t="s">
        <v>241</v>
      </c>
      <c r="IA280" s="4" t="s">
        <v>241</v>
      </c>
      <c r="IB280" s="4" t="s">
        <v>241</v>
      </c>
      <c r="IC280" s="4" t="s">
        <v>241</v>
      </c>
      <c r="ID280" s="4" t="s">
        <v>241</v>
      </c>
      <c r="IE280" s="4" t="s">
        <v>241</v>
      </c>
      <c r="IF280" s="4" t="s">
        <v>241</v>
      </c>
    </row>
    <row r="281" spans="1:240" x14ac:dyDescent="0.4">
      <c r="A281" s="4">
        <v>2</v>
      </c>
      <c r="B281" s="4" t="s">
        <v>239</v>
      </c>
      <c r="C281" s="4">
        <v>301</v>
      </c>
      <c r="D281" s="4">
        <v>1</v>
      </c>
      <c r="E281" s="4">
        <v>3</v>
      </c>
      <c r="F281" s="4" t="s">
        <v>240</v>
      </c>
      <c r="G281" s="4" t="s">
        <v>241</v>
      </c>
      <c r="H281" s="4" t="s">
        <v>241</v>
      </c>
      <c r="I281" s="4" t="s">
        <v>2879</v>
      </c>
      <c r="J281" s="4" t="s">
        <v>2015</v>
      </c>
      <c r="K281" s="4" t="s">
        <v>256</v>
      </c>
      <c r="L281" s="4" t="s">
        <v>429</v>
      </c>
      <c r="M281" s="5" t="s">
        <v>687</v>
      </c>
      <c r="N281" s="4" t="s">
        <v>429</v>
      </c>
      <c r="O281" s="6">
        <f>5</f>
        <v>5</v>
      </c>
      <c r="P281" s="4" t="s">
        <v>276</v>
      </c>
      <c r="Q281" s="6">
        <f>67450</f>
        <v>67450</v>
      </c>
      <c r="R281" s="6">
        <f>475000</f>
        <v>475000</v>
      </c>
      <c r="S281" s="5" t="s">
        <v>1349</v>
      </c>
      <c r="T281" s="4" t="s">
        <v>441</v>
      </c>
      <c r="U281" s="4" t="s">
        <v>404</v>
      </c>
      <c r="V281" s="6">
        <f>15675</f>
        <v>15675</v>
      </c>
      <c r="W281" s="6">
        <f>407550</f>
        <v>407550</v>
      </c>
      <c r="X281" s="4" t="s">
        <v>243</v>
      </c>
      <c r="Y281" s="4" t="s">
        <v>244</v>
      </c>
      <c r="Z281" s="4" t="s">
        <v>465</v>
      </c>
      <c r="AA281" s="4" t="s">
        <v>241</v>
      </c>
      <c r="AD281" s="4" t="s">
        <v>241</v>
      </c>
      <c r="AE281" s="5" t="s">
        <v>241</v>
      </c>
      <c r="AF281" s="5" t="s">
        <v>241</v>
      </c>
      <c r="AH281" s="5" t="s">
        <v>241</v>
      </c>
      <c r="AI281" s="5" t="s">
        <v>249</v>
      </c>
      <c r="AJ281" s="4" t="s">
        <v>251</v>
      </c>
      <c r="AK281" s="4" t="s">
        <v>252</v>
      </c>
      <c r="AQ281" s="4" t="s">
        <v>241</v>
      </c>
      <c r="AR281" s="4" t="s">
        <v>241</v>
      </c>
      <c r="AS281" s="4" t="s">
        <v>241</v>
      </c>
      <c r="AT281" s="5" t="s">
        <v>241</v>
      </c>
      <c r="AU281" s="5" t="s">
        <v>241</v>
      </c>
      <c r="AV281" s="5" t="s">
        <v>241</v>
      </c>
      <c r="AY281" s="4" t="s">
        <v>286</v>
      </c>
      <c r="AZ281" s="4" t="s">
        <v>286</v>
      </c>
      <c r="BA281" s="4" t="s">
        <v>254</v>
      </c>
      <c r="BB281" s="4" t="s">
        <v>287</v>
      </c>
      <c r="BC281" s="4" t="s">
        <v>255</v>
      </c>
      <c r="BD281" s="4" t="s">
        <v>241</v>
      </c>
      <c r="BE281" s="4" t="s">
        <v>257</v>
      </c>
      <c r="BF281" s="4" t="s">
        <v>241</v>
      </c>
      <c r="BJ281" s="4" t="s">
        <v>288</v>
      </c>
      <c r="BK281" s="5" t="s">
        <v>289</v>
      </c>
      <c r="BL281" s="4" t="s">
        <v>290</v>
      </c>
      <c r="BM281" s="4" t="s">
        <v>290</v>
      </c>
      <c r="BN281" s="4" t="s">
        <v>241</v>
      </c>
      <c r="BO281" s="6">
        <f>0</f>
        <v>0</v>
      </c>
      <c r="BP281" s="6">
        <f>-15675</f>
        <v>-15675</v>
      </c>
      <c r="BQ281" s="4" t="s">
        <v>263</v>
      </c>
      <c r="BR281" s="4" t="s">
        <v>264</v>
      </c>
      <c r="BS281" s="4" t="s">
        <v>241</v>
      </c>
      <c r="BT281" s="4" t="s">
        <v>241</v>
      </c>
      <c r="BU281" s="4" t="s">
        <v>241</v>
      </c>
      <c r="BV281" s="4" t="s">
        <v>241</v>
      </c>
      <c r="CE281" s="4" t="s">
        <v>264</v>
      </c>
      <c r="CF281" s="4" t="s">
        <v>241</v>
      </c>
      <c r="CG281" s="4" t="s">
        <v>241</v>
      </c>
      <c r="CK281" s="4" t="s">
        <v>291</v>
      </c>
      <c r="CL281" s="4" t="s">
        <v>266</v>
      </c>
      <c r="CM281" s="4" t="s">
        <v>241</v>
      </c>
      <c r="CO281" s="4" t="s">
        <v>387</v>
      </c>
      <c r="CP281" s="5" t="s">
        <v>268</v>
      </c>
      <c r="CQ281" s="4" t="s">
        <v>269</v>
      </c>
      <c r="CR281" s="4" t="s">
        <v>270</v>
      </c>
      <c r="CS281" s="4" t="s">
        <v>293</v>
      </c>
      <c r="CT281" s="4" t="s">
        <v>241</v>
      </c>
      <c r="CU281" s="4">
        <v>3.3000000000000002E-2</v>
      </c>
      <c r="CV281" s="4" t="s">
        <v>271</v>
      </c>
      <c r="CW281" s="4" t="s">
        <v>272</v>
      </c>
      <c r="CX281" s="4" t="s">
        <v>487</v>
      </c>
      <c r="CY281" s="6">
        <f>0</f>
        <v>0</v>
      </c>
      <c r="CZ281" s="6">
        <f>475000</f>
        <v>475000</v>
      </c>
      <c r="DA281" s="6">
        <f>67450</f>
        <v>67450</v>
      </c>
      <c r="DC281" s="4" t="s">
        <v>241</v>
      </c>
      <c r="DD281" s="4" t="s">
        <v>241</v>
      </c>
      <c r="DF281" s="4" t="s">
        <v>241</v>
      </c>
      <c r="DG281" s="6">
        <f>0</f>
        <v>0</v>
      </c>
      <c r="DI281" s="4" t="s">
        <v>241</v>
      </c>
      <c r="DJ281" s="4" t="s">
        <v>241</v>
      </c>
      <c r="DK281" s="4" t="s">
        <v>241</v>
      </c>
      <c r="DL281" s="4" t="s">
        <v>241</v>
      </c>
      <c r="DM281" s="4" t="s">
        <v>277</v>
      </c>
      <c r="DN281" s="4" t="s">
        <v>278</v>
      </c>
      <c r="DO281" s="6">
        <f>5</f>
        <v>5</v>
      </c>
      <c r="DP281" s="4" t="s">
        <v>241</v>
      </c>
      <c r="DQ281" s="4" t="s">
        <v>241</v>
      </c>
      <c r="DR281" s="4" t="s">
        <v>241</v>
      </c>
      <c r="DS281" s="4" t="s">
        <v>241</v>
      </c>
      <c r="DV281" s="4" t="s">
        <v>2881</v>
      </c>
      <c r="DW281" s="4" t="s">
        <v>323</v>
      </c>
      <c r="GN281" s="4" t="s">
        <v>3555</v>
      </c>
      <c r="HO281" s="4" t="s">
        <v>300</v>
      </c>
      <c r="HR281" s="4" t="s">
        <v>278</v>
      </c>
      <c r="HS281" s="4" t="s">
        <v>278</v>
      </c>
      <c r="HT281" s="4" t="s">
        <v>241</v>
      </c>
      <c r="HU281" s="4" t="s">
        <v>241</v>
      </c>
      <c r="HV281" s="4" t="s">
        <v>241</v>
      </c>
      <c r="HW281" s="4" t="s">
        <v>241</v>
      </c>
      <c r="HX281" s="4" t="s">
        <v>241</v>
      </c>
      <c r="HY281" s="4" t="s">
        <v>241</v>
      </c>
      <c r="HZ281" s="4" t="s">
        <v>241</v>
      </c>
      <c r="IA281" s="4" t="s">
        <v>241</v>
      </c>
      <c r="IB281" s="4" t="s">
        <v>241</v>
      </c>
      <c r="IC281" s="4" t="s">
        <v>241</v>
      </c>
      <c r="ID281" s="4" t="s">
        <v>241</v>
      </c>
      <c r="IE281" s="4" t="s">
        <v>241</v>
      </c>
      <c r="IF281" s="4" t="s">
        <v>241</v>
      </c>
    </row>
    <row r="282" spans="1:240" x14ac:dyDescent="0.4">
      <c r="A282" s="4">
        <v>2</v>
      </c>
      <c r="B282" s="4" t="s">
        <v>239</v>
      </c>
      <c r="C282" s="4">
        <v>302</v>
      </c>
      <c r="D282" s="4">
        <v>1</v>
      </c>
      <c r="E282" s="4">
        <v>3</v>
      </c>
      <c r="F282" s="4" t="s">
        <v>326</v>
      </c>
      <c r="G282" s="4" t="s">
        <v>241</v>
      </c>
      <c r="H282" s="4" t="s">
        <v>241</v>
      </c>
      <c r="I282" s="4" t="s">
        <v>2879</v>
      </c>
      <c r="J282" s="4" t="s">
        <v>2015</v>
      </c>
      <c r="K282" s="4" t="s">
        <v>256</v>
      </c>
      <c r="L282" s="4" t="s">
        <v>114</v>
      </c>
      <c r="M282" s="5" t="s">
        <v>687</v>
      </c>
      <c r="N282" s="4" t="s">
        <v>3888</v>
      </c>
      <c r="O282" s="6">
        <f>0</f>
        <v>0</v>
      </c>
      <c r="P282" s="4" t="s">
        <v>276</v>
      </c>
      <c r="Q282" s="6">
        <f>656208</f>
        <v>656208</v>
      </c>
      <c r="R282" s="6">
        <f>756000</f>
        <v>756000</v>
      </c>
      <c r="S282" s="5" t="s">
        <v>3889</v>
      </c>
      <c r="T282" s="4" t="s">
        <v>441</v>
      </c>
      <c r="U282" s="4" t="s">
        <v>297</v>
      </c>
      <c r="V282" s="6">
        <f>24948</f>
        <v>24948</v>
      </c>
      <c r="W282" s="6">
        <f>99792</f>
        <v>99792</v>
      </c>
      <c r="X282" s="4" t="s">
        <v>243</v>
      </c>
      <c r="Y282" s="4" t="s">
        <v>244</v>
      </c>
      <c r="Z282" s="4" t="s">
        <v>465</v>
      </c>
      <c r="AA282" s="4" t="s">
        <v>241</v>
      </c>
      <c r="AD282" s="4" t="s">
        <v>241</v>
      </c>
      <c r="AE282" s="5" t="s">
        <v>241</v>
      </c>
      <c r="AF282" s="5" t="s">
        <v>241</v>
      </c>
      <c r="AH282" s="5" t="s">
        <v>241</v>
      </c>
      <c r="AI282" s="5" t="s">
        <v>249</v>
      </c>
      <c r="AJ282" s="4" t="s">
        <v>251</v>
      </c>
      <c r="AK282" s="4" t="s">
        <v>252</v>
      </c>
      <c r="AQ282" s="4" t="s">
        <v>241</v>
      </c>
      <c r="AR282" s="4" t="s">
        <v>241</v>
      </c>
      <c r="AS282" s="4" t="s">
        <v>241</v>
      </c>
      <c r="AT282" s="5" t="s">
        <v>241</v>
      </c>
      <c r="AU282" s="5" t="s">
        <v>241</v>
      </c>
      <c r="AV282" s="5" t="s">
        <v>241</v>
      </c>
      <c r="AY282" s="4" t="s">
        <v>286</v>
      </c>
      <c r="AZ282" s="4" t="s">
        <v>286</v>
      </c>
      <c r="BA282" s="4" t="s">
        <v>254</v>
      </c>
      <c r="BB282" s="4" t="s">
        <v>287</v>
      </c>
      <c r="BC282" s="4" t="s">
        <v>255</v>
      </c>
      <c r="BD282" s="4" t="s">
        <v>241</v>
      </c>
      <c r="BE282" s="4" t="s">
        <v>257</v>
      </c>
      <c r="BF282" s="4" t="s">
        <v>241</v>
      </c>
      <c r="BJ282" s="4" t="s">
        <v>288</v>
      </c>
      <c r="BK282" s="5" t="s">
        <v>289</v>
      </c>
      <c r="BL282" s="4" t="s">
        <v>290</v>
      </c>
      <c r="BM282" s="4" t="s">
        <v>290</v>
      </c>
      <c r="BN282" s="4" t="s">
        <v>241</v>
      </c>
      <c r="BP282" s="6">
        <f>-24948</f>
        <v>-24948</v>
      </c>
      <c r="BQ282" s="4" t="s">
        <v>263</v>
      </c>
      <c r="BR282" s="4" t="s">
        <v>264</v>
      </c>
      <c r="BS282" s="4" t="s">
        <v>241</v>
      </c>
      <c r="BT282" s="4" t="s">
        <v>241</v>
      </c>
      <c r="BU282" s="4" t="s">
        <v>241</v>
      </c>
      <c r="BV282" s="4" t="s">
        <v>241</v>
      </c>
      <c r="CE282" s="4" t="s">
        <v>264</v>
      </c>
      <c r="CF282" s="4" t="s">
        <v>241</v>
      </c>
      <c r="CG282" s="4" t="s">
        <v>241</v>
      </c>
      <c r="CK282" s="4" t="s">
        <v>291</v>
      </c>
      <c r="CL282" s="4" t="s">
        <v>266</v>
      </c>
      <c r="CM282" s="4" t="s">
        <v>241</v>
      </c>
      <c r="CO282" s="4" t="s">
        <v>413</v>
      </c>
      <c r="CP282" s="5" t="s">
        <v>268</v>
      </c>
      <c r="CQ282" s="4" t="s">
        <v>269</v>
      </c>
      <c r="CR282" s="4" t="s">
        <v>270</v>
      </c>
      <c r="CS282" s="4" t="s">
        <v>293</v>
      </c>
      <c r="CT282" s="4" t="s">
        <v>241</v>
      </c>
      <c r="CU282" s="4">
        <v>3.3000000000000002E-2</v>
      </c>
      <c r="CV282" s="4" t="s">
        <v>271</v>
      </c>
      <c r="CW282" s="4" t="s">
        <v>456</v>
      </c>
      <c r="CX282" s="4" t="s">
        <v>487</v>
      </c>
      <c r="CY282" s="6">
        <f>0</f>
        <v>0</v>
      </c>
      <c r="CZ282" s="6">
        <f>756000</f>
        <v>756000</v>
      </c>
      <c r="DA282" s="6">
        <f>656208</f>
        <v>656208</v>
      </c>
      <c r="DC282" s="4" t="s">
        <v>241</v>
      </c>
      <c r="DD282" s="4" t="s">
        <v>241</v>
      </c>
      <c r="DF282" s="4" t="s">
        <v>241</v>
      </c>
      <c r="DG282" s="6">
        <f>0</f>
        <v>0</v>
      </c>
      <c r="DI282" s="4" t="s">
        <v>241</v>
      </c>
      <c r="DJ282" s="4" t="s">
        <v>241</v>
      </c>
      <c r="DK282" s="4" t="s">
        <v>241</v>
      </c>
      <c r="DL282" s="4" t="s">
        <v>241</v>
      </c>
      <c r="DM282" s="4" t="s">
        <v>278</v>
      </c>
      <c r="DN282" s="4" t="s">
        <v>278</v>
      </c>
      <c r="DO282" s="6" t="s">
        <v>241</v>
      </c>
      <c r="DP282" s="4" t="s">
        <v>241</v>
      </c>
      <c r="DQ282" s="4" t="s">
        <v>241</v>
      </c>
      <c r="DR282" s="4" t="s">
        <v>241</v>
      </c>
      <c r="DS282" s="4" t="s">
        <v>241</v>
      </c>
      <c r="DV282" s="4" t="s">
        <v>2881</v>
      </c>
      <c r="DW282" s="4" t="s">
        <v>297</v>
      </c>
      <c r="GN282" s="4" t="s">
        <v>3890</v>
      </c>
      <c r="HO282" s="4" t="s">
        <v>351</v>
      </c>
      <c r="HR282" s="4" t="s">
        <v>278</v>
      </c>
      <c r="HS282" s="4" t="s">
        <v>278</v>
      </c>
      <c r="HT282" s="4" t="s">
        <v>241</v>
      </c>
      <c r="HU282" s="4" t="s">
        <v>241</v>
      </c>
      <c r="HV282" s="4" t="s">
        <v>241</v>
      </c>
      <c r="HW282" s="4" t="s">
        <v>241</v>
      </c>
      <c r="HX282" s="4" t="s">
        <v>241</v>
      </c>
      <c r="HY282" s="4" t="s">
        <v>241</v>
      </c>
      <c r="HZ282" s="4" t="s">
        <v>241</v>
      </c>
      <c r="IA282" s="4" t="s">
        <v>241</v>
      </c>
      <c r="IB282" s="4" t="s">
        <v>241</v>
      </c>
      <c r="IC282" s="4" t="s">
        <v>241</v>
      </c>
      <c r="ID282" s="4" t="s">
        <v>241</v>
      </c>
      <c r="IE282" s="4" t="s">
        <v>241</v>
      </c>
      <c r="IF282" s="4" t="s">
        <v>241</v>
      </c>
    </row>
    <row r="283" spans="1:240" x14ac:dyDescent="0.4">
      <c r="A283" s="4">
        <v>2</v>
      </c>
      <c r="B283" s="4" t="s">
        <v>239</v>
      </c>
      <c r="C283" s="4">
        <v>303</v>
      </c>
      <c r="D283" s="4">
        <v>1</v>
      </c>
      <c r="E283" s="4">
        <v>3</v>
      </c>
      <c r="F283" s="4" t="s">
        <v>326</v>
      </c>
      <c r="G283" s="4" t="s">
        <v>241</v>
      </c>
      <c r="H283" s="4" t="s">
        <v>241</v>
      </c>
      <c r="I283" s="4" t="s">
        <v>2879</v>
      </c>
      <c r="J283" s="4" t="s">
        <v>2015</v>
      </c>
      <c r="K283" s="4" t="s">
        <v>256</v>
      </c>
      <c r="L283" s="4" t="s">
        <v>2880</v>
      </c>
      <c r="M283" s="5" t="s">
        <v>687</v>
      </c>
      <c r="N283" s="4" t="s">
        <v>2878</v>
      </c>
      <c r="O283" s="6">
        <f>0</f>
        <v>0</v>
      </c>
      <c r="P283" s="4" t="s">
        <v>276</v>
      </c>
      <c r="Q283" s="6">
        <f>8933328</f>
        <v>8933328</v>
      </c>
      <c r="R283" s="6">
        <f>12204000</f>
        <v>12204000</v>
      </c>
      <c r="S283" s="5" t="s">
        <v>2503</v>
      </c>
      <c r="T283" s="4" t="s">
        <v>348</v>
      </c>
      <c r="U283" s="4" t="s">
        <v>297</v>
      </c>
      <c r="V283" s="6">
        <f>817668</f>
        <v>817668</v>
      </c>
      <c r="W283" s="6">
        <f>3270672</f>
        <v>3270672</v>
      </c>
      <c r="X283" s="4" t="s">
        <v>243</v>
      </c>
      <c r="Y283" s="4" t="s">
        <v>244</v>
      </c>
      <c r="Z283" s="4" t="s">
        <v>465</v>
      </c>
      <c r="AA283" s="4" t="s">
        <v>241</v>
      </c>
      <c r="AD283" s="4" t="s">
        <v>241</v>
      </c>
      <c r="AE283" s="5" t="s">
        <v>241</v>
      </c>
      <c r="AF283" s="5" t="s">
        <v>241</v>
      </c>
      <c r="AH283" s="5" t="s">
        <v>241</v>
      </c>
      <c r="AI283" s="5" t="s">
        <v>249</v>
      </c>
      <c r="AJ283" s="4" t="s">
        <v>251</v>
      </c>
      <c r="AK283" s="4" t="s">
        <v>252</v>
      </c>
      <c r="AQ283" s="4" t="s">
        <v>241</v>
      </c>
      <c r="AR283" s="4" t="s">
        <v>241</v>
      </c>
      <c r="AS283" s="4" t="s">
        <v>241</v>
      </c>
      <c r="AT283" s="5" t="s">
        <v>241</v>
      </c>
      <c r="AU283" s="5" t="s">
        <v>241</v>
      </c>
      <c r="AV283" s="5" t="s">
        <v>241</v>
      </c>
      <c r="AY283" s="4" t="s">
        <v>286</v>
      </c>
      <c r="AZ283" s="4" t="s">
        <v>286</v>
      </c>
      <c r="BA283" s="4" t="s">
        <v>254</v>
      </c>
      <c r="BB283" s="4" t="s">
        <v>287</v>
      </c>
      <c r="BC283" s="4" t="s">
        <v>255</v>
      </c>
      <c r="BD283" s="4" t="s">
        <v>241</v>
      </c>
      <c r="BE283" s="4" t="s">
        <v>257</v>
      </c>
      <c r="BF283" s="4" t="s">
        <v>241</v>
      </c>
      <c r="BJ283" s="4" t="s">
        <v>288</v>
      </c>
      <c r="BK283" s="5" t="s">
        <v>289</v>
      </c>
      <c r="BL283" s="4" t="s">
        <v>290</v>
      </c>
      <c r="BM283" s="4" t="s">
        <v>290</v>
      </c>
      <c r="BN283" s="4" t="s">
        <v>241</v>
      </c>
      <c r="BP283" s="6">
        <f>-817668</f>
        <v>-817668</v>
      </c>
      <c r="BQ283" s="4" t="s">
        <v>263</v>
      </c>
      <c r="BR283" s="4" t="s">
        <v>264</v>
      </c>
      <c r="BS283" s="4" t="s">
        <v>241</v>
      </c>
      <c r="BT283" s="4" t="s">
        <v>241</v>
      </c>
      <c r="BU283" s="4" t="s">
        <v>241</v>
      </c>
      <c r="BV283" s="4" t="s">
        <v>241</v>
      </c>
      <c r="CE283" s="4" t="s">
        <v>264</v>
      </c>
      <c r="CF283" s="4" t="s">
        <v>241</v>
      </c>
      <c r="CG283" s="4" t="s">
        <v>241</v>
      </c>
      <c r="CK283" s="4" t="s">
        <v>291</v>
      </c>
      <c r="CL283" s="4" t="s">
        <v>266</v>
      </c>
      <c r="CM283" s="4" t="s">
        <v>241</v>
      </c>
      <c r="CO283" s="4" t="s">
        <v>413</v>
      </c>
      <c r="CP283" s="5" t="s">
        <v>268</v>
      </c>
      <c r="CQ283" s="4" t="s">
        <v>269</v>
      </c>
      <c r="CR283" s="4" t="s">
        <v>270</v>
      </c>
      <c r="CS283" s="4" t="s">
        <v>293</v>
      </c>
      <c r="CT283" s="4" t="s">
        <v>241</v>
      </c>
      <c r="CU283" s="4">
        <v>6.7000000000000004E-2</v>
      </c>
      <c r="CV283" s="4" t="s">
        <v>271</v>
      </c>
      <c r="CW283" s="4" t="s">
        <v>415</v>
      </c>
      <c r="CX283" s="4" t="s">
        <v>416</v>
      </c>
      <c r="CY283" s="6">
        <f>0</f>
        <v>0</v>
      </c>
      <c r="CZ283" s="6">
        <f>12204000</f>
        <v>12204000</v>
      </c>
      <c r="DA283" s="6">
        <f>8933328</f>
        <v>8933328</v>
      </c>
      <c r="DC283" s="4" t="s">
        <v>241</v>
      </c>
      <c r="DD283" s="4" t="s">
        <v>241</v>
      </c>
      <c r="DF283" s="4" t="s">
        <v>241</v>
      </c>
      <c r="DG283" s="6">
        <f>0</f>
        <v>0</v>
      </c>
      <c r="DI283" s="4" t="s">
        <v>241</v>
      </c>
      <c r="DJ283" s="4" t="s">
        <v>241</v>
      </c>
      <c r="DK283" s="4" t="s">
        <v>241</v>
      </c>
      <c r="DL283" s="4" t="s">
        <v>241</v>
      </c>
      <c r="DM283" s="4" t="s">
        <v>278</v>
      </c>
      <c r="DN283" s="4" t="s">
        <v>278</v>
      </c>
      <c r="DO283" s="6" t="s">
        <v>241</v>
      </c>
      <c r="DP283" s="4" t="s">
        <v>241</v>
      </c>
      <c r="DQ283" s="4" t="s">
        <v>241</v>
      </c>
      <c r="DR283" s="4" t="s">
        <v>241</v>
      </c>
      <c r="DS283" s="4" t="s">
        <v>241</v>
      </c>
      <c r="DV283" s="4" t="s">
        <v>2881</v>
      </c>
      <c r="DW283" s="4" t="s">
        <v>336</v>
      </c>
      <c r="GN283" s="4" t="s">
        <v>2882</v>
      </c>
      <c r="HO283" s="4" t="s">
        <v>351</v>
      </c>
      <c r="HR283" s="4" t="s">
        <v>278</v>
      </c>
      <c r="HS283" s="4" t="s">
        <v>278</v>
      </c>
      <c r="HT283" s="4" t="s">
        <v>241</v>
      </c>
      <c r="HU283" s="4" t="s">
        <v>241</v>
      </c>
      <c r="HV283" s="4" t="s">
        <v>241</v>
      </c>
      <c r="HW283" s="4" t="s">
        <v>241</v>
      </c>
      <c r="HX283" s="4" t="s">
        <v>241</v>
      </c>
      <c r="HY283" s="4" t="s">
        <v>241</v>
      </c>
      <c r="HZ283" s="4" t="s">
        <v>241</v>
      </c>
      <c r="IA283" s="4" t="s">
        <v>241</v>
      </c>
      <c r="IB283" s="4" t="s">
        <v>241</v>
      </c>
      <c r="IC283" s="4" t="s">
        <v>241</v>
      </c>
      <c r="ID283" s="4" t="s">
        <v>241</v>
      </c>
      <c r="IE283" s="4" t="s">
        <v>241</v>
      </c>
      <c r="IF283" s="4" t="s">
        <v>241</v>
      </c>
    </row>
    <row r="284" spans="1:240" x14ac:dyDescent="0.4">
      <c r="A284" s="4">
        <v>2</v>
      </c>
      <c r="B284" s="4" t="s">
        <v>239</v>
      </c>
      <c r="C284" s="4">
        <v>304</v>
      </c>
      <c r="D284" s="4">
        <v>1</v>
      </c>
      <c r="E284" s="4">
        <v>3</v>
      </c>
      <c r="F284" s="4" t="s">
        <v>240</v>
      </c>
      <c r="G284" s="4" t="s">
        <v>241</v>
      </c>
      <c r="H284" s="4" t="s">
        <v>241</v>
      </c>
      <c r="I284" s="4" t="s">
        <v>3836</v>
      </c>
      <c r="J284" s="4" t="s">
        <v>2015</v>
      </c>
      <c r="K284" s="4" t="s">
        <v>256</v>
      </c>
      <c r="L284" s="4" t="s">
        <v>995</v>
      </c>
      <c r="M284" s="5" t="s">
        <v>3837</v>
      </c>
      <c r="N284" s="4" t="s">
        <v>3879</v>
      </c>
      <c r="O284" s="6">
        <f>427</f>
        <v>427</v>
      </c>
      <c r="P284" s="4" t="s">
        <v>276</v>
      </c>
      <c r="Q284" s="6">
        <f>58860242</f>
        <v>58860242</v>
      </c>
      <c r="R284" s="6">
        <f>134078000</f>
        <v>134078000</v>
      </c>
      <c r="S284" s="5" t="s">
        <v>771</v>
      </c>
      <c r="T284" s="4" t="s">
        <v>441</v>
      </c>
      <c r="U284" s="4" t="s">
        <v>371</v>
      </c>
      <c r="V284" s="6">
        <f>4424574</f>
        <v>4424574</v>
      </c>
      <c r="W284" s="6">
        <f>75217758</f>
        <v>75217758</v>
      </c>
      <c r="X284" s="4" t="s">
        <v>243</v>
      </c>
      <c r="Y284" s="4" t="s">
        <v>244</v>
      </c>
      <c r="Z284" s="4" t="s">
        <v>465</v>
      </c>
      <c r="AA284" s="4" t="s">
        <v>241</v>
      </c>
      <c r="AD284" s="4" t="s">
        <v>241</v>
      </c>
      <c r="AE284" s="5" t="s">
        <v>241</v>
      </c>
      <c r="AF284" s="5" t="s">
        <v>241</v>
      </c>
      <c r="AH284" s="5" t="s">
        <v>241</v>
      </c>
      <c r="AI284" s="5" t="s">
        <v>249</v>
      </c>
      <c r="AJ284" s="4" t="s">
        <v>251</v>
      </c>
      <c r="AK284" s="4" t="s">
        <v>252</v>
      </c>
      <c r="AQ284" s="4" t="s">
        <v>241</v>
      </c>
      <c r="AR284" s="4" t="s">
        <v>241</v>
      </c>
      <c r="AS284" s="4" t="s">
        <v>241</v>
      </c>
      <c r="AT284" s="5" t="s">
        <v>241</v>
      </c>
      <c r="AU284" s="5" t="s">
        <v>241</v>
      </c>
      <c r="AV284" s="5" t="s">
        <v>241</v>
      </c>
      <c r="AY284" s="4" t="s">
        <v>286</v>
      </c>
      <c r="AZ284" s="4" t="s">
        <v>286</v>
      </c>
      <c r="BA284" s="4" t="s">
        <v>254</v>
      </c>
      <c r="BB284" s="4" t="s">
        <v>287</v>
      </c>
      <c r="BC284" s="4" t="s">
        <v>255</v>
      </c>
      <c r="BD284" s="4" t="s">
        <v>241</v>
      </c>
      <c r="BE284" s="4" t="s">
        <v>257</v>
      </c>
      <c r="BF284" s="4" t="s">
        <v>241</v>
      </c>
      <c r="BJ284" s="4" t="s">
        <v>288</v>
      </c>
      <c r="BK284" s="5" t="s">
        <v>289</v>
      </c>
      <c r="BL284" s="4" t="s">
        <v>290</v>
      </c>
      <c r="BM284" s="4" t="s">
        <v>290</v>
      </c>
      <c r="BN284" s="4" t="s">
        <v>241</v>
      </c>
      <c r="BO284" s="6">
        <f>0</f>
        <v>0</v>
      </c>
      <c r="BP284" s="6">
        <f>-4424574</f>
        <v>-4424574</v>
      </c>
      <c r="BQ284" s="4" t="s">
        <v>263</v>
      </c>
      <c r="BR284" s="4" t="s">
        <v>264</v>
      </c>
      <c r="BS284" s="4" t="s">
        <v>241</v>
      </c>
      <c r="BT284" s="4" t="s">
        <v>241</v>
      </c>
      <c r="BU284" s="4" t="s">
        <v>241</v>
      </c>
      <c r="BV284" s="4" t="s">
        <v>241</v>
      </c>
      <c r="CE284" s="4" t="s">
        <v>264</v>
      </c>
      <c r="CF284" s="4" t="s">
        <v>241</v>
      </c>
      <c r="CG284" s="4" t="s">
        <v>241</v>
      </c>
      <c r="CK284" s="4" t="s">
        <v>291</v>
      </c>
      <c r="CL284" s="4" t="s">
        <v>266</v>
      </c>
      <c r="CM284" s="4" t="s">
        <v>241</v>
      </c>
      <c r="CO284" s="4" t="s">
        <v>407</v>
      </c>
      <c r="CP284" s="5" t="s">
        <v>268</v>
      </c>
      <c r="CQ284" s="4" t="s">
        <v>269</v>
      </c>
      <c r="CR284" s="4" t="s">
        <v>270</v>
      </c>
      <c r="CS284" s="4" t="s">
        <v>293</v>
      </c>
      <c r="CT284" s="4" t="s">
        <v>241</v>
      </c>
      <c r="CU284" s="4">
        <v>3.3000000000000002E-2</v>
      </c>
      <c r="CV284" s="4" t="s">
        <v>271</v>
      </c>
      <c r="CW284" s="4" t="s">
        <v>456</v>
      </c>
      <c r="CX284" s="4" t="s">
        <v>487</v>
      </c>
      <c r="CY284" s="6">
        <f>0</f>
        <v>0</v>
      </c>
      <c r="CZ284" s="6">
        <f>134078000</f>
        <v>134078000</v>
      </c>
      <c r="DA284" s="6">
        <f>58860242</f>
        <v>58860242</v>
      </c>
      <c r="DC284" s="4" t="s">
        <v>241</v>
      </c>
      <c r="DD284" s="4" t="s">
        <v>241</v>
      </c>
      <c r="DF284" s="4" t="s">
        <v>241</v>
      </c>
      <c r="DG284" s="6">
        <f>0</f>
        <v>0</v>
      </c>
      <c r="DI284" s="4" t="s">
        <v>241</v>
      </c>
      <c r="DJ284" s="4" t="s">
        <v>241</v>
      </c>
      <c r="DK284" s="4" t="s">
        <v>241</v>
      </c>
      <c r="DL284" s="4" t="s">
        <v>241</v>
      </c>
      <c r="DM284" s="4" t="s">
        <v>323</v>
      </c>
      <c r="DN284" s="4" t="s">
        <v>278</v>
      </c>
      <c r="DO284" s="6">
        <f>427</f>
        <v>427</v>
      </c>
      <c r="DP284" s="4" t="s">
        <v>241</v>
      </c>
      <c r="DQ284" s="4" t="s">
        <v>241</v>
      </c>
      <c r="DR284" s="4" t="s">
        <v>241</v>
      </c>
      <c r="DS284" s="4" t="s">
        <v>241</v>
      </c>
      <c r="DV284" s="4" t="s">
        <v>3838</v>
      </c>
      <c r="DW284" s="4" t="s">
        <v>277</v>
      </c>
      <c r="GN284" s="4" t="s">
        <v>3880</v>
      </c>
      <c r="HO284" s="4" t="s">
        <v>300</v>
      </c>
      <c r="HR284" s="4" t="s">
        <v>278</v>
      </c>
      <c r="HS284" s="4" t="s">
        <v>278</v>
      </c>
      <c r="HT284" s="4" t="s">
        <v>241</v>
      </c>
      <c r="HU284" s="4" t="s">
        <v>241</v>
      </c>
      <c r="HV284" s="4" t="s">
        <v>241</v>
      </c>
      <c r="HW284" s="4" t="s">
        <v>241</v>
      </c>
      <c r="HX284" s="4" t="s">
        <v>241</v>
      </c>
      <c r="HY284" s="4" t="s">
        <v>241</v>
      </c>
      <c r="HZ284" s="4" t="s">
        <v>241</v>
      </c>
      <c r="IA284" s="4" t="s">
        <v>241</v>
      </c>
      <c r="IB284" s="4" t="s">
        <v>241</v>
      </c>
      <c r="IC284" s="4" t="s">
        <v>241</v>
      </c>
      <c r="ID284" s="4" t="s">
        <v>241</v>
      </c>
      <c r="IE284" s="4" t="s">
        <v>241</v>
      </c>
      <c r="IF284" s="4" t="s">
        <v>241</v>
      </c>
    </row>
    <row r="285" spans="1:240" x14ac:dyDescent="0.4">
      <c r="A285" s="4">
        <v>2</v>
      </c>
      <c r="B285" s="4" t="s">
        <v>239</v>
      </c>
      <c r="C285" s="4">
        <v>305</v>
      </c>
      <c r="D285" s="4">
        <v>1</v>
      </c>
      <c r="E285" s="4">
        <v>3</v>
      </c>
      <c r="F285" s="4" t="s">
        <v>240</v>
      </c>
      <c r="G285" s="4" t="s">
        <v>241</v>
      </c>
      <c r="H285" s="4" t="s">
        <v>241</v>
      </c>
      <c r="I285" s="4" t="s">
        <v>3836</v>
      </c>
      <c r="J285" s="4" t="s">
        <v>2015</v>
      </c>
      <c r="K285" s="4" t="s">
        <v>256</v>
      </c>
      <c r="L285" s="4" t="s">
        <v>995</v>
      </c>
      <c r="M285" s="5" t="s">
        <v>3837</v>
      </c>
      <c r="N285" s="4" t="s">
        <v>454</v>
      </c>
      <c r="O285" s="6">
        <f>22</f>
        <v>22</v>
      </c>
      <c r="P285" s="4" t="s">
        <v>276</v>
      </c>
      <c r="Q285" s="6">
        <f>3032612</f>
        <v>3032612</v>
      </c>
      <c r="R285" s="6">
        <f>6908000</f>
        <v>6908000</v>
      </c>
      <c r="S285" s="5" t="s">
        <v>771</v>
      </c>
      <c r="T285" s="4" t="s">
        <v>441</v>
      </c>
      <c r="U285" s="4" t="s">
        <v>371</v>
      </c>
      <c r="V285" s="6">
        <f>227964</f>
        <v>227964</v>
      </c>
      <c r="W285" s="6">
        <f>3875388</f>
        <v>3875388</v>
      </c>
      <c r="X285" s="4" t="s">
        <v>243</v>
      </c>
      <c r="Y285" s="4" t="s">
        <v>244</v>
      </c>
      <c r="Z285" s="4" t="s">
        <v>465</v>
      </c>
      <c r="AA285" s="4" t="s">
        <v>241</v>
      </c>
      <c r="AD285" s="4" t="s">
        <v>241</v>
      </c>
      <c r="AE285" s="5" t="s">
        <v>241</v>
      </c>
      <c r="AF285" s="5" t="s">
        <v>241</v>
      </c>
      <c r="AH285" s="5" t="s">
        <v>241</v>
      </c>
      <c r="AI285" s="5" t="s">
        <v>249</v>
      </c>
      <c r="AJ285" s="4" t="s">
        <v>251</v>
      </c>
      <c r="AK285" s="4" t="s">
        <v>252</v>
      </c>
      <c r="AQ285" s="4" t="s">
        <v>241</v>
      </c>
      <c r="AR285" s="4" t="s">
        <v>241</v>
      </c>
      <c r="AS285" s="4" t="s">
        <v>241</v>
      </c>
      <c r="AT285" s="5" t="s">
        <v>241</v>
      </c>
      <c r="AU285" s="5" t="s">
        <v>241</v>
      </c>
      <c r="AV285" s="5" t="s">
        <v>241</v>
      </c>
      <c r="AY285" s="4" t="s">
        <v>286</v>
      </c>
      <c r="AZ285" s="4" t="s">
        <v>286</v>
      </c>
      <c r="BA285" s="4" t="s">
        <v>254</v>
      </c>
      <c r="BB285" s="4" t="s">
        <v>287</v>
      </c>
      <c r="BC285" s="4" t="s">
        <v>255</v>
      </c>
      <c r="BD285" s="4" t="s">
        <v>241</v>
      </c>
      <c r="BE285" s="4" t="s">
        <v>257</v>
      </c>
      <c r="BF285" s="4" t="s">
        <v>241</v>
      </c>
      <c r="BJ285" s="4" t="s">
        <v>288</v>
      </c>
      <c r="BK285" s="5" t="s">
        <v>289</v>
      </c>
      <c r="BL285" s="4" t="s">
        <v>290</v>
      </c>
      <c r="BM285" s="4" t="s">
        <v>290</v>
      </c>
      <c r="BN285" s="4" t="s">
        <v>241</v>
      </c>
      <c r="BO285" s="6">
        <f>0</f>
        <v>0</v>
      </c>
      <c r="BP285" s="6">
        <f>-227964</f>
        <v>-227964</v>
      </c>
      <c r="BQ285" s="4" t="s">
        <v>263</v>
      </c>
      <c r="BR285" s="4" t="s">
        <v>264</v>
      </c>
      <c r="BS285" s="4" t="s">
        <v>241</v>
      </c>
      <c r="BT285" s="4" t="s">
        <v>241</v>
      </c>
      <c r="BU285" s="4" t="s">
        <v>241</v>
      </c>
      <c r="BV285" s="4" t="s">
        <v>241</v>
      </c>
      <c r="CE285" s="4" t="s">
        <v>264</v>
      </c>
      <c r="CF285" s="4" t="s">
        <v>241</v>
      </c>
      <c r="CG285" s="4" t="s">
        <v>241</v>
      </c>
      <c r="CK285" s="4" t="s">
        <v>291</v>
      </c>
      <c r="CL285" s="4" t="s">
        <v>266</v>
      </c>
      <c r="CM285" s="4" t="s">
        <v>241</v>
      </c>
      <c r="CO285" s="4" t="s">
        <v>407</v>
      </c>
      <c r="CP285" s="5" t="s">
        <v>268</v>
      </c>
      <c r="CQ285" s="4" t="s">
        <v>269</v>
      </c>
      <c r="CR285" s="4" t="s">
        <v>270</v>
      </c>
      <c r="CS285" s="4" t="s">
        <v>293</v>
      </c>
      <c r="CT285" s="4" t="s">
        <v>241</v>
      </c>
      <c r="CU285" s="4">
        <v>3.3000000000000002E-2</v>
      </c>
      <c r="CV285" s="4" t="s">
        <v>271</v>
      </c>
      <c r="CW285" s="4" t="s">
        <v>455</v>
      </c>
      <c r="CX285" s="4" t="s">
        <v>487</v>
      </c>
      <c r="CY285" s="6">
        <f>0</f>
        <v>0</v>
      </c>
      <c r="CZ285" s="6">
        <f>6908000</f>
        <v>6908000</v>
      </c>
      <c r="DA285" s="6">
        <f>3032612</f>
        <v>3032612</v>
      </c>
      <c r="DC285" s="4" t="s">
        <v>241</v>
      </c>
      <c r="DD285" s="4" t="s">
        <v>241</v>
      </c>
      <c r="DF285" s="4" t="s">
        <v>241</v>
      </c>
      <c r="DG285" s="6">
        <f>0</f>
        <v>0</v>
      </c>
      <c r="DI285" s="4" t="s">
        <v>241</v>
      </c>
      <c r="DJ285" s="4" t="s">
        <v>241</v>
      </c>
      <c r="DK285" s="4" t="s">
        <v>241</v>
      </c>
      <c r="DL285" s="4" t="s">
        <v>241</v>
      </c>
      <c r="DM285" s="4" t="s">
        <v>277</v>
      </c>
      <c r="DN285" s="4" t="s">
        <v>278</v>
      </c>
      <c r="DO285" s="6">
        <f>22</f>
        <v>22</v>
      </c>
      <c r="DP285" s="4" t="s">
        <v>241</v>
      </c>
      <c r="DQ285" s="4" t="s">
        <v>241</v>
      </c>
      <c r="DR285" s="4" t="s">
        <v>241</v>
      </c>
      <c r="DS285" s="4" t="s">
        <v>241</v>
      </c>
      <c r="DV285" s="4" t="s">
        <v>3838</v>
      </c>
      <c r="DW285" s="4" t="s">
        <v>323</v>
      </c>
      <c r="GN285" s="4" t="s">
        <v>3839</v>
      </c>
      <c r="HO285" s="4" t="s">
        <v>300</v>
      </c>
      <c r="HR285" s="4" t="s">
        <v>278</v>
      </c>
      <c r="HS285" s="4" t="s">
        <v>278</v>
      </c>
      <c r="HT285" s="4" t="s">
        <v>241</v>
      </c>
      <c r="HU285" s="4" t="s">
        <v>241</v>
      </c>
      <c r="HV285" s="4" t="s">
        <v>241</v>
      </c>
      <c r="HW285" s="4" t="s">
        <v>241</v>
      </c>
      <c r="HX285" s="4" t="s">
        <v>241</v>
      </c>
      <c r="HY285" s="4" t="s">
        <v>241</v>
      </c>
      <c r="HZ285" s="4" t="s">
        <v>241</v>
      </c>
      <c r="IA285" s="4" t="s">
        <v>241</v>
      </c>
      <c r="IB285" s="4" t="s">
        <v>241</v>
      </c>
      <c r="IC285" s="4" t="s">
        <v>241</v>
      </c>
      <c r="ID285" s="4" t="s">
        <v>241</v>
      </c>
      <c r="IE285" s="4" t="s">
        <v>241</v>
      </c>
      <c r="IF285" s="4" t="s">
        <v>241</v>
      </c>
    </row>
    <row r="286" spans="1:240" x14ac:dyDescent="0.4">
      <c r="A286" s="4">
        <v>2</v>
      </c>
      <c r="B286" s="4" t="s">
        <v>239</v>
      </c>
      <c r="C286" s="4">
        <v>306</v>
      </c>
      <c r="D286" s="4">
        <v>1</v>
      </c>
      <c r="E286" s="4">
        <v>3</v>
      </c>
      <c r="F286" s="4" t="s">
        <v>240</v>
      </c>
      <c r="G286" s="4" t="s">
        <v>241</v>
      </c>
      <c r="H286" s="4" t="s">
        <v>241</v>
      </c>
      <c r="I286" s="4" t="s">
        <v>3571</v>
      </c>
      <c r="J286" s="4" t="s">
        <v>2015</v>
      </c>
      <c r="K286" s="4" t="s">
        <v>256</v>
      </c>
      <c r="L286" s="4" t="s">
        <v>995</v>
      </c>
      <c r="M286" s="5" t="s">
        <v>3573</v>
      </c>
      <c r="N286" s="4" t="s">
        <v>3883</v>
      </c>
      <c r="O286" s="6">
        <f>2056</f>
        <v>2056</v>
      </c>
      <c r="P286" s="4" t="s">
        <v>276</v>
      </c>
      <c r="Q286" s="6">
        <f>493791418</f>
        <v>493791418</v>
      </c>
      <c r="R286" s="6">
        <f>702406000</f>
        <v>702406000</v>
      </c>
      <c r="S286" s="5" t="s">
        <v>3572</v>
      </c>
      <c r="T286" s="4" t="s">
        <v>441</v>
      </c>
      <c r="U286" s="4" t="s">
        <v>343</v>
      </c>
      <c r="V286" s="6">
        <f>23179398</f>
        <v>23179398</v>
      </c>
      <c r="W286" s="6">
        <f>208614582</f>
        <v>208614582</v>
      </c>
      <c r="X286" s="4" t="s">
        <v>243</v>
      </c>
      <c r="Y286" s="4" t="s">
        <v>244</v>
      </c>
      <c r="Z286" s="4" t="s">
        <v>465</v>
      </c>
      <c r="AA286" s="4" t="s">
        <v>241</v>
      </c>
      <c r="AD286" s="4" t="s">
        <v>241</v>
      </c>
      <c r="AE286" s="5" t="s">
        <v>241</v>
      </c>
      <c r="AF286" s="5" t="s">
        <v>241</v>
      </c>
      <c r="AH286" s="5" t="s">
        <v>241</v>
      </c>
      <c r="AI286" s="5" t="s">
        <v>249</v>
      </c>
      <c r="AJ286" s="4" t="s">
        <v>251</v>
      </c>
      <c r="AK286" s="4" t="s">
        <v>252</v>
      </c>
      <c r="AQ286" s="4" t="s">
        <v>241</v>
      </c>
      <c r="AR286" s="4" t="s">
        <v>241</v>
      </c>
      <c r="AS286" s="4" t="s">
        <v>241</v>
      </c>
      <c r="AT286" s="5" t="s">
        <v>241</v>
      </c>
      <c r="AU286" s="5" t="s">
        <v>241</v>
      </c>
      <c r="AV286" s="5" t="s">
        <v>241</v>
      </c>
      <c r="AY286" s="4" t="s">
        <v>286</v>
      </c>
      <c r="AZ286" s="4" t="s">
        <v>286</v>
      </c>
      <c r="BA286" s="4" t="s">
        <v>254</v>
      </c>
      <c r="BB286" s="4" t="s">
        <v>287</v>
      </c>
      <c r="BC286" s="4" t="s">
        <v>255</v>
      </c>
      <c r="BD286" s="4" t="s">
        <v>241</v>
      </c>
      <c r="BE286" s="4" t="s">
        <v>257</v>
      </c>
      <c r="BF286" s="4" t="s">
        <v>241</v>
      </c>
      <c r="BJ286" s="4" t="s">
        <v>288</v>
      </c>
      <c r="BK286" s="5" t="s">
        <v>289</v>
      </c>
      <c r="BL286" s="4" t="s">
        <v>290</v>
      </c>
      <c r="BM286" s="4" t="s">
        <v>290</v>
      </c>
      <c r="BN286" s="4" t="s">
        <v>241</v>
      </c>
      <c r="BO286" s="6">
        <f>0</f>
        <v>0</v>
      </c>
      <c r="BP286" s="6">
        <f>-23179398</f>
        <v>-23179398</v>
      </c>
      <c r="BQ286" s="4" t="s">
        <v>263</v>
      </c>
      <c r="BR286" s="4" t="s">
        <v>264</v>
      </c>
      <c r="BS286" s="4" t="s">
        <v>241</v>
      </c>
      <c r="BT286" s="4" t="s">
        <v>241</v>
      </c>
      <c r="BU286" s="4" t="s">
        <v>241</v>
      </c>
      <c r="BV286" s="4" t="s">
        <v>241</v>
      </c>
      <c r="CE286" s="4" t="s">
        <v>264</v>
      </c>
      <c r="CF286" s="4" t="s">
        <v>241</v>
      </c>
      <c r="CG286" s="4" t="s">
        <v>241</v>
      </c>
      <c r="CK286" s="4" t="s">
        <v>291</v>
      </c>
      <c r="CL286" s="4" t="s">
        <v>266</v>
      </c>
      <c r="CM286" s="4" t="s">
        <v>241</v>
      </c>
      <c r="CO286" s="4" t="s">
        <v>826</v>
      </c>
      <c r="CP286" s="5" t="s">
        <v>268</v>
      </c>
      <c r="CQ286" s="4" t="s">
        <v>269</v>
      </c>
      <c r="CR286" s="4" t="s">
        <v>270</v>
      </c>
      <c r="CS286" s="4" t="s">
        <v>293</v>
      </c>
      <c r="CT286" s="4" t="s">
        <v>241</v>
      </c>
      <c r="CU286" s="4">
        <v>3.3000000000000002E-2</v>
      </c>
      <c r="CV286" s="4" t="s">
        <v>271</v>
      </c>
      <c r="CW286" s="4" t="s">
        <v>456</v>
      </c>
      <c r="CX286" s="4" t="s">
        <v>487</v>
      </c>
      <c r="CY286" s="6">
        <f>0</f>
        <v>0</v>
      </c>
      <c r="CZ286" s="6">
        <f>702406000</f>
        <v>702406000</v>
      </c>
      <c r="DA286" s="6">
        <f>493791418</f>
        <v>493791418</v>
      </c>
      <c r="DC286" s="4" t="s">
        <v>241</v>
      </c>
      <c r="DD286" s="4" t="s">
        <v>241</v>
      </c>
      <c r="DF286" s="4" t="s">
        <v>241</v>
      </c>
      <c r="DG286" s="6">
        <f>0</f>
        <v>0</v>
      </c>
      <c r="DI286" s="4" t="s">
        <v>241</v>
      </c>
      <c r="DJ286" s="4" t="s">
        <v>241</v>
      </c>
      <c r="DK286" s="4" t="s">
        <v>241</v>
      </c>
      <c r="DL286" s="4" t="s">
        <v>241</v>
      </c>
      <c r="DM286" s="4" t="s">
        <v>277</v>
      </c>
      <c r="DN286" s="4" t="s">
        <v>278</v>
      </c>
      <c r="DO286" s="6">
        <f>2056</f>
        <v>2056</v>
      </c>
      <c r="DP286" s="4" t="s">
        <v>241</v>
      </c>
      <c r="DQ286" s="4" t="s">
        <v>241</v>
      </c>
      <c r="DR286" s="4" t="s">
        <v>241</v>
      </c>
      <c r="DS286" s="4" t="s">
        <v>241</v>
      </c>
      <c r="DV286" s="4" t="s">
        <v>3574</v>
      </c>
      <c r="DW286" s="4" t="s">
        <v>277</v>
      </c>
      <c r="GN286" s="4" t="s">
        <v>3884</v>
      </c>
      <c r="HO286" s="4" t="s">
        <v>300</v>
      </c>
      <c r="HR286" s="4" t="s">
        <v>278</v>
      </c>
      <c r="HS286" s="4" t="s">
        <v>278</v>
      </c>
      <c r="HT286" s="4" t="s">
        <v>241</v>
      </c>
      <c r="HU286" s="4" t="s">
        <v>241</v>
      </c>
      <c r="HV286" s="4" t="s">
        <v>241</v>
      </c>
      <c r="HW286" s="4" t="s">
        <v>241</v>
      </c>
      <c r="HX286" s="4" t="s">
        <v>241</v>
      </c>
      <c r="HY286" s="4" t="s">
        <v>241</v>
      </c>
      <c r="HZ286" s="4" t="s">
        <v>241</v>
      </c>
      <c r="IA286" s="4" t="s">
        <v>241</v>
      </c>
      <c r="IB286" s="4" t="s">
        <v>241</v>
      </c>
      <c r="IC286" s="4" t="s">
        <v>241</v>
      </c>
      <c r="ID286" s="4" t="s">
        <v>241</v>
      </c>
      <c r="IE286" s="4" t="s">
        <v>241</v>
      </c>
      <c r="IF286" s="4" t="s">
        <v>241</v>
      </c>
    </row>
    <row r="287" spans="1:240" x14ac:dyDescent="0.4">
      <c r="A287" s="4">
        <v>2</v>
      </c>
      <c r="B287" s="4" t="s">
        <v>239</v>
      </c>
      <c r="C287" s="4">
        <v>307</v>
      </c>
      <c r="D287" s="4">
        <v>1</v>
      </c>
      <c r="E287" s="4">
        <v>3</v>
      </c>
      <c r="F287" s="4" t="s">
        <v>240</v>
      </c>
      <c r="G287" s="4" t="s">
        <v>241</v>
      </c>
      <c r="H287" s="4" t="s">
        <v>241</v>
      </c>
      <c r="I287" s="4" t="s">
        <v>3571</v>
      </c>
      <c r="J287" s="4" t="s">
        <v>2015</v>
      </c>
      <c r="K287" s="4" t="s">
        <v>256</v>
      </c>
      <c r="L287" s="4" t="s">
        <v>995</v>
      </c>
      <c r="M287" s="5" t="s">
        <v>3573</v>
      </c>
      <c r="N287" s="4" t="s">
        <v>429</v>
      </c>
      <c r="O287" s="6">
        <f>5</f>
        <v>5</v>
      </c>
      <c r="P287" s="4" t="s">
        <v>276</v>
      </c>
      <c r="Q287" s="6">
        <f>351500</f>
        <v>351500</v>
      </c>
      <c r="R287" s="6">
        <f>500000</f>
        <v>500000</v>
      </c>
      <c r="S287" s="5" t="s">
        <v>3572</v>
      </c>
      <c r="T287" s="4" t="s">
        <v>441</v>
      </c>
      <c r="U287" s="4" t="s">
        <v>343</v>
      </c>
      <c r="V287" s="6">
        <f>16500</f>
        <v>16500</v>
      </c>
      <c r="W287" s="6">
        <f>148500</f>
        <v>148500</v>
      </c>
      <c r="X287" s="4" t="s">
        <v>243</v>
      </c>
      <c r="Y287" s="4" t="s">
        <v>244</v>
      </c>
      <c r="Z287" s="4" t="s">
        <v>465</v>
      </c>
      <c r="AA287" s="4" t="s">
        <v>241</v>
      </c>
      <c r="AD287" s="4" t="s">
        <v>241</v>
      </c>
      <c r="AE287" s="5" t="s">
        <v>241</v>
      </c>
      <c r="AF287" s="5" t="s">
        <v>241</v>
      </c>
      <c r="AH287" s="5" t="s">
        <v>241</v>
      </c>
      <c r="AI287" s="5" t="s">
        <v>249</v>
      </c>
      <c r="AJ287" s="4" t="s">
        <v>251</v>
      </c>
      <c r="AK287" s="4" t="s">
        <v>252</v>
      </c>
      <c r="AQ287" s="4" t="s">
        <v>241</v>
      </c>
      <c r="AR287" s="4" t="s">
        <v>241</v>
      </c>
      <c r="AS287" s="4" t="s">
        <v>241</v>
      </c>
      <c r="AT287" s="5" t="s">
        <v>241</v>
      </c>
      <c r="AU287" s="5" t="s">
        <v>241</v>
      </c>
      <c r="AV287" s="5" t="s">
        <v>241</v>
      </c>
      <c r="AY287" s="4" t="s">
        <v>286</v>
      </c>
      <c r="AZ287" s="4" t="s">
        <v>286</v>
      </c>
      <c r="BA287" s="4" t="s">
        <v>254</v>
      </c>
      <c r="BB287" s="4" t="s">
        <v>287</v>
      </c>
      <c r="BC287" s="4" t="s">
        <v>255</v>
      </c>
      <c r="BD287" s="4" t="s">
        <v>241</v>
      </c>
      <c r="BE287" s="4" t="s">
        <v>257</v>
      </c>
      <c r="BF287" s="4" t="s">
        <v>241</v>
      </c>
      <c r="BJ287" s="4" t="s">
        <v>288</v>
      </c>
      <c r="BK287" s="5" t="s">
        <v>289</v>
      </c>
      <c r="BL287" s="4" t="s">
        <v>290</v>
      </c>
      <c r="BM287" s="4" t="s">
        <v>290</v>
      </c>
      <c r="BN287" s="4" t="s">
        <v>241</v>
      </c>
      <c r="BO287" s="6">
        <f>0</f>
        <v>0</v>
      </c>
      <c r="BP287" s="6">
        <f>-16500</f>
        <v>-16500</v>
      </c>
      <c r="BQ287" s="4" t="s">
        <v>263</v>
      </c>
      <c r="BR287" s="4" t="s">
        <v>264</v>
      </c>
      <c r="BS287" s="4" t="s">
        <v>241</v>
      </c>
      <c r="BT287" s="4" t="s">
        <v>241</v>
      </c>
      <c r="BU287" s="4" t="s">
        <v>241</v>
      </c>
      <c r="BV287" s="4" t="s">
        <v>241</v>
      </c>
      <c r="CE287" s="4" t="s">
        <v>264</v>
      </c>
      <c r="CF287" s="4" t="s">
        <v>241</v>
      </c>
      <c r="CG287" s="4" t="s">
        <v>241</v>
      </c>
      <c r="CK287" s="4" t="s">
        <v>291</v>
      </c>
      <c r="CL287" s="4" t="s">
        <v>266</v>
      </c>
      <c r="CM287" s="4" t="s">
        <v>241</v>
      </c>
      <c r="CO287" s="4" t="s">
        <v>826</v>
      </c>
      <c r="CP287" s="5" t="s">
        <v>268</v>
      </c>
      <c r="CQ287" s="4" t="s">
        <v>269</v>
      </c>
      <c r="CR287" s="4" t="s">
        <v>270</v>
      </c>
      <c r="CS287" s="4" t="s">
        <v>293</v>
      </c>
      <c r="CT287" s="4" t="s">
        <v>241</v>
      </c>
      <c r="CU287" s="4">
        <v>3.3000000000000002E-2</v>
      </c>
      <c r="CV287" s="4" t="s">
        <v>271</v>
      </c>
      <c r="CW287" s="4" t="s">
        <v>272</v>
      </c>
      <c r="CX287" s="4" t="s">
        <v>487</v>
      </c>
      <c r="CY287" s="6">
        <f>0</f>
        <v>0</v>
      </c>
      <c r="CZ287" s="6">
        <f>500000</f>
        <v>500000</v>
      </c>
      <c r="DA287" s="6">
        <f>351500</f>
        <v>351500</v>
      </c>
      <c r="DC287" s="4" t="s">
        <v>241</v>
      </c>
      <c r="DD287" s="4" t="s">
        <v>241</v>
      </c>
      <c r="DF287" s="4" t="s">
        <v>241</v>
      </c>
      <c r="DG287" s="6">
        <f>0</f>
        <v>0</v>
      </c>
      <c r="DI287" s="4" t="s">
        <v>241</v>
      </c>
      <c r="DJ287" s="4" t="s">
        <v>241</v>
      </c>
      <c r="DK287" s="4" t="s">
        <v>241</v>
      </c>
      <c r="DL287" s="4" t="s">
        <v>241</v>
      </c>
      <c r="DM287" s="4" t="s">
        <v>277</v>
      </c>
      <c r="DN287" s="4" t="s">
        <v>278</v>
      </c>
      <c r="DO287" s="6">
        <f>5</f>
        <v>5</v>
      </c>
      <c r="DP287" s="4" t="s">
        <v>241</v>
      </c>
      <c r="DQ287" s="4" t="s">
        <v>241</v>
      </c>
      <c r="DR287" s="4" t="s">
        <v>241</v>
      </c>
      <c r="DS287" s="4" t="s">
        <v>241</v>
      </c>
      <c r="DV287" s="4" t="s">
        <v>3574</v>
      </c>
      <c r="DW287" s="4" t="s">
        <v>323</v>
      </c>
      <c r="GN287" s="4" t="s">
        <v>3575</v>
      </c>
      <c r="HO287" s="4" t="s">
        <v>300</v>
      </c>
      <c r="HR287" s="4" t="s">
        <v>278</v>
      </c>
      <c r="HS287" s="4" t="s">
        <v>278</v>
      </c>
      <c r="HT287" s="4" t="s">
        <v>241</v>
      </c>
      <c r="HU287" s="4" t="s">
        <v>241</v>
      </c>
      <c r="HV287" s="4" t="s">
        <v>241</v>
      </c>
      <c r="HW287" s="4" t="s">
        <v>241</v>
      </c>
      <c r="HX287" s="4" t="s">
        <v>241</v>
      </c>
      <c r="HY287" s="4" t="s">
        <v>241</v>
      </c>
      <c r="HZ287" s="4" t="s">
        <v>241</v>
      </c>
      <c r="IA287" s="4" t="s">
        <v>241</v>
      </c>
      <c r="IB287" s="4" t="s">
        <v>241</v>
      </c>
      <c r="IC287" s="4" t="s">
        <v>241</v>
      </c>
      <c r="ID287" s="4" t="s">
        <v>241</v>
      </c>
      <c r="IE287" s="4" t="s">
        <v>241</v>
      </c>
      <c r="IF287" s="4" t="s">
        <v>241</v>
      </c>
    </row>
    <row r="288" spans="1:240" x14ac:dyDescent="0.4">
      <c r="A288" s="4">
        <v>2</v>
      </c>
      <c r="B288" s="4" t="s">
        <v>239</v>
      </c>
      <c r="C288" s="4">
        <v>308</v>
      </c>
      <c r="D288" s="4">
        <v>1</v>
      </c>
      <c r="E288" s="4">
        <v>3</v>
      </c>
      <c r="F288" s="4" t="s">
        <v>240</v>
      </c>
      <c r="G288" s="4" t="s">
        <v>241</v>
      </c>
      <c r="H288" s="4" t="s">
        <v>241</v>
      </c>
      <c r="I288" s="4" t="s">
        <v>2014</v>
      </c>
      <c r="J288" s="4" t="s">
        <v>2015</v>
      </c>
      <c r="K288" s="4" t="s">
        <v>256</v>
      </c>
      <c r="L288" s="4" t="s">
        <v>995</v>
      </c>
      <c r="M288" s="5" t="s">
        <v>2016</v>
      </c>
      <c r="N288" s="4" t="s">
        <v>3883</v>
      </c>
      <c r="O288" s="6">
        <f>777</f>
        <v>777</v>
      </c>
      <c r="P288" s="4" t="s">
        <v>276</v>
      </c>
      <c r="Q288" s="6">
        <f>95897340</f>
        <v>95897340</v>
      </c>
      <c r="R288" s="6">
        <f>282051000</f>
        <v>282051000</v>
      </c>
      <c r="S288" s="5" t="s">
        <v>1241</v>
      </c>
      <c r="T288" s="4" t="s">
        <v>441</v>
      </c>
      <c r="U288" s="4" t="s">
        <v>379</v>
      </c>
      <c r="V288" s="6">
        <f>9307683</f>
        <v>9307683</v>
      </c>
      <c r="W288" s="6">
        <f>186153660</f>
        <v>186153660</v>
      </c>
      <c r="X288" s="4" t="s">
        <v>243</v>
      </c>
      <c r="Y288" s="4" t="s">
        <v>244</v>
      </c>
      <c r="Z288" s="4" t="s">
        <v>465</v>
      </c>
      <c r="AA288" s="4" t="s">
        <v>241</v>
      </c>
      <c r="AD288" s="4" t="s">
        <v>241</v>
      </c>
      <c r="AE288" s="5" t="s">
        <v>241</v>
      </c>
      <c r="AF288" s="5" t="s">
        <v>241</v>
      </c>
      <c r="AH288" s="5" t="s">
        <v>241</v>
      </c>
      <c r="AI288" s="5" t="s">
        <v>249</v>
      </c>
      <c r="AJ288" s="4" t="s">
        <v>251</v>
      </c>
      <c r="AK288" s="4" t="s">
        <v>252</v>
      </c>
      <c r="AQ288" s="4" t="s">
        <v>241</v>
      </c>
      <c r="AR288" s="4" t="s">
        <v>241</v>
      </c>
      <c r="AS288" s="4" t="s">
        <v>241</v>
      </c>
      <c r="AT288" s="5" t="s">
        <v>241</v>
      </c>
      <c r="AU288" s="5" t="s">
        <v>241</v>
      </c>
      <c r="AV288" s="5" t="s">
        <v>241</v>
      </c>
      <c r="AY288" s="4" t="s">
        <v>286</v>
      </c>
      <c r="AZ288" s="4" t="s">
        <v>286</v>
      </c>
      <c r="BA288" s="4" t="s">
        <v>254</v>
      </c>
      <c r="BB288" s="4" t="s">
        <v>287</v>
      </c>
      <c r="BC288" s="4" t="s">
        <v>255</v>
      </c>
      <c r="BD288" s="4" t="s">
        <v>241</v>
      </c>
      <c r="BE288" s="4" t="s">
        <v>257</v>
      </c>
      <c r="BF288" s="4" t="s">
        <v>241</v>
      </c>
      <c r="BJ288" s="4" t="s">
        <v>288</v>
      </c>
      <c r="BK288" s="5" t="s">
        <v>289</v>
      </c>
      <c r="BL288" s="4" t="s">
        <v>290</v>
      </c>
      <c r="BM288" s="4" t="s">
        <v>290</v>
      </c>
      <c r="BN288" s="4" t="s">
        <v>241</v>
      </c>
      <c r="BO288" s="6">
        <f>0</f>
        <v>0</v>
      </c>
      <c r="BP288" s="6">
        <f>-9307683</f>
        <v>-9307683</v>
      </c>
      <c r="BQ288" s="4" t="s">
        <v>263</v>
      </c>
      <c r="BR288" s="4" t="s">
        <v>264</v>
      </c>
      <c r="BS288" s="4" t="s">
        <v>241</v>
      </c>
      <c r="BT288" s="4" t="s">
        <v>241</v>
      </c>
      <c r="BU288" s="4" t="s">
        <v>241</v>
      </c>
      <c r="BV288" s="4" t="s">
        <v>241</v>
      </c>
      <c r="CE288" s="4" t="s">
        <v>264</v>
      </c>
      <c r="CF288" s="4" t="s">
        <v>241</v>
      </c>
      <c r="CG288" s="4" t="s">
        <v>241</v>
      </c>
      <c r="CK288" s="4" t="s">
        <v>291</v>
      </c>
      <c r="CL288" s="4" t="s">
        <v>266</v>
      </c>
      <c r="CM288" s="4" t="s">
        <v>241</v>
      </c>
      <c r="CO288" s="4" t="s">
        <v>1127</v>
      </c>
      <c r="CP288" s="5" t="s">
        <v>268</v>
      </c>
      <c r="CQ288" s="4" t="s">
        <v>269</v>
      </c>
      <c r="CR288" s="4" t="s">
        <v>270</v>
      </c>
      <c r="CS288" s="4" t="s">
        <v>293</v>
      </c>
      <c r="CT288" s="4" t="s">
        <v>241</v>
      </c>
      <c r="CU288" s="4">
        <v>3.3000000000000002E-2</v>
      </c>
      <c r="CV288" s="4" t="s">
        <v>271</v>
      </c>
      <c r="CW288" s="4" t="s">
        <v>456</v>
      </c>
      <c r="CX288" s="4" t="s">
        <v>487</v>
      </c>
      <c r="CY288" s="6">
        <f>0</f>
        <v>0</v>
      </c>
      <c r="CZ288" s="6">
        <f>282051000</f>
        <v>282051000</v>
      </c>
      <c r="DA288" s="6">
        <f>95897340</f>
        <v>95897340</v>
      </c>
      <c r="DC288" s="4" t="s">
        <v>241</v>
      </c>
      <c r="DD288" s="4" t="s">
        <v>241</v>
      </c>
      <c r="DF288" s="4" t="s">
        <v>241</v>
      </c>
      <c r="DG288" s="6">
        <f>0</f>
        <v>0</v>
      </c>
      <c r="DI288" s="4" t="s">
        <v>241</v>
      </c>
      <c r="DJ288" s="4" t="s">
        <v>241</v>
      </c>
      <c r="DK288" s="4" t="s">
        <v>241</v>
      </c>
      <c r="DL288" s="4" t="s">
        <v>241</v>
      </c>
      <c r="DM288" s="4" t="s">
        <v>323</v>
      </c>
      <c r="DN288" s="4" t="s">
        <v>278</v>
      </c>
      <c r="DO288" s="6">
        <f>777</f>
        <v>777</v>
      </c>
      <c r="DP288" s="4" t="s">
        <v>241</v>
      </c>
      <c r="DQ288" s="4" t="s">
        <v>241</v>
      </c>
      <c r="DR288" s="4" t="s">
        <v>241</v>
      </c>
      <c r="DS288" s="4" t="s">
        <v>241</v>
      </c>
      <c r="DV288" s="4" t="s">
        <v>2017</v>
      </c>
      <c r="DW288" s="4" t="s">
        <v>277</v>
      </c>
      <c r="GN288" s="4" t="s">
        <v>3892</v>
      </c>
      <c r="HO288" s="4" t="s">
        <v>300</v>
      </c>
      <c r="HR288" s="4" t="s">
        <v>278</v>
      </c>
      <c r="HS288" s="4" t="s">
        <v>278</v>
      </c>
      <c r="HT288" s="4" t="s">
        <v>241</v>
      </c>
      <c r="HU288" s="4" t="s">
        <v>241</v>
      </c>
      <c r="HV288" s="4" t="s">
        <v>241</v>
      </c>
      <c r="HW288" s="4" t="s">
        <v>241</v>
      </c>
      <c r="HX288" s="4" t="s">
        <v>241</v>
      </c>
      <c r="HY288" s="4" t="s">
        <v>241</v>
      </c>
      <c r="HZ288" s="4" t="s">
        <v>241</v>
      </c>
      <c r="IA288" s="4" t="s">
        <v>241</v>
      </c>
      <c r="IB288" s="4" t="s">
        <v>241</v>
      </c>
      <c r="IC288" s="4" t="s">
        <v>241</v>
      </c>
      <c r="ID288" s="4" t="s">
        <v>241</v>
      </c>
      <c r="IE288" s="4" t="s">
        <v>241</v>
      </c>
      <c r="IF288" s="4" t="s">
        <v>241</v>
      </c>
    </row>
    <row r="289" spans="1:240" x14ac:dyDescent="0.4">
      <c r="A289" s="4">
        <v>2</v>
      </c>
      <c r="B289" s="4" t="s">
        <v>239</v>
      </c>
      <c r="C289" s="4">
        <v>309</v>
      </c>
      <c r="D289" s="4">
        <v>1</v>
      </c>
      <c r="E289" s="4">
        <v>3</v>
      </c>
      <c r="F289" s="4" t="s">
        <v>240</v>
      </c>
      <c r="G289" s="4" t="s">
        <v>241</v>
      </c>
      <c r="H289" s="4" t="s">
        <v>241</v>
      </c>
      <c r="I289" s="4" t="s">
        <v>2014</v>
      </c>
      <c r="J289" s="4" t="s">
        <v>2015</v>
      </c>
      <c r="K289" s="4" t="s">
        <v>256</v>
      </c>
      <c r="L289" s="4" t="s">
        <v>414</v>
      </c>
      <c r="M289" s="5" t="s">
        <v>2016</v>
      </c>
      <c r="N289" s="4" t="s">
        <v>1995</v>
      </c>
      <c r="O289" s="6">
        <f>11</f>
        <v>11</v>
      </c>
      <c r="P289" s="4" t="s">
        <v>276</v>
      </c>
      <c r="Q289" s="6">
        <f>485760</f>
        <v>485760</v>
      </c>
      <c r="R289" s="6">
        <f>1056000</f>
        <v>1056000</v>
      </c>
      <c r="S289" s="5" t="s">
        <v>1241</v>
      </c>
      <c r="T289" s="4" t="s">
        <v>333</v>
      </c>
      <c r="U289" s="4" t="s">
        <v>379</v>
      </c>
      <c r="V289" s="6">
        <f>28512</f>
        <v>28512</v>
      </c>
      <c r="W289" s="6">
        <f>570240</f>
        <v>570240</v>
      </c>
      <c r="X289" s="4" t="s">
        <v>243</v>
      </c>
      <c r="Y289" s="4" t="s">
        <v>244</v>
      </c>
      <c r="Z289" s="4" t="s">
        <v>465</v>
      </c>
      <c r="AA289" s="4" t="s">
        <v>241</v>
      </c>
      <c r="AD289" s="4" t="s">
        <v>241</v>
      </c>
      <c r="AE289" s="5" t="s">
        <v>241</v>
      </c>
      <c r="AF289" s="5" t="s">
        <v>241</v>
      </c>
      <c r="AH289" s="5" t="s">
        <v>241</v>
      </c>
      <c r="AI289" s="5" t="s">
        <v>249</v>
      </c>
      <c r="AJ289" s="4" t="s">
        <v>251</v>
      </c>
      <c r="AK289" s="4" t="s">
        <v>252</v>
      </c>
      <c r="AQ289" s="4" t="s">
        <v>241</v>
      </c>
      <c r="AR289" s="4" t="s">
        <v>241</v>
      </c>
      <c r="AS289" s="4" t="s">
        <v>241</v>
      </c>
      <c r="AT289" s="5" t="s">
        <v>241</v>
      </c>
      <c r="AU289" s="5" t="s">
        <v>241</v>
      </c>
      <c r="AV289" s="5" t="s">
        <v>241</v>
      </c>
      <c r="AY289" s="4" t="s">
        <v>286</v>
      </c>
      <c r="AZ289" s="4" t="s">
        <v>286</v>
      </c>
      <c r="BA289" s="4" t="s">
        <v>254</v>
      </c>
      <c r="BB289" s="4" t="s">
        <v>287</v>
      </c>
      <c r="BC289" s="4" t="s">
        <v>255</v>
      </c>
      <c r="BD289" s="4" t="s">
        <v>241</v>
      </c>
      <c r="BE289" s="4" t="s">
        <v>257</v>
      </c>
      <c r="BF289" s="4" t="s">
        <v>241</v>
      </c>
      <c r="BJ289" s="4" t="s">
        <v>288</v>
      </c>
      <c r="BK289" s="5" t="s">
        <v>289</v>
      </c>
      <c r="BL289" s="4" t="s">
        <v>290</v>
      </c>
      <c r="BM289" s="4" t="s">
        <v>290</v>
      </c>
      <c r="BN289" s="4" t="s">
        <v>241</v>
      </c>
      <c r="BO289" s="6">
        <f>0</f>
        <v>0</v>
      </c>
      <c r="BP289" s="6">
        <f>-28512</f>
        <v>-28512</v>
      </c>
      <c r="BQ289" s="4" t="s">
        <v>263</v>
      </c>
      <c r="BR289" s="4" t="s">
        <v>264</v>
      </c>
      <c r="BS289" s="4" t="s">
        <v>241</v>
      </c>
      <c r="BT289" s="4" t="s">
        <v>241</v>
      </c>
      <c r="BU289" s="4" t="s">
        <v>241</v>
      </c>
      <c r="BV289" s="4" t="s">
        <v>241</v>
      </c>
      <c r="CE289" s="4" t="s">
        <v>264</v>
      </c>
      <c r="CF289" s="4" t="s">
        <v>241</v>
      </c>
      <c r="CG289" s="4" t="s">
        <v>241</v>
      </c>
      <c r="CK289" s="4" t="s">
        <v>291</v>
      </c>
      <c r="CL289" s="4" t="s">
        <v>266</v>
      </c>
      <c r="CM289" s="4" t="s">
        <v>241</v>
      </c>
      <c r="CO289" s="4" t="s">
        <v>1127</v>
      </c>
      <c r="CP289" s="5" t="s">
        <v>268</v>
      </c>
      <c r="CQ289" s="4" t="s">
        <v>269</v>
      </c>
      <c r="CR289" s="4" t="s">
        <v>270</v>
      </c>
      <c r="CS289" s="4" t="s">
        <v>293</v>
      </c>
      <c r="CT289" s="4" t="s">
        <v>241</v>
      </c>
      <c r="CU289" s="4">
        <v>2.7E-2</v>
      </c>
      <c r="CV289" s="4" t="s">
        <v>271</v>
      </c>
      <c r="CW289" s="4" t="s">
        <v>1986</v>
      </c>
      <c r="CX289" s="4" t="s">
        <v>295</v>
      </c>
      <c r="CY289" s="6">
        <f>0</f>
        <v>0</v>
      </c>
      <c r="CZ289" s="6">
        <f>1056000</f>
        <v>1056000</v>
      </c>
      <c r="DA289" s="6">
        <f>485760</f>
        <v>485760</v>
      </c>
      <c r="DC289" s="4" t="s">
        <v>241</v>
      </c>
      <c r="DD289" s="4" t="s">
        <v>241</v>
      </c>
      <c r="DF289" s="4" t="s">
        <v>241</v>
      </c>
      <c r="DG289" s="6">
        <f>0</f>
        <v>0</v>
      </c>
      <c r="DI289" s="4" t="s">
        <v>241</v>
      </c>
      <c r="DJ289" s="4" t="s">
        <v>241</v>
      </c>
      <c r="DK289" s="4" t="s">
        <v>241</v>
      </c>
      <c r="DL289" s="4" t="s">
        <v>241</v>
      </c>
      <c r="DM289" s="4" t="s">
        <v>277</v>
      </c>
      <c r="DN289" s="4" t="s">
        <v>278</v>
      </c>
      <c r="DO289" s="6">
        <f>11</f>
        <v>11</v>
      </c>
      <c r="DP289" s="4" t="s">
        <v>241</v>
      </c>
      <c r="DQ289" s="4" t="s">
        <v>241</v>
      </c>
      <c r="DR289" s="4" t="s">
        <v>241</v>
      </c>
      <c r="DS289" s="4" t="s">
        <v>241</v>
      </c>
      <c r="DV289" s="4" t="s">
        <v>2017</v>
      </c>
      <c r="DW289" s="4" t="s">
        <v>323</v>
      </c>
      <c r="GN289" s="4" t="s">
        <v>2018</v>
      </c>
      <c r="HO289" s="4" t="s">
        <v>300</v>
      </c>
      <c r="HR289" s="4" t="s">
        <v>278</v>
      </c>
      <c r="HS289" s="4" t="s">
        <v>278</v>
      </c>
      <c r="HT289" s="4" t="s">
        <v>241</v>
      </c>
      <c r="HU289" s="4" t="s">
        <v>241</v>
      </c>
      <c r="HV289" s="4" t="s">
        <v>241</v>
      </c>
      <c r="HW289" s="4" t="s">
        <v>241</v>
      </c>
      <c r="HX289" s="4" t="s">
        <v>241</v>
      </c>
      <c r="HY289" s="4" t="s">
        <v>241</v>
      </c>
      <c r="HZ289" s="4" t="s">
        <v>241</v>
      </c>
      <c r="IA289" s="4" t="s">
        <v>241</v>
      </c>
      <c r="IB289" s="4" t="s">
        <v>241</v>
      </c>
      <c r="IC289" s="4" t="s">
        <v>241</v>
      </c>
      <c r="ID289" s="4" t="s">
        <v>241</v>
      </c>
      <c r="IE289" s="4" t="s">
        <v>241</v>
      </c>
      <c r="IF289" s="4" t="s">
        <v>241</v>
      </c>
    </row>
    <row r="290" spans="1:240" x14ac:dyDescent="0.4">
      <c r="A290" s="4">
        <v>2</v>
      </c>
      <c r="B290" s="4" t="s">
        <v>239</v>
      </c>
      <c r="C290" s="4">
        <v>310</v>
      </c>
      <c r="D290" s="4">
        <v>1</v>
      </c>
      <c r="E290" s="4">
        <v>3</v>
      </c>
      <c r="F290" s="4" t="s">
        <v>240</v>
      </c>
      <c r="G290" s="4" t="s">
        <v>241</v>
      </c>
      <c r="H290" s="4" t="s">
        <v>241</v>
      </c>
      <c r="I290" s="4" t="s">
        <v>2014</v>
      </c>
      <c r="J290" s="4" t="s">
        <v>2015</v>
      </c>
      <c r="K290" s="4" t="s">
        <v>256</v>
      </c>
      <c r="L290" s="4" t="s">
        <v>429</v>
      </c>
      <c r="M290" s="5" t="s">
        <v>2016</v>
      </c>
      <c r="N290" s="4" t="s">
        <v>429</v>
      </c>
      <c r="O290" s="6">
        <f>12</f>
        <v>12</v>
      </c>
      <c r="P290" s="4" t="s">
        <v>276</v>
      </c>
      <c r="Q290" s="6">
        <f>182400</f>
        <v>182400</v>
      </c>
      <c r="R290" s="6">
        <f>1140000</f>
        <v>1140000</v>
      </c>
      <c r="S290" s="5" t="s">
        <v>1241</v>
      </c>
      <c r="T290" s="4" t="s">
        <v>274</v>
      </c>
      <c r="U290" s="4" t="s">
        <v>379</v>
      </c>
      <c r="V290" s="6">
        <f>47880</f>
        <v>47880</v>
      </c>
      <c r="W290" s="6">
        <f>957600</f>
        <v>957600</v>
      </c>
      <c r="X290" s="4" t="s">
        <v>243</v>
      </c>
      <c r="Y290" s="4" t="s">
        <v>244</v>
      </c>
      <c r="Z290" s="4" t="s">
        <v>465</v>
      </c>
      <c r="AA290" s="4" t="s">
        <v>241</v>
      </c>
      <c r="AD290" s="4" t="s">
        <v>241</v>
      </c>
      <c r="AE290" s="5" t="s">
        <v>241</v>
      </c>
      <c r="AF290" s="5" t="s">
        <v>241</v>
      </c>
      <c r="AH290" s="5" t="s">
        <v>241</v>
      </c>
      <c r="AI290" s="5" t="s">
        <v>249</v>
      </c>
      <c r="AJ290" s="4" t="s">
        <v>251</v>
      </c>
      <c r="AK290" s="4" t="s">
        <v>252</v>
      </c>
      <c r="AQ290" s="4" t="s">
        <v>241</v>
      </c>
      <c r="AR290" s="4" t="s">
        <v>241</v>
      </c>
      <c r="AS290" s="4" t="s">
        <v>241</v>
      </c>
      <c r="AT290" s="5" t="s">
        <v>241</v>
      </c>
      <c r="AU290" s="5" t="s">
        <v>241</v>
      </c>
      <c r="AV290" s="5" t="s">
        <v>241</v>
      </c>
      <c r="AY290" s="4" t="s">
        <v>286</v>
      </c>
      <c r="AZ290" s="4" t="s">
        <v>286</v>
      </c>
      <c r="BA290" s="4" t="s">
        <v>254</v>
      </c>
      <c r="BB290" s="4" t="s">
        <v>287</v>
      </c>
      <c r="BC290" s="4" t="s">
        <v>255</v>
      </c>
      <c r="BD290" s="4" t="s">
        <v>241</v>
      </c>
      <c r="BE290" s="4" t="s">
        <v>257</v>
      </c>
      <c r="BF290" s="4" t="s">
        <v>241</v>
      </c>
      <c r="BJ290" s="4" t="s">
        <v>288</v>
      </c>
      <c r="BK290" s="5" t="s">
        <v>289</v>
      </c>
      <c r="BL290" s="4" t="s">
        <v>290</v>
      </c>
      <c r="BM290" s="4" t="s">
        <v>290</v>
      </c>
      <c r="BN290" s="4" t="s">
        <v>241</v>
      </c>
      <c r="BO290" s="6">
        <f>0</f>
        <v>0</v>
      </c>
      <c r="BP290" s="6">
        <f>-47880</f>
        <v>-47880</v>
      </c>
      <c r="BQ290" s="4" t="s">
        <v>263</v>
      </c>
      <c r="BR290" s="4" t="s">
        <v>264</v>
      </c>
      <c r="BS290" s="4" t="s">
        <v>241</v>
      </c>
      <c r="BT290" s="4" t="s">
        <v>241</v>
      </c>
      <c r="BU290" s="4" t="s">
        <v>241</v>
      </c>
      <c r="BV290" s="4" t="s">
        <v>241</v>
      </c>
      <c r="CE290" s="4" t="s">
        <v>264</v>
      </c>
      <c r="CF290" s="4" t="s">
        <v>241</v>
      </c>
      <c r="CG290" s="4" t="s">
        <v>241</v>
      </c>
      <c r="CK290" s="4" t="s">
        <v>291</v>
      </c>
      <c r="CL290" s="4" t="s">
        <v>266</v>
      </c>
      <c r="CM290" s="4" t="s">
        <v>241</v>
      </c>
      <c r="CO290" s="4" t="s">
        <v>1127</v>
      </c>
      <c r="CP290" s="5" t="s">
        <v>268</v>
      </c>
      <c r="CQ290" s="4" t="s">
        <v>269</v>
      </c>
      <c r="CR290" s="4" t="s">
        <v>270</v>
      </c>
      <c r="CS290" s="4" t="s">
        <v>293</v>
      </c>
      <c r="CT290" s="4" t="s">
        <v>241</v>
      </c>
      <c r="CU290" s="4">
        <v>4.2000000000000003E-2</v>
      </c>
      <c r="CV290" s="4" t="s">
        <v>271</v>
      </c>
      <c r="CW290" s="4" t="s">
        <v>272</v>
      </c>
      <c r="CX290" s="4" t="s">
        <v>273</v>
      </c>
      <c r="CY290" s="6">
        <f>0</f>
        <v>0</v>
      </c>
      <c r="CZ290" s="6">
        <f>1140000</f>
        <v>1140000</v>
      </c>
      <c r="DA290" s="6">
        <f>182400</f>
        <v>182400</v>
      </c>
      <c r="DC290" s="4" t="s">
        <v>241</v>
      </c>
      <c r="DD290" s="4" t="s">
        <v>241</v>
      </c>
      <c r="DF290" s="4" t="s">
        <v>241</v>
      </c>
      <c r="DG290" s="6">
        <f>0</f>
        <v>0</v>
      </c>
      <c r="DI290" s="4" t="s">
        <v>241</v>
      </c>
      <c r="DJ290" s="4" t="s">
        <v>241</v>
      </c>
      <c r="DK290" s="4" t="s">
        <v>241</v>
      </c>
      <c r="DL290" s="4" t="s">
        <v>241</v>
      </c>
      <c r="DM290" s="4" t="s">
        <v>277</v>
      </c>
      <c r="DN290" s="4" t="s">
        <v>278</v>
      </c>
      <c r="DO290" s="6">
        <f>12</f>
        <v>12</v>
      </c>
      <c r="DP290" s="4" t="s">
        <v>241</v>
      </c>
      <c r="DQ290" s="4" t="s">
        <v>241</v>
      </c>
      <c r="DR290" s="4" t="s">
        <v>241</v>
      </c>
      <c r="DS290" s="4" t="s">
        <v>241</v>
      </c>
      <c r="DV290" s="4" t="s">
        <v>2017</v>
      </c>
      <c r="DW290" s="4" t="s">
        <v>297</v>
      </c>
      <c r="GN290" s="4" t="s">
        <v>3579</v>
      </c>
      <c r="HO290" s="4" t="s">
        <v>300</v>
      </c>
      <c r="HR290" s="4" t="s">
        <v>278</v>
      </c>
      <c r="HS290" s="4" t="s">
        <v>278</v>
      </c>
      <c r="HT290" s="4" t="s">
        <v>241</v>
      </c>
      <c r="HU290" s="4" t="s">
        <v>241</v>
      </c>
      <c r="HV290" s="4" t="s">
        <v>241</v>
      </c>
      <c r="HW290" s="4" t="s">
        <v>241</v>
      </c>
      <c r="HX290" s="4" t="s">
        <v>241</v>
      </c>
      <c r="HY290" s="4" t="s">
        <v>241</v>
      </c>
      <c r="HZ290" s="4" t="s">
        <v>241</v>
      </c>
      <c r="IA290" s="4" t="s">
        <v>241</v>
      </c>
      <c r="IB290" s="4" t="s">
        <v>241</v>
      </c>
      <c r="IC290" s="4" t="s">
        <v>241</v>
      </c>
      <c r="ID290" s="4" t="s">
        <v>241</v>
      </c>
      <c r="IE290" s="4" t="s">
        <v>241</v>
      </c>
      <c r="IF290" s="4" t="s">
        <v>241</v>
      </c>
    </row>
    <row r="291" spans="1:240" x14ac:dyDescent="0.4">
      <c r="A291" s="4">
        <v>2</v>
      </c>
      <c r="B291" s="4" t="s">
        <v>239</v>
      </c>
      <c r="C291" s="4">
        <v>311</v>
      </c>
      <c r="D291" s="4">
        <v>1</v>
      </c>
      <c r="E291" s="4">
        <v>3</v>
      </c>
      <c r="F291" s="4" t="s">
        <v>326</v>
      </c>
      <c r="G291" s="4" t="s">
        <v>241</v>
      </c>
      <c r="H291" s="4" t="s">
        <v>241</v>
      </c>
      <c r="I291" s="4" t="s">
        <v>2014</v>
      </c>
      <c r="J291" s="4" t="s">
        <v>2015</v>
      </c>
      <c r="K291" s="4" t="s">
        <v>256</v>
      </c>
      <c r="L291" s="4" t="s">
        <v>241</v>
      </c>
      <c r="M291" s="5" t="s">
        <v>2016</v>
      </c>
      <c r="N291" s="4" t="s">
        <v>2875</v>
      </c>
      <c r="O291" s="6">
        <f>0</f>
        <v>0</v>
      </c>
      <c r="P291" s="4" t="s">
        <v>276</v>
      </c>
      <c r="Q291" s="6">
        <f>3105000</f>
        <v>3105000</v>
      </c>
      <c r="R291" s="6">
        <f>4968000</f>
        <v>4968000</v>
      </c>
      <c r="S291" s="5" t="s">
        <v>2876</v>
      </c>
      <c r="T291" s="4" t="s">
        <v>343</v>
      </c>
      <c r="U291" s="4" t="s">
        <v>323</v>
      </c>
      <c r="V291" s="6">
        <f>621000</f>
        <v>621000</v>
      </c>
      <c r="W291" s="6">
        <f>1863000</f>
        <v>1863000</v>
      </c>
      <c r="X291" s="4" t="s">
        <v>243</v>
      </c>
      <c r="Y291" s="4" t="s">
        <v>244</v>
      </c>
      <c r="Z291" s="4" t="s">
        <v>241</v>
      </c>
      <c r="AA291" s="4" t="s">
        <v>241</v>
      </c>
      <c r="AD291" s="4" t="s">
        <v>241</v>
      </c>
      <c r="AE291" s="5" t="s">
        <v>241</v>
      </c>
      <c r="AF291" s="5" t="s">
        <v>241</v>
      </c>
      <c r="AH291" s="5" t="s">
        <v>241</v>
      </c>
      <c r="AI291" s="5" t="s">
        <v>249</v>
      </c>
      <c r="AJ291" s="4" t="s">
        <v>251</v>
      </c>
      <c r="AK291" s="4" t="s">
        <v>252</v>
      </c>
      <c r="AQ291" s="4" t="s">
        <v>241</v>
      </c>
      <c r="AR291" s="4" t="s">
        <v>241</v>
      </c>
      <c r="AS291" s="4" t="s">
        <v>241</v>
      </c>
      <c r="AT291" s="5" t="s">
        <v>241</v>
      </c>
      <c r="AU291" s="5" t="s">
        <v>241</v>
      </c>
      <c r="AV291" s="5" t="s">
        <v>241</v>
      </c>
      <c r="AY291" s="4" t="s">
        <v>286</v>
      </c>
      <c r="AZ291" s="4" t="s">
        <v>286</v>
      </c>
      <c r="BA291" s="4" t="s">
        <v>254</v>
      </c>
      <c r="BB291" s="4" t="s">
        <v>287</v>
      </c>
      <c r="BC291" s="4" t="s">
        <v>255</v>
      </c>
      <c r="BD291" s="4" t="s">
        <v>241</v>
      </c>
      <c r="BE291" s="4" t="s">
        <v>257</v>
      </c>
      <c r="BF291" s="4" t="s">
        <v>241</v>
      </c>
      <c r="BJ291" s="4" t="s">
        <v>288</v>
      </c>
      <c r="BK291" s="5" t="s">
        <v>289</v>
      </c>
      <c r="BL291" s="4" t="s">
        <v>290</v>
      </c>
      <c r="BM291" s="4" t="s">
        <v>290</v>
      </c>
      <c r="BN291" s="4" t="s">
        <v>241</v>
      </c>
      <c r="BP291" s="6">
        <f>-621000</f>
        <v>-621000</v>
      </c>
      <c r="BQ291" s="4" t="s">
        <v>263</v>
      </c>
      <c r="BR291" s="4" t="s">
        <v>264</v>
      </c>
      <c r="BS291" s="4" t="s">
        <v>241</v>
      </c>
      <c r="BT291" s="4" t="s">
        <v>241</v>
      </c>
      <c r="BU291" s="4" t="s">
        <v>241</v>
      </c>
      <c r="BV291" s="4" t="s">
        <v>241</v>
      </c>
      <c r="CE291" s="4" t="s">
        <v>264</v>
      </c>
      <c r="CF291" s="4" t="s">
        <v>241</v>
      </c>
      <c r="CG291" s="4" t="s">
        <v>241</v>
      </c>
      <c r="CK291" s="4" t="s">
        <v>291</v>
      </c>
      <c r="CL291" s="4" t="s">
        <v>266</v>
      </c>
      <c r="CM291" s="4" t="s">
        <v>241</v>
      </c>
      <c r="CO291" s="4" t="s">
        <v>421</v>
      </c>
      <c r="CP291" s="5" t="s">
        <v>268</v>
      </c>
      <c r="CQ291" s="4" t="s">
        <v>269</v>
      </c>
      <c r="CR291" s="4" t="s">
        <v>270</v>
      </c>
      <c r="CS291" s="4" t="s">
        <v>293</v>
      </c>
      <c r="CT291" s="4" t="s">
        <v>241</v>
      </c>
      <c r="CU291" s="4">
        <v>0.125</v>
      </c>
      <c r="CV291" s="4" t="s">
        <v>271</v>
      </c>
      <c r="CW291" s="4" t="s">
        <v>415</v>
      </c>
      <c r="CX291" s="4" t="s">
        <v>2643</v>
      </c>
      <c r="CY291" s="6">
        <f>0</f>
        <v>0</v>
      </c>
      <c r="CZ291" s="6">
        <f>4968000</f>
        <v>4968000</v>
      </c>
      <c r="DA291" s="6">
        <f>3105000</f>
        <v>3105000</v>
      </c>
      <c r="DC291" s="4" t="s">
        <v>241</v>
      </c>
      <c r="DD291" s="4" t="s">
        <v>241</v>
      </c>
      <c r="DF291" s="4" t="s">
        <v>241</v>
      </c>
      <c r="DG291" s="6">
        <f>0</f>
        <v>0</v>
      </c>
      <c r="DI291" s="4" t="s">
        <v>241</v>
      </c>
      <c r="DJ291" s="4" t="s">
        <v>241</v>
      </c>
      <c r="DK291" s="4" t="s">
        <v>241</v>
      </c>
      <c r="DL291" s="4" t="s">
        <v>241</v>
      </c>
      <c r="DM291" s="4" t="s">
        <v>278</v>
      </c>
      <c r="DN291" s="4" t="s">
        <v>278</v>
      </c>
      <c r="DO291" s="6" t="s">
        <v>241</v>
      </c>
      <c r="DP291" s="4" t="s">
        <v>241</v>
      </c>
      <c r="DQ291" s="4" t="s">
        <v>241</v>
      </c>
      <c r="DR291" s="4" t="s">
        <v>241</v>
      </c>
      <c r="DS291" s="4" t="s">
        <v>241</v>
      </c>
      <c r="DV291" s="4" t="s">
        <v>2017</v>
      </c>
      <c r="DW291" s="4" t="s">
        <v>336</v>
      </c>
      <c r="GN291" s="4" t="s">
        <v>2877</v>
      </c>
      <c r="HO291" s="4" t="s">
        <v>336</v>
      </c>
      <c r="HR291" s="4" t="s">
        <v>278</v>
      </c>
      <c r="HS291" s="4" t="s">
        <v>278</v>
      </c>
      <c r="HT291" s="4" t="s">
        <v>241</v>
      </c>
      <c r="HU291" s="4" t="s">
        <v>241</v>
      </c>
      <c r="HV291" s="4" t="s">
        <v>241</v>
      </c>
      <c r="HW291" s="4" t="s">
        <v>241</v>
      </c>
      <c r="HX291" s="4" t="s">
        <v>241</v>
      </c>
      <c r="HY291" s="4" t="s">
        <v>241</v>
      </c>
      <c r="HZ291" s="4" t="s">
        <v>241</v>
      </c>
      <c r="IA291" s="4" t="s">
        <v>241</v>
      </c>
      <c r="IB291" s="4" t="s">
        <v>241</v>
      </c>
      <c r="IC291" s="4" t="s">
        <v>241</v>
      </c>
      <c r="ID291" s="4" t="s">
        <v>241</v>
      </c>
      <c r="IE291" s="4" t="s">
        <v>241</v>
      </c>
      <c r="IF291" s="4" t="s">
        <v>241</v>
      </c>
    </row>
    <row r="292" spans="1:240" x14ac:dyDescent="0.4">
      <c r="A292" s="4">
        <v>2</v>
      </c>
      <c r="B292" s="4" t="s">
        <v>239</v>
      </c>
      <c r="C292" s="4">
        <v>312</v>
      </c>
      <c r="D292" s="4">
        <v>1</v>
      </c>
      <c r="E292" s="4">
        <v>3</v>
      </c>
      <c r="F292" s="4" t="s">
        <v>326</v>
      </c>
      <c r="G292" s="4" t="s">
        <v>241</v>
      </c>
      <c r="H292" s="4" t="s">
        <v>241</v>
      </c>
      <c r="I292" s="4" t="s">
        <v>2014</v>
      </c>
      <c r="J292" s="4" t="s">
        <v>2015</v>
      </c>
      <c r="K292" s="4" t="s">
        <v>256</v>
      </c>
      <c r="L292" s="4" t="s">
        <v>241</v>
      </c>
      <c r="M292" s="5" t="s">
        <v>2016</v>
      </c>
      <c r="N292" s="4" t="s">
        <v>2873</v>
      </c>
      <c r="O292" s="6">
        <f>0</f>
        <v>0</v>
      </c>
      <c r="P292" s="4" t="s">
        <v>276</v>
      </c>
      <c r="Q292" s="6">
        <f>396945</f>
        <v>396945</v>
      </c>
      <c r="R292" s="6">
        <f>496800</f>
        <v>496800</v>
      </c>
      <c r="S292" s="5" t="s">
        <v>757</v>
      </c>
      <c r="T292" s="4" t="s">
        <v>348</v>
      </c>
      <c r="U292" s="4" t="s">
        <v>323</v>
      </c>
      <c r="V292" s="6">
        <f>33285</f>
        <v>33285</v>
      </c>
      <c r="W292" s="6">
        <f>99855</f>
        <v>99855</v>
      </c>
      <c r="X292" s="4" t="s">
        <v>243</v>
      </c>
      <c r="Y292" s="4" t="s">
        <v>244</v>
      </c>
      <c r="Z292" s="4" t="s">
        <v>241</v>
      </c>
      <c r="AA292" s="4" t="s">
        <v>241</v>
      </c>
      <c r="AD292" s="4" t="s">
        <v>241</v>
      </c>
      <c r="AE292" s="5" t="s">
        <v>241</v>
      </c>
      <c r="AF292" s="5" t="s">
        <v>241</v>
      </c>
      <c r="AH292" s="5" t="s">
        <v>241</v>
      </c>
      <c r="AI292" s="5" t="s">
        <v>249</v>
      </c>
      <c r="AJ292" s="4" t="s">
        <v>251</v>
      </c>
      <c r="AK292" s="4" t="s">
        <v>252</v>
      </c>
      <c r="AQ292" s="4" t="s">
        <v>241</v>
      </c>
      <c r="AR292" s="4" t="s">
        <v>241</v>
      </c>
      <c r="AS292" s="4" t="s">
        <v>241</v>
      </c>
      <c r="AT292" s="5" t="s">
        <v>241</v>
      </c>
      <c r="AU292" s="5" t="s">
        <v>241</v>
      </c>
      <c r="AV292" s="5" t="s">
        <v>241</v>
      </c>
      <c r="AY292" s="4" t="s">
        <v>286</v>
      </c>
      <c r="AZ292" s="4" t="s">
        <v>286</v>
      </c>
      <c r="BA292" s="4" t="s">
        <v>254</v>
      </c>
      <c r="BB292" s="4" t="s">
        <v>287</v>
      </c>
      <c r="BC292" s="4" t="s">
        <v>255</v>
      </c>
      <c r="BD292" s="4" t="s">
        <v>241</v>
      </c>
      <c r="BE292" s="4" t="s">
        <v>257</v>
      </c>
      <c r="BF292" s="4" t="s">
        <v>241</v>
      </c>
      <c r="BJ292" s="4" t="s">
        <v>288</v>
      </c>
      <c r="BK292" s="5" t="s">
        <v>289</v>
      </c>
      <c r="BL292" s="4" t="s">
        <v>290</v>
      </c>
      <c r="BM292" s="4" t="s">
        <v>290</v>
      </c>
      <c r="BN292" s="4" t="s">
        <v>241</v>
      </c>
      <c r="BP292" s="6">
        <f>-33285</f>
        <v>-33285</v>
      </c>
      <c r="BQ292" s="4" t="s">
        <v>263</v>
      </c>
      <c r="BR292" s="4" t="s">
        <v>264</v>
      </c>
      <c r="BS292" s="4" t="s">
        <v>241</v>
      </c>
      <c r="BT292" s="4" t="s">
        <v>241</v>
      </c>
      <c r="BU292" s="4" t="s">
        <v>241</v>
      </c>
      <c r="BV292" s="4" t="s">
        <v>241</v>
      </c>
      <c r="CE292" s="4" t="s">
        <v>264</v>
      </c>
      <c r="CF292" s="4" t="s">
        <v>241</v>
      </c>
      <c r="CG292" s="4" t="s">
        <v>241</v>
      </c>
      <c r="CK292" s="4" t="s">
        <v>291</v>
      </c>
      <c r="CL292" s="4" t="s">
        <v>266</v>
      </c>
      <c r="CM292" s="4" t="s">
        <v>241</v>
      </c>
      <c r="CO292" s="4" t="s">
        <v>421</v>
      </c>
      <c r="CP292" s="5" t="s">
        <v>268</v>
      </c>
      <c r="CQ292" s="4" t="s">
        <v>269</v>
      </c>
      <c r="CR292" s="4" t="s">
        <v>270</v>
      </c>
      <c r="CS292" s="4" t="s">
        <v>293</v>
      </c>
      <c r="CT292" s="4" t="s">
        <v>241</v>
      </c>
      <c r="CU292" s="4">
        <v>6.7000000000000004E-2</v>
      </c>
      <c r="CV292" s="4" t="s">
        <v>271</v>
      </c>
      <c r="CW292" s="4" t="s">
        <v>415</v>
      </c>
      <c r="CX292" s="4" t="s">
        <v>416</v>
      </c>
      <c r="CY292" s="6">
        <f>0</f>
        <v>0</v>
      </c>
      <c r="CZ292" s="6">
        <f>496800</f>
        <v>496800</v>
      </c>
      <c r="DA292" s="6">
        <f>396945</f>
        <v>396945</v>
      </c>
      <c r="DC292" s="4" t="s">
        <v>241</v>
      </c>
      <c r="DD292" s="4" t="s">
        <v>241</v>
      </c>
      <c r="DF292" s="4" t="s">
        <v>241</v>
      </c>
      <c r="DG292" s="6">
        <f>0</f>
        <v>0</v>
      </c>
      <c r="DI292" s="4" t="s">
        <v>241</v>
      </c>
      <c r="DJ292" s="4" t="s">
        <v>241</v>
      </c>
      <c r="DK292" s="4" t="s">
        <v>241</v>
      </c>
      <c r="DL292" s="4" t="s">
        <v>241</v>
      </c>
      <c r="DM292" s="4" t="s">
        <v>278</v>
      </c>
      <c r="DN292" s="4" t="s">
        <v>278</v>
      </c>
      <c r="DO292" s="6" t="s">
        <v>241</v>
      </c>
      <c r="DP292" s="4" t="s">
        <v>241</v>
      </c>
      <c r="DQ292" s="4" t="s">
        <v>241</v>
      </c>
      <c r="DR292" s="4" t="s">
        <v>241</v>
      </c>
      <c r="DS292" s="4" t="s">
        <v>241</v>
      </c>
      <c r="DV292" s="4" t="s">
        <v>2017</v>
      </c>
      <c r="DW292" s="4" t="s">
        <v>351</v>
      </c>
      <c r="GN292" s="4" t="s">
        <v>2874</v>
      </c>
      <c r="HO292" s="4" t="s">
        <v>336</v>
      </c>
      <c r="HR292" s="4" t="s">
        <v>278</v>
      </c>
      <c r="HS292" s="4" t="s">
        <v>278</v>
      </c>
      <c r="HT292" s="4" t="s">
        <v>241</v>
      </c>
      <c r="HU292" s="4" t="s">
        <v>241</v>
      </c>
      <c r="HV292" s="4" t="s">
        <v>241</v>
      </c>
      <c r="HW292" s="4" t="s">
        <v>241</v>
      </c>
      <c r="HX292" s="4" t="s">
        <v>241</v>
      </c>
      <c r="HY292" s="4" t="s">
        <v>241</v>
      </c>
      <c r="HZ292" s="4" t="s">
        <v>241</v>
      </c>
      <c r="IA292" s="4" t="s">
        <v>241</v>
      </c>
      <c r="IB292" s="4" t="s">
        <v>241</v>
      </c>
      <c r="IC292" s="4" t="s">
        <v>241</v>
      </c>
      <c r="ID292" s="4" t="s">
        <v>241</v>
      </c>
      <c r="IE292" s="4" t="s">
        <v>241</v>
      </c>
      <c r="IF292" s="4" t="s">
        <v>241</v>
      </c>
    </row>
    <row r="293" spans="1:240" x14ac:dyDescent="0.4">
      <c r="A293" s="4">
        <v>2</v>
      </c>
      <c r="B293" s="4" t="s">
        <v>239</v>
      </c>
      <c r="C293" s="4">
        <v>313</v>
      </c>
      <c r="D293" s="4">
        <v>1</v>
      </c>
      <c r="E293" s="4">
        <v>3</v>
      </c>
      <c r="F293" s="4" t="s">
        <v>326</v>
      </c>
      <c r="G293" s="4" t="s">
        <v>241</v>
      </c>
      <c r="H293" s="4" t="s">
        <v>241</v>
      </c>
      <c r="I293" s="4" t="s">
        <v>2014</v>
      </c>
      <c r="J293" s="4" t="s">
        <v>2015</v>
      </c>
      <c r="K293" s="4" t="s">
        <v>256</v>
      </c>
      <c r="L293" s="4" t="s">
        <v>241</v>
      </c>
      <c r="M293" s="5" t="s">
        <v>2016</v>
      </c>
      <c r="N293" s="4" t="s">
        <v>2870</v>
      </c>
      <c r="O293" s="6">
        <f>0</f>
        <v>0</v>
      </c>
      <c r="P293" s="4" t="s">
        <v>276</v>
      </c>
      <c r="Q293" s="6">
        <f>4161996</f>
        <v>4161996</v>
      </c>
      <c r="R293" s="6">
        <f>4806000</f>
        <v>4806000</v>
      </c>
      <c r="S293" s="5" t="s">
        <v>2871</v>
      </c>
      <c r="T293" s="4" t="s">
        <v>348</v>
      </c>
      <c r="U293" s="4" t="s">
        <v>277</v>
      </c>
      <c r="V293" s="6">
        <f>322002</f>
        <v>322002</v>
      </c>
      <c r="W293" s="6">
        <f>644004</f>
        <v>644004</v>
      </c>
      <c r="X293" s="4" t="s">
        <v>243</v>
      </c>
      <c r="Y293" s="4" t="s">
        <v>244</v>
      </c>
      <c r="Z293" s="4" t="s">
        <v>241</v>
      </c>
      <c r="AA293" s="4" t="s">
        <v>241</v>
      </c>
      <c r="AD293" s="4" t="s">
        <v>241</v>
      </c>
      <c r="AE293" s="5" t="s">
        <v>241</v>
      </c>
      <c r="AF293" s="5" t="s">
        <v>241</v>
      </c>
      <c r="AH293" s="5" t="s">
        <v>241</v>
      </c>
      <c r="AI293" s="5" t="s">
        <v>249</v>
      </c>
      <c r="AJ293" s="4" t="s">
        <v>251</v>
      </c>
      <c r="AK293" s="4" t="s">
        <v>252</v>
      </c>
      <c r="AQ293" s="4" t="s">
        <v>241</v>
      </c>
      <c r="AR293" s="4" t="s">
        <v>241</v>
      </c>
      <c r="AS293" s="4" t="s">
        <v>241</v>
      </c>
      <c r="AT293" s="5" t="s">
        <v>241</v>
      </c>
      <c r="AU293" s="5" t="s">
        <v>241</v>
      </c>
      <c r="AV293" s="5" t="s">
        <v>241</v>
      </c>
      <c r="AY293" s="4" t="s">
        <v>286</v>
      </c>
      <c r="AZ293" s="4" t="s">
        <v>286</v>
      </c>
      <c r="BA293" s="4" t="s">
        <v>254</v>
      </c>
      <c r="BB293" s="4" t="s">
        <v>287</v>
      </c>
      <c r="BC293" s="4" t="s">
        <v>255</v>
      </c>
      <c r="BD293" s="4" t="s">
        <v>241</v>
      </c>
      <c r="BE293" s="4" t="s">
        <v>257</v>
      </c>
      <c r="BF293" s="4" t="s">
        <v>241</v>
      </c>
      <c r="BJ293" s="4" t="s">
        <v>288</v>
      </c>
      <c r="BK293" s="5" t="s">
        <v>289</v>
      </c>
      <c r="BL293" s="4" t="s">
        <v>290</v>
      </c>
      <c r="BM293" s="4" t="s">
        <v>290</v>
      </c>
      <c r="BN293" s="4" t="s">
        <v>241</v>
      </c>
      <c r="BP293" s="6">
        <f>-322002</f>
        <v>-322002</v>
      </c>
      <c r="BQ293" s="4" t="s">
        <v>263</v>
      </c>
      <c r="BR293" s="4" t="s">
        <v>264</v>
      </c>
      <c r="BS293" s="4" t="s">
        <v>241</v>
      </c>
      <c r="BT293" s="4" t="s">
        <v>241</v>
      </c>
      <c r="BU293" s="4" t="s">
        <v>241</v>
      </c>
      <c r="BV293" s="4" t="s">
        <v>241</v>
      </c>
      <c r="CE293" s="4" t="s">
        <v>264</v>
      </c>
      <c r="CF293" s="4" t="s">
        <v>241</v>
      </c>
      <c r="CG293" s="4" t="s">
        <v>241</v>
      </c>
      <c r="CK293" s="4" t="s">
        <v>291</v>
      </c>
      <c r="CL293" s="4" t="s">
        <v>266</v>
      </c>
      <c r="CM293" s="4" t="s">
        <v>241</v>
      </c>
      <c r="CO293" s="4" t="s">
        <v>331</v>
      </c>
      <c r="CP293" s="5" t="s">
        <v>268</v>
      </c>
      <c r="CQ293" s="4" t="s">
        <v>269</v>
      </c>
      <c r="CR293" s="4" t="s">
        <v>270</v>
      </c>
      <c r="CS293" s="4" t="s">
        <v>293</v>
      </c>
      <c r="CT293" s="4" t="s">
        <v>241</v>
      </c>
      <c r="CU293" s="4">
        <v>6.7000000000000004E-2</v>
      </c>
      <c r="CV293" s="4" t="s">
        <v>271</v>
      </c>
      <c r="CW293" s="4" t="s">
        <v>415</v>
      </c>
      <c r="CX293" s="4" t="s">
        <v>416</v>
      </c>
      <c r="CY293" s="6">
        <f>0</f>
        <v>0</v>
      </c>
      <c r="CZ293" s="6">
        <f>4806000</f>
        <v>4806000</v>
      </c>
      <c r="DA293" s="6">
        <f>4161996</f>
        <v>4161996</v>
      </c>
      <c r="DC293" s="4" t="s">
        <v>241</v>
      </c>
      <c r="DD293" s="4" t="s">
        <v>241</v>
      </c>
      <c r="DF293" s="4" t="s">
        <v>241</v>
      </c>
      <c r="DG293" s="6">
        <f>0</f>
        <v>0</v>
      </c>
      <c r="DI293" s="4" t="s">
        <v>241</v>
      </c>
      <c r="DJ293" s="4" t="s">
        <v>241</v>
      </c>
      <c r="DK293" s="4" t="s">
        <v>241</v>
      </c>
      <c r="DL293" s="4" t="s">
        <v>241</v>
      </c>
      <c r="DM293" s="4" t="s">
        <v>278</v>
      </c>
      <c r="DN293" s="4" t="s">
        <v>278</v>
      </c>
      <c r="DO293" s="6" t="s">
        <v>241</v>
      </c>
      <c r="DP293" s="4" t="s">
        <v>241</v>
      </c>
      <c r="DQ293" s="4" t="s">
        <v>241</v>
      </c>
      <c r="DR293" s="4" t="s">
        <v>241</v>
      </c>
      <c r="DS293" s="4" t="s">
        <v>241</v>
      </c>
      <c r="DV293" s="4" t="s">
        <v>2017</v>
      </c>
      <c r="DW293" s="4" t="s">
        <v>300</v>
      </c>
      <c r="GN293" s="4" t="s">
        <v>2872</v>
      </c>
      <c r="HO293" s="4" t="s">
        <v>297</v>
      </c>
      <c r="HR293" s="4" t="s">
        <v>278</v>
      </c>
      <c r="HS293" s="4" t="s">
        <v>278</v>
      </c>
      <c r="HT293" s="4" t="s">
        <v>241</v>
      </c>
      <c r="HU293" s="4" t="s">
        <v>241</v>
      </c>
      <c r="HV293" s="4" t="s">
        <v>241</v>
      </c>
      <c r="HW293" s="4" t="s">
        <v>241</v>
      </c>
      <c r="HX293" s="4" t="s">
        <v>241</v>
      </c>
      <c r="HY293" s="4" t="s">
        <v>241</v>
      </c>
      <c r="HZ293" s="4" t="s">
        <v>241</v>
      </c>
      <c r="IA293" s="4" t="s">
        <v>241</v>
      </c>
      <c r="IB293" s="4" t="s">
        <v>241</v>
      </c>
      <c r="IC293" s="4" t="s">
        <v>241</v>
      </c>
      <c r="ID293" s="4" t="s">
        <v>241</v>
      </c>
      <c r="IE293" s="4" t="s">
        <v>241</v>
      </c>
      <c r="IF293" s="4" t="s">
        <v>241</v>
      </c>
    </row>
    <row r="294" spans="1:240" x14ac:dyDescent="0.4">
      <c r="A294" s="4">
        <v>2</v>
      </c>
      <c r="B294" s="4" t="s">
        <v>239</v>
      </c>
      <c r="C294" s="4">
        <v>314</v>
      </c>
      <c r="D294" s="4">
        <v>1</v>
      </c>
      <c r="E294" s="4">
        <v>3</v>
      </c>
      <c r="F294" s="4" t="s">
        <v>326</v>
      </c>
      <c r="G294" s="4" t="s">
        <v>241</v>
      </c>
      <c r="H294" s="4" t="s">
        <v>241</v>
      </c>
      <c r="I294" s="4" t="s">
        <v>2014</v>
      </c>
      <c r="J294" s="4" t="s">
        <v>2015</v>
      </c>
      <c r="K294" s="4" t="s">
        <v>256</v>
      </c>
      <c r="L294" s="4" t="s">
        <v>241</v>
      </c>
      <c r="M294" s="5" t="s">
        <v>2016</v>
      </c>
      <c r="N294" s="4" t="s">
        <v>2867</v>
      </c>
      <c r="O294" s="6">
        <f>0</f>
        <v>0</v>
      </c>
      <c r="P294" s="4" t="s">
        <v>276</v>
      </c>
      <c r="Q294" s="6">
        <f>62672160</f>
        <v>62672160</v>
      </c>
      <c r="R294" s="6">
        <f>66390000</f>
        <v>66390000</v>
      </c>
      <c r="S294" s="5" t="s">
        <v>2868</v>
      </c>
      <c r="T294" s="4" t="s">
        <v>365</v>
      </c>
      <c r="U294" s="4" t="s">
        <v>278</v>
      </c>
      <c r="V294" s="6">
        <f>3717840</f>
        <v>3717840</v>
      </c>
      <c r="W294" s="6">
        <f>3717840</f>
        <v>3717840</v>
      </c>
      <c r="X294" s="4" t="s">
        <v>243</v>
      </c>
      <c r="Y294" s="4" t="s">
        <v>244</v>
      </c>
      <c r="Z294" s="4" t="s">
        <v>241</v>
      </c>
      <c r="AA294" s="4" t="s">
        <v>241</v>
      </c>
      <c r="AD294" s="4" t="s">
        <v>241</v>
      </c>
      <c r="AE294" s="5" t="s">
        <v>241</v>
      </c>
      <c r="AF294" s="5" t="s">
        <v>241</v>
      </c>
      <c r="AH294" s="5" t="s">
        <v>241</v>
      </c>
      <c r="AI294" s="5" t="s">
        <v>249</v>
      </c>
      <c r="AJ294" s="4" t="s">
        <v>251</v>
      </c>
      <c r="AK294" s="4" t="s">
        <v>252</v>
      </c>
      <c r="AQ294" s="4" t="s">
        <v>241</v>
      </c>
      <c r="AR294" s="4" t="s">
        <v>241</v>
      </c>
      <c r="AS294" s="4" t="s">
        <v>241</v>
      </c>
      <c r="AT294" s="5" t="s">
        <v>241</v>
      </c>
      <c r="AU294" s="5" t="s">
        <v>241</v>
      </c>
      <c r="AV294" s="5" t="s">
        <v>241</v>
      </c>
      <c r="AY294" s="4" t="s">
        <v>286</v>
      </c>
      <c r="AZ294" s="4" t="s">
        <v>286</v>
      </c>
      <c r="BA294" s="4" t="s">
        <v>254</v>
      </c>
      <c r="BB294" s="4" t="s">
        <v>287</v>
      </c>
      <c r="BC294" s="4" t="s">
        <v>255</v>
      </c>
      <c r="BD294" s="4" t="s">
        <v>241</v>
      </c>
      <c r="BE294" s="4" t="s">
        <v>257</v>
      </c>
      <c r="BF294" s="4" t="s">
        <v>241</v>
      </c>
      <c r="BJ294" s="4" t="s">
        <v>288</v>
      </c>
      <c r="BK294" s="5" t="s">
        <v>289</v>
      </c>
      <c r="BL294" s="4" t="s">
        <v>290</v>
      </c>
      <c r="BM294" s="4" t="s">
        <v>290</v>
      </c>
      <c r="BN294" s="4" t="s">
        <v>241</v>
      </c>
      <c r="BP294" s="6">
        <f>-3717840</f>
        <v>-3717840</v>
      </c>
      <c r="BQ294" s="4" t="s">
        <v>263</v>
      </c>
      <c r="BR294" s="4" t="s">
        <v>264</v>
      </c>
      <c r="BS294" s="4" t="s">
        <v>241</v>
      </c>
      <c r="BT294" s="4" t="s">
        <v>241</v>
      </c>
      <c r="BU294" s="4" t="s">
        <v>241</v>
      </c>
      <c r="BV294" s="4" t="s">
        <v>241</v>
      </c>
      <c r="CE294" s="4" t="s">
        <v>264</v>
      </c>
      <c r="CF294" s="4" t="s">
        <v>241</v>
      </c>
      <c r="CG294" s="4" t="s">
        <v>241</v>
      </c>
      <c r="CK294" s="4" t="s">
        <v>291</v>
      </c>
      <c r="CL294" s="4" t="s">
        <v>266</v>
      </c>
      <c r="CM294" s="4" t="s">
        <v>241</v>
      </c>
      <c r="CO294" s="4" t="s">
        <v>426</v>
      </c>
      <c r="CP294" s="5" t="s">
        <v>268</v>
      </c>
      <c r="CQ294" s="4" t="s">
        <v>269</v>
      </c>
      <c r="CR294" s="4" t="s">
        <v>270</v>
      </c>
      <c r="CS294" s="4" t="s">
        <v>293</v>
      </c>
      <c r="CT294" s="4" t="s">
        <v>241</v>
      </c>
      <c r="CU294" s="4">
        <v>5.6000000000000001E-2</v>
      </c>
      <c r="CV294" s="4" t="s">
        <v>271</v>
      </c>
      <c r="CW294" s="4" t="s">
        <v>415</v>
      </c>
      <c r="CX294" s="4" t="s">
        <v>2517</v>
      </c>
      <c r="CY294" s="6">
        <f>0</f>
        <v>0</v>
      </c>
      <c r="CZ294" s="6">
        <f>66390000</f>
        <v>66390000</v>
      </c>
      <c r="DA294" s="6">
        <f>36647280</f>
        <v>36647280</v>
      </c>
      <c r="DC294" s="4" t="s">
        <v>241</v>
      </c>
      <c r="DD294" s="4" t="s">
        <v>241</v>
      </c>
      <c r="DF294" s="4" t="s">
        <v>241</v>
      </c>
      <c r="DG294" s="6">
        <f>0</f>
        <v>0</v>
      </c>
      <c r="DI294" s="4" t="s">
        <v>241</v>
      </c>
      <c r="DJ294" s="4" t="s">
        <v>241</v>
      </c>
      <c r="DK294" s="4" t="s">
        <v>241</v>
      </c>
      <c r="DL294" s="4" t="s">
        <v>241</v>
      </c>
      <c r="DM294" s="4" t="s">
        <v>278</v>
      </c>
      <c r="DN294" s="4" t="s">
        <v>278</v>
      </c>
      <c r="DO294" s="6" t="s">
        <v>241</v>
      </c>
      <c r="DP294" s="4" t="s">
        <v>241</v>
      </c>
      <c r="DQ294" s="4" t="s">
        <v>241</v>
      </c>
      <c r="DR294" s="4" t="s">
        <v>241</v>
      </c>
      <c r="DS294" s="4" t="s">
        <v>241</v>
      </c>
      <c r="DV294" s="4" t="s">
        <v>2017</v>
      </c>
      <c r="DW294" s="4" t="s">
        <v>341</v>
      </c>
      <c r="GN294" s="4" t="s">
        <v>2869</v>
      </c>
      <c r="HO294" s="4" t="s">
        <v>323</v>
      </c>
      <c r="HR294" s="4" t="s">
        <v>278</v>
      </c>
      <c r="HS294" s="4" t="s">
        <v>278</v>
      </c>
      <c r="HT294" s="4" t="s">
        <v>241</v>
      </c>
      <c r="HU294" s="4" t="s">
        <v>241</v>
      </c>
      <c r="HV294" s="4" t="s">
        <v>241</v>
      </c>
      <c r="HW294" s="4" t="s">
        <v>241</v>
      </c>
      <c r="HX294" s="4" t="s">
        <v>241</v>
      </c>
      <c r="HY294" s="4" t="s">
        <v>241</v>
      </c>
      <c r="HZ294" s="4" t="s">
        <v>241</v>
      </c>
      <c r="IA294" s="4" t="s">
        <v>241</v>
      </c>
      <c r="IB294" s="4" t="s">
        <v>241</v>
      </c>
      <c r="IC294" s="4" t="s">
        <v>241</v>
      </c>
      <c r="ID294" s="4" t="s">
        <v>241</v>
      </c>
      <c r="IE294" s="4" t="s">
        <v>241</v>
      </c>
      <c r="IF294" s="4" t="s">
        <v>241</v>
      </c>
    </row>
    <row r="295" spans="1:240" x14ac:dyDescent="0.4">
      <c r="A295" s="4">
        <v>2</v>
      </c>
      <c r="B295" s="4" t="s">
        <v>239</v>
      </c>
      <c r="C295" s="4">
        <v>315</v>
      </c>
      <c r="D295" s="4">
        <v>1</v>
      </c>
      <c r="E295" s="4">
        <v>3</v>
      </c>
      <c r="F295" s="4" t="s">
        <v>240</v>
      </c>
      <c r="G295" s="4" t="s">
        <v>241</v>
      </c>
      <c r="H295" s="4" t="s">
        <v>241</v>
      </c>
      <c r="I295" s="4" t="s">
        <v>2860</v>
      </c>
      <c r="J295" s="4" t="s">
        <v>2015</v>
      </c>
      <c r="K295" s="4" t="s">
        <v>256</v>
      </c>
      <c r="L295" s="4" t="s">
        <v>995</v>
      </c>
      <c r="M295" s="5" t="s">
        <v>2861</v>
      </c>
      <c r="N295" s="4" t="s">
        <v>3883</v>
      </c>
      <c r="O295" s="6">
        <f>824</f>
        <v>824</v>
      </c>
      <c r="P295" s="4" t="s">
        <v>276</v>
      </c>
      <c r="Q295" s="6">
        <f>97026000</f>
        <v>97026000</v>
      </c>
      <c r="R295" s="6">
        <f>258736000</f>
        <v>258736000</v>
      </c>
      <c r="S295" s="5" t="s">
        <v>339</v>
      </c>
      <c r="T295" s="4" t="s">
        <v>373</v>
      </c>
      <c r="U295" s="4" t="s">
        <v>274</v>
      </c>
      <c r="V295" s="6">
        <f>6468400</f>
        <v>6468400</v>
      </c>
      <c r="W295" s="6">
        <f>161710000</f>
        <v>161710000</v>
      </c>
      <c r="X295" s="4" t="s">
        <v>243</v>
      </c>
      <c r="Y295" s="4" t="s">
        <v>244</v>
      </c>
      <c r="Z295" s="4" t="s">
        <v>465</v>
      </c>
      <c r="AA295" s="4" t="s">
        <v>241</v>
      </c>
      <c r="AD295" s="4" t="s">
        <v>241</v>
      </c>
      <c r="AE295" s="5" t="s">
        <v>241</v>
      </c>
      <c r="AF295" s="5" t="s">
        <v>241</v>
      </c>
      <c r="AH295" s="5" t="s">
        <v>241</v>
      </c>
      <c r="AI295" s="5" t="s">
        <v>249</v>
      </c>
      <c r="AJ295" s="4" t="s">
        <v>251</v>
      </c>
      <c r="AK295" s="4" t="s">
        <v>252</v>
      </c>
      <c r="AQ295" s="4" t="s">
        <v>241</v>
      </c>
      <c r="AR295" s="4" t="s">
        <v>241</v>
      </c>
      <c r="AS295" s="4" t="s">
        <v>241</v>
      </c>
      <c r="AT295" s="5" t="s">
        <v>241</v>
      </c>
      <c r="AU295" s="5" t="s">
        <v>241</v>
      </c>
      <c r="AV295" s="5" t="s">
        <v>241</v>
      </c>
      <c r="AY295" s="4" t="s">
        <v>286</v>
      </c>
      <c r="AZ295" s="4" t="s">
        <v>286</v>
      </c>
      <c r="BA295" s="4" t="s">
        <v>254</v>
      </c>
      <c r="BB295" s="4" t="s">
        <v>287</v>
      </c>
      <c r="BC295" s="4" t="s">
        <v>255</v>
      </c>
      <c r="BD295" s="4" t="s">
        <v>241</v>
      </c>
      <c r="BE295" s="4" t="s">
        <v>257</v>
      </c>
      <c r="BF295" s="4" t="s">
        <v>241</v>
      </c>
      <c r="BJ295" s="4" t="s">
        <v>288</v>
      </c>
      <c r="BK295" s="5" t="s">
        <v>289</v>
      </c>
      <c r="BL295" s="4" t="s">
        <v>290</v>
      </c>
      <c r="BM295" s="4" t="s">
        <v>290</v>
      </c>
      <c r="BN295" s="4" t="s">
        <v>241</v>
      </c>
      <c r="BO295" s="6">
        <f>0</f>
        <v>0</v>
      </c>
      <c r="BP295" s="6">
        <f>-6468400</f>
        <v>-6468400</v>
      </c>
      <c r="BQ295" s="4" t="s">
        <v>263</v>
      </c>
      <c r="BR295" s="4" t="s">
        <v>264</v>
      </c>
      <c r="BS295" s="4" t="s">
        <v>241</v>
      </c>
      <c r="BT295" s="4" t="s">
        <v>241</v>
      </c>
      <c r="BU295" s="4" t="s">
        <v>241</v>
      </c>
      <c r="BV295" s="4" t="s">
        <v>241</v>
      </c>
      <c r="CE295" s="4" t="s">
        <v>264</v>
      </c>
      <c r="CF295" s="4" t="s">
        <v>241</v>
      </c>
      <c r="CG295" s="4" t="s">
        <v>241</v>
      </c>
      <c r="CK295" s="4" t="s">
        <v>291</v>
      </c>
      <c r="CL295" s="4" t="s">
        <v>266</v>
      </c>
      <c r="CM295" s="4" t="s">
        <v>241</v>
      </c>
      <c r="CO295" s="4" t="s">
        <v>292</v>
      </c>
      <c r="CP295" s="5" t="s">
        <v>268</v>
      </c>
      <c r="CQ295" s="4" t="s">
        <v>269</v>
      </c>
      <c r="CR295" s="4" t="s">
        <v>270</v>
      </c>
      <c r="CS295" s="4" t="s">
        <v>293</v>
      </c>
      <c r="CT295" s="4" t="s">
        <v>241</v>
      </c>
      <c r="CU295" s="4">
        <v>2.5000000000000001E-2</v>
      </c>
      <c r="CV295" s="4" t="s">
        <v>271</v>
      </c>
      <c r="CW295" s="4" t="s">
        <v>456</v>
      </c>
      <c r="CX295" s="4" t="s">
        <v>295</v>
      </c>
      <c r="CY295" s="6">
        <f>0</f>
        <v>0</v>
      </c>
      <c r="CZ295" s="6">
        <f>258736000</f>
        <v>258736000</v>
      </c>
      <c r="DA295" s="6">
        <f>97026000</f>
        <v>97026000</v>
      </c>
      <c r="DC295" s="4" t="s">
        <v>241</v>
      </c>
      <c r="DD295" s="4" t="s">
        <v>241</v>
      </c>
      <c r="DF295" s="4" t="s">
        <v>241</v>
      </c>
      <c r="DG295" s="6">
        <f>0</f>
        <v>0</v>
      </c>
      <c r="DI295" s="4" t="s">
        <v>241</v>
      </c>
      <c r="DJ295" s="4" t="s">
        <v>241</v>
      </c>
      <c r="DK295" s="4" t="s">
        <v>241</v>
      </c>
      <c r="DL295" s="4" t="s">
        <v>241</v>
      </c>
      <c r="DM295" s="4" t="s">
        <v>323</v>
      </c>
      <c r="DN295" s="4" t="s">
        <v>278</v>
      </c>
      <c r="DO295" s="6">
        <f>824</f>
        <v>824</v>
      </c>
      <c r="DP295" s="4" t="s">
        <v>241</v>
      </c>
      <c r="DQ295" s="4" t="s">
        <v>241</v>
      </c>
      <c r="DR295" s="4" t="s">
        <v>241</v>
      </c>
      <c r="DS295" s="4" t="s">
        <v>241</v>
      </c>
      <c r="DV295" s="4" t="s">
        <v>2862</v>
      </c>
      <c r="DW295" s="4" t="s">
        <v>277</v>
      </c>
      <c r="GN295" s="4" t="s">
        <v>3893</v>
      </c>
      <c r="HO295" s="4" t="s">
        <v>300</v>
      </c>
      <c r="HR295" s="4" t="s">
        <v>278</v>
      </c>
      <c r="HS295" s="4" t="s">
        <v>278</v>
      </c>
      <c r="HT295" s="4" t="s">
        <v>241</v>
      </c>
      <c r="HU295" s="4" t="s">
        <v>241</v>
      </c>
      <c r="HV295" s="4" t="s">
        <v>241</v>
      </c>
      <c r="HW295" s="4" t="s">
        <v>241</v>
      </c>
      <c r="HX295" s="4" t="s">
        <v>241</v>
      </c>
      <c r="HY295" s="4" t="s">
        <v>241</v>
      </c>
      <c r="HZ295" s="4" t="s">
        <v>241</v>
      </c>
      <c r="IA295" s="4" t="s">
        <v>241</v>
      </c>
      <c r="IB295" s="4" t="s">
        <v>241</v>
      </c>
      <c r="IC295" s="4" t="s">
        <v>241</v>
      </c>
      <c r="ID295" s="4" t="s">
        <v>241</v>
      </c>
      <c r="IE295" s="4" t="s">
        <v>241</v>
      </c>
      <c r="IF295" s="4" t="s">
        <v>241</v>
      </c>
    </row>
    <row r="296" spans="1:240" x14ac:dyDescent="0.4">
      <c r="A296" s="4">
        <v>2</v>
      </c>
      <c r="B296" s="4" t="s">
        <v>239</v>
      </c>
      <c r="C296" s="4">
        <v>316</v>
      </c>
      <c r="D296" s="4">
        <v>1</v>
      </c>
      <c r="E296" s="4">
        <v>3</v>
      </c>
      <c r="F296" s="4" t="s">
        <v>240</v>
      </c>
      <c r="G296" s="4" t="s">
        <v>241</v>
      </c>
      <c r="H296" s="4" t="s">
        <v>241</v>
      </c>
      <c r="I296" s="4" t="s">
        <v>2860</v>
      </c>
      <c r="J296" s="4" t="s">
        <v>2015</v>
      </c>
      <c r="K296" s="4" t="s">
        <v>256</v>
      </c>
      <c r="L296" s="4" t="s">
        <v>429</v>
      </c>
      <c r="M296" s="5" t="s">
        <v>2861</v>
      </c>
      <c r="N296" s="4" t="s">
        <v>429</v>
      </c>
      <c r="O296" s="6">
        <f>5</f>
        <v>5</v>
      </c>
      <c r="P296" s="4" t="s">
        <v>276</v>
      </c>
      <c r="Q296" s="6">
        <f>83125</f>
        <v>83125</v>
      </c>
      <c r="R296" s="6">
        <f>475000</f>
        <v>475000</v>
      </c>
      <c r="S296" s="5" t="s">
        <v>339</v>
      </c>
      <c r="T296" s="4" t="s">
        <v>441</v>
      </c>
      <c r="U296" s="4" t="s">
        <v>274</v>
      </c>
      <c r="V296" s="6">
        <f>15675</f>
        <v>15675</v>
      </c>
      <c r="W296" s="6">
        <f>391875</f>
        <v>391875</v>
      </c>
      <c r="X296" s="4" t="s">
        <v>243</v>
      </c>
      <c r="Y296" s="4" t="s">
        <v>244</v>
      </c>
      <c r="Z296" s="4" t="s">
        <v>465</v>
      </c>
      <c r="AA296" s="4" t="s">
        <v>241</v>
      </c>
      <c r="AD296" s="4" t="s">
        <v>241</v>
      </c>
      <c r="AE296" s="5" t="s">
        <v>241</v>
      </c>
      <c r="AF296" s="5" t="s">
        <v>241</v>
      </c>
      <c r="AH296" s="5" t="s">
        <v>241</v>
      </c>
      <c r="AI296" s="5" t="s">
        <v>249</v>
      </c>
      <c r="AJ296" s="4" t="s">
        <v>251</v>
      </c>
      <c r="AK296" s="4" t="s">
        <v>252</v>
      </c>
      <c r="AQ296" s="4" t="s">
        <v>241</v>
      </c>
      <c r="AR296" s="4" t="s">
        <v>241</v>
      </c>
      <c r="AS296" s="4" t="s">
        <v>241</v>
      </c>
      <c r="AT296" s="5" t="s">
        <v>241</v>
      </c>
      <c r="AU296" s="5" t="s">
        <v>241</v>
      </c>
      <c r="AV296" s="5" t="s">
        <v>241</v>
      </c>
      <c r="AY296" s="4" t="s">
        <v>286</v>
      </c>
      <c r="AZ296" s="4" t="s">
        <v>286</v>
      </c>
      <c r="BA296" s="4" t="s">
        <v>254</v>
      </c>
      <c r="BB296" s="4" t="s">
        <v>287</v>
      </c>
      <c r="BC296" s="4" t="s">
        <v>255</v>
      </c>
      <c r="BD296" s="4" t="s">
        <v>241</v>
      </c>
      <c r="BE296" s="4" t="s">
        <v>257</v>
      </c>
      <c r="BF296" s="4" t="s">
        <v>241</v>
      </c>
      <c r="BJ296" s="4" t="s">
        <v>288</v>
      </c>
      <c r="BK296" s="5" t="s">
        <v>289</v>
      </c>
      <c r="BL296" s="4" t="s">
        <v>290</v>
      </c>
      <c r="BM296" s="4" t="s">
        <v>290</v>
      </c>
      <c r="BN296" s="4" t="s">
        <v>241</v>
      </c>
      <c r="BO296" s="6">
        <f>0</f>
        <v>0</v>
      </c>
      <c r="BP296" s="6">
        <f>-15675</f>
        <v>-15675</v>
      </c>
      <c r="BQ296" s="4" t="s">
        <v>263</v>
      </c>
      <c r="BR296" s="4" t="s">
        <v>264</v>
      </c>
      <c r="BS296" s="4" t="s">
        <v>241</v>
      </c>
      <c r="BT296" s="4" t="s">
        <v>241</v>
      </c>
      <c r="BU296" s="4" t="s">
        <v>241</v>
      </c>
      <c r="BV296" s="4" t="s">
        <v>241</v>
      </c>
      <c r="CE296" s="4" t="s">
        <v>264</v>
      </c>
      <c r="CF296" s="4" t="s">
        <v>241</v>
      </c>
      <c r="CG296" s="4" t="s">
        <v>241</v>
      </c>
      <c r="CK296" s="4" t="s">
        <v>291</v>
      </c>
      <c r="CL296" s="4" t="s">
        <v>266</v>
      </c>
      <c r="CM296" s="4" t="s">
        <v>241</v>
      </c>
      <c r="CO296" s="4" t="s">
        <v>292</v>
      </c>
      <c r="CP296" s="5" t="s">
        <v>268</v>
      </c>
      <c r="CQ296" s="4" t="s">
        <v>269</v>
      </c>
      <c r="CR296" s="4" t="s">
        <v>270</v>
      </c>
      <c r="CS296" s="4" t="s">
        <v>293</v>
      </c>
      <c r="CT296" s="4" t="s">
        <v>241</v>
      </c>
      <c r="CU296" s="4">
        <v>3.3000000000000002E-2</v>
      </c>
      <c r="CV296" s="4" t="s">
        <v>271</v>
      </c>
      <c r="CW296" s="4" t="s">
        <v>272</v>
      </c>
      <c r="CX296" s="4" t="s">
        <v>487</v>
      </c>
      <c r="CY296" s="6">
        <f>0</f>
        <v>0</v>
      </c>
      <c r="CZ296" s="6">
        <f>475000</f>
        <v>475000</v>
      </c>
      <c r="DA296" s="6">
        <f>83125</f>
        <v>83125</v>
      </c>
      <c r="DC296" s="4" t="s">
        <v>241</v>
      </c>
      <c r="DD296" s="4" t="s">
        <v>241</v>
      </c>
      <c r="DF296" s="4" t="s">
        <v>241</v>
      </c>
      <c r="DG296" s="6">
        <f>0</f>
        <v>0</v>
      </c>
      <c r="DI296" s="4" t="s">
        <v>241</v>
      </c>
      <c r="DJ296" s="4" t="s">
        <v>241</v>
      </c>
      <c r="DK296" s="4" t="s">
        <v>241</v>
      </c>
      <c r="DL296" s="4" t="s">
        <v>241</v>
      </c>
      <c r="DM296" s="4" t="s">
        <v>277</v>
      </c>
      <c r="DN296" s="4" t="s">
        <v>278</v>
      </c>
      <c r="DO296" s="6">
        <f>5</f>
        <v>5</v>
      </c>
      <c r="DP296" s="4" t="s">
        <v>241</v>
      </c>
      <c r="DQ296" s="4" t="s">
        <v>241</v>
      </c>
      <c r="DR296" s="4" t="s">
        <v>241</v>
      </c>
      <c r="DS296" s="4" t="s">
        <v>241</v>
      </c>
      <c r="DV296" s="4" t="s">
        <v>2862</v>
      </c>
      <c r="DW296" s="4" t="s">
        <v>323</v>
      </c>
      <c r="GN296" s="4" t="s">
        <v>3583</v>
      </c>
      <c r="HO296" s="4" t="s">
        <v>300</v>
      </c>
      <c r="HR296" s="4" t="s">
        <v>278</v>
      </c>
      <c r="HS296" s="4" t="s">
        <v>278</v>
      </c>
      <c r="HT296" s="4" t="s">
        <v>241</v>
      </c>
      <c r="HU296" s="4" t="s">
        <v>241</v>
      </c>
      <c r="HV296" s="4" t="s">
        <v>241</v>
      </c>
      <c r="HW296" s="4" t="s">
        <v>241</v>
      </c>
      <c r="HX296" s="4" t="s">
        <v>241</v>
      </c>
      <c r="HY296" s="4" t="s">
        <v>241</v>
      </c>
      <c r="HZ296" s="4" t="s">
        <v>241</v>
      </c>
      <c r="IA296" s="4" t="s">
        <v>241</v>
      </c>
      <c r="IB296" s="4" t="s">
        <v>241</v>
      </c>
      <c r="IC296" s="4" t="s">
        <v>241</v>
      </c>
      <c r="ID296" s="4" t="s">
        <v>241</v>
      </c>
      <c r="IE296" s="4" t="s">
        <v>241</v>
      </c>
      <c r="IF296" s="4" t="s">
        <v>241</v>
      </c>
    </row>
    <row r="297" spans="1:240" x14ac:dyDescent="0.4">
      <c r="A297" s="4">
        <v>2</v>
      </c>
      <c r="B297" s="4" t="s">
        <v>239</v>
      </c>
      <c r="C297" s="4">
        <v>318</v>
      </c>
      <c r="D297" s="4">
        <v>1</v>
      </c>
      <c r="E297" s="4">
        <v>3</v>
      </c>
      <c r="F297" s="4" t="s">
        <v>240</v>
      </c>
      <c r="G297" s="4" t="s">
        <v>241</v>
      </c>
      <c r="H297" s="4" t="s">
        <v>241</v>
      </c>
      <c r="I297" s="4" t="s">
        <v>2860</v>
      </c>
      <c r="J297" s="4" t="s">
        <v>2015</v>
      </c>
      <c r="K297" s="4" t="s">
        <v>256</v>
      </c>
      <c r="L297" s="4" t="s">
        <v>454</v>
      </c>
      <c r="M297" s="5" t="s">
        <v>2861</v>
      </c>
      <c r="N297" s="4" t="s">
        <v>454</v>
      </c>
      <c r="O297" s="6">
        <f>39.74</f>
        <v>39.74</v>
      </c>
      <c r="P297" s="4" t="s">
        <v>276</v>
      </c>
      <c r="Q297" s="6">
        <f>4752660</f>
        <v>4752660</v>
      </c>
      <c r="R297" s="6">
        <f>6741360</f>
        <v>6741360</v>
      </c>
      <c r="S297" s="5" t="s">
        <v>375</v>
      </c>
      <c r="T297" s="4" t="s">
        <v>401</v>
      </c>
      <c r="U297" s="4" t="s">
        <v>336</v>
      </c>
      <c r="V297" s="6">
        <f>397740</f>
        <v>397740</v>
      </c>
      <c r="W297" s="6">
        <f>1988700</f>
        <v>1988700</v>
      </c>
      <c r="X297" s="4" t="s">
        <v>243</v>
      </c>
      <c r="Y297" s="4" t="s">
        <v>244</v>
      </c>
      <c r="Z297" s="4" t="s">
        <v>465</v>
      </c>
      <c r="AA297" s="4" t="s">
        <v>241</v>
      </c>
      <c r="AD297" s="4" t="s">
        <v>241</v>
      </c>
      <c r="AE297" s="5" t="s">
        <v>241</v>
      </c>
      <c r="AF297" s="5" t="s">
        <v>241</v>
      </c>
      <c r="AH297" s="5" t="s">
        <v>241</v>
      </c>
      <c r="AI297" s="5" t="s">
        <v>249</v>
      </c>
      <c r="AJ297" s="4" t="s">
        <v>251</v>
      </c>
      <c r="AK297" s="4" t="s">
        <v>252</v>
      </c>
      <c r="AQ297" s="4" t="s">
        <v>241</v>
      </c>
      <c r="AR297" s="4" t="s">
        <v>241</v>
      </c>
      <c r="AS297" s="4" t="s">
        <v>241</v>
      </c>
      <c r="AT297" s="5" t="s">
        <v>241</v>
      </c>
      <c r="AU297" s="5" t="s">
        <v>241</v>
      </c>
      <c r="AV297" s="5" t="s">
        <v>241</v>
      </c>
      <c r="AY297" s="4" t="s">
        <v>286</v>
      </c>
      <c r="AZ297" s="4" t="s">
        <v>286</v>
      </c>
      <c r="BA297" s="4" t="s">
        <v>254</v>
      </c>
      <c r="BB297" s="4" t="s">
        <v>287</v>
      </c>
      <c r="BC297" s="4" t="s">
        <v>255</v>
      </c>
      <c r="BD297" s="4" t="s">
        <v>241</v>
      </c>
      <c r="BE297" s="4" t="s">
        <v>257</v>
      </c>
      <c r="BF297" s="4" t="s">
        <v>241</v>
      </c>
      <c r="BJ297" s="4" t="s">
        <v>288</v>
      </c>
      <c r="BK297" s="5" t="s">
        <v>289</v>
      </c>
      <c r="BL297" s="4" t="s">
        <v>290</v>
      </c>
      <c r="BM297" s="4" t="s">
        <v>290</v>
      </c>
      <c r="BN297" s="4" t="s">
        <v>241</v>
      </c>
      <c r="BO297" s="6">
        <f>0</f>
        <v>0</v>
      </c>
      <c r="BP297" s="6">
        <f>-397740</f>
        <v>-397740</v>
      </c>
      <c r="BQ297" s="4" t="s">
        <v>263</v>
      </c>
      <c r="BR297" s="4" t="s">
        <v>264</v>
      </c>
      <c r="BS297" s="4" t="s">
        <v>241</v>
      </c>
      <c r="BT297" s="4" t="s">
        <v>241</v>
      </c>
      <c r="BU297" s="4" t="s">
        <v>241</v>
      </c>
      <c r="BV297" s="4" t="s">
        <v>241</v>
      </c>
      <c r="CE297" s="4" t="s">
        <v>264</v>
      </c>
      <c r="CF297" s="4" t="s">
        <v>241</v>
      </c>
      <c r="CG297" s="4" t="s">
        <v>241</v>
      </c>
      <c r="CK297" s="4" t="s">
        <v>291</v>
      </c>
      <c r="CL297" s="4" t="s">
        <v>266</v>
      </c>
      <c r="CM297" s="4" t="s">
        <v>241</v>
      </c>
      <c r="CO297" s="4" t="s">
        <v>593</v>
      </c>
      <c r="CP297" s="5" t="s">
        <v>268</v>
      </c>
      <c r="CQ297" s="4" t="s">
        <v>269</v>
      </c>
      <c r="CR297" s="4" t="s">
        <v>270</v>
      </c>
      <c r="CS297" s="4" t="s">
        <v>293</v>
      </c>
      <c r="CT297" s="4" t="s">
        <v>241</v>
      </c>
      <c r="CU297" s="4">
        <v>5.8999999999999997E-2</v>
      </c>
      <c r="CV297" s="4" t="s">
        <v>271</v>
      </c>
      <c r="CW297" s="4" t="s">
        <v>455</v>
      </c>
      <c r="CX297" s="4" t="s">
        <v>347</v>
      </c>
      <c r="CY297" s="6">
        <f>0</f>
        <v>0</v>
      </c>
      <c r="CZ297" s="6">
        <f>6741360</f>
        <v>6741360</v>
      </c>
      <c r="DA297" s="6">
        <f>4752660</f>
        <v>4752660</v>
      </c>
      <c r="DC297" s="4" t="s">
        <v>241</v>
      </c>
      <c r="DD297" s="4" t="s">
        <v>241</v>
      </c>
      <c r="DF297" s="4" t="s">
        <v>241</v>
      </c>
      <c r="DG297" s="6">
        <f>0</f>
        <v>0</v>
      </c>
      <c r="DI297" s="4" t="s">
        <v>241</v>
      </c>
      <c r="DJ297" s="4" t="s">
        <v>241</v>
      </c>
      <c r="DK297" s="4" t="s">
        <v>241</v>
      </c>
      <c r="DL297" s="4" t="s">
        <v>241</v>
      </c>
      <c r="DM297" s="4" t="s">
        <v>277</v>
      </c>
      <c r="DN297" s="4" t="s">
        <v>278</v>
      </c>
      <c r="DO297" s="6">
        <f>39.74</f>
        <v>39.74</v>
      </c>
      <c r="DP297" s="4" t="s">
        <v>241</v>
      </c>
      <c r="DQ297" s="4" t="s">
        <v>241</v>
      </c>
      <c r="DR297" s="4" t="s">
        <v>241</v>
      </c>
      <c r="DS297" s="4" t="s">
        <v>241</v>
      </c>
      <c r="DV297" s="4" t="s">
        <v>2862</v>
      </c>
      <c r="DW297" s="4" t="s">
        <v>336</v>
      </c>
      <c r="GN297" s="4" t="s">
        <v>3862</v>
      </c>
      <c r="HO297" s="4" t="s">
        <v>300</v>
      </c>
      <c r="HR297" s="4" t="s">
        <v>278</v>
      </c>
      <c r="HS297" s="4" t="s">
        <v>278</v>
      </c>
      <c r="HT297" s="4" t="s">
        <v>241</v>
      </c>
      <c r="HU297" s="4" t="s">
        <v>241</v>
      </c>
      <c r="HV297" s="4" t="s">
        <v>241</v>
      </c>
      <c r="HW297" s="4" t="s">
        <v>241</v>
      </c>
      <c r="HX297" s="4" t="s">
        <v>241</v>
      </c>
      <c r="HY297" s="4" t="s">
        <v>241</v>
      </c>
      <c r="HZ297" s="4" t="s">
        <v>241</v>
      </c>
      <c r="IA297" s="4" t="s">
        <v>241</v>
      </c>
      <c r="IB297" s="4" t="s">
        <v>241</v>
      </c>
      <c r="IC297" s="4" t="s">
        <v>241</v>
      </c>
      <c r="ID297" s="4" t="s">
        <v>241</v>
      </c>
      <c r="IE297" s="4" t="s">
        <v>241</v>
      </c>
      <c r="IF297" s="4" t="s">
        <v>241</v>
      </c>
    </row>
    <row r="298" spans="1:240" x14ac:dyDescent="0.4">
      <c r="A298" s="4">
        <v>2</v>
      </c>
      <c r="B298" s="4" t="s">
        <v>239</v>
      </c>
      <c r="C298" s="4">
        <v>319</v>
      </c>
      <c r="D298" s="4">
        <v>1</v>
      </c>
      <c r="E298" s="4">
        <v>3</v>
      </c>
      <c r="F298" s="4" t="s">
        <v>326</v>
      </c>
      <c r="G298" s="4" t="s">
        <v>241</v>
      </c>
      <c r="H298" s="4" t="s">
        <v>241</v>
      </c>
      <c r="I298" s="4" t="s">
        <v>2860</v>
      </c>
      <c r="J298" s="4" t="s">
        <v>2015</v>
      </c>
      <c r="K298" s="4" t="s">
        <v>256</v>
      </c>
      <c r="L298" s="4" t="s">
        <v>241</v>
      </c>
      <c r="M298" s="5" t="s">
        <v>2861</v>
      </c>
      <c r="N298" s="4" t="s">
        <v>2864</v>
      </c>
      <c r="O298" s="6">
        <f>0</f>
        <v>0</v>
      </c>
      <c r="P298" s="4" t="s">
        <v>276</v>
      </c>
      <c r="Q298" s="6">
        <f>12265344</f>
        <v>12265344</v>
      </c>
      <c r="R298" s="6">
        <f>14742000</f>
        <v>14742000</v>
      </c>
      <c r="S298" s="5" t="s">
        <v>1209</v>
      </c>
      <c r="T298" s="4" t="s">
        <v>365</v>
      </c>
      <c r="U298" s="4" t="s">
        <v>323</v>
      </c>
      <c r="V298" s="6">
        <f>825552</f>
        <v>825552</v>
      </c>
      <c r="W298" s="6">
        <f>2476656</f>
        <v>2476656</v>
      </c>
      <c r="X298" s="4" t="s">
        <v>243</v>
      </c>
      <c r="Y298" s="4" t="s">
        <v>244</v>
      </c>
      <c r="Z298" s="4" t="s">
        <v>241</v>
      </c>
      <c r="AA298" s="4" t="s">
        <v>241</v>
      </c>
      <c r="AD298" s="4" t="s">
        <v>241</v>
      </c>
      <c r="AE298" s="5" t="s">
        <v>241</v>
      </c>
      <c r="AF298" s="5" t="s">
        <v>241</v>
      </c>
      <c r="AH298" s="5" t="s">
        <v>241</v>
      </c>
      <c r="AI298" s="5" t="s">
        <v>249</v>
      </c>
      <c r="AJ298" s="4" t="s">
        <v>251</v>
      </c>
      <c r="AK298" s="4" t="s">
        <v>252</v>
      </c>
      <c r="AQ298" s="4" t="s">
        <v>241</v>
      </c>
      <c r="AR298" s="4" t="s">
        <v>241</v>
      </c>
      <c r="AS298" s="4" t="s">
        <v>241</v>
      </c>
      <c r="AT298" s="5" t="s">
        <v>241</v>
      </c>
      <c r="AU298" s="5" t="s">
        <v>241</v>
      </c>
      <c r="AV298" s="5" t="s">
        <v>241</v>
      </c>
      <c r="AY298" s="4" t="s">
        <v>286</v>
      </c>
      <c r="AZ298" s="4" t="s">
        <v>286</v>
      </c>
      <c r="BA298" s="4" t="s">
        <v>254</v>
      </c>
      <c r="BB298" s="4" t="s">
        <v>287</v>
      </c>
      <c r="BC298" s="4" t="s">
        <v>255</v>
      </c>
      <c r="BD298" s="4" t="s">
        <v>241</v>
      </c>
      <c r="BE298" s="4" t="s">
        <v>257</v>
      </c>
      <c r="BF298" s="4" t="s">
        <v>241</v>
      </c>
      <c r="BJ298" s="4" t="s">
        <v>288</v>
      </c>
      <c r="BK298" s="5" t="s">
        <v>289</v>
      </c>
      <c r="BL298" s="4" t="s">
        <v>290</v>
      </c>
      <c r="BM298" s="4" t="s">
        <v>290</v>
      </c>
      <c r="BN298" s="4" t="s">
        <v>241</v>
      </c>
      <c r="BP298" s="6">
        <f>-825552</f>
        <v>-825552</v>
      </c>
      <c r="BQ298" s="4" t="s">
        <v>263</v>
      </c>
      <c r="BR298" s="4" t="s">
        <v>264</v>
      </c>
      <c r="BS298" s="4" t="s">
        <v>241</v>
      </c>
      <c r="BT298" s="4" t="s">
        <v>241</v>
      </c>
      <c r="BU298" s="4" t="s">
        <v>241</v>
      </c>
      <c r="BV298" s="4" t="s">
        <v>241</v>
      </c>
      <c r="CE298" s="4" t="s">
        <v>264</v>
      </c>
      <c r="CF298" s="4" t="s">
        <v>241</v>
      </c>
      <c r="CG298" s="4" t="s">
        <v>241</v>
      </c>
      <c r="CK298" s="4" t="s">
        <v>291</v>
      </c>
      <c r="CL298" s="4" t="s">
        <v>266</v>
      </c>
      <c r="CM298" s="4" t="s">
        <v>241</v>
      </c>
      <c r="CO298" s="4" t="s">
        <v>421</v>
      </c>
      <c r="CP298" s="5" t="s">
        <v>268</v>
      </c>
      <c r="CQ298" s="4" t="s">
        <v>269</v>
      </c>
      <c r="CR298" s="4" t="s">
        <v>270</v>
      </c>
      <c r="CS298" s="4" t="s">
        <v>293</v>
      </c>
      <c r="CT298" s="4" t="s">
        <v>241</v>
      </c>
      <c r="CU298" s="4">
        <v>5.6000000000000001E-2</v>
      </c>
      <c r="CV298" s="4" t="s">
        <v>271</v>
      </c>
      <c r="CW298" s="4" t="s">
        <v>415</v>
      </c>
      <c r="CX298" s="4" t="s">
        <v>2865</v>
      </c>
      <c r="CY298" s="6">
        <f>0</f>
        <v>0</v>
      </c>
      <c r="CZ298" s="6">
        <f>14742000</f>
        <v>14742000</v>
      </c>
      <c r="DA298" s="6">
        <f>12265344</f>
        <v>12265344</v>
      </c>
      <c r="DC298" s="4" t="s">
        <v>241</v>
      </c>
      <c r="DD298" s="4" t="s">
        <v>241</v>
      </c>
      <c r="DF298" s="4" t="s">
        <v>241</v>
      </c>
      <c r="DG298" s="6">
        <f>0</f>
        <v>0</v>
      </c>
      <c r="DI298" s="4" t="s">
        <v>241</v>
      </c>
      <c r="DJ298" s="4" t="s">
        <v>241</v>
      </c>
      <c r="DK298" s="4" t="s">
        <v>241</v>
      </c>
      <c r="DL298" s="4" t="s">
        <v>241</v>
      </c>
      <c r="DM298" s="4" t="s">
        <v>278</v>
      </c>
      <c r="DN298" s="4" t="s">
        <v>278</v>
      </c>
      <c r="DO298" s="6" t="s">
        <v>241</v>
      </c>
      <c r="DP298" s="4" t="s">
        <v>241</v>
      </c>
      <c r="DQ298" s="4" t="s">
        <v>241</v>
      </c>
      <c r="DR298" s="4" t="s">
        <v>241</v>
      </c>
      <c r="DS298" s="4" t="s">
        <v>241</v>
      </c>
      <c r="DV298" s="4" t="s">
        <v>2862</v>
      </c>
      <c r="DW298" s="4" t="s">
        <v>351</v>
      </c>
      <c r="GN298" s="4" t="s">
        <v>2866</v>
      </c>
      <c r="HO298" s="4" t="s">
        <v>336</v>
      </c>
      <c r="HR298" s="4" t="s">
        <v>278</v>
      </c>
      <c r="HS298" s="4" t="s">
        <v>278</v>
      </c>
      <c r="HT298" s="4" t="s">
        <v>241</v>
      </c>
      <c r="HU298" s="4" t="s">
        <v>241</v>
      </c>
      <c r="HV298" s="4" t="s">
        <v>241</v>
      </c>
      <c r="HW298" s="4" t="s">
        <v>241</v>
      </c>
      <c r="HX298" s="4" t="s">
        <v>241</v>
      </c>
      <c r="HY298" s="4" t="s">
        <v>241</v>
      </c>
      <c r="HZ298" s="4" t="s">
        <v>241</v>
      </c>
      <c r="IA298" s="4" t="s">
        <v>241</v>
      </c>
      <c r="IB298" s="4" t="s">
        <v>241</v>
      </c>
      <c r="IC298" s="4" t="s">
        <v>241</v>
      </c>
      <c r="ID298" s="4" t="s">
        <v>241</v>
      </c>
      <c r="IE298" s="4" t="s">
        <v>241</v>
      </c>
      <c r="IF298" s="4" t="s">
        <v>241</v>
      </c>
    </row>
    <row r="299" spans="1:240" x14ac:dyDescent="0.4">
      <c r="A299" s="4">
        <v>2</v>
      </c>
      <c r="B299" s="4" t="s">
        <v>239</v>
      </c>
      <c r="C299" s="4">
        <v>320</v>
      </c>
      <c r="D299" s="4">
        <v>1</v>
      </c>
      <c r="E299" s="4">
        <v>3</v>
      </c>
      <c r="F299" s="4" t="s">
        <v>326</v>
      </c>
      <c r="G299" s="4" t="s">
        <v>241</v>
      </c>
      <c r="H299" s="4" t="s">
        <v>241</v>
      </c>
      <c r="I299" s="4" t="s">
        <v>2860</v>
      </c>
      <c r="J299" s="4" t="s">
        <v>2015</v>
      </c>
      <c r="K299" s="4" t="s">
        <v>256</v>
      </c>
      <c r="L299" s="4" t="s">
        <v>241</v>
      </c>
      <c r="M299" s="5" t="s">
        <v>2861</v>
      </c>
      <c r="N299" s="4" t="s">
        <v>2859</v>
      </c>
      <c r="O299" s="6">
        <f>0</f>
        <v>0</v>
      </c>
      <c r="P299" s="4" t="s">
        <v>276</v>
      </c>
      <c r="Q299" s="6">
        <f>523230</f>
        <v>523230</v>
      </c>
      <c r="R299" s="6">
        <f>680400</f>
        <v>680400</v>
      </c>
      <c r="S299" s="5" t="s">
        <v>2196</v>
      </c>
      <c r="T299" s="4" t="s">
        <v>322</v>
      </c>
      <c r="U299" s="4" t="s">
        <v>323</v>
      </c>
      <c r="V299" s="6">
        <f>52390</f>
        <v>52390</v>
      </c>
      <c r="W299" s="6">
        <f>157170</f>
        <v>157170</v>
      </c>
      <c r="X299" s="4" t="s">
        <v>243</v>
      </c>
      <c r="Y299" s="4" t="s">
        <v>244</v>
      </c>
      <c r="Z299" s="4" t="s">
        <v>241</v>
      </c>
      <c r="AA299" s="4" t="s">
        <v>241</v>
      </c>
      <c r="AD299" s="4" t="s">
        <v>241</v>
      </c>
      <c r="AE299" s="5" t="s">
        <v>241</v>
      </c>
      <c r="AF299" s="5" t="s">
        <v>241</v>
      </c>
      <c r="AH299" s="5" t="s">
        <v>241</v>
      </c>
      <c r="AI299" s="5" t="s">
        <v>249</v>
      </c>
      <c r="AJ299" s="4" t="s">
        <v>251</v>
      </c>
      <c r="AK299" s="4" t="s">
        <v>252</v>
      </c>
      <c r="AQ299" s="4" t="s">
        <v>241</v>
      </c>
      <c r="AR299" s="4" t="s">
        <v>241</v>
      </c>
      <c r="AS299" s="4" t="s">
        <v>241</v>
      </c>
      <c r="AT299" s="5" t="s">
        <v>241</v>
      </c>
      <c r="AU299" s="5" t="s">
        <v>241</v>
      </c>
      <c r="AV299" s="5" t="s">
        <v>241</v>
      </c>
      <c r="AY299" s="4" t="s">
        <v>286</v>
      </c>
      <c r="AZ299" s="4" t="s">
        <v>286</v>
      </c>
      <c r="BA299" s="4" t="s">
        <v>254</v>
      </c>
      <c r="BB299" s="4" t="s">
        <v>287</v>
      </c>
      <c r="BC299" s="4" t="s">
        <v>255</v>
      </c>
      <c r="BD299" s="4" t="s">
        <v>241</v>
      </c>
      <c r="BE299" s="4" t="s">
        <v>257</v>
      </c>
      <c r="BF299" s="4" t="s">
        <v>241</v>
      </c>
      <c r="BJ299" s="4" t="s">
        <v>288</v>
      </c>
      <c r="BK299" s="5" t="s">
        <v>289</v>
      </c>
      <c r="BL299" s="4" t="s">
        <v>290</v>
      </c>
      <c r="BM299" s="4" t="s">
        <v>290</v>
      </c>
      <c r="BN299" s="4" t="s">
        <v>241</v>
      </c>
      <c r="BP299" s="6">
        <f>-52390</f>
        <v>-52390</v>
      </c>
      <c r="BQ299" s="4" t="s">
        <v>263</v>
      </c>
      <c r="BR299" s="4" t="s">
        <v>264</v>
      </c>
      <c r="BS299" s="4" t="s">
        <v>241</v>
      </c>
      <c r="BT299" s="4" t="s">
        <v>241</v>
      </c>
      <c r="BU299" s="4" t="s">
        <v>241</v>
      </c>
      <c r="BV299" s="4" t="s">
        <v>241</v>
      </c>
      <c r="CE299" s="4" t="s">
        <v>264</v>
      </c>
      <c r="CF299" s="4" t="s">
        <v>241</v>
      </c>
      <c r="CG299" s="4" t="s">
        <v>241</v>
      </c>
      <c r="CK299" s="4" t="s">
        <v>291</v>
      </c>
      <c r="CL299" s="4" t="s">
        <v>266</v>
      </c>
      <c r="CM299" s="4" t="s">
        <v>241</v>
      </c>
      <c r="CO299" s="4" t="s">
        <v>421</v>
      </c>
      <c r="CP299" s="5" t="s">
        <v>268</v>
      </c>
      <c r="CQ299" s="4" t="s">
        <v>269</v>
      </c>
      <c r="CR299" s="4" t="s">
        <v>270</v>
      </c>
      <c r="CS299" s="4" t="s">
        <v>293</v>
      </c>
      <c r="CT299" s="4" t="s">
        <v>241</v>
      </c>
      <c r="CU299" s="4">
        <v>7.6999999999999999E-2</v>
      </c>
      <c r="CV299" s="4" t="s">
        <v>271</v>
      </c>
      <c r="CW299" s="4" t="s">
        <v>415</v>
      </c>
      <c r="CX299" s="4" t="s">
        <v>428</v>
      </c>
      <c r="CY299" s="6">
        <f>0</f>
        <v>0</v>
      </c>
      <c r="CZ299" s="6">
        <f>680400</f>
        <v>680400</v>
      </c>
      <c r="DA299" s="6">
        <f>523230</f>
        <v>523230</v>
      </c>
      <c r="DC299" s="4" t="s">
        <v>241</v>
      </c>
      <c r="DD299" s="4" t="s">
        <v>241</v>
      </c>
      <c r="DF299" s="4" t="s">
        <v>241</v>
      </c>
      <c r="DG299" s="6">
        <f>0</f>
        <v>0</v>
      </c>
      <c r="DI299" s="4" t="s">
        <v>241</v>
      </c>
      <c r="DJ299" s="4" t="s">
        <v>241</v>
      </c>
      <c r="DK299" s="4" t="s">
        <v>241</v>
      </c>
      <c r="DL299" s="4" t="s">
        <v>241</v>
      </c>
      <c r="DM299" s="4" t="s">
        <v>278</v>
      </c>
      <c r="DN299" s="4" t="s">
        <v>278</v>
      </c>
      <c r="DO299" s="6" t="s">
        <v>241</v>
      </c>
      <c r="DP299" s="4" t="s">
        <v>241</v>
      </c>
      <c r="DQ299" s="4" t="s">
        <v>241</v>
      </c>
      <c r="DR299" s="4" t="s">
        <v>241</v>
      </c>
      <c r="DS299" s="4" t="s">
        <v>241</v>
      </c>
      <c r="DV299" s="4" t="s">
        <v>2862</v>
      </c>
      <c r="DW299" s="4" t="s">
        <v>300</v>
      </c>
      <c r="GN299" s="4" t="s">
        <v>2863</v>
      </c>
      <c r="HO299" s="4" t="s">
        <v>336</v>
      </c>
      <c r="HR299" s="4" t="s">
        <v>278</v>
      </c>
      <c r="HS299" s="4" t="s">
        <v>278</v>
      </c>
      <c r="HT299" s="4" t="s">
        <v>241</v>
      </c>
      <c r="HU299" s="4" t="s">
        <v>241</v>
      </c>
      <c r="HV299" s="4" t="s">
        <v>241</v>
      </c>
      <c r="HW299" s="4" t="s">
        <v>241</v>
      </c>
      <c r="HX299" s="4" t="s">
        <v>241</v>
      </c>
      <c r="HY299" s="4" t="s">
        <v>241</v>
      </c>
      <c r="HZ299" s="4" t="s">
        <v>241</v>
      </c>
      <c r="IA299" s="4" t="s">
        <v>241</v>
      </c>
      <c r="IB299" s="4" t="s">
        <v>241</v>
      </c>
      <c r="IC299" s="4" t="s">
        <v>241</v>
      </c>
      <c r="ID299" s="4" t="s">
        <v>241</v>
      </c>
      <c r="IE299" s="4" t="s">
        <v>241</v>
      </c>
      <c r="IF299" s="4" t="s">
        <v>241</v>
      </c>
    </row>
    <row r="300" spans="1:240" x14ac:dyDescent="0.4">
      <c r="A300" s="4">
        <v>2</v>
      </c>
      <c r="B300" s="4" t="s">
        <v>239</v>
      </c>
      <c r="C300" s="4">
        <v>321</v>
      </c>
      <c r="D300" s="4">
        <v>1</v>
      </c>
      <c r="E300" s="4">
        <v>3</v>
      </c>
      <c r="F300" s="4" t="s">
        <v>240</v>
      </c>
      <c r="G300" s="4" t="s">
        <v>241</v>
      </c>
      <c r="H300" s="4" t="s">
        <v>241</v>
      </c>
      <c r="I300" s="4" t="s">
        <v>3389</v>
      </c>
      <c r="J300" s="4" t="s">
        <v>310</v>
      </c>
      <c r="K300" s="4" t="s">
        <v>256</v>
      </c>
      <c r="L300" s="4" t="s">
        <v>440</v>
      </c>
      <c r="M300" s="5" t="s">
        <v>3390</v>
      </c>
      <c r="N300" s="4" t="s">
        <v>3388</v>
      </c>
      <c r="O300" s="6">
        <f>79.2</f>
        <v>79.2</v>
      </c>
      <c r="P300" s="4" t="s">
        <v>276</v>
      </c>
      <c r="Q300" s="6">
        <f>3418598</f>
        <v>3418598</v>
      </c>
      <c r="R300" s="6">
        <f>15681600</f>
        <v>15681600</v>
      </c>
      <c r="S300" s="5" t="s">
        <v>311</v>
      </c>
      <c r="T300" s="4" t="s">
        <v>408</v>
      </c>
      <c r="U300" s="4" t="s">
        <v>314</v>
      </c>
      <c r="V300" s="6">
        <f>533174</f>
        <v>533174</v>
      </c>
      <c r="W300" s="6">
        <f>12263002</f>
        <v>12263002</v>
      </c>
      <c r="X300" s="4" t="s">
        <v>243</v>
      </c>
      <c r="Y300" s="4" t="s">
        <v>244</v>
      </c>
      <c r="Z300" s="4" t="s">
        <v>282</v>
      </c>
      <c r="AA300" s="4" t="s">
        <v>241</v>
      </c>
      <c r="AD300" s="4" t="s">
        <v>241</v>
      </c>
      <c r="AE300" s="5" t="s">
        <v>241</v>
      </c>
      <c r="AF300" s="5" t="s">
        <v>241</v>
      </c>
      <c r="AH300" s="5" t="s">
        <v>241</v>
      </c>
      <c r="AI300" s="5" t="s">
        <v>775</v>
      </c>
      <c r="AJ300" s="4" t="s">
        <v>251</v>
      </c>
      <c r="AK300" s="4" t="s">
        <v>252</v>
      </c>
      <c r="AQ300" s="4" t="s">
        <v>241</v>
      </c>
      <c r="AR300" s="4" t="s">
        <v>241</v>
      </c>
      <c r="AS300" s="4" t="s">
        <v>241</v>
      </c>
      <c r="AT300" s="5" t="s">
        <v>241</v>
      </c>
      <c r="AU300" s="5" t="s">
        <v>241</v>
      </c>
      <c r="AV300" s="5" t="s">
        <v>241</v>
      </c>
      <c r="AY300" s="4" t="s">
        <v>286</v>
      </c>
      <c r="AZ300" s="4" t="s">
        <v>286</v>
      </c>
      <c r="BA300" s="4" t="s">
        <v>254</v>
      </c>
      <c r="BB300" s="4" t="s">
        <v>287</v>
      </c>
      <c r="BC300" s="4" t="s">
        <v>255</v>
      </c>
      <c r="BD300" s="4" t="s">
        <v>241</v>
      </c>
      <c r="BE300" s="4" t="s">
        <v>257</v>
      </c>
      <c r="BF300" s="4" t="s">
        <v>241</v>
      </c>
      <c r="BH300" s="4" t="s">
        <v>1923</v>
      </c>
      <c r="BJ300" s="4" t="s">
        <v>288</v>
      </c>
      <c r="BK300" s="5" t="s">
        <v>289</v>
      </c>
      <c r="BL300" s="4" t="s">
        <v>290</v>
      </c>
      <c r="BM300" s="4" t="s">
        <v>290</v>
      </c>
      <c r="BN300" s="4" t="s">
        <v>241</v>
      </c>
      <c r="BO300" s="6">
        <f>0</f>
        <v>0</v>
      </c>
      <c r="BP300" s="6">
        <f>-533174</f>
        <v>-533174</v>
      </c>
      <c r="BQ300" s="4" t="s">
        <v>263</v>
      </c>
      <c r="BR300" s="4" t="s">
        <v>264</v>
      </c>
      <c r="BS300" s="4" t="s">
        <v>241</v>
      </c>
      <c r="BT300" s="4" t="s">
        <v>241</v>
      </c>
      <c r="BU300" s="4" t="s">
        <v>241</v>
      </c>
      <c r="BV300" s="4" t="s">
        <v>241</v>
      </c>
      <c r="CE300" s="4" t="s">
        <v>264</v>
      </c>
      <c r="CF300" s="4" t="s">
        <v>241</v>
      </c>
      <c r="CG300" s="4" t="s">
        <v>241</v>
      </c>
      <c r="CK300" s="4" t="s">
        <v>291</v>
      </c>
      <c r="CL300" s="4" t="s">
        <v>266</v>
      </c>
      <c r="CM300" s="4" t="s">
        <v>241</v>
      </c>
      <c r="CO300" s="4" t="s">
        <v>313</v>
      </c>
      <c r="CP300" s="5" t="s">
        <v>268</v>
      </c>
      <c r="CQ300" s="4" t="s">
        <v>269</v>
      </c>
      <c r="CR300" s="4" t="s">
        <v>270</v>
      </c>
      <c r="CS300" s="4" t="s">
        <v>293</v>
      </c>
      <c r="CT300" s="4" t="s">
        <v>241</v>
      </c>
      <c r="CU300" s="4">
        <v>3.4000000000000002E-2</v>
      </c>
      <c r="CV300" s="4" t="s">
        <v>271</v>
      </c>
      <c r="CW300" s="4" t="s">
        <v>294</v>
      </c>
      <c r="CX300" s="4" t="s">
        <v>273</v>
      </c>
      <c r="CY300" s="6">
        <f>0</f>
        <v>0</v>
      </c>
      <c r="CZ300" s="6">
        <f>15681600</f>
        <v>15681600</v>
      </c>
      <c r="DA300" s="6">
        <f>3418598</f>
        <v>3418598</v>
      </c>
      <c r="DC300" s="4" t="s">
        <v>241</v>
      </c>
      <c r="DD300" s="4" t="s">
        <v>241</v>
      </c>
      <c r="DF300" s="4" t="s">
        <v>241</v>
      </c>
      <c r="DG300" s="6">
        <f>0</f>
        <v>0</v>
      </c>
      <c r="DI300" s="4" t="s">
        <v>241</v>
      </c>
      <c r="DJ300" s="4" t="s">
        <v>241</v>
      </c>
      <c r="DK300" s="4" t="s">
        <v>241</v>
      </c>
      <c r="DL300" s="4" t="s">
        <v>241</v>
      </c>
      <c r="DM300" s="4" t="s">
        <v>323</v>
      </c>
      <c r="DN300" s="4" t="s">
        <v>278</v>
      </c>
      <c r="DO300" s="6">
        <f>79.2</f>
        <v>79.2</v>
      </c>
      <c r="DP300" s="4" t="s">
        <v>241</v>
      </c>
      <c r="DQ300" s="4" t="s">
        <v>241</v>
      </c>
      <c r="DR300" s="4" t="s">
        <v>241</v>
      </c>
      <c r="DS300" s="4" t="s">
        <v>241</v>
      </c>
      <c r="DV300" s="4" t="s">
        <v>3391</v>
      </c>
      <c r="DW300" s="4" t="s">
        <v>277</v>
      </c>
      <c r="GN300" s="4" t="s">
        <v>3392</v>
      </c>
      <c r="HO300" s="4" t="s">
        <v>300</v>
      </c>
      <c r="HR300" s="4" t="s">
        <v>278</v>
      </c>
      <c r="HS300" s="4" t="s">
        <v>278</v>
      </c>
      <c r="HT300" s="4" t="s">
        <v>241</v>
      </c>
      <c r="HU300" s="4" t="s">
        <v>241</v>
      </c>
      <c r="HV300" s="4" t="s">
        <v>241</v>
      </c>
      <c r="HW300" s="4" t="s">
        <v>241</v>
      </c>
      <c r="HX300" s="4" t="s">
        <v>241</v>
      </c>
      <c r="HY300" s="4" t="s">
        <v>241</v>
      </c>
      <c r="HZ300" s="4" t="s">
        <v>241</v>
      </c>
      <c r="IA300" s="4" t="s">
        <v>241</v>
      </c>
      <c r="IB300" s="4" t="s">
        <v>241</v>
      </c>
      <c r="IC300" s="4" t="s">
        <v>241</v>
      </c>
      <c r="ID300" s="4" t="s">
        <v>241</v>
      </c>
      <c r="IE300" s="4" t="s">
        <v>241</v>
      </c>
      <c r="IF300" s="4" t="s">
        <v>241</v>
      </c>
    </row>
    <row r="301" spans="1:240" x14ac:dyDescent="0.4">
      <c r="A301" s="4">
        <v>2</v>
      </c>
      <c r="B301" s="4" t="s">
        <v>239</v>
      </c>
      <c r="C301" s="4">
        <v>322</v>
      </c>
      <c r="D301" s="4">
        <v>1</v>
      </c>
      <c r="E301" s="4">
        <v>1</v>
      </c>
      <c r="F301" s="4" t="s">
        <v>240</v>
      </c>
      <c r="G301" s="4" t="s">
        <v>241</v>
      </c>
      <c r="H301" s="4" t="s">
        <v>241</v>
      </c>
      <c r="I301" s="4" t="s">
        <v>3877</v>
      </c>
      <c r="J301" s="4" t="s">
        <v>483</v>
      </c>
      <c r="K301" s="4" t="s">
        <v>256</v>
      </c>
      <c r="L301" s="4" t="s">
        <v>454</v>
      </c>
      <c r="M301" s="5" t="s">
        <v>679</v>
      </c>
      <c r="N301" s="4" t="s">
        <v>454</v>
      </c>
      <c r="O301" s="6">
        <f>51.46</f>
        <v>51.46</v>
      </c>
      <c r="P301" s="4" t="s">
        <v>276</v>
      </c>
      <c r="Q301" s="6">
        <f>1</f>
        <v>1</v>
      </c>
      <c r="R301" s="6">
        <f>4888700</f>
        <v>4888700</v>
      </c>
      <c r="S301" s="5" t="s">
        <v>3079</v>
      </c>
      <c r="T301" s="4" t="s">
        <v>404</v>
      </c>
      <c r="U301" s="4" t="s">
        <v>404</v>
      </c>
      <c r="W301" s="6">
        <f>4888699</f>
        <v>4888699</v>
      </c>
      <c r="X301" s="4" t="s">
        <v>243</v>
      </c>
      <c r="Y301" s="4" t="s">
        <v>244</v>
      </c>
      <c r="Z301" s="4" t="s">
        <v>282</v>
      </c>
      <c r="AA301" s="4" t="s">
        <v>241</v>
      </c>
      <c r="AD301" s="4" t="s">
        <v>241</v>
      </c>
      <c r="AF301" s="5" t="s">
        <v>241</v>
      </c>
      <c r="AI301" s="5" t="s">
        <v>775</v>
      </c>
      <c r="AJ301" s="4" t="s">
        <v>251</v>
      </c>
      <c r="AK301" s="4" t="s">
        <v>252</v>
      </c>
      <c r="BA301" s="4" t="s">
        <v>254</v>
      </c>
      <c r="BB301" s="4" t="s">
        <v>241</v>
      </c>
      <c r="BC301" s="4" t="s">
        <v>255</v>
      </c>
      <c r="BD301" s="4" t="s">
        <v>241</v>
      </c>
      <c r="BE301" s="4" t="s">
        <v>257</v>
      </c>
      <c r="BF301" s="4" t="s">
        <v>241</v>
      </c>
      <c r="BH301" s="4" t="s">
        <v>1923</v>
      </c>
      <c r="BJ301" s="4" t="s">
        <v>377</v>
      </c>
      <c r="BK301" s="5" t="s">
        <v>378</v>
      </c>
      <c r="BL301" s="4" t="s">
        <v>261</v>
      </c>
      <c r="BM301" s="4" t="s">
        <v>262</v>
      </c>
      <c r="BN301" s="4" t="s">
        <v>241</v>
      </c>
      <c r="BO301" s="6">
        <f>0</f>
        <v>0</v>
      </c>
      <c r="BP301" s="6">
        <f>0</f>
        <v>0</v>
      </c>
      <c r="BQ301" s="4" t="s">
        <v>263</v>
      </c>
      <c r="BR301" s="4" t="s">
        <v>264</v>
      </c>
      <c r="CF301" s="4" t="s">
        <v>241</v>
      </c>
      <c r="CG301" s="4" t="s">
        <v>241</v>
      </c>
      <c r="CK301" s="4" t="s">
        <v>291</v>
      </c>
      <c r="CL301" s="4" t="s">
        <v>266</v>
      </c>
      <c r="CM301" s="4" t="s">
        <v>241</v>
      </c>
      <c r="CO301" s="4" t="s">
        <v>468</v>
      </c>
      <c r="CP301" s="5" t="s">
        <v>268</v>
      </c>
      <c r="CQ301" s="4" t="s">
        <v>269</v>
      </c>
      <c r="CR301" s="4" t="s">
        <v>270</v>
      </c>
      <c r="CS301" s="4" t="s">
        <v>241</v>
      </c>
      <c r="CT301" s="4" t="s">
        <v>241</v>
      </c>
      <c r="CU301" s="4">
        <v>0</v>
      </c>
      <c r="CV301" s="4" t="s">
        <v>271</v>
      </c>
      <c r="CW301" s="4" t="s">
        <v>455</v>
      </c>
      <c r="CX301" s="4" t="s">
        <v>273</v>
      </c>
      <c r="CZ301" s="6">
        <f>4888700</f>
        <v>4888700</v>
      </c>
      <c r="DA301" s="6">
        <f>0</f>
        <v>0</v>
      </c>
      <c r="DC301" s="4" t="s">
        <v>241</v>
      </c>
      <c r="DD301" s="4" t="s">
        <v>241</v>
      </c>
      <c r="DF301" s="4" t="s">
        <v>241</v>
      </c>
      <c r="DI301" s="4" t="s">
        <v>241</v>
      </c>
      <c r="DJ301" s="4" t="s">
        <v>241</v>
      </c>
      <c r="DK301" s="4" t="s">
        <v>241</v>
      </c>
      <c r="DL301" s="4" t="s">
        <v>241</v>
      </c>
      <c r="DM301" s="4" t="s">
        <v>277</v>
      </c>
      <c r="DN301" s="4" t="s">
        <v>278</v>
      </c>
      <c r="DO301" s="6">
        <f>51.46</f>
        <v>51.46</v>
      </c>
      <c r="DP301" s="4" t="s">
        <v>241</v>
      </c>
      <c r="DQ301" s="4" t="s">
        <v>241</v>
      </c>
      <c r="DR301" s="4" t="s">
        <v>241</v>
      </c>
      <c r="DS301" s="4" t="s">
        <v>241</v>
      </c>
      <c r="DV301" s="4" t="s">
        <v>3878</v>
      </c>
      <c r="DW301" s="4" t="s">
        <v>277</v>
      </c>
      <c r="HO301" s="4" t="s">
        <v>277</v>
      </c>
      <c r="HR301" s="4" t="s">
        <v>278</v>
      </c>
      <c r="HS301" s="4" t="s">
        <v>278</v>
      </c>
    </row>
    <row r="302" spans="1:240" x14ac:dyDescent="0.4">
      <c r="A302" s="4">
        <v>2</v>
      </c>
      <c r="B302" s="4" t="s">
        <v>239</v>
      </c>
      <c r="C302" s="4">
        <v>323</v>
      </c>
      <c r="D302" s="4">
        <v>1</v>
      </c>
      <c r="E302" s="4">
        <v>1</v>
      </c>
      <c r="F302" s="4" t="s">
        <v>240</v>
      </c>
      <c r="G302" s="4" t="s">
        <v>241</v>
      </c>
      <c r="H302" s="4" t="s">
        <v>241</v>
      </c>
      <c r="I302" s="4" t="s">
        <v>3874</v>
      </c>
      <c r="J302" s="4" t="s">
        <v>424</v>
      </c>
      <c r="K302" s="4" t="s">
        <v>256</v>
      </c>
      <c r="L302" s="4" t="s">
        <v>454</v>
      </c>
      <c r="M302" s="5" t="s">
        <v>3875</v>
      </c>
      <c r="N302" s="4" t="s">
        <v>454</v>
      </c>
      <c r="O302" s="6">
        <f>131</f>
        <v>131</v>
      </c>
      <c r="P302" s="4" t="s">
        <v>276</v>
      </c>
      <c r="Q302" s="6">
        <f>1</f>
        <v>1</v>
      </c>
      <c r="R302" s="6">
        <f>7860000</f>
        <v>7860000</v>
      </c>
      <c r="S302" s="5" t="s">
        <v>248</v>
      </c>
      <c r="T302" s="4" t="s">
        <v>441</v>
      </c>
      <c r="U302" s="4" t="s">
        <v>275</v>
      </c>
      <c r="W302" s="6">
        <f>7859999</f>
        <v>7859999</v>
      </c>
      <c r="X302" s="4" t="s">
        <v>243</v>
      </c>
      <c r="Y302" s="4" t="s">
        <v>244</v>
      </c>
      <c r="Z302" s="4" t="s">
        <v>282</v>
      </c>
      <c r="AA302" s="4" t="s">
        <v>241</v>
      </c>
      <c r="AD302" s="4" t="s">
        <v>241</v>
      </c>
      <c r="AF302" s="5" t="s">
        <v>241</v>
      </c>
      <c r="AI302" s="5" t="s">
        <v>775</v>
      </c>
      <c r="AJ302" s="4" t="s">
        <v>251</v>
      </c>
      <c r="AK302" s="4" t="s">
        <v>252</v>
      </c>
      <c r="BA302" s="4" t="s">
        <v>254</v>
      </c>
      <c r="BB302" s="4" t="s">
        <v>241</v>
      </c>
      <c r="BC302" s="4" t="s">
        <v>255</v>
      </c>
      <c r="BD302" s="4" t="s">
        <v>241</v>
      </c>
      <c r="BE302" s="4" t="s">
        <v>257</v>
      </c>
      <c r="BF302" s="4" t="s">
        <v>241</v>
      </c>
      <c r="BH302" s="4" t="s">
        <v>1923</v>
      </c>
      <c r="BJ302" s="4" t="s">
        <v>259</v>
      </c>
      <c r="BK302" s="5" t="s">
        <v>260</v>
      </c>
      <c r="BL302" s="4" t="s">
        <v>261</v>
      </c>
      <c r="BM302" s="4" t="s">
        <v>262</v>
      </c>
      <c r="BN302" s="4" t="s">
        <v>241</v>
      </c>
      <c r="BO302" s="6">
        <f>0</f>
        <v>0</v>
      </c>
      <c r="BP302" s="6">
        <f>0</f>
        <v>0</v>
      </c>
      <c r="BQ302" s="4" t="s">
        <v>263</v>
      </c>
      <c r="BR302" s="4" t="s">
        <v>264</v>
      </c>
      <c r="CF302" s="4" t="s">
        <v>241</v>
      </c>
      <c r="CG302" s="4" t="s">
        <v>241</v>
      </c>
      <c r="CK302" s="4" t="s">
        <v>265</v>
      </c>
      <c r="CL302" s="4" t="s">
        <v>266</v>
      </c>
      <c r="CM302" s="4" t="s">
        <v>241</v>
      </c>
      <c r="CO302" s="4" t="s">
        <v>267</v>
      </c>
      <c r="CP302" s="5" t="s">
        <v>268</v>
      </c>
      <c r="CQ302" s="4" t="s">
        <v>269</v>
      </c>
      <c r="CR302" s="4" t="s">
        <v>270</v>
      </c>
      <c r="CS302" s="4" t="s">
        <v>241</v>
      </c>
      <c r="CT302" s="4" t="s">
        <v>241</v>
      </c>
      <c r="CU302" s="4">
        <v>0</v>
      </c>
      <c r="CV302" s="4" t="s">
        <v>271</v>
      </c>
      <c r="CW302" s="4" t="s">
        <v>455</v>
      </c>
      <c r="CX302" s="4" t="s">
        <v>487</v>
      </c>
      <c r="CZ302" s="6">
        <f>7860000</f>
        <v>7860000</v>
      </c>
      <c r="DA302" s="6">
        <f>0</f>
        <v>0</v>
      </c>
      <c r="DC302" s="4" t="s">
        <v>241</v>
      </c>
      <c r="DD302" s="4" t="s">
        <v>241</v>
      </c>
      <c r="DF302" s="4" t="s">
        <v>241</v>
      </c>
      <c r="DI302" s="4" t="s">
        <v>241</v>
      </c>
      <c r="DJ302" s="4" t="s">
        <v>241</v>
      </c>
      <c r="DK302" s="4" t="s">
        <v>241</v>
      </c>
      <c r="DL302" s="4" t="s">
        <v>241</v>
      </c>
      <c r="DM302" s="4" t="s">
        <v>277</v>
      </c>
      <c r="DN302" s="4" t="s">
        <v>278</v>
      </c>
      <c r="DO302" s="6">
        <f>131</f>
        <v>131</v>
      </c>
      <c r="DP302" s="4" t="s">
        <v>241</v>
      </c>
      <c r="DQ302" s="4" t="s">
        <v>241</v>
      </c>
      <c r="DR302" s="4" t="s">
        <v>241</v>
      </c>
      <c r="DS302" s="4" t="s">
        <v>241</v>
      </c>
      <c r="DV302" s="4" t="s">
        <v>3876</v>
      </c>
      <c r="DW302" s="4" t="s">
        <v>277</v>
      </c>
      <c r="HO302" s="4" t="s">
        <v>277</v>
      </c>
      <c r="HR302" s="4" t="s">
        <v>278</v>
      </c>
      <c r="HS302" s="4" t="s">
        <v>278</v>
      </c>
    </row>
    <row r="303" spans="1:240" x14ac:dyDescent="0.4">
      <c r="A303" s="4">
        <v>2</v>
      </c>
      <c r="B303" s="4" t="s">
        <v>239</v>
      </c>
      <c r="C303" s="4">
        <v>324</v>
      </c>
      <c r="D303" s="4">
        <v>1</v>
      </c>
      <c r="E303" s="4">
        <v>1</v>
      </c>
      <c r="F303" s="4" t="s">
        <v>326</v>
      </c>
      <c r="G303" s="4" t="s">
        <v>241</v>
      </c>
      <c r="H303" s="4" t="s">
        <v>241</v>
      </c>
      <c r="I303" s="4" t="s">
        <v>2995</v>
      </c>
      <c r="J303" s="4" t="s">
        <v>944</v>
      </c>
      <c r="K303" s="4" t="s">
        <v>256</v>
      </c>
      <c r="L303" s="4" t="s">
        <v>241</v>
      </c>
      <c r="M303" s="5" t="s">
        <v>2996</v>
      </c>
      <c r="N303" s="4" t="s">
        <v>429</v>
      </c>
      <c r="O303" s="6">
        <f>18.41</f>
        <v>18.41</v>
      </c>
      <c r="P303" s="4" t="s">
        <v>276</v>
      </c>
      <c r="Q303" s="6">
        <f>1</f>
        <v>1</v>
      </c>
      <c r="R303" s="6">
        <f>1</f>
        <v>1</v>
      </c>
      <c r="S303" s="5" t="s">
        <v>884</v>
      </c>
      <c r="T303" s="4" t="s">
        <v>274</v>
      </c>
      <c r="U303" s="4" t="s">
        <v>323</v>
      </c>
      <c r="W303" s="6">
        <f>0</f>
        <v>0</v>
      </c>
      <c r="X303" s="4" t="s">
        <v>243</v>
      </c>
      <c r="Y303" s="4" t="s">
        <v>244</v>
      </c>
      <c r="Z303" s="4" t="s">
        <v>241</v>
      </c>
      <c r="AA303" s="4" t="s">
        <v>241</v>
      </c>
      <c r="AD303" s="4" t="s">
        <v>241</v>
      </c>
      <c r="AF303" s="5" t="s">
        <v>241</v>
      </c>
      <c r="AI303" s="5" t="s">
        <v>249</v>
      </c>
      <c r="AJ303" s="4" t="s">
        <v>251</v>
      </c>
      <c r="AK303" s="4" t="s">
        <v>252</v>
      </c>
      <c r="BA303" s="4" t="s">
        <v>254</v>
      </c>
      <c r="BB303" s="4" t="s">
        <v>241</v>
      </c>
      <c r="BC303" s="4" t="s">
        <v>255</v>
      </c>
      <c r="BD303" s="4" t="s">
        <v>241</v>
      </c>
      <c r="BE303" s="4" t="s">
        <v>257</v>
      </c>
      <c r="BF303" s="4" t="s">
        <v>241</v>
      </c>
      <c r="BJ303" s="4" t="s">
        <v>367</v>
      </c>
      <c r="BK303" s="5" t="s">
        <v>884</v>
      </c>
      <c r="BL303" s="4" t="s">
        <v>261</v>
      </c>
      <c r="BM303" s="4" t="s">
        <v>290</v>
      </c>
      <c r="BN303" s="4" t="s">
        <v>241</v>
      </c>
      <c r="BO303" s="6">
        <f>0</f>
        <v>0</v>
      </c>
      <c r="BP303" s="6">
        <f>0</f>
        <v>0</v>
      </c>
      <c r="BQ303" s="4" t="s">
        <v>263</v>
      </c>
      <c r="BR303" s="4" t="s">
        <v>264</v>
      </c>
      <c r="CF303" s="4" t="s">
        <v>241</v>
      </c>
      <c r="CG303" s="4" t="s">
        <v>241</v>
      </c>
      <c r="CK303" s="4" t="s">
        <v>265</v>
      </c>
      <c r="CL303" s="4" t="s">
        <v>266</v>
      </c>
      <c r="CM303" s="4" t="s">
        <v>241</v>
      </c>
      <c r="CO303" s="4" t="s">
        <v>421</v>
      </c>
      <c r="CP303" s="5" t="s">
        <v>268</v>
      </c>
      <c r="CQ303" s="4" t="s">
        <v>269</v>
      </c>
      <c r="CR303" s="4" t="s">
        <v>270</v>
      </c>
      <c r="CS303" s="4" t="s">
        <v>241</v>
      </c>
      <c r="CT303" s="4" t="s">
        <v>241</v>
      </c>
      <c r="CU303" s="4">
        <v>0</v>
      </c>
      <c r="CV303" s="4" t="s">
        <v>271</v>
      </c>
      <c r="CW303" s="4" t="s">
        <v>272</v>
      </c>
      <c r="CX303" s="4" t="s">
        <v>273</v>
      </c>
      <c r="CZ303" s="6">
        <f>1</f>
        <v>1</v>
      </c>
      <c r="DA303" s="6">
        <f>0</f>
        <v>0</v>
      </c>
      <c r="DC303" s="4" t="s">
        <v>241</v>
      </c>
      <c r="DD303" s="4" t="s">
        <v>241</v>
      </c>
      <c r="DF303" s="4" t="s">
        <v>241</v>
      </c>
      <c r="DI303" s="4" t="s">
        <v>241</v>
      </c>
      <c r="DJ303" s="4" t="s">
        <v>241</v>
      </c>
      <c r="DK303" s="4" t="s">
        <v>241</v>
      </c>
      <c r="DL303" s="4" t="s">
        <v>241</v>
      </c>
      <c r="DM303" s="4" t="s">
        <v>278</v>
      </c>
      <c r="DN303" s="4" t="s">
        <v>278</v>
      </c>
      <c r="DO303" s="6">
        <f>18.41</f>
        <v>18.41</v>
      </c>
      <c r="DP303" s="4" t="s">
        <v>241</v>
      </c>
      <c r="DQ303" s="4" t="s">
        <v>241</v>
      </c>
      <c r="DR303" s="4" t="s">
        <v>241</v>
      </c>
      <c r="DS303" s="4" t="s">
        <v>241</v>
      </c>
      <c r="DV303" s="4" t="s">
        <v>2997</v>
      </c>
      <c r="DW303" s="4" t="s">
        <v>277</v>
      </c>
      <c r="HO303" s="4" t="s">
        <v>336</v>
      </c>
      <c r="HR303" s="4" t="s">
        <v>278</v>
      </c>
      <c r="HS303" s="4" t="s">
        <v>278</v>
      </c>
    </row>
    <row r="304" spans="1:240" x14ac:dyDescent="0.4">
      <c r="A304" s="4">
        <v>2</v>
      </c>
      <c r="B304" s="4" t="s">
        <v>239</v>
      </c>
      <c r="C304" s="4">
        <v>329</v>
      </c>
      <c r="D304" s="4">
        <v>1</v>
      </c>
      <c r="E304" s="4">
        <v>3</v>
      </c>
      <c r="F304" s="4" t="s">
        <v>240</v>
      </c>
      <c r="G304" s="4" t="s">
        <v>241</v>
      </c>
      <c r="H304" s="4" t="s">
        <v>241</v>
      </c>
      <c r="I304" s="4" t="s">
        <v>760</v>
      </c>
      <c r="J304" s="4" t="s">
        <v>653</v>
      </c>
      <c r="K304" s="4" t="s">
        <v>256</v>
      </c>
      <c r="L304" s="4" t="s">
        <v>658</v>
      </c>
      <c r="M304" s="5" t="s">
        <v>762</v>
      </c>
      <c r="N304" s="4" t="s">
        <v>658</v>
      </c>
      <c r="O304" s="6">
        <f>420</f>
        <v>420</v>
      </c>
      <c r="P304" s="4" t="s">
        <v>276</v>
      </c>
      <c r="Q304" s="6">
        <f>1</f>
        <v>1</v>
      </c>
      <c r="R304" s="6">
        <f>76860000</f>
        <v>76860000</v>
      </c>
      <c r="S304" s="5" t="s">
        <v>761</v>
      </c>
      <c r="T304" s="4" t="s">
        <v>357</v>
      </c>
      <c r="U304" s="4" t="s">
        <v>473</v>
      </c>
      <c r="V304" s="6">
        <f>768599</f>
        <v>768599</v>
      </c>
      <c r="W304" s="6">
        <f>76859999</f>
        <v>76859999</v>
      </c>
      <c r="X304" s="4" t="s">
        <v>243</v>
      </c>
      <c r="Y304" s="4" t="s">
        <v>244</v>
      </c>
      <c r="Z304" s="4" t="s">
        <v>465</v>
      </c>
      <c r="AA304" s="4" t="s">
        <v>241</v>
      </c>
      <c r="AD304" s="4" t="s">
        <v>241</v>
      </c>
      <c r="AE304" s="5" t="s">
        <v>241</v>
      </c>
      <c r="AF304" s="5" t="s">
        <v>241</v>
      </c>
      <c r="AH304" s="5" t="s">
        <v>241</v>
      </c>
      <c r="AI304" s="5" t="s">
        <v>249</v>
      </c>
      <c r="AJ304" s="4" t="s">
        <v>251</v>
      </c>
      <c r="AK304" s="4" t="s">
        <v>252</v>
      </c>
      <c r="AQ304" s="4" t="s">
        <v>241</v>
      </c>
      <c r="AR304" s="4" t="s">
        <v>241</v>
      </c>
      <c r="AS304" s="4" t="s">
        <v>241</v>
      </c>
      <c r="AT304" s="5" t="s">
        <v>241</v>
      </c>
      <c r="AU304" s="5" t="s">
        <v>241</v>
      </c>
      <c r="AV304" s="5" t="s">
        <v>241</v>
      </c>
      <c r="AY304" s="4" t="s">
        <v>286</v>
      </c>
      <c r="AZ304" s="4" t="s">
        <v>286</v>
      </c>
      <c r="BA304" s="4" t="s">
        <v>254</v>
      </c>
      <c r="BB304" s="4" t="s">
        <v>287</v>
      </c>
      <c r="BC304" s="4" t="s">
        <v>255</v>
      </c>
      <c r="BD304" s="4" t="s">
        <v>241</v>
      </c>
      <c r="BE304" s="4" t="s">
        <v>257</v>
      </c>
      <c r="BF304" s="4" t="s">
        <v>241</v>
      </c>
      <c r="BH304" s="4" t="s">
        <v>763</v>
      </c>
      <c r="BJ304" s="4" t="s">
        <v>288</v>
      </c>
      <c r="BK304" s="5" t="s">
        <v>289</v>
      </c>
      <c r="BL304" s="4" t="s">
        <v>290</v>
      </c>
      <c r="BM304" s="4" t="s">
        <v>290</v>
      </c>
      <c r="BN304" s="4" t="s">
        <v>241</v>
      </c>
      <c r="BO304" s="6">
        <f>0</f>
        <v>0</v>
      </c>
      <c r="BP304" s="6">
        <f>-768599</f>
        <v>-768599</v>
      </c>
      <c r="BQ304" s="4" t="s">
        <v>263</v>
      </c>
      <c r="BR304" s="4" t="s">
        <v>264</v>
      </c>
      <c r="BS304" s="4" t="s">
        <v>241</v>
      </c>
      <c r="BT304" s="4" t="s">
        <v>241</v>
      </c>
      <c r="BU304" s="4" t="s">
        <v>241</v>
      </c>
      <c r="BV304" s="4" t="s">
        <v>241</v>
      </c>
      <c r="CE304" s="4" t="s">
        <v>264</v>
      </c>
      <c r="CF304" s="4" t="s">
        <v>241</v>
      </c>
      <c r="CG304" s="4" t="s">
        <v>241</v>
      </c>
      <c r="CK304" s="4" t="s">
        <v>291</v>
      </c>
      <c r="CL304" s="4" t="s">
        <v>266</v>
      </c>
      <c r="CM304" s="4" t="s">
        <v>241</v>
      </c>
      <c r="CO304" s="4" t="s">
        <v>390</v>
      </c>
      <c r="CP304" s="5" t="s">
        <v>268</v>
      </c>
      <c r="CQ304" s="4" t="s">
        <v>269</v>
      </c>
      <c r="CR304" s="4" t="s">
        <v>270</v>
      </c>
      <c r="CS304" s="4" t="s">
        <v>293</v>
      </c>
      <c r="CT304" s="4" t="s">
        <v>241</v>
      </c>
      <c r="CU304" s="4">
        <v>0.03</v>
      </c>
      <c r="CV304" s="4" t="s">
        <v>271</v>
      </c>
      <c r="CW304" s="4" t="s">
        <v>655</v>
      </c>
      <c r="CX304" s="4" t="s">
        <v>487</v>
      </c>
      <c r="CY304" s="6">
        <f>0</f>
        <v>0</v>
      </c>
      <c r="CZ304" s="6">
        <f>76860000</f>
        <v>76860000</v>
      </c>
      <c r="DA304" s="6">
        <f>1</f>
        <v>1</v>
      </c>
      <c r="DC304" s="4" t="s">
        <v>241</v>
      </c>
      <c r="DD304" s="4" t="s">
        <v>241</v>
      </c>
      <c r="DF304" s="4" t="s">
        <v>241</v>
      </c>
      <c r="DG304" s="6">
        <f>0</f>
        <v>0</v>
      </c>
      <c r="DI304" s="4" t="s">
        <v>241</v>
      </c>
      <c r="DJ304" s="4" t="s">
        <v>241</v>
      </c>
      <c r="DK304" s="4" t="s">
        <v>241</v>
      </c>
      <c r="DL304" s="4" t="s">
        <v>241</v>
      </c>
      <c r="DM304" s="4" t="s">
        <v>277</v>
      </c>
      <c r="DN304" s="4" t="s">
        <v>278</v>
      </c>
      <c r="DO304" s="6">
        <f>420</f>
        <v>420</v>
      </c>
      <c r="DP304" s="4" t="s">
        <v>241</v>
      </c>
      <c r="DQ304" s="4" t="s">
        <v>241</v>
      </c>
      <c r="DR304" s="4" t="s">
        <v>241</v>
      </c>
      <c r="DS304" s="4" t="s">
        <v>241</v>
      </c>
      <c r="DV304" s="4" t="s">
        <v>764</v>
      </c>
      <c r="DW304" s="4" t="s">
        <v>277</v>
      </c>
      <c r="GN304" s="4" t="s">
        <v>765</v>
      </c>
      <c r="HO304" s="4" t="s">
        <v>300</v>
      </c>
      <c r="HR304" s="4" t="s">
        <v>278</v>
      </c>
      <c r="HS304" s="4" t="s">
        <v>278</v>
      </c>
      <c r="HT304" s="4" t="s">
        <v>241</v>
      </c>
      <c r="HU304" s="4" t="s">
        <v>241</v>
      </c>
      <c r="HV304" s="4" t="s">
        <v>241</v>
      </c>
      <c r="HW304" s="4" t="s">
        <v>241</v>
      </c>
      <c r="HX304" s="4" t="s">
        <v>241</v>
      </c>
      <c r="HY304" s="4" t="s">
        <v>241</v>
      </c>
      <c r="HZ304" s="4" t="s">
        <v>241</v>
      </c>
      <c r="IA304" s="4" t="s">
        <v>241</v>
      </c>
      <c r="IB304" s="4" t="s">
        <v>241</v>
      </c>
      <c r="IC304" s="4" t="s">
        <v>241</v>
      </c>
      <c r="ID304" s="4" t="s">
        <v>241</v>
      </c>
      <c r="IE304" s="4" t="s">
        <v>241</v>
      </c>
      <c r="IF304" s="4" t="s">
        <v>241</v>
      </c>
    </row>
    <row r="305" spans="1:240" x14ac:dyDescent="0.4">
      <c r="A305" s="4">
        <v>2</v>
      </c>
      <c r="B305" s="4" t="s">
        <v>239</v>
      </c>
      <c r="C305" s="4">
        <v>330</v>
      </c>
      <c r="D305" s="4">
        <v>1</v>
      </c>
      <c r="E305" s="4">
        <v>3</v>
      </c>
      <c r="F305" s="4" t="s">
        <v>240</v>
      </c>
      <c r="G305" s="4" t="s">
        <v>241</v>
      </c>
      <c r="H305" s="4" t="s">
        <v>241</v>
      </c>
      <c r="I305" s="4" t="s">
        <v>760</v>
      </c>
      <c r="J305" s="4" t="s">
        <v>653</v>
      </c>
      <c r="K305" s="4" t="s">
        <v>256</v>
      </c>
      <c r="L305" s="4" t="s">
        <v>1699</v>
      </c>
      <c r="M305" s="5" t="s">
        <v>762</v>
      </c>
      <c r="N305" s="4" t="s">
        <v>1699</v>
      </c>
      <c r="O305" s="6">
        <f>63</f>
        <v>63</v>
      </c>
      <c r="P305" s="4" t="s">
        <v>276</v>
      </c>
      <c r="Q305" s="6">
        <f>1</f>
        <v>1</v>
      </c>
      <c r="R305" s="6">
        <f>10584000</f>
        <v>10584000</v>
      </c>
      <c r="S305" s="5" t="s">
        <v>359</v>
      </c>
      <c r="T305" s="4" t="s">
        <v>314</v>
      </c>
      <c r="U305" s="4" t="s">
        <v>361</v>
      </c>
      <c r="V305" s="6">
        <f>359855</f>
        <v>359855</v>
      </c>
      <c r="W305" s="6">
        <f>10583999</f>
        <v>10583999</v>
      </c>
      <c r="X305" s="4" t="s">
        <v>243</v>
      </c>
      <c r="Y305" s="4" t="s">
        <v>244</v>
      </c>
      <c r="Z305" s="4" t="s">
        <v>465</v>
      </c>
      <c r="AA305" s="4" t="s">
        <v>241</v>
      </c>
      <c r="AD305" s="4" t="s">
        <v>241</v>
      </c>
      <c r="AE305" s="5" t="s">
        <v>241</v>
      </c>
      <c r="AF305" s="5" t="s">
        <v>241</v>
      </c>
      <c r="AH305" s="5" t="s">
        <v>241</v>
      </c>
      <c r="AI305" s="5" t="s">
        <v>249</v>
      </c>
      <c r="AJ305" s="4" t="s">
        <v>251</v>
      </c>
      <c r="AK305" s="4" t="s">
        <v>252</v>
      </c>
      <c r="AQ305" s="4" t="s">
        <v>241</v>
      </c>
      <c r="AR305" s="4" t="s">
        <v>241</v>
      </c>
      <c r="AS305" s="4" t="s">
        <v>241</v>
      </c>
      <c r="AT305" s="5" t="s">
        <v>241</v>
      </c>
      <c r="AU305" s="5" t="s">
        <v>241</v>
      </c>
      <c r="AV305" s="5" t="s">
        <v>241</v>
      </c>
      <c r="AY305" s="4" t="s">
        <v>286</v>
      </c>
      <c r="AZ305" s="4" t="s">
        <v>286</v>
      </c>
      <c r="BA305" s="4" t="s">
        <v>254</v>
      </c>
      <c r="BB305" s="4" t="s">
        <v>287</v>
      </c>
      <c r="BC305" s="4" t="s">
        <v>255</v>
      </c>
      <c r="BD305" s="4" t="s">
        <v>241</v>
      </c>
      <c r="BE305" s="4" t="s">
        <v>257</v>
      </c>
      <c r="BF305" s="4" t="s">
        <v>241</v>
      </c>
      <c r="BJ305" s="4" t="s">
        <v>288</v>
      </c>
      <c r="BK305" s="5" t="s">
        <v>289</v>
      </c>
      <c r="BL305" s="4" t="s">
        <v>290</v>
      </c>
      <c r="BM305" s="4" t="s">
        <v>290</v>
      </c>
      <c r="BN305" s="4" t="s">
        <v>241</v>
      </c>
      <c r="BO305" s="6">
        <f>0</f>
        <v>0</v>
      </c>
      <c r="BP305" s="6">
        <f>-359855</f>
        <v>-359855</v>
      </c>
      <c r="BQ305" s="4" t="s">
        <v>263</v>
      </c>
      <c r="BR305" s="4" t="s">
        <v>264</v>
      </c>
      <c r="BS305" s="4" t="s">
        <v>241</v>
      </c>
      <c r="BT305" s="4" t="s">
        <v>241</v>
      </c>
      <c r="BU305" s="4" t="s">
        <v>241</v>
      </c>
      <c r="BV305" s="4" t="s">
        <v>241</v>
      </c>
      <c r="CE305" s="4" t="s">
        <v>264</v>
      </c>
      <c r="CF305" s="4" t="s">
        <v>241</v>
      </c>
      <c r="CG305" s="4" t="s">
        <v>241</v>
      </c>
      <c r="CK305" s="4" t="s">
        <v>291</v>
      </c>
      <c r="CL305" s="4" t="s">
        <v>266</v>
      </c>
      <c r="CM305" s="4" t="s">
        <v>241</v>
      </c>
      <c r="CO305" s="4" t="s">
        <v>360</v>
      </c>
      <c r="CP305" s="5" t="s">
        <v>268</v>
      </c>
      <c r="CQ305" s="4" t="s">
        <v>269</v>
      </c>
      <c r="CR305" s="4" t="s">
        <v>270</v>
      </c>
      <c r="CS305" s="4" t="s">
        <v>293</v>
      </c>
      <c r="CT305" s="4" t="s">
        <v>241</v>
      </c>
      <c r="CU305" s="4">
        <v>4.5999999999999999E-2</v>
      </c>
      <c r="CV305" s="4" t="s">
        <v>271</v>
      </c>
      <c r="CW305" s="4" t="s">
        <v>1671</v>
      </c>
      <c r="CX305" s="4" t="s">
        <v>347</v>
      </c>
      <c r="CY305" s="6">
        <f>0</f>
        <v>0</v>
      </c>
      <c r="CZ305" s="6">
        <f>10584000</f>
        <v>10584000</v>
      </c>
      <c r="DA305" s="6">
        <f>1</f>
        <v>1</v>
      </c>
      <c r="DC305" s="4" t="s">
        <v>241</v>
      </c>
      <c r="DD305" s="4" t="s">
        <v>241</v>
      </c>
      <c r="DF305" s="4" t="s">
        <v>241</v>
      </c>
      <c r="DG305" s="6">
        <f>0</f>
        <v>0</v>
      </c>
      <c r="DI305" s="4" t="s">
        <v>241</v>
      </c>
      <c r="DJ305" s="4" t="s">
        <v>241</v>
      </c>
      <c r="DK305" s="4" t="s">
        <v>241</v>
      </c>
      <c r="DL305" s="4" t="s">
        <v>241</v>
      </c>
      <c r="DM305" s="4" t="s">
        <v>277</v>
      </c>
      <c r="DN305" s="4" t="s">
        <v>278</v>
      </c>
      <c r="DO305" s="6">
        <f>63</f>
        <v>63</v>
      </c>
      <c r="DP305" s="4" t="s">
        <v>241</v>
      </c>
      <c r="DQ305" s="4" t="s">
        <v>241</v>
      </c>
      <c r="DR305" s="4" t="s">
        <v>241</v>
      </c>
      <c r="DS305" s="4" t="s">
        <v>241</v>
      </c>
      <c r="DV305" s="4" t="s">
        <v>764</v>
      </c>
      <c r="DW305" s="4" t="s">
        <v>323</v>
      </c>
      <c r="GN305" s="4" t="s">
        <v>1739</v>
      </c>
      <c r="HO305" s="4" t="s">
        <v>300</v>
      </c>
      <c r="HR305" s="4" t="s">
        <v>278</v>
      </c>
      <c r="HS305" s="4" t="s">
        <v>278</v>
      </c>
      <c r="HT305" s="4" t="s">
        <v>241</v>
      </c>
      <c r="HU305" s="4" t="s">
        <v>241</v>
      </c>
      <c r="HV305" s="4" t="s">
        <v>241</v>
      </c>
      <c r="HW305" s="4" t="s">
        <v>241</v>
      </c>
      <c r="HX305" s="4" t="s">
        <v>241</v>
      </c>
      <c r="HY305" s="4" t="s">
        <v>241</v>
      </c>
      <c r="HZ305" s="4" t="s">
        <v>241</v>
      </c>
      <c r="IA305" s="4" t="s">
        <v>241</v>
      </c>
      <c r="IB305" s="4" t="s">
        <v>241</v>
      </c>
      <c r="IC305" s="4" t="s">
        <v>241</v>
      </c>
      <c r="ID305" s="4" t="s">
        <v>241</v>
      </c>
      <c r="IE305" s="4" t="s">
        <v>241</v>
      </c>
      <c r="IF305" s="4" t="s">
        <v>241</v>
      </c>
    </row>
    <row r="306" spans="1:240" x14ac:dyDescent="0.4">
      <c r="A306" s="4">
        <v>2</v>
      </c>
      <c r="B306" s="4" t="s">
        <v>239</v>
      </c>
      <c r="C306" s="4">
        <v>331</v>
      </c>
      <c r="D306" s="4">
        <v>1</v>
      </c>
      <c r="E306" s="4">
        <v>1</v>
      </c>
      <c r="F306" s="4" t="s">
        <v>240</v>
      </c>
      <c r="G306" s="4" t="s">
        <v>241</v>
      </c>
      <c r="H306" s="4" t="s">
        <v>241</v>
      </c>
      <c r="I306" s="4" t="s">
        <v>760</v>
      </c>
      <c r="J306" s="4" t="s">
        <v>653</v>
      </c>
      <c r="K306" s="4" t="s">
        <v>256</v>
      </c>
      <c r="L306" s="4" t="s">
        <v>429</v>
      </c>
      <c r="M306" s="5" t="s">
        <v>762</v>
      </c>
      <c r="N306" s="4" t="s">
        <v>429</v>
      </c>
      <c r="O306" s="6">
        <f>12</f>
        <v>12</v>
      </c>
      <c r="P306" s="4" t="s">
        <v>276</v>
      </c>
      <c r="Q306" s="6">
        <f>1</f>
        <v>1</v>
      </c>
      <c r="R306" s="6">
        <f>2016000</f>
        <v>2016000</v>
      </c>
      <c r="S306" s="5" t="s">
        <v>761</v>
      </c>
      <c r="T306" s="4" t="s">
        <v>348</v>
      </c>
      <c r="U306" s="4" t="s">
        <v>391</v>
      </c>
      <c r="W306" s="6">
        <f>2015999</f>
        <v>2015999</v>
      </c>
      <c r="X306" s="4" t="s">
        <v>243</v>
      </c>
      <c r="Y306" s="4" t="s">
        <v>244</v>
      </c>
      <c r="Z306" s="4" t="s">
        <v>465</v>
      </c>
      <c r="AA306" s="4" t="s">
        <v>241</v>
      </c>
      <c r="AD306" s="4" t="s">
        <v>241</v>
      </c>
      <c r="AF306" s="5" t="s">
        <v>241</v>
      </c>
      <c r="AI306" s="5" t="s">
        <v>249</v>
      </c>
      <c r="AJ306" s="4" t="s">
        <v>251</v>
      </c>
      <c r="AK306" s="4" t="s">
        <v>252</v>
      </c>
      <c r="BA306" s="4" t="s">
        <v>254</v>
      </c>
      <c r="BB306" s="4" t="s">
        <v>241</v>
      </c>
      <c r="BC306" s="4" t="s">
        <v>255</v>
      </c>
      <c r="BD306" s="4" t="s">
        <v>241</v>
      </c>
      <c r="BE306" s="4" t="s">
        <v>257</v>
      </c>
      <c r="BF306" s="4" t="s">
        <v>241</v>
      </c>
      <c r="BJ306" s="4" t="s">
        <v>367</v>
      </c>
      <c r="BK306" s="5" t="s">
        <v>249</v>
      </c>
      <c r="BL306" s="4" t="s">
        <v>261</v>
      </c>
      <c r="BM306" s="4" t="s">
        <v>262</v>
      </c>
      <c r="BN306" s="4" t="s">
        <v>241</v>
      </c>
      <c r="BO306" s="6">
        <f>0</f>
        <v>0</v>
      </c>
      <c r="BP306" s="6">
        <f>0</f>
        <v>0</v>
      </c>
      <c r="BQ306" s="4" t="s">
        <v>263</v>
      </c>
      <c r="BR306" s="4" t="s">
        <v>264</v>
      </c>
      <c r="CF306" s="4" t="s">
        <v>241</v>
      </c>
      <c r="CG306" s="4" t="s">
        <v>241</v>
      </c>
      <c r="CK306" s="4" t="s">
        <v>291</v>
      </c>
      <c r="CL306" s="4" t="s">
        <v>266</v>
      </c>
      <c r="CM306" s="4" t="s">
        <v>241</v>
      </c>
      <c r="CO306" s="4" t="s">
        <v>390</v>
      </c>
      <c r="CP306" s="5" t="s">
        <v>268</v>
      </c>
      <c r="CQ306" s="4" t="s">
        <v>269</v>
      </c>
      <c r="CR306" s="4" t="s">
        <v>270</v>
      </c>
      <c r="CS306" s="4" t="s">
        <v>241</v>
      </c>
      <c r="CT306" s="4" t="s">
        <v>241</v>
      </c>
      <c r="CU306" s="4">
        <v>0</v>
      </c>
      <c r="CV306" s="4" t="s">
        <v>271</v>
      </c>
      <c r="CW306" s="4" t="s">
        <v>272</v>
      </c>
      <c r="CX306" s="4" t="s">
        <v>347</v>
      </c>
      <c r="CZ306" s="6">
        <f>2016000</f>
        <v>2016000</v>
      </c>
      <c r="DA306" s="6">
        <f>0</f>
        <v>0</v>
      </c>
      <c r="DC306" s="4" t="s">
        <v>241</v>
      </c>
      <c r="DD306" s="4" t="s">
        <v>241</v>
      </c>
      <c r="DF306" s="4" t="s">
        <v>241</v>
      </c>
      <c r="DI306" s="4" t="s">
        <v>241</v>
      </c>
      <c r="DJ306" s="4" t="s">
        <v>241</v>
      </c>
      <c r="DK306" s="4" t="s">
        <v>241</v>
      </c>
      <c r="DL306" s="4" t="s">
        <v>241</v>
      </c>
      <c r="DM306" s="4" t="s">
        <v>277</v>
      </c>
      <c r="DN306" s="4" t="s">
        <v>278</v>
      </c>
      <c r="DO306" s="6">
        <f>12</f>
        <v>12</v>
      </c>
      <c r="DP306" s="4" t="s">
        <v>241</v>
      </c>
      <c r="DQ306" s="4" t="s">
        <v>241</v>
      </c>
      <c r="DR306" s="4" t="s">
        <v>241</v>
      </c>
      <c r="DS306" s="4" t="s">
        <v>241</v>
      </c>
      <c r="DV306" s="4" t="s">
        <v>764</v>
      </c>
      <c r="DW306" s="4" t="s">
        <v>297</v>
      </c>
      <c r="HO306" s="4" t="s">
        <v>277</v>
      </c>
      <c r="HR306" s="4" t="s">
        <v>278</v>
      </c>
      <c r="HS306" s="4" t="s">
        <v>278</v>
      </c>
    </row>
    <row r="307" spans="1:240" x14ac:dyDescent="0.4">
      <c r="A307" s="4">
        <v>2</v>
      </c>
      <c r="B307" s="4" t="s">
        <v>239</v>
      </c>
      <c r="C307" s="4">
        <v>332</v>
      </c>
      <c r="D307" s="4">
        <v>1</v>
      </c>
      <c r="E307" s="4">
        <v>3</v>
      </c>
      <c r="F307" s="4" t="s">
        <v>326</v>
      </c>
      <c r="G307" s="4" t="s">
        <v>241</v>
      </c>
      <c r="H307" s="4" t="s">
        <v>241</v>
      </c>
      <c r="I307" s="4" t="s">
        <v>760</v>
      </c>
      <c r="J307" s="4" t="s">
        <v>653</v>
      </c>
      <c r="K307" s="4" t="s">
        <v>256</v>
      </c>
      <c r="L307" s="4" t="s">
        <v>241</v>
      </c>
      <c r="M307" s="5" t="s">
        <v>762</v>
      </c>
      <c r="N307" s="4" t="s">
        <v>2747</v>
      </c>
      <c r="O307" s="6">
        <f>0</f>
        <v>0</v>
      </c>
      <c r="P307" s="4" t="s">
        <v>276</v>
      </c>
      <c r="Q307" s="6">
        <f>9498604</f>
        <v>9498604</v>
      </c>
      <c r="R307" s="6">
        <f>11227664</f>
        <v>11227664</v>
      </c>
      <c r="S307" s="5" t="s">
        <v>2849</v>
      </c>
      <c r="T307" s="4" t="s">
        <v>322</v>
      </c>
      <c r="U307" s="4" t="s">
        <v>277</v>
      </c>
      <c r="V307" s="6">
        <f>864530</f>
        <v>864530</v>
      </c>
      <c r="W307" s="6">
        <f>1729060</f>
        <v>1729060</v>
      </c>
      <c r="X307" s="4" t="s">
        <v>243</v>
      </c>
      <c r="Y307" s="4" t="s">
        <v>244</v>
      </c>
      <c r="Z307" s="4" t="s">
        <v>241</v>
      </c>
      <c r="AA307" s="4" t="s">
        <v>241</v>
      </c>
      <c r="AD307" s="4" t="s">
        <v>241</v>
      </c>
      <c r="AE307" s="5" t="s">
        <v>241</v>
      </c>
      <c r="AF307" s="5" t="s">
        <v>241</v>
      </c>
      <c r="AH307" s="5" t="s">
        <v>241</v>
      </c>
      <c r="AI307" s="5" t="s">
        <v>249</v>
      </c>
      <c r="AJ307" s="4" t="s">
        <v>251</v>
      </c>
      <c r="AK307" s="4" t="s">
        <v>252</v>
      </c>
      <c r="AQ307" s="4" t="s">
        <v>241</v>
      </c>
      <c r="AR307" s="4" t="s">
        <v>241</v>
      </c>
      <c r="AS307" s="4" t="s">
        <v>241</v>
      </c>
      <c r="AT307" s="5" t="s">
        <v>241</v>
      </c>
      <c r="AU307" s="5" t="s">
        <v>241</v>
      </c>
      <c r="AV307" s="5" t="s">
        <v>241</v>
      </c>
      <c r="AY307" s="4" t="s">
        <v>286</v>
      </c>
      <c r="AZ307" s="4" t="s">
        <v>286</v>
      </c>
      <c r="BA307" s="4" t="s">
        <v>254</v>
      </c>
      <c r="BB307" s="4" t="s">
        <v>287</v>
      </c>
      <c r="BC307" s="4" t="s">
        <v>255</v>
      </c>
      <c r="BD307" s="4" t="s">
        <v>241</v>
      </c>
      <c r="BE307" s="4" t="s">
        <v>257</v>
      </c>
      <c r="BF307" s="4" t="s">
        <v>241</v>
      </c>
      <c r="BJ307" s="4" t="s">
        <v>288</v>
      </c>
      <c r="BK307" s="5" t="s">
        <v>289</v>
      </c>
      <c r="BL307" s="4" t="s">
        <v>290</v>
      </c>
      <c r="BM307" s="4" t="s">
        <v>290</v>
      </c>
      <c r="BN307" s="4" t="s">
        <v>241</v>
      </c>
      <c r="BP307" s="6">
        <f>-864530</f>
        <v>-864530</v>
      </c>
      <c r="BQ307" s="4" t="s">
        <v>263</v>
      </c>
      <c r="BR307" s="4" t="s">
        <v>264</v>
      </c>
      <c r="BS307" s="4" t="s">
        <v>241</v>
      </c>
      <c r="BT307" s="4" t="s">
        <v>241</v>
      </c>
      <c r="BU307" s="4" t="s">
        <v>241</v>
      </c>
      <c r="BV307" s="4" t="s">
        <v>241</v>
      </c>
      <c r="CE307" s="4" t="s">
        <v>264</v>
      </c>
      <c r="CF307" s="4" t="s">
        <v>241</v>
      </c>
      <c r="CG307" s="4" t="s">
        <v>241</v>
      </c>
      <c r="CK307" s="4" t="s">
        <v>291</v>
      </c>
      <c r="CL307" s="4" t="s">
        <v>266</v>
      </c>
      <c r="CM307" s="4" t="s">
        <v>241</v>
      </c>
      <c r="CO307" s="4" t="s">
        <v>331</v>
      </c>
      <c r="CP307" s="5" t="s">
        <v>268</v>
      </c>
      <c r="CQ307" s="4" t="s">
        <v>269</v>
      </c>
      <c r="CR307" s="4" t="s">
        <v>270</v>
      </c>
      <c r="CS307" s="4" t="s">
        <v>293</v>
      </c>
      <c r="CT307" s="4" t="s">
        <v>241</v>
      </c>
      <c r="CU307" s="4">
        <v>7.6999999999999999E-2</v>
      </c>
      <c r="CV307" s="4" t="s">
        <v>271</v>
      </c>
      <c r="CW307" s="4" t="s">
        <v>415</v>
      </c>
      <c r="CX307" s="4" t="s">
        <v>428</v>
      </c>
      <c r="CY307" s="6">
        <f>0</f>
        <v>0</v>
      </c>
      <c r="CZ307" s="6">
        <f>11227664</f>
        <v>11227664</v>
      </c>
      <c r="DA307" s="6">
        <f>9498604</f>
        <v>9498604</v>
      </c>
      <c r="DC307" s="4" t="s">
        <v>241</v>
      </c>
      <c r="DD307" s="4" t="s">
        <v>241</v>
      </c>
      <c r="DF307" s="4" t="s">
        <v>241</v>
      </c>
      <c r="DG307" s="6">
        <f>0</f>
        <v>0</v>
      </c>
      <c r="DI307" s="4" t="s">
        <v>241</v>
      </c>
      <c r="DJ307" s="4" t="s">
        <v>241</v>
      </c>
      <c r="DK307" s="4" t="s">
        <v>241</v>
      </c>
      <c r="DL307" s="4" t="s">
        <v>241</v>
      </c>
      <c r="DM307" s="4" t="s">
        <v>278</v>
      </c>
      <c r="DN307" s="4" t="s">
        <v>278</v>
      </c>
      <c r="DO307" s="6" t="s">
        <v>241</v>
      </c>
      <c r="DP307" s="4" t="s">
        <v>241</v>
      </c>
      <c r="DQ307" s="4" t="s">
        <v>241</v>
      </c>
      <c r="DR307" s="4" t="s">
        <v>241</v>
      </c>
      <c r="DS307" s="4" t="s">
        <v>241</v>
      </c>
      <c r="DV307" s="4" t="s">
        <v>764</v>
      </c>
      <c r="DW307" s="4" t="s">
        <v>336</v>
      </c>
      <c r="GN307" s="4" t="s">
        <v>2858</v>
      </c>
      <c r="HO307" s="4" t="s">
        <v>297</v>
      </c>
      <c r="HR307" s="4" t="s">
        <v>278</v>
      </c>
      <c r="HS307" s="4" t="s">
        <v>278</v>
      </c>
      <c r="HT307" s="4" t="s">
        <v>241</v>
      </c>
      <c r="HU307" s="4" t="s">
        <v>241</v>
      </c>
      <c r="HV307" s="4" t="s">
        <v>241</v>
      </c>
      <c r="HW307" s="4" t="s">
        <v>241</v>
      </c>
      <c r="HX307" s="4" t="s">
        <v>241</v>
      </c>
      <c r="HY307" s="4" t="s">
        <v>241</v>
      </c>
      <c r="HZ307" s="4" t="s">
        <v>241</v>
      </c>
      <c r="IA307" s="4" t="s">
        <v>241</v>
      </c>
      <c r="IB307" s="4" t="s">
        <v>241</v>
      </c>
      <c r="IC307" s="4" t="s">
        <v>241</v>
      </c>
      <c r="ID307" s="4" t="s">
        <v>241</v>
      </c>
      <c r="IE307" s="4" t="s">
        <v>241</v>
      </c>
      <c r="IF307" s="4" t="s">
        <v>241</v>
      </c>
    </row>
    <row r="308" spans="1:240" x14ac:dyDescent="0.4">
      <c r="A308" s="4">
        <v>2</v>
      </c>
      <c r="B308" s="4" t="s">
        <v>239</v>
      </c>
      <c r="C308" s="4">
        <v>333</v>
      </c>
      <c r="D308" s="4">
        <v>1</v>
      </c>
      <c r="E308" s="4">
        <v>1</v>
      </c>
      <c r="F308" s="4" t="s">
        <v>240</v>
      </c>
      <c r="G308" s="4" t="s">
        <v>241</v>
      </c>
      <c r="H308" s="4" t="s">
        <v>241</v>
      </c>
      <c r="I308" s="4" t="s">
        <v>756</v>
      </c>
      <c r="J308" s="4" t="s">
        <v>653</v>
      </c>
      <c r="K308" s="4" t="s">
        <v>256</v>
      </c>
      <c r="L308" s="4" t="s">
        <v>1699</v>
      </c>
      <c r="M308" s="5" t="s">
        <v>758</v>
      </c>
      <c r="N308" s="4" t="s">
        <v>1699</v>
      </c>
      <c r="O308" s="6">
        <f>62</f>
        <v>62</v>
      </c>
      <c r="P308" s="4" t="s">
        <v>276</v>
      </c>
      <c r="Q308" s="6">
        <f>1</f>
        <v>1</v>
      </c>
      <c r="R308" s="6">
        <f>10416000</f>
        <v>10416000</v>
      </c>
      <c r="S308" s="5" t="s">
        <v>1349</v>
      </c>
      <c r="T308" s="4" t="s">
        <v>314</v>
      </c>
      <c r="U308" s="4" t="s">
        <v>314</v>
      </c>
      <c r="W308" s="6">
        <f>10415999</f>
        <v>10415999</v>
      </c>
      <c r="X308" s="4" t="s">
        <v>243</v>
      </c>
      <c r="Y308" s="4" t="s">
        <v>244</v>
      </c>
      <c r="Z308" s="4" t="s">
        <v>465</v>
      </c>
      <c r="AA308" s="4" t="s">
        <v>241</v>
      </c>
      <c r="AD308" s="4" t="s">
        <v>241</v>
      </c>
      <c r="AF308" s="5" t="s">
        <v>241</v>
      </c>
      <c r="AI308" s="5" t="s">
        <v>249</v>
      </c>
      <c r="AJ308" s="4" t="s">
        <v>251</v>
      </c>
      <c r="AK308" s="4" t="s">
        <v>252</v>
      </c>
      <c r="BA308" s="4" t="s">
        <v>254</v>
      </c>
      <c r="BB308" s="4" t="s">
        <v>241</v>
      </c>
      <c r="BC308" s="4" t="s">
        <v>255</v>
      </c>
      <c r="BD308" s="4" t="s">
        <v>241</v>
      </c>
      <c r="BE308" s="4" t="s">
        <v>257</v>
      </c>
      <c r="BF308" s="4" t="s">
        <v>241</v>
      </c>
      <c r="BH308" s="4" t="s">
        <v>763</v>
      </c>
      <c r="BJ308" s="4" t="s">
        <v>259</v>
      </c>
      <c r="BK308" s="5" t="s">
        <v>1700</v>
      </c>
      <c r="BL308" s="4" t="s">
        <v>261</v>
      </c>
      <c r="BM308" s="4" t="s">
        <v>290</v>
      </c>
      <c r="BN308" s="4" t="s">
        <v>241</v>
      </c>
      <c r="BO308" s="6">
        <f>0</f>
        <v>0</v>
      </c>
      <c r="BP308" s="6">
        <f>0</f>
        <v>0</v>
      </c>
      <c r="BQ308" s="4" t="s">
        <v>263</v>
      </c>
      <c r="BR308" s="4" t="s">
        <v>264</v>
      </c>
      <c r="CF308" s="4" t="s">
        <v>241</v>
      </c>
      <c r="CG308" s="4" t="s">
        <v>241</v>
      </c>
      <c r="CK308" s="4" t="s">
        <v>291</v>
      </c>
      <c r="CL308" s="4" t="s">
        <v>266</v>
      </c>
      <c r="CM308" s="4" t="s">
        <v>241</v>
      </c>
      <c r="CO308" s="4" t="s">
        <v>387</v>
      </c>
      <c r="CP308" s="5" t="s">
        <v>268</v>
      </c>
      <c r="CQ308" s="4" t="s">
        <v>269</v>
      </c>
      <c r="CR308" s="4" t="s">
        <v>270</v>
      </c>
      <c r="CS308" s="4" t="s">
        <v>241</v>
      </c>
      <c r="CT308" s="4" t="s">
        <v>241</v>
      </c>
      <c r="CU308" s="4">
        <v>0</v>
      </c>
      <c r="CV308" s="4" t="s">
        <v>271</v>
      </c>
      <c r="CW308" s="4" t="s">
        <v>1671</v>
      </c>
      <c r="CX308" s="4" t="s">
        <v>347</v>
      </c>
      <c r="CZ308" s="6">
        <f>10416000</f>
        <v>10416000</v>
      </c>
      <c r="DA308" s="6">
        <f>0</f>
        <v>0</v>
      </c>
      <c r="DC308" s="4" t="s">
        <v>241</v>
      </c>
      <c r="DD308" s="4" t="s">
        <v>241</v>
      </c>
      <c r="DF308" s="4" t="s">
        <v>241</v>
      </c>
      <c r="DI308" s="4" t="s">
        <v>241</v>
      </c>
      <c r="DJ308" s="4" t="s">
        <v>241</v>
      </c>
      <c r="DK308" s="4" t="s">
        <v>241</v>
      </c>
      <c r="DL308" s="4" t="s">
        <v>241</v>
      </c>
      <c r="DM308" s="4" t="s">
        <v>277</v>
      </c>
      <c r="DN308" s="4" t="s">
        <v>278</v>
      </c>
      <c r="DO308" s="6">
        <f>62</f>
        <v>62</v>
      </c>
      <c r="DP308" s="4" t="s">
        <v>241</v>
      </c>
      <c r="DQ308" s="4" t="s">
        <v>241</v>
      </c>
      <c r="DR308" s="4" t="s">
        <v>241</v>
      </c>
      <c r="DS308" s="4" t="s">
        <v>241</v>
      </c>
      <c r="DV308" s="4" t="s">
        <v>759</v>
      </c>
      <c r="DW308" s="4" t="s">
        <v>277</v>
      </c>
      <c r="HO308" s="4" t="s">
        <v>297</v>
      </c>
      <c r="HR308" s="4" t="s">
        <v>278</v>
      </c>
      <c r="HS308" s="4" t="s">
        <v>278</v>
      </c>
    </row>
    <row r="309" spans="1:240" x14ac:dyDescent="0.4">
      <c r="A309" s="4">
        <v>2</v>
      </c>
      <c r="B309" s="4" t="s">
        <v>239</v>
      </c>
      <c r="C309" s="4">
        <v>334</v>
      </c>
      <c r="D309" s="4">
        <v>1</v>
      </c>
      <c r="E309" s="4">
        <v>1</v>
      </c>
      <c r="F309" s="4" t="s">
        <v>240</v>
      </c>
      <c r="G309" s="4" t="s">
        <v>241</v>
      </c>
      <c r="H309" s="4" t="s">
        <v>241</v>
      </c>
      <c r="I309" s="4" t="s">
        <v>756</v>
      </c>
      <c r="J309" s="4" t="s">
        <v>653</v>
      </c>
      <c r="K309" s="4" t="s">
        <v>256</v>
      </c>
      <c r="L309" s="4" t="s">
        <v>658</v>
      </c>
      <c r="M309" s="5" t="s">
        <v>758</v>
      </c>
      <c r="N309" s="4" t="s">
        <v>658</v>
      </c>
      <c r="O309" s="6">
        <f>459</f>
        <v>459</v>
      </c>
      <c r="P309" s="4" t="s">
        <v>276</v>
      </c>
      <c r="Q309" s="6">
        <f>1</f>
        <v>1</v>
      </c>
      <c r="R309" s="6">
        <f>36720000</f>
        <v>36720000</v>
      </c>
      <c r="S309" s="5" t="s">
        <v>381</v>
      </c>
      <c r="T309" s="4" t="s">
        <v>357</v>
      </c>
      <c r="U309" s="4" t="s">
        <v>357</v>
      </c>
      <c r="W309" s="6">
        <f>36719999</f>
        <v>36719999</v>
      </c>
      <c r="X309" s="4" t="s">
        <v>243</v>
      </c>
      <c r="Y309" s="4" t="s">
        <v>244</v>
      </c>
      <c r="Z309" s="4" t="s">
        <v>465</v>
      </c>
      <c r="AA309" s="4" t="s">
        <v>241</v>
      </c>
      <c r="AD309" s="4" t="s">
        <v>241</v>
      </c>
      <c r="AF309" s="5" t="s">
        <v>241</v>
      </c>
      <c r="AI309" s="5" t="s">
        <v>757</v>
      </c>
      <c r="AJ309" s="4" t="s">
        <v>251</v>
      </c>
      <c r="AK309" s="4" t="s">
        <v>252</v>
      </c>
      <c r="BA309" s="4" t="s">
        <v>254</v>
      </c>
      <c r="BB309" s="4" t="s">
        <v>241</v>
      </c>
      <c r="BC309" s="4" t="s">
        <v>255</v>
      </c>
      <c r="BD309" s="4" t="s">
        <v>241</v>
      </c>
      <c r="BE309" s="4" t="s">
        <v>257</v>
      </c>
      <c r="BF309" s="4" t="s">
        <v>241</v>
      </c>
      <c r="BJ309" s="4" t="s">
        <v>259</v>
      </c>
      <c r="BK309" s="5" t="s">
        <v>757</v>
      </c>
      <c r="BL309" s="4" t="s">
        <v>261</v>
      </c>
      <c r="BM309" s="4" t="s">
        <v>262</v>
      </c>
      <c r="BN309" s="4" t="s">
        <v>241</v>
      </c>
      <c r="BO309" s="6">
        <f>0</f>
        <v>0</v>
      </c>
      <c r="BP309" s="6">
        <f>0</f>
        <v>0</v>
      </c>
      <c r="BQ309" s="4" t="s">
        <v>263</v>
      </c>
      <c r="BR309" s="4" t="s">
        <v>264</v>
      </c>
      <c r="CF309" s="4" t="s">
        <v>241</v>
      </c>
      <c r="CG309" s="4" t="s">
        <v>241</v>
      </c>
      <c r="CK309" s="4" t="s">
        <v>265</v>
      </c>
      <c r="CL309" s="4" t="s">
        <v>266</v>
      </c>
      <c r="CM309" s="4" t="s">
        <v>241</v>
      </c>
      <c r="CO309" s="4" t="s">
        <v>382</v>
      </c>
      <c r="CP309" s="5" t="s">
        <v>268</v>
      </c>
      <c r="CQ309" s="4" t="s">
        <v>269</v>
      </c>
      <c r="CR309" s="4" t="s">
        <v>270</v>
      </c>
      <c r="CS309" s="4" t="s">
        <v>241</v>
      </c>
      <c r="CT309" s="4" t="s">
        <v>241</v>
      </c>
      <c r="CU309" s="4">
        <v>0</v>
      </c>
      <c r="CV309" s="4" t="s">
        <v>271</v>
      </c>
      <c r="CW309" s="4" t="s">
        <v>655</v>
      </c>
      <c r="CX309" s="4" t="s">
        <v>487</v>
      </c>
      <c r="CZ309" s="6">
        <f>36720000</f>
        <v>36720000</v>
      </c>
      <c r="DA309" s="6">
        <f>0</f>
        <v>0</v>
      </c>
      <c r="DC309" s="4" t="s">
        <v>241</v>
      </c>
      <c r="DD309" s="4" t="s">
        <v>241</v>
      </c>
      <c r="DF309" s="4" t="s">
        <v>241</v>
      </c>
      <c r="DI309" s="4" t="s">
        <v>241</v>
      </c>
      <c r="DJ309" s="4" t="s">
        <v>241</v>
      </c>
      <c r="DK309" s="4" t="s">
        <v>241</v>
      </c>
      <c r="DL309" s="4" t="s">
        <v>241</v>
      </c>
      <c r="DM309" s="4" t="s">
        <v>277</v>
      </c>
      <c r="DN309" s="4" t="s">
        <v>278</v>
      </c>
      <c r="DO309" s="6">
        <f>459</f>
        <v>459</v>
      </c>
      <c r="DP309" s="4" t="s">
        <v>241</v>
      </c>
      <c r="DQ309" s="4" t="s">
        <v>241</v>
      </c>
      <c r="DR309" s="4" t="s">
        <v>241</v>
      </c>
      <c r="DS309" s="4" t="s">
        <v>241</v>
      </c>
      <c r="DV309" s="4" t="s">
        <v>759</v>
      </c>
      <c r="DW309" s="4" t="s">
        <v>323</v>
      </c>
      <c r="HO309" s="4" t="s">
        <v>277</v>
      </c>
      <c r="HR309" s="4" t="s">
        <v>278</v>
      </c>
      <c r="HS309" s="4" t="s">
        <v>278</v>
      </c>
    </row>
    <row r="310" spans="1:240" x14ac:dyDescent="0.4">
      <c r="A310" s="4">
        <v>2</v>
      </c>
      <c r="B310" s="4" t="s">
        <v>239</v>
      </c>
      <c r="C310" s="4">
        <v>335</v>
      </c>
      <c r="D310" s="4">
        <v>1</v>
      </c>
      <c r="E310" s="4">
        <v>1</v>
      </c>
      <c r="F310" s="4" t="s">
        <v>240</v>
      </c>
      <c r="G310" s="4" t="s">
        <v>241</v>
      </c>
      <c r="H310" s="4" t="s">
        <v>241</v>
      </c>
      <c r="I310" s="4" t="s">
        <v>756</v>
      </c>
      <c r="J310" s="4" t="s">
        <v>653</v>
      </c>
      <c r="K310" s="4" t="s">
        <v>256</v>
      </c>
      <c r="L310" s="4" t="s">
        <v>429</v>
      </c>
      <c r="M310" s="5" t="s">
        <v>758</v>
      </c>
      <c r="N310" s="4" t="s">
        <v>429</v>
      </c>
      <c r="O310" s="6">
        <f>13</f>
        <v>13</v>
      </c>
      <c r="P310" s="4" t="s">
        <v>276</v>
      </c>
      <c r="Q310" s="6">
        <f>1</f>
        <v>1</v>
      </c>
      <c r="R310" s="6">
        <f>780000</f>
        <v>780000</v>
      </c>
      <c r="S310" s="5" t="s">
        <v>381</v>
      </c>
      <c r="T310" s="4" t="s">
        <v>274</v>
      </c>
      <c r="U310" s="4" t="s">
        <v>357</v>
      </c>
      <c r="W310" s="6">
        <f>779999</f>
        <v>779999</v>
      </c>
      <c r="X310" s="4" t="s">
        <v>243</v>
      </c>
      <c r="Y310" s="4" t="s">
        <v>244</v>
      </c>
      <c r="Z310" s="4" t="s">
        <v>465</v>
      </c>
      <c r="AA310" s="4" t="s">
        <v>241</v>
      </c>
      <c r="AD310" s="4" t="s">
        <v>241</v>
      </c>
      <c r="AF310" s="5" t="s">
        <v>241</v>
      </c>
      <c r="AI310" s="5" t="s">
        <v>757</v>
      </c>
      <c r="AJ310" s="4" t="s">
        <v>251</v>
      </c>
      <c r="AK310" s="4" t="s">
        <v>252</v>
      </c>
      <c r="BA310" s="4" t="s">
        <v>254</v>
      </c>
      <c r="BB310" s="4" t="s">
        <v>241</v>
      </c>
      <c r="BC310" s="4" t="s">
        <v>255</v>
      </c>
      <c r="BD310" s="4" t="s">
        <v>241</v>
      </c>
      <c r="BE310" s="4" t="s">
        <v>257</v>
      </c>
      <c r="BF310" s="4" t="s">
        <v>241</v>
      </c>
      <c r="BJ310" s="4" t="s">
        <v>259</v>
      </c>
      <c r="BK310" s="5" t="s">
        <v>260</v>
      </c>
      <c r="BL310" s="4" t="s">
        <v>261</v>
      </c>
      <c r="BM310" s="4" t="s">
        <v>262</v>
      </c>
      <c r="BN310" s="4" t="s">
        <v>241</v>
      </c>
      <c r="BO310" s="6">
        <f>0</f>
        <v>0</v>
      </c>
      <c r="BP310" s="6">
        <f>0</f>
        <v>0</v>
      </c>
      <c r="BQ310" s="4" t="s">
        <v>263</v>
      </c>
      <c r="BR310" s="4" t="s">
        <v>264</v>
      </c>
      <c r="CF310" s="4" t="s">
        <v>241</v>
      </c>
      <c r="CG310" s="4" t="s">
        <v>241</v>
      </c>
      <c r="CK310" s="4" t="s">
        <v>265</v>
      </c>
      <c r="CL310" s="4" t="s">
        <v>266</v>
      </c>
      <c r="CM310" s="4" t="s">
        <v>241</v>
      </c>
      <c r="CO310" s="4" t="s">
        <v>382</v>
      </c>
      <c r="CP310" s="5" t="s">
        <v>268</v>
      </c>
      <c r="CQ310" s="4" t="s">
        <v>269</v>
      </c>
      <c r="CR310" s="4" t="s">
        <v>270</v>
      </c>
      <c r="CS310" s="4" t="s">
        <v>241</v>
      </c>
      <c r="CT310" s="4" t="s">
        <v>241</v>
      </c>
      <c r="CU310" s="4">
        <v>0</v>
      </c>
      <c r="CV310" s="4" t="s">
        <v>271</v>
      </c>
      <c r="CW310" s="4" t="s">
        <v>272</v>
      </c>
      <c r="CX310" s="4" t="s">
        <v>273</v>
      </c>
      <c r="CZ310" s="6">
        <f>780000</f>
        <v>780000</v>
      </c>
      <c r="DA310" s="6">
        <f>0</f>
        <v>0</v>
      </c>
      <c r="DC310" s="4" t="s">
        <v>241</v>
      </c>
      <c r="DD310" s="4" t="s">
        <v>241</v>
      </c>
      <c r="DF310" s="4" t="s">
        <v>241</v>
      </c>
      <c r="DI310" s="4" t="s">
        <v>241</v>
      </c>
      <c r="DJ310" s="4" t="s">
        <v>241</v>
      </c>
      <c r="DK310" s="4" t="s">
        <v>241</v>
      </c>
      <c r="DL310" s="4" t="s">
        <v>241</v>
      </c>
      <c r="DM310" s="4" t="s">
        <v>277</v>
      </c>
      <c r="DN310" s="4" t="s">
        <v>278</v>
      </c>
      <c r="DO310" s="6">
        <f>13</f>
        <v>13</v>
      </c>
      <c r="DP310" s="4" t="s">
        <v>241</v>
      </c>
      <c r="DQ310" s="4" t="s">
        <v>241</v>
      </c>
      <c r="DR310" s="4" t="s">
        <v>241</v>
      </c>
      <c r="DS310" s="4" t="s">
        <v>241</v>
      </c>
      <c r="DV310" s="4" t="s">
        <v>759</v>
      </c>
      <c r="DW310" s="4" t="s">
        <v>297</v>
      </c>
      <c r="HO310" s="4" t="s">
        <v>277</v>
      </c>
      <c r="HR310" s="4" t="s">
        <v>278</v>
      </c>
      <c r="HS310" s="4" t="s">
        <v>278</v>
      </c>
    </row>
    <row r="311" spans="1:240" x14ac:dyDescent="0.4">
      <c r="A311" s="4">
        <v>2</v>
      </c>
      <c r="B311" s="4" t="s">
        <v>239</v>
      </c>
      <c r="C311" s="4">
        <v>336</v>
      </c>
      <c r="D311" s="4">
        <v>1</v>
      </c>
      <c r="E311" s="4">
        <v>3</v>
      </c>
      <c r="F311" s="4" t="s">
        <v>326</v>
      </c>
      <c r="G311" s="4" t="s">
        <v>241</v>
      </c>
      <c r="H311" s="4" t="s">
        <v>241</v>
      </c>
      <c r="I311" s="4" t="s">
        <v>756</v>
      </c>
      <c r="J311" s="4" t="s">
        <v>653</v>
      </c>
      <c r="K311" s="4" t="s">
        <v>256</v>
      </c>
      <c r="L311" s="4" t="s">
        <v>241</v>
      </c>
      <c r="M311" s="5" t="s">
        <v>758</v>
      </c>
      <c r="N311" s="4" t="s">
        <v>2747</v>
      </c>
      <c r="O311" s="6">
        <f>0</f>
        <v>0</v>
      </c>
      <c r="P311" s="4" t="s">
        <v>276</v>
      </c>
      <c r="Q311" s="6">
        <f>6006818</f>
        <v>6006818</v>
      </c>
      <c r="R311" s="6">
        <f>7100256</f>
        <v>7100256</v>
      </c>
      <c r="S311" s="5" t="s">
        <v>2849</v>
      </c>
      <c r="T311" s="4" t="s">
        <v>322</v>
      </c>
      <c r="U311" s="4" t="s">
        <v>277</v>
      </c>
      <c r="V311" s="6">
        <f>546719</f>
        <v>546719</v>
      </c>
      <c r="W311" s="6">
        <f>1093438</f>
        <v>1093438</v>
      </c>
      <c r="X311" s="4" t="s">
        <v>243</v>
      </c>
      <c r="Y311" s="4" t="s">
        <v>244</v>
      </c>
      <c r="Z311" s="4" t="s">
        <v>241</v>
      </c>
      <c r="AA311" s="4" t="s">
        <v>241</v>
      </c>
      <c r="AD311" s="4" t="s">
        <v>241</v>
      </c>
      <c r="AE311" s="5" t="s">
        <v>241</v>
      </c>
      <c r="AF311" s="5" t="s">
        <v>241</v>
      </c>
      <c r="AH311" s="5" t="s">
        <v>241</v>
      </c>
      <c r="AI311" s="5" t="s">
        <v>249</v>
      </c>
      <c r="AJ311" s="4" t="s">
        <v>251</v>
      </c>
      <c r="AK311" s="4" t="s">
        <v>252</v>
      </c>
      <c r="AQ311" s="4" t="s">
        <v>241</v>
      </c>
      <c r="AR311" s="4" t="s">
        <v>241</v>
      </c>
      <c r="AS311" s="4" t="s">
        <v>241</v>
      </c>
      <c r="AT311" s="5" t="s">
        <v>241</v>
      </c>
      <c r="AU311" s="5" t="s">
        <v>241</v>
      </c>
      <c r="AV311" s="5" t="s">
        <v>241</v>
      </c>
      <c r="AY311" s="4" t="s">
        <v>286</v>
      </c>
      <c r="AZ311" s="4" t="s">
        <v>286</v>
      </c>
      <c r="BA311" s="4" t="s">
        <v>254</v>
      </c>
      <c r="BB311" s="4" t="s">
        <v>287</v>
      </c>
      <c r="BC311" s="4" t="s">
        <v>255</v>
      </c>
      <c r="BD311" s="4" t="s">
        <v>241</v>
      </c>
      <c r="BE311" s="4" t="s">
        <v>257</v>
      </c>
      <c r="BF311" s="4" t="s">
        <v>241</v>
      </c>
      <c r="BJ311" s="4" t="s">
        <v>288</v>
      </c>
      <c r="BK311" s="5" t="s">
        <v>289</v>
      </c>
      <c r="BL311" s="4" t="s">
        <v>290</v>
      </c>
      <c r="BM311" s="4" t="s">
        <v>290</v>
      </c>
      <c r="BN311" s="4" t="s">
        <v>241</v>
      </c>
      <c r="BP311" s="6">
        <f>-546719</f>
        <v>-546719</v>
      </c>
      <c r="BQ311" s="4" t="s">
        <v>263</v>
      </c>
      <c r="BR311" s="4" t="s">
        <v>264</v>
      </c>
      <c r="BS311" s="4" t="s">
        <v>241</v>
      </c>
      <c r="BT311" s="4" t="s">
        <v>241</v>
      </c>
      <c r="BU311" s="4" t="s">
        <v>241</v>
      </c>
      <c r="BV311" s="4" t="s">
        <v>241</v>
      </c>
      <c r="CE311" s="4" t="s">
        <v>264</v>
      </c>
      <c r="CF311" s="4" t="s">
        <v>241</v>
      </c>
      <c r="CG311" s="4" t="s">
        <v>241</v>
      </c>
      <c r="CK311" s="4" t="s">
        <v>291</v>
      </c>
      <c r="CL311" s="4" t="s">
        <v>266</v>
      </c>
      <c r="CM311" s="4" t="s">
        <v>241</v>
      </c>
      <c r="CO311" s="4" t="s">
        <v>331</v>
      </c>
      <c r="CP311" s="5" t="s">
        <v>268</v>
      </c>
      <c r="CQ311" s="4" t="s">
        <v>269</v>
      </c>
      <c r="CR311" s="4" t="s">
        <v>270</v>
      </c>
      <c r="CS311" s="4" t="s">
        <v>293</v>
      </c>
      <c r="CT311" s="4" t="s">
        <v>241</v>
      </c>
      <c r="CU311" s="4">
        <v>7.6999999999999999E-2</v>
      </c>
      <c r="CV311" s="4" t="s">
        <v>271</v>
      </c>
      <c r="CW311" s="4" t="s">
        <v>415</v>
      </c>
      <c r="CX311" s="4" t="s">
        <v>428</v>
      </c>
      <c r="CY311" s="6">
        <f>0</f>
        <v>0</v>
      </c>
      <c r="CZ311" s="6">
        <f>7100256</f>
        <v>7100256</v>
      </c>
      <c r="DA311" s="6">
        <f>6006818</f>
        <v>6006818</v>
      </c>
      <c r="DC311" s="4" t="s">
        <v>241</v>
      </c>
      <c r="DD311" s="4" t="s">
        <v>241</v>
      </c>
      <c r="DF311" s="4" t="s">
        <v>241</v>
      </c>
      <c r="DG311" s="6">
        <f>0</f>
        <v>0</v>
      </c>
      <c r="DI311" s="4" t="s">
        <v>241</v>
      </c>
      <c r="DJ311" s="4" t="s">
        <v>241</v>
      </c>
      <c r="DK311" s="4" t="s">
        <v>241</v>
      </c>
      <c r="DL311" s="4" t="s">
        <v>241</v>
      </c>
      <c r="DM311" s="4" t="s">
        <v>278</v>
      </c>
      <c r="DN311" s="4" t="s">
        <v>278</v>
      </c>
      <c r="DO311" s="6" t="s">
        <v>241</v>
      </c>
      <c r="DP311" s="4" t="s">
        <v>241</v>
      </c>
      <c r="DQ311" s="4" t="s">
        <v>241</v>
      </c>
      <c r="DR311" s="4" t="s">
        <v>241</v>
      </c>
      <c r="DS311" s="4" t="s">
        <v>241</v>
      </c>
      <c r="DV311" s="4" t="s">
        <v>759</v>
      </c>
      <c r="DW311" s="4" t="s">
        <v>336</v>
      </c>
      <c r="GN311" s="4" t="s">
        <v>2857</v>
      </c>
      <c r="HO311" s="4" t="s">
        <v>297</v>
      </c>
      <c r="HR311" s="4" t="s">
        <v>278</v>
      </c>
      <c r="HS311" s="4" t="s">
        <v>278</v>
      </c>
      <c r="HT311" s="4" t="s">
        <v>241</v>
      </c>
      <c r="HU311" s="4" t="s">
        <v>241</v>
      </c>
      <c r="HV311" s="4" t="s">
        <v>241</v>
      </c>
      <c r="HW311" s="4" t="s">
        <v>241</v>
      </c>
      <c r="HX311" s="4" t="s">
        <v>241</v>
      </c>
      <c r="HY311" s="4" t="s">
        <v>241</v>
      </c>
      <c r="HZ311" s="4" t="s">
        <v>241</v>
      </c>
      <c r="IA311" s="4" t="s">
        <v>241</v>
      </c>
      <c r="IB311" s="4" t="s">
        <v>241</v>
      </c>
      <c r="IC311" s="4" t="s">
        <v>241</v>
      </c>
      <c r="ID311" s="4" t="s">
        <v>241</v>
      </c>
      <c r="IE311" s="4" t="s">
        <v>241</v>
      </c>
      <c r="IF311" s="4" t="s">
        <v>241</v>
      </c>
    </row>
    <row r="312" spans="1:240" x14ac:dyDescent="0.4">
      <c r="A312" s="4">
        <v>2</v>
      </c>
      <c r="B312" s="4" t="s">
        <v>239</v>
      </c>
      <c r="C312" s="4">
        <v>338</v>
      </c>
      <c r="D312" s="4">
        <v>1</v>
      </c>
      <c r="E312" s="4">
        <v>3</v>
      </c>
      <c r="F312" s="4" t="s">
        <v>240</v>
      </c>
      <c r="G312" s="4" t="s">
        <v>241</v>
      </c>
      <c r="H312" s="4" t="s">
        <v>241</v>
      </c>
      <c r="I312" s="4" t="s">
        <v>766</v>
      </c>
      <c r="J312" s="4" t="s">
        <v>653</v>
      </c>
      <c r="K312" s="4" t="s">
        <v>256</v>
      </c>
      <c r="L312" s="4" t="s">
        <v>658</v>
      </c>
      <c r="M312" s="5" t="s">
        <v>767</v>
      </c>
      <c r="N312" s="4" t="s">
        <v>658</v>
      </c>
      <c r="O312" s="6">
        <f>1973</f>
        <v>1973</v>
      </c>
      <c r="P312" s="4" t="s">
        <v>276</v>
      </c>
      <c r="Q312" s="6">
        <f>144226300</f>
        <v>144226300</v>
      </c>
      <c r="R312" s="6">
        <f>424195000</f>
        <v>424195000</v>
      </c>
      <c r="S312" s="5" t="s">
        <v>438</v>
      </c>
      <c r="T312" s="4" t="s">
        <v>668</v>
      </c>
      <c r="U312" s="4" t="s">
        <v>399</v>
      </c>
      <c r="V312" s="6">
        <f>9332290</f>
        <v>9332290</v>
      </c>
      <c r="W312" s="6">
        <f>279968700</f>
        <v>279968700</v>
      </c>
      <c r="X312" s="4" t="s">
        <v>243</v>
      </c>
      <c r="Y312" s="4" t="s">
        <v>244</v>
      </c>
      <c r="Z312" s="4" t="s">
        <v>465</v>
      </c>
      <c r="AA312" s="4" t="s">
        <v>241</v>
      </c>
      <c r="AD312" s="4" t="s">
        <v>241</v>
      </c>
      <c r="AE312" s="5" t="s">
        <v>241</v>
      </c>
      <c r="AF312" s="5" t="s">
        <v>241</v>
      </c>
      <c r="AH312" s="5" t="s">
        <v>241</v>
      </c>
      <c r="AI312" s="5" t="s">
        <v>249</v>
      </c>
      <c r="AJ312" s="4" t="s">
        <v>251</v>
      </c>
      <c r="AK312" s="4" t="s">
        <v>252</v>
      </c>
      <c r="AQ312" s="4" t="s">
        <v>241</v>
      </c>
      <c r="AR312" s="4" t="s">
        <v>241</v>
      </c>
      <c r="AS312" s="4" t="s">
        <v>241</v>
      </c>
      <c r="AT312" s="5" t="s">
        <v>241</v>
      </c>
      <c r="AU312" s="5" t="s">
        <v>241</v>
      </c>
      <c r="AV312" s="5" t="s">
        <v>241</v>
      </c>
      <c r="AY312" s="4" t="s">
        <v>286</v>
      </c>
      <c r="AZ312" s="4" t="s">
        <v>286</v>
      </c>
      <c r="BA312" s="4" t="s">
        <v>254</v>
      </c>
      <c r="BB312" s="4" t="s">
        <v>287</v>
      </c>
      <c r="BC312" s="4" t="s">
        <v>255</v>
      </c>
      <c r="BD312" s="4" t="s">
        <v>241</v>
      </c>
      <c r="BE312" s="4" t="s">
        <v>257</v>
      </c>
      <c r="BF312" s="4" t="s">
        <v>241</v>
      </c>
      <c r="BH312" s="4" t="s">
        <v>763</v>
      </c>
      <c r="BJ312" s="4" t="s">
        <v>288</v>
      </c>
      <c r="BK312" s="5" t="s">
        <v>289</v>
      </c>
      <c r="BL312" s="4" t="s">
        <v>290</v>
      </c>
      <c r="BM312" s="4" t="s">
        <v>290</v>
      </c>
      <c r="BN312" s="4" t="s">
        <v>241</v>
      </c>
      <c r="BO312" s="6">
        <f>0</f>
        <v>0</v>
      </c>
      <c r="BP312" s="6">
        <f>-9332290</f>
        <v>-9332290</v>
      </c>
      <c r="BQ312" s="4" t="s">
        <v>263</v>
      </c>
      <c r="BR312" s="4" t="s">
        <v>264</v>
      </c>
      <c r="BS312" s="4" t="s">
        <v>241</v>
      </c>
      <c r="BT312" s="4" t="s">
        <v>241</v>
      </c>
      <c r="BU312" s="4" t="s">
        <v>241</v>
      </c>
      <c r="BV312" s="4" t="s">
        <v>241</v>
      </c>
      <c r="CE312" s="4" t="s">
        <v>264</v>
      </c>
      <c r="CF312" s="4" t="s">
        <v>241</v>
      </c>
      <c r="CG312" s="4" t="s">
        <v>241</v>
      </c>
      <c r="CK312" s="4" t="s">
        <v>291</v>
      </c>
      <c r="CL312" s="4" t="s">
        <v>266</v>
      </c>
      <c r="CM312" s="4" t="s">
        <v>241</v>
      </c>
      <c r="CO312" s="4" t="s">
        <v>439</v>
      </c>
      <c r="CP312" s="5" t="s">
        <v>268</v>
      </c>
      <c r="CQ312" s="4" t="s">
        <v>269</v>
      </c>
      <c r="CR312" s="4" t="s">
        <v>270</v>
      </c>
      <c r="CS312" s="4" t="s">
        <v>293</v>
      </c>
      <c r="CT312" s="4" t="s">
        <v>241</v>
      </c>
      <c r="CU312" s="4">
        <v>2.1999999999999999E-2</v>
      </c>
      <c r="CV312" s="4" t="s">
        <v>271</v>
      </c>
      <c r="CW312" s="4" t="s">
        <v>655</v>
      </c>
      <c r="CX312" s="4" t="s">
        <v>295</v>
      </c>
      <c r="CY312" s="6">
        <f>0</f>
        <v>0</v>
      </c>
      <c r="CZ312" s="6">
        <f>424195000</f>
        <v>424195000</v>
      </c>
      <c r="DA312" s="6">
        <f>144226300</f>
        <v>144226300</v>
      </c>
      <c r="DC312" s="4" t="s">
        <v>241</v>
      </c>
      <c r="DD312" s="4" t="s">
        <v>241</v>
      </c>
      <c r="DF312" s="4" t="s">
        <v>241</v>
      </c>
      <c r="DG312" s="6">
        <f>0</f>
        <v>0</v>
      </c>
      <c r="DI312" s="4" t="s">
        <v>241</v>
      </c>
      <c r="DJ312" s="4" t="s">
        <v>241</v>
      </c>
      <c r="DK312" s="4" t="s">
        <v>241</v>
      </c>
      <c r="DL312" s="4" t="s">
        <v>241</v>
      </c>
      <c r="DM312" s="4" t="s">
        <v>323</v>
      </c>
      <c r="DN312" s="4" t="s">
        <v>278</v>
      </c>
      <c r="DO312" s="6">
        <f>1973</f>
        <v>1973</v>
      </c>
      <c r="DP312" s="4" t="s">
        <v>241</v>
      </c>
      <c r="DQ312" s="4" t="s">
        <v>241</v>
      </c>
      <c r="DR312" s="4" t="s">
        <v>241</v>
      </c>
      <c r="DS312" s="4" t="s">
        <v>241</v>
      </c>
      <c r="DV312" s="4" t="s">
        <v>768</v>
      </c>
      <c r="DW312" s="4" t="s">
        <v>277</v>
      </c>
      <c r="GN312" s="4" t="s">
        <v>769</v>
      </c>
      <c r="HO312" s="4" t="s">
        <v>300</v>
      </c>
      <c r="HR312" s="4" t="s">
        <v>278</v>
      </c>
      <c r="HS312" s="4" t="s">
        <v>278</v>
      </c>
      <c r="HT312" s="4" t="s">
        <v>241</v>
      </c>
      <c r="HU312" s="4" t="s">
        <v>241</v>
      </c>
      <c r="HV312" s="4" t="s">
        <v>241</v>
      </c>
      <c r="HW312" s="4" t="s">
        <v>241</v>
      </c>
      <c r="HX312" s="4" t="s">
        <v>241</v>
      </c>
      <c r="HY312" s="4" t="s">
        <v>241</v>
      </c>
      <c r="HZ312" s="4" t="s">
        <v>241</v>
      </c>
      <c r="IA312" s="4" t="s">
        <v>241</v>
      </c>
      <c r="IB312" s="4" t="s">
        <v>241</v>
      </c>
      <c r="IC312" s="4" t="s">
        <v>241</v>
      </c>
      <c r="ID312" s="4" t="s">
        <v>241</v>
      </c>
      <c r="IE312" s="4" t="s">
        <v>241</v>
      </c>
      <c r="IF312" s="4" t="s">
        <v>241</v>
      </c>
    </row>
    <row r="313" spans="1:240" x14ac:dyDescent="0.4">
      <c r="A313" s="4">
        <v>2</v>
      </c>
      <c r="B313" s="4" t="s">
        <v>239</v>
      </c>
      <c r="C313" s="4">
        <v>339</v>
      </c>
      <c r="D313" s="4">
        <v>1</v>
      </c>
      <c r="E313" s="4">
        <v>3</v>
      </c>
      <c r="F313" s="4" t="s">
        <v>240</v>
      </c>
      <c r="G313" s="4" t="s">
        <v>241</v>
      </c>
      <c r="H313" s="4" t="s">
        <v>241</v>
      </c>
      <c r="I313" s="4" t="s">
        <v>766</v>
      </c>
      <c r="J313" s="4" t="s">
        <v>653</v>
      </c>
      <c r="K313" s="4" t="s">
        <v>256</v>
      </c>
      <c r="L313" s="4" t="s">
        <v>658</v>
      </c>
      <c r="M313" s="5" t="s">
        <v>767</v>
      </c>
      <c r="N313" s="4" t="s">
        <v>658</v>
      </c>
      <c r="O313" s="6">
        <f>741</f>
        <v>741</v>
      </c>
      <c r="P313" s="4" t="s">
        <v>276</v>
      </c>
      <c r="Q313" s="6">
        <f>18110040</f>
        <v>18110040</v>
      </c>
      <c r="R313" s="6">
        <f>139308000</f>
        <v>139308000</v>
      </c>
      <c r="S313" s="5" t="s">
        <v>451</v>
      </c>
      <c r="T313" s="4" t="s">
        <v>357</v>
      </c>
      <c r="U313" s="4" t="s">
        <v>391</v>
      </c>
      <c r="V313" s="6">
        <f>4179240</f>
        <v>4179240</v>
      </c>
      <c r="W313" s="6">
        <f>121197960</f>
        <v>121197960</v>
      </c>
      <c r="X313" s="4" t="s">
        <v>243</v>
      </c>
      <c r="Y313" s="4" t="s">
        <v>244</v>
      </c>
      <c r="Z313" s="4" t="s">
        <v>465</v>
      </c>
      <c r="AA313" s="4" t="s">
        <v>241</v>
      </c>
      <c r="AD313" s="4" t="s">
        <v>241</v>
      </c>
      <c r="AE313" s="5" t="s">
        <v>241</v>
      </c>
      <c r="AF313" s="5" t="s">
        <v>241</v>
      </c>
      <c r="AH313" s="5" t="s">
        <v>241</v>
      </c>
      <c r="AI313" s="5" t="s">
        <v>249</v>
      </c>
      <c r="AJ313" s="4" t="s">
        <v>251</v>
      </c>
      <c r="AK313" s="4" t="s">
        <v>252</v>
      </c>
      <c r="AQ313" s="4" t="s">
        <v>241</v>
      </c>
      <c r="AR313" s="4" t="s">
        <v>241</v>
      </c>
      <c r="AS313" s="4" t="s">
        <v>241</v>
      </c>
      <c r="AT313" s="5" t="s">
        <v>241</v>
      </c>
      <c r="AU313" s="5" t="s">
        <v>241</v>
      </c>
      <c r="AV313" s="5" t="s">
        <v>241</v>
      </c>
      <c r="AY313" s="4" t="s">
        <v>286</v>
      </c>
      <c r="AZ313" s="4" t="s">
        <v>286</v>
      </c>
      <c r="BA313" s="4" t="s">
        <v>254</v>
      </c>
      <c r="BB313" s="4" t="s">
        <v>287</v>
      </c>
      <c r="BC313" s="4" t="s">
        <v>255</v>
      </c>
      <c r="BD313" s="4" t="s">
        <v>241</v>
      </c>
      <c r="BE313" s="4" t="s">
        <v>257</v>
      </c>
      <c r="BF313" s="4" t="s">
        <v>241</v>
      </c>
      <c r="BJ313" s="4" t="s">
        <v>288</v>
      </c>
      <c r="BK313" s="5" t="s">
        <v>289</v>
      </c>
      <c r="BL313" s="4" t="s">
        <v>290</v>
      </c>
      <c r="BM313" s="4" t="s">
        <v>290</v>
      </c>
      <c r="BN313" s="4" t="s">
        <v>241</v>
      </c>
      <c r="BO313" s="6">
        <f>0</f>
        <v>0</v>
      </c>
      <c r="BP313" s="6">
        <f>-4179240</f>
        <v>-4179240</v>
      </c>
      <c r="BQ313" s="4" t="s">
        <v>263</v>
      </c>
      <c r="BR313" s="4" t="s">
        <v>264</v>
      </c>
      <c r="BS313" s="4" t="s">
        <v>241</v>
      </c>
      <c r="BT313" s="4" t="s">
        <v>241</v>
      </c>
      <c r="BU313" s="4" t="s">
        <v>241</v>
      </c>
      <c r="BV313" s="4" t="s">
        <v>241</v>
      </c>
      <c r="CE313" s="4" t="s">
        <v>264</v>
      </c>
      <c r="CF313" s="4" t="s">
        <v>241</v>
      </c>
      <c r="CG313" s="4" t="s">
        <v>241</v>
      </c>
      <c r="CK313" s="4" t="s">
        <v>291</v>
      </c>
      <c r="CL313" s="4" t="s">
        <v>266</v>
      </c>
      <c r="CM313" s="4" t="s">
        <v>241</v>
      </c>
      <c r="CO313" s="4" t="s">
        <v>452</v>
      </c>
      <c r="CP313" s="5" t="s">
        <v>268</v>
      </c>
      <c r="CQ313" s="4" t="s">
        <v>269</v>
      </c>
      <c r="CR313" s="4" t="s">
        <v>270</v>
      </c>
      <c r="CS313" s="4" t="s">
        <v>293</v>
      </c>
      <c r="CT313" s="4" t="s">
        <v>241</v>
      </c>
      <c r="CU313" s="4">
        <v>0.03</v>
      </c>
      <c r="CV313" s="4" t="s">
        <v>271</v>
      </c>
      <c r="CW313" s="4" t="s">
        <v>655</v>
      </c>
      <c r="CX313" s="4" t="s">
        <v>487</v>
      </c>
      <c r="CY313" s="6">
        <f>0</f>
        <v>0</v>
      </c>
      <c r="CZ313" s="6">
        <f>139308000</f>
        <v>139308000</v>
      </c>
      <c r="DA313" s="6">
        <f>18110040</f>
        <v>18110040</v>
      </c>
      <c r="DC313" s="4" t="s">
        <v>241</v>
      </c>
      <c r="DD313" s="4" t="s">
        <v>241</v>
      </c>
      <c r="DF313" s="4" t="s">
        <v>241</v>
      </c>
      <c r="DG313" s="6">
        <f>0</f>
        <v>0</v>
      </c>
      <c r="DI313" s="4" t="s">
        <v>241</v>
      </c>
      <c r="DJ313" s="4" t="s">
        <v>241</v>
      </c>
      <c r="DK313" s="4" t="s">
        <v>241</v>
      </c>
      <c r="DL313" s="4" t="s">
        <v>241</v>
      </c>
      <c r="DM313" s="4" t="s">
        <v>277</v>
      </c>
      <c r="DN313" s="4" t="s">
        <v>278</v>
      </c>
      <c r="DO313" s="6">
        <f>741</f>
        <v>741</v>
      </c>
      <c r="DP313" s="4" t="s">
        <v>241</v>
      </c>
      <c r="DQ313" s="4" t="s">
        <v>241</v>
      </c>
      <c r="DR313" s="4" t="s">
        <v>241</v>
      </c>
      <c r="DS313" s="4" t="s">
        <v>241</v>
      </c>
      <c r="DV313" s="4" t="s">
        <v>768</v>
      </c>
      <c r="DW313" s="4" t="s">
        <v>323</v>
      </c>
      <c r="GN313" s="4" t="s">
        <v>770</v>
      </c>
      <c r="HO313" s="4" t="s">
        <v>300</v>
      </c>
      <c r="HR313" s="4" t="s">
        <v>278</v>
      </c>
      <c r="HS313" s="4" t="s">
        <v>278</v>
      </c>
      <c r="HT313" s="4" t="s">
        <v>241</v>
      </c>
      <c r="HU313" s="4" t="s">
        <v>241</v>
      </c>
      <c r="HV313" s="4" t="s">
        <v>241</v>
      </c>
      <c r="HW313" s="4" t="s">
        <v>241</v>
      </c>
      <c r="HX313" s="4" t="s">
        <v>241</v>
      </c>
      <c r="HY313" s="4" t="s">
        <v>241</v>
      </c>
      <c r="HZ313" s="4" t="s">
        <v>241</v>
      </c>
      <c r="IA313" s="4" t="s">
        <v>241</v>
      </c>
      <c r="IB313" s="4" t="s">
        <v>241</v>
      </c>
      <c r="IC313" s="4" t="s">
        <v>241</v>
      </c>
      <c r="ID313" s="4" t="s">
        <v>241</v>
      </c>
      <c r="IE313" s="4" t="s">
        <v>241</v>
      </c>
      <c r="IF313" s="4" t="s">
        <v>241</v>
      </c>
    </row>
    <row r="314" spans="1:240" x14ac:dyDescent="0.4">
      <c r="A314" s="4">
        <v>2</v>
      </c>
      <c r="B314" s="4" t="s">
        <v>239</v>
      </c>
      <c r="C314" s="4">
        <v>340</v>
      </c>
      <c r="D314" s="4">
        <v>1</v>
      </c>
      <c r="E314" s="4">
        <v>1</v>
      </c>
      <c r="F314" s="4" t="s">
        <v>240</v>
      </c>
      <c r="G314" s="4" t="s">
        <v>241</v>
      </c>
      <c r="H314" s="4" t="s">
        <v>241</v>
      </c>
      <c r="I314" s="4" t="s">
        <v>766</v>
      </c>
      <c r="J314" s="4" t="s">
        <v>653</v>
      </c>
      <c r="K314" s="4" t="s">
        <v>256</v>
      </c>
      <c r="L314" s="4" t="s">
        <v>429</v>
      </c>
      <c r="M314" s="5" t="s">
        <v>767</v>
      </c>
      <c r="N314" s="4" t="s">
        <v>429</v>
      </c>
      <c r="O314" s="6">
        <f>20</f>
        <v>20</v>
      </c>
      <c r="P314" s="4" t="s">
        <v>276</v>
      </c>
      <c r="Q314" s="6">
        <f>1</f>
        <v>1</v>
      </c>
      <c r="R314" s="6">
        <f>1900000</f>
        <v>1900000</v>
      </c>
      <c r="S314" s="5" t="s">
        <v>3725</v>
      </c>
      <c r="T314" s="4" t="s">
        <v>274</v>
      </c>
      <c r="U314" s="4" t="s">
        <v>274</v>
      </c>
      <c r="W314" s="6">
        <f>1899999</f>
        <v>1899999</v>
      </c>
      <c r="X314" s="4" t="s">
        <v>243</v>
      </c>
      <c r="Y314" s="4" t="s">
        <v>244</v>
      </c>
      <c r="Z314" s="4" t="s">
        <v>465</v>
      </c>
      <c r="AA314" s="4" t="s">
        <v>241</v>
      </c>
      <c r="AD314" s="4" t="s">
        <v>241</v>
      </c>
      <c r="AF314" s="5" t="s">
        <v>241</v>
      </c>
      <c r="AI314" s="5" t="s">
        <v>249</v>
      </c>
      <c r="AJ314" s="4" t="s">
        <v>251</v>
      </c>
      <c r="AK314" s="4" t="s">
        <v>252</v>
      </c>
      <c r="BA314" s="4" t="s">
        <v>254</v>
      </c>
      <c r="BB314" s="4" t="s">
        <v>241</v>
      </c>
      <c r="BC314" s="4" t="s">
        <v>255</v>
      </c>
      <c r="BD314" s="4" t="s">
        <v>241</v>
      </c>
      <c r="BE314" s="4" t="s">
        <v>257</v>
      </c>
      <c r="BF314" s="4" t="s">
        <v>241</v>
      </c>
      <c r="BJ314" s="4" t="s">
        <v>377</v>
      </c>
      <c r="BK314" s="5" t="s">
        <v>3726</v>
      </c>
      <c r="BL314" s="4" t="s">
        <v>261</v>
      </c>
      <c r="BM314" s="4" t="s">
        <v>290</v>
      </c>
      <c r="BN314" s="4" t="s">
        <v>241</v>
      </c>
      <c r="BO314" s="6">
        <f>0</f>
        <v>0</v>
      </c>
      <c r="BP314" s="6">
        <f>0</f>
        <v>0</v>
      </c>
      <c r="BQ314" s="4" t="s">
        <v>263</v>
      </c>
      <c r="BR314" s="4" t="s">
        <v>264</v>
      </c>
      <c r="CF314" s="4" t="s">
        <v>241</v>
      </c>
      <c r="CG314" s="4" t="s">
        <v>241</v>
      </c>
      <c r="CK314" s="4" t="s">
        <v>291</v>
      </c>
      <c r="CL314" s="4" t="s">
        <v>266</v>
      </c>
      <c r="CM314" s="4" t="s">
        <v>241</v>
      </c>
      <c r="CO314" s="4" t="s">
        <v>452</v>
      </c>
      <c r="CP314" s="5" t="s">
        <v>268</v>
      </c>
      <c r="CQ314" s="4" t="s">
        <v>269</v>
      </c>
      <c r="CR314" s="4" t="s">
        <v>270</v>
      </c>
      <c r="CS314" s="4" t="s">
        <v>241</v>
      </c>
      <c r="CT314" s="4" t="s">
        <v>241</v>
      </c>
      <c r="CU314" s="4">
        <v>0</v>
      </c>
      <c r="CV314" s="4" t="s">
        <v>271</v>
      </c>
      <c r="CW314" s="4" t="s">
        <v>272</v>
      </c>
      <c r="CX314" s="4" t="s">
        <v>273</v>
      </c>
      <c r="CZ314" s="6">
        <f>1900000</f>
        <v>1900000</v>
      </c>
      <c r="DA314" s="6">
        <f>0</f>
        <v>0</v>
      </c>
      <c r="DC314" s="4" t="s">
        <v>241</v>
      </c>
      <c r="DD314" s="4" t="s">
        <v>241</v>
      </c>
      <c r="DF314" s="4" t="s">
        <v>241</v>
      </c>
      <c r="DI314" s="4" t="s">
        <v>241</v>
      </c>
      <c r="DJ314" s="4" t="s">
        <v>241</v>
      </c>
      <c r="DK314" s="4" t="s">
        <v>241</v>
      </c>
      <c r="DL314" s="4" t="s">
        <v>241</v>
      </c>
      <c r="DM314" s="4" t="s">
        <v>277</v>
      </c>
      <c r="DN314" s="4" t="s">
        <v>278</v>
      </c>
      <c r="DO314" s="6">
        <f>20</f>
        <v>20</v>
      </c>
      <c r="DP314" s="4" t="s">
        <v>241</v>
      </c>
      <c r="DQ314" s="4" t="s">
        <v>241</v>
      </c>
      <c r="DR314" s="4" t="s">
        <v>241</v>
      </c>
      <c r="DS314" s="4" t="s">
        <v>241</v>
      </c>
      <c r="DV314" s="4" t="s">
        <v>768</v>
      </c>
      <c r="DW314" s="4" t="s">
        <v>297</v>
      </c>
      <c r="HO314" s="4" t="s">
        <v>323</v>
      </c>
      <c r="HR314" s="4" t="s">
        <v>278</v>
      </c>
      <c r="HS314" s="4" t="s">
        <v>278</v>
      </c>
    </row>
    <row r="315" spans="1:240" x14ac:dyDescent="0.4">
      <c r="A315" s="4">
        <v>2</v>
      </c>
      <c r="B315" s="4" t="s">
        <v>239</v>
      </c>
      <c r="C315" s="4">
        <v>341</v>
      </c>
      <c r="D315" s="4">
        <v>1</v>
      </c>
      <c r="E315" s="4">
        <v>1</v>
      </c>
      <c r="F315" s="4" t="s">
        <v>240</v>
      </c>
      <c r="G315" s="4" t="s">
        <v>241</v>
      </c>
      <c r="H315" s="4" t="s">
        <v>241</v>
      </c>
      <c r="I315" s="4" t="s">
        <v>766</v>
      </c>
      <c r="J315" s="4" t="s">
        <v>653</v>
      </c>
      <c r="K315" s="4" t="s">
        <v>256</v>
      </c>
      <c r="L315" s="4" t="s">
        <v>2529</v>
      </c>
      <c r="M315" s="5" t="s">
        <v>767</v>
      </c>
      <c r="N315" s="4" t="s">
        <v>2529</v>
      </c>
      <c r="O315" s="6">
        <f>75</f>
        <v>75</v>
      </c>
      <c r="P315" s="4" t="s">
        <v>276</v>
      </c>
      <c r="Q315" s="6">
        <f>1</f>
        <v>1</v>
      </c>
      <c r="R315" s="6">
        <f>12225000</f>
        <v>12225000</v>
      </c>
      <c r="S315" s="5" t="s">
        <v>2946</v>
      </c>
      <c r="T315" s="4" t="s">
        <v>348</v>
      </c>
      <c r="U315" s="4" t="s">
        <v>314</v>
      </c>
      <c r="W315" s="6">
        <f>12224999</f>
        <v>12224999</v>
      </c>
      <c r="X315" s="4" t="s">
        <v>243</v>
      </c>
      <c r="Y315" s="4" t="s">
        <v>244</v>
      </c>
      <c r="Z315" s="4" t="s">
        <v>465</v>
      </c>
      <c r="AA315" s="4" t="s">
        <v>241</v>
      </c>
      <c r="AD315" s="4" t="s">
        <v>241</v>
      </c>
      <c r="AF315" s="5" t="s">
        <v>241</v>
      </c>
      <c r="AI315" s="5" t="s">
        <v>249</v>
      </c>
      <c r="AJ315" s="4" t="s">
        <v>251</v>
      </c>
      <c r="AK315" s="4" t="s">
        <v>252</v>
      </c>
      <c r="BA315" s="4" t="s">
        <v>254</v>
      </c>
      <c r="BB315" s="4" t="s">
        <v>241</v>
      </c>
      <c r="BC315" s="4" t="s">
        <v>255</v>
      </c>
      <c r="BD315" s="4" t="s">
        <v>241</v>
      </c>
      <c r="BE315" s="4" t="s">
        <v>257</v>
      </c>
      <c r="BF315" s="4" t="s">
        <v>241</v>
      </c>
      <c r="BJ315" s="4" t="s">
        <v>367</v>
      </c>
      <c r="BK315" s="5" t="s">
        <v>249</v>
      </c>
      <c r="BL315" s="4" t="s">
        <v>261</v>
      </c>
      <c r="BM315" s="4" t="s">
        <v>262</v>
      </c>
      <c r="BN315" s="4" t="s">
        <v>241</v>
      </c>
      <c r="BO315" s="6">
        <f>0</f>
        <v>0</v>
      </c>
      <c r="BP315" s="6">
        <f>0</f>
        <v>0</v>
      </c>
      <c r="BQ315" s="4" t="s">
        <v>263</v>
      </c>
      <c r="BR315" s="4" t="s">
        <v>264</v>
      </c>
      <c r="CF315" s="4" t="s">
        <v>241</v>
      </c>
      <c r="CG315" s="4" t="s">
        <v>241</v>
      </c>
      <c r="CK315" s="4" t="s">
        <v>291</v>
      </c>
      <c r="CL315" s="4" t="s">
        <v>266</v>
      </c>
      <c r="CM315" s="4" t="s">
        <v>241</v>
      </c>
      <c r="CO315" s="4" t="s">
        <v>355</v>
      </c>
      <c r="CP315" s="5" t="s">
        <v>268</v>
      </c>
      <c r="CQ315" s="4" t="s">
        <v>269</v>
      </c>
      <c r="CR315" s="4" t="s">
        <v>270</v>
      </c>
      <c r="CS315" s="4" t="s">
        <v>241</v>
      </c>
      <c r="CT315" s="4" t="s">
        <v>241</v>
      </c>
      <c r="CU315" s="4">
        <v>0</v>
      </c>
      <c r="CV315" s="4" t="s">
        <v>271</v>
      </c>
      <c r="CW315" s="4" t="s">
        <v>415</v>
      </c>
      <c r="CX315" s="4" t="s">
        <v>416</v>
      </c>
      <c r="CZ315" s="6">
        <f>12225000</f>
        <v>12225000</v>
      </c>
      <c r="DA315" s="6">
        <f>0</f>
        <v>0</v>
      </c>
      <c r="DC315" s="4" t="s">
        <v>241</v>
      </c>
      <c r="DD315" s="4" t="s">
        <v>241</v>
      </c>
      <c r="DF315" s="4" t="s">
        <v>241</v>
      </c>
      <c r="DI315" s="4" t="s">
        <v>241</v>
      </c>
      <c r="DJ315" s="4" t="s">
        <v>241</v>
      </c>
      <c r="DK315" s="4" t="s">
        <v>241</v>
      </c>
      <c r="DL315" s="4" t="s">
        <v>241</v>
      </c>
      <c r="DM315" s="4" t="s">
        <v>277</v>
      </c>
      <c r="DN315" s="4" t="s">
        <v>278</v>
      </c>
      <c r="DO315" s="6">
        <f>75</f>
        <v>75</v>
      </c>
      <c r="DP315" s="4" t="s">
        <v>241</v>
      </c>
      <c r="DQ315" s="4" t="s">
        <v>241</v>
      </c>
      <c r="DR315" s="4" t="s">
        <v>241</v>
      </c>
      <c r="DS315" s="4" t="s">
        <v>241</v>
      </c>
      <c r="DV315" s="4" t="s">
        <v>768</v>
      </c>
      <c r="DW315" s="4" t="s">
        <v>336</v>
      </c>
      <c r="HO315" s="4" t="s">
        <v>277</v>
      </c>
      <c r="HR315" s="4" t="s">
        <v>278</v>
      </c>
      <c r="HS315" s="4" t="s">
        <v>278</v>
      </c>
    </row>
    <row r="316" spans="1:240" x14ac:dyDescent="0.4">
      <c r="A316" s="4">
        <v>2</v>
      </c>
      <c r="B316" s="4" t="s">
        <v>239</v>
      </c>
      <c r="C316" s="4">
        <v>342</v>
      </c>
      <c r="D316" s="4">
        <v>1</v>
      </c>
      <c r="E316" s="4">
        <v>3</v>
      </c>
      <c r="F316" s="4" t="s">
        <v>240</v>
      </c>
      <c r="G316" s="4" t="s">
        <v>241</v>
      </c>
      <c r="H316" s="4" t="s">
        <v>241</v>
      </c>
      <c r="I316" s="4" t="s">
        <v>766</v>
      </c>
      <c r="J316" s="4" t="s">
        <v>653</v>
      </c>
      <c r="K316" s="4" t="s">
        <v>256</v>
      </c>
      <c r="L316" s="4" t="s">
        <v>658</v>
      </c>
      <c r="M316" s="5" t="s">
        <v>767</v>
      </c>
      <c r="N316" s="4" t="s">
        <v>658</v>
      </c>
      <c r="O316" s="6">
        <f>29</f>
        <v>29</v>
      </c>
      <c r="P316" s="4" t="s">
        <v>276</v>
      </c>
      <c r="Q316" s="6">
        <f>3055150</f>
        <v>3055150</v>
      </c>
      <c r="R316" s="6">
        <f>6235000</f>
        <v>6235000</v>
      </c>
      <c r="S316" s="5" t="s">
        <v>771</v>
      </c>
      <c r="T316" s="4" t="s">
        <v>357</v>
      </c>
      <c r="U316" s="4" t="s">
        <v>371</v>
      </c>
      <c r="V316" s="6">
        <f>187050</f>
        <v>187050</v>
      </c>
      <c r="W316" s="6">
        <f>3179850</f>
        <v>3179850</v>
      </c>
      <c r="X316" s="4" t="s">
        <v>243</v>
      </c>
      <c r="Y316" s="4" t="s">
        <v>244</v>
      </c>
      <c r="Z316" s="4" t="s">
        <v>465</v>
      </c>
      <c r="AA316" s="4" t="s">
        <v>241</v>
      </c>
      <c r="AD316" s="4" t="s">
        <v>241</v>
      </c>
      <c r="AE316" s="5" t="s">
        <v>241</v>
      </c>
      <c r="AF316" s="5" t="s">
        <v>241</v>
      </c>
      <c r="AH316" s="5" t="s">
        <v>241</v>
      </c>
      <c r="AI316" s="5" t="s">
        <v>249</v>
      </c>
      <c r="AJ316" s="4" t="s">
        <v>251</v>
      </c>
      <c r="AK316" s="4" t="s">
        <v>252</v>
      </c>
      <c r="AQ316" s="4" t="s">
        <v>241</v>
      </c>
      <c r="AR316" s="4" t="s">
        <v>241</v>
      </c>
      <c r="AS316" s="4" t="s">
        <v>241</v>
      </c>
      <c r="AT316" s="5" t="s">
        <v>241</v>
      </c>
      <c r="AU316" s="5" t="s">
        <v>241</v>
      </c>
      <c r="AV316" s="5" t="s">
        <v>241</v>
      </c>
      <c r="AY316" s="4" t="s">
        <v>286</v>
      </c>
      <c r="AZ316" s="4" t="s">
        <v>286</v>
      </c>
      <c r="BA316" s="4" t="s">
        <v>254</v>
      </c>
      <c r="BB316" s="4" t="s">
        <v>287</v>
      </c>
      <c r="BC316" s="4" t="s">
        <v>255</v>
      </c>
      <c r="BD316" s="4" t="s">
        <v>241</v>
      </c>
      <c r="BE316" s="4" t="s">
        <v>257</v>
      </c>
      <c r="BF316" s="4" t="s">
        <v>241</v>
      </c>
      <c r="BJ316" s="4" t="s">
        <v>288</v>
      </c>
      <c r="BK316" s="5" t="s">
        <v>289</v>
      </c>
      <c r="BL316" s="4" t="s">
        <v>290</v>
      </c>
      <c r="BM316" s="4" t="s">
        <v>290</v>
      </c>
      <c r="BN316" s="4" t="s">
        <v>241</v>
      </c>
      <c r="BO316" s="6">
        <f>0</f>
        <v>0</v>
      </c>
      <c r="BP316" s="6">
        <f>-187050</f>
        <v>-187050</v>
      </c>
      <c r="BQ316" s="4" t="s">
        <v>263</v>
      </c>
      <c r="BR316" s="4" t="s">
        <v>264</v>
      </c>
      <c r="BS316" s="4" t="s">
        <v>241</v>
      </c>
      <c r="BT316" s="4" t="s">
        <v>241</v>
      </c>
      <c r="BU316" s="4" t="s">
        <v>241</v>
      </c>
      <c r="BV316" s="4" t="s">
        <v>241</v>
      </c>
      <c r="CE316" s="4" t="s">
        <v>264</v>
      </c>
      <c r="CF316" s="4" t="s">
        <v>241</v>
      </c>
      <c r="CG316" s="4" t="s">
        <v>241</v>
      </c>
      <c r="CK316" s="4" t="s">
        <v>291</v>
      </c>
      <c r="CL316" s="4" t="s">
        <v>266</v>
      </c>
      <c r="CM316" s="4" t="s">
        <v>241</v>
      </c>
      <c r="CO316" s="4" t="s">
        <v>407</v>
      </c>
      <c r="CP316" s="5" t="s">
        <v>268</v>
      </c>
      <c r="CQ316" s="4" t="s">
        <v>269</v>
      </c>
      <c r="CR316" s="4" t="s">
        <v>270</v>
      </c>
      <c r="CS316" s="4" t="s">
        <v>293</v>
      </c>
      <c r="CT316" s="4" t="s">
        <v>241</v>
      </c>
      <c r="CU316" s="4">
        <v>0.03</v>
      </c>
      <c r="CV316" s="4" t="s">
        <v>271</v>
      </c>
      <c r="CW316" s="4" t="s">
        <v>655</v>
      </c>
      <c r="CX316" s="4" t="s">
        <v>487</v>
      </c>
      <c r="CY316" s="6">
        <f>0</f>
        <v>0</v>
      </c>
      <c r="CZ316" s="6">
        <f>6235000</f>
        <v>6235000</v>
      </c>
      <c r="DA316" s="6">
        <f>3055150</f>
        <v>3055150</v>
      </c>
      <c r="DC316" s="4" t="s">
        <v>241</v>
      </c>
      <c r="DD316" s="4" t="s">
        <v>241</v>
      </c>
      <c r="DF316" s="4" t="s">
        <v>241</v>
      </c>
      <c r="DG316" s="6">
        <f>0</f>
        <v>0</v>
      </c>
      <c r="DI316" s="4" t="s">
        <v>241</v>
      </c>
      <c r="DJ316" s="4" t="s">
        <v>241</v>
      </c>
      <c r="DK316" s="4" t="s">
        <v>241</v>
      </c>
      <c r="DL316" s="4" t="s">
        <v>241</v>
      </c>
      <c r="DM316" s="4" t="s">
        <v>277</v>
      </c>
      <c r="DN316" s="4" t="s">
        <v>278</v>
      </c>
      <c r="DO316" s="6">
        <f>29</f>
        <v>29</v>
      </c>
      <c r="DP316" s="4" t="s">
        <v>241</v>
      </c>
      <c r="DQ316" s="4" t="s">
        <v>241</v>
      </c>
      <c r="DR316" s="4" t="s">
        <v>241</v>
      </c>
      <c r="DS316" s="4" t="s">
        <v>241</v>
      </c>
      <c r="DV316" s="4" t="s">
        <v>768</v>
      </c>
      <c r="DW316" s="4" t="s">
        <v>351</v>
      </c>
      <c r="GN316" s="4" t="s">
        <v>772</v>
      </c>
      <c r="HO316" s="4" t="s">
        <v>300</v>
      </c>
      <c r="HR316" s="4" t="s">
        <v>278</v>
      </c>
      <c r="HS316" s="4" t="s">
        <v>278</v>
      </c>
      <c r="HT316" s="4" t="s">
        <v>241</v>
      </c>
      <c r="HU316" s="4" t="s">
        <v>241</v>
      </c>
      <c r="HV316" s="4" t="s">
        <v>241</v>
      </c>
      <c r="HW316" s="4" t="s">
        <v>241</v>
      </c>
      <c r="HX316" s="4" t="s">
        <v>241</v>
      </c>
      <c r="HY316" s="4" t="s">
        <v>241</v>
      </c>
      <c r="HZ316" s="4" t="s">
        <v>241</v>
      </c>
      <c r="IA316" s="4" t="s">
        <v>241</v>
      </c>
      <c r="IB316" s="4" t="s">
        <v>241</v>
      </c>
      <c r="IC316" s="4" t="s">
        <v>241</v>
      </c>
      <c r="ID316" s="4" t="s">
        <v>241</v>
      </c>
      <c r="IE316" s="4" t="s">
        <v>241</v>
      </c>
      <c r="IF316" s="4" t="s">
        <v>241</v>
      </c>
    </row>
    <row r="317" spans="1:240" x14ac:dyDescent="0.4">
      <c r="A317" s="4">
        <v>2</v>
      </c>
      <c r="B317" s="4" t="s">
        <v>239</v>
      </c>
      <c r="C317" s="4">
        <v>343</v>
      </c>
      <c r="D317" s="4">
        <v>1</v>
      </c>
      <c r="E317" s="4">
        <v>3</v>
      </c>
      <c r="F317" s="4" t="s">
        <v>326</v>
      </c>
      <c r="G317" s="4" t="s">
        <v>241</v>
      </c>
      <c r="H317" s="4" t="s">
        <v>241</v>
      </c>
      <c r="I317" s="4" t="s">
        <v>766</v>
      </c>
      <c r="J317" s="4" t="s">
        <v>653</v>
      </c>
      <c r="K317" s="4" t="s">
        <v>256</v>
      </c>
      <c r="L317" s="4" t="s">
        <v>241</v>
      </c>
      <c r="M317" s="5" t="s">
        <v>767</v>
      </c>
      <c r="N317" s="4" t="s">
        <v>2855</v>
      </c>
      <c r="O317" s="6">
        <f>0</f>
        <v>0</v>
      </c>
      <c r="P317" s="4" t="s">
        <v>276</v>
      </c>
      <c r="Q317" s="6">
        <f>868772</f>
        <v>868772</v>
      </c>
      <c r="R317" s="6">
        <f>1003200</f>
        <v>1003200</v>
      </c>
      <c r="S317" s="5" t="s">
        <v>2785</v>
      </c>
      <c r="T317" s="4" t="s">
        <v>348</v>
      </c>
      <c r="U317" s="4" t="s">
        <v>277</v>
      </c>
      <c r="V317" s="6">
        <f>67214</f>
        <v>67214</v>
      </c>
      <c r="W317" s="6">
        <f>134428</f>
        <v>134428</v>
      </c>
      <c r="X317" s="4" t="s">
        <v>243</v>
      </c>
      <c r="Y317" s="4" t="s">
        <v>244</v>
      </c>
      <c r="Z317" s="4" t="s">
        <v>241</v>
      </c>
      <c r="AA317" s="4" t="s">
        <v>241</v>
      </c>
      <c r="AD317" s="4" t="s">
        <v>241</v>
      </c>
      <c r="AE317" s="5" t="s">
        <v>241</v>
      </c>
      <c r="AF317" s="5" t="s">
        <v>241</v>
      </c>
      <c r="AH317" s="5" t="s">
        <v>241</v>
      </c>
      <c r="AI317" s="5" t="s">
        <v>249</v>
      </c>
      <c r="AJ317" s="4" t="s">
        <v>251</v>
      </c>
      <c r="AK317" s="4" t="s">
        <v>252</v>
      </c>
      <c r="AQ317" s="4" t="s">
        <v>241</v>
      </c>
      <c r="AR317" s="4" t="s">
        <v>241</v>
      </c>
      <c r="AS317" s="4" t="s">
        <v>241</v>
      </c>
      <c r="AT317" s="5" t="s">
        <v>241</v>
      </c>
      <c r="AU317" s="5" t="s">
        <v>241</v>
      </c>
      <c r="AV317" s="5" t="s">
        <v>241</v>
      </c>
      <c r="AY317" s="4" t="s">
        <v>286</v>
      </c>
      <c r="AZ317" s="4" t="s">
        <v>286</v>
      </c>
      <c r="BA317" s="4" t="s">
        <v>254</v>
      </c>
      <c r="BB317" s="4" t="s">
        <v>287</v>
      </c>
      <c r="BC317" s="4" t="s">
        <v>255</v>
      </c>
      <c r="BD317" s="4" t="s">
        <v>241</v>
      </c>
      <c r="BE317" s="4" t="s">
        <v>257</v>
      </c>
      <c r="BF317" s="4" t="s">
        <v>241</v>
      </c>
      <c r="BJ317" s="4" t="s">
        <v>288</v>
      </c>
      <c r="BK317" s="5" t="s">
        <v>289</v>
      </c>
      <c r="BL317" s="4" t="s">
        <v>290</v>
      </c>
      <c r="BM317" s="4" t="s">
        <v>290</v>
      </c>
      <c r="BN317" s="4" t="s">
        <v>241</v>
      </c>
      <c r="BP317" s="6">
        <f>-67214</f>
        <v>-67214</v>
      </c>
      <c r="BQ317" s="4" t="s">
        <v>263</v>
      </c>
      <c r="BR317" s="4" t="s">
        <v>264</v>
      </c>
      <c r="BS317" s="4" t="s">
        <v>241</v>
      </c>
      <c r="BT317" s="4" t="s">
        <v>241</v>
      </c>
      <c r="BU317" s="4" t="s">
        <v>241</v>
      </c>
      <c r="BV317" s="4" t="s">
        <v>241</v>
      </c>
      <c r="CE317" s="4" t="s">
        <v>264</v>
      </c>
      <c r="CF317" s="4" t="s">
        <v>241</v>
      </c>
      <c r="CG317" s="4" t="s">
        <v>241</v>
      </c>
      <c r="CK317" s="4" t="s">
        <v>291</v>
      </c>
      <c r="CL317" s="4" t="s">
        <v>266</v>
      </c>
      <c r="CM317" s="4" t="s">
        <v>241</v>
      </c>
      <c r="CO317" s="4" t="s">
        <v>331</v>
      </c>
      <c r="CP317" s="5" t="s">
        <v>268</v>
      </c>
      <c r="CQ317" s="4" t="s">
        <v>269</v>
      </c>
      <c r="CR317" s="4" t="s">
        <v>270</v>
      </c>
      <c r="CS317" s="4" t="s">
        <v>293</v>
      </c>
      <c r="CT317" s="4" t="s">
        <v>241</v>
      </c>
      <c r="CU317" s="4">
        <v>6.7000000000000004E-2</v>
      </c>
      <c r="CV317" s="4" t="s">
        <v>271</v>
      </c>
      <c r="CW317" s="4" t="s">
        <v>415</v>
      </c>
      <c r="CX317" s="4" t="s">
        <v>416</v>
      </c>
      <c r="CY317" s="6">
        <f>0</f>
        <v>0</v>
      </c>
      <c r="CZ317" s="6">
        <f>1003200</f>
        <v>1003200</v>
      </c>
      <c r="DA317" s="6">
        <f>868772</f>
        <v>868772</v>
      </c>
      <c r="DC317" s="4" t="s">
        <v>241</v>
      </c>
      <c r="DD317" s="4" t="s">
        <v>241</v>
      </c>
      <c r="DF317" s="4" t="s">
        <v>241</v>
      </c>
      <c r="DG317" s="6">
        <f>0</f>
        <v>0</v>
      </c>
      <c r="DI317" s="4" t="s">
        <v>241</v>
      </c>
      <c r="DJ317" s="4" t="s">
        <v>241</v>
      </c>
      <c r="DK317" s="4" t="s">
        <v>241</v>
      </c>
      <c r="DL317" s="4" t="s">
        <v>241</v>
      </c>
      <c r="DM317" s="4" t="s">
        <v>278</v>
      </c>
      <c r="DN317" s="4" t="s">
        <v>278</v>
      </c>
      <c r="DO317" s="6" t="s">
        <v>241</v>
      </c>
      <c r="DP317" s="4" t="s">
        <v>241</v>
      </c>
      <c r="DQ317" s="4" t="s">
        <v>241</v>
      </c>
      <c r="DR317" s="4" t="s">
        <v>241</v>
      </c>
      <c r="DS317" s="4" t="s">
        <v>241</v>
      </c>
      <c r="DV317" s="4" t="s">
        <v>768</v>
      </c>
      <c r="DW317" s="4" t="s">
        <v>300</v>
      </c>
      <c r="GN317" s="4" t="s">
        <v>2856</v>
      </c>
      <c r="HO317" s="4" t="s">
        <v>297</v>
      </c>
      <c r="HR317" s="4" t="s">
        <v>278</v>
      </c>
      <c r="HS317" s="4" t="s">
        <v>278</v>
      </c>
      <c r="HT317" s="4" t="s">
        <v>241</v>
      </c>
      <c r="HU317" s="4" t="s">
        <v>241</v>
      </c>
      <c r="HV317" s="4" t="s">
        <v>241</v>
      </c>
      <c r="HW317" s="4" t="s">
        <v>241</v>
      </c>
      <c r="HX317" s="4" t="s">
        <v>241</v>
      </c>
      <c r="HY317" s="4" t="s">
        <v>241</v>
      </c>
      <c r="HZ317" s="4" t="s">
        <v>241</v>
      </c>
      <c r="IA317" s="4" t="s">
        <v>241</v>
      </c>
      <c r="IB317" s="4" t="s">
        <v>241</v>
      </c>
      <c r="IC317" s="4" t="s">
        <v>241</v>
      </c>
      <c r="ID317" s="4" t="s">
        <v>241</v>
      </c>
      <c r="IE317" s="4" t="s">
        <v>241</v>
      </c>
      <c r="IF317" s="4" t="s">
        <v>241</v>
      </c>
    </row>
    <row r="318" spans="1:240" x14ac:dyDescent="0.4">
      <c r="A318" s="4">
        <v>2</v>
      </c>
      <c r="B318" s="4" t="s">
        <v>239</v>
      </c>
      <c r="C318" s="4">
        <v>344</v>
      </c>
      <c r="D318" s="4">
        <v>1</v>
      </c>
      <c r="E318" s="4">
        <v>3</v>
      </c>
      <c r="F318" s="4" t="s">
        <v>326</v>
      </c>
      <c r="G318" s="4" t="s">
        <v>241</v>
      </c>
      <c r="H318" s="4" t="s">
        <v>241</v>
      </c>
      <c r="I318" s="4" t="s">
        <v>766</v>
      </c>
      <c r="J318" s="4" t="s">
        <v>653</v>
      </c>
      <c r="K318" s="4" t="s">
        <v>256</v>
      </c>
      <c r="L318" s="4" t="s">
        <v>241</v>
      </c>
      <c r="M318" s="5" t="s">
        <v>767</v>
      </c>
      <c r="N318" s="4" t="s">
        <v>2747</v>
      </c>
      <c r="O318" s="6">
        <f>0</f>
        <v>0</v>
      </c>
      <c r="P318" s="4" t="s">
        <v>276</v>
      </c>
      <c r="Q318" s="6">
        <f>19202916</f>
        <v>19202916</v>
      </c>
      <c r="R318" s="6">
        <f>22698480</f>
        <v>22698480</v>
      </c>
      <c r="S318" s="5" t="s">
        <v>2849</v>
      </c>
      <c r="T318" s="4" t="s">
        <v>322</v>
      </c>
      <c r="U318" s="4" t="s">
        <v>277</v>
      </c>
      <c r="V318" s="6">
        <f>1747782</f>
        <v>1747782</v>
      </c>
      <c r="W318" s="6">
        <f>3495564</f>
        <v>3495564</v>
      </c>
      <c r="X318" s="4" t="s">
        <v>243</v>
      </c>
      <c r="Y318" s="4" t="s">
        <v>244</v>
      </c>
      <c r="Z318" s="4" t="s">
        <v>241</v>
      </c>
      <c r="AA318" s="4" t="s">
        <v>241</v>
      </c>
      <c r="AD318" s="4" t="s">
        <v>241</v>
      </c>
      <c r="AE318" s="5" t="s">
        <v>241</v>
      </c>
      <c r="AF318" s="5" t="s">
        <v>241</v>
      </c>
      <c r="AH318" s="5" t="s">
        <v>241</v>
      </c>
      <c r="AI318" s="5" t="s">
        <v>249</v>
      </c>
      <c r="AJ318" s="4" t="s">
        <v>251</v>
      </c>
      <c r="AK318" s="4" t="s">
        <v>252</v>
      </c>
      <c r="AQ318" s="4" t="s">
        <v>241</v>
      </c>
      <c r="AR318" s="4" t="s">
        <v>241</v>
      </c>
      <c r="AS318" s="4" t="s">
        <v>241</v>
      </c>
      <c r="AT318" s="5" t="s">
        <v>241</v>
      </c>
      <c r="AU318" s="5" t="s">
        <v>241</v>
      </c>
      <c r="AV318" s="5" t="s">
        <v>241</v>
      </c>
      <c r="AY318" s="4" t="s">
        <v>286</v>
      </c>
      <c r="AZ318" s="4" t="s">
        <v>286</v>
      </c>
      <c r="BA318" s="4" t="s">
        <v>254</v>
      </c>
      <c r="BB318" s="4" t="s">
        <v>287</v>
      </c>
      <c r="BC318" s="4" t="s">
        <v>255</v>
      </c>
      <c r="BD318" s="4" t="s">
        <v>241</v>
      </c>
      <c r="BE318" s="4" t="s">
        <v>257</v>
      </c>
      <c r="BF318" s="4" t="s">
        <v>241</v>
      </c>
      <c r="BJ318" s="4" t="s">
        <v>288</v>
      </c>
      <c r="BK318" s="5" t="s">
        <v>289</v>
      </c>
      <c r="BL318" s="4" t="s">
        <v>290</v>
      </c>
      <c r="BM318" s="4" t="s">
        <v>290</v>
      </c>
      <c r="BN318" s="4" t="s">
        <v>241</v>
      </c>
      <c r="BP318" s="6">
        <f>-1747782</f>
        <v>-1747782</v>
      </c>
      <c r="BQ318" s="4" t="s">
        <v>263</v>
      </c>
      <c r="BR318" s="4" t="s">
        <v>264</v>
      </c>
      <c r="BS318" s="4" t="s">
        <v>241</v>
      </c>
      <c r="BT318" s="4" t="s">
        <v>241</v>
      </c>
      <c r="BU318" s="4" t="s">
        <v>241</v>
      </c>
      <c r="BV318" s="4" t="s">
        <v>241</v>
      </c>
      <c r="CE318" s="4" t="s">
        <v>264</v>
      </c>
      <c r="CF318" s="4" t="s">
        <v>241</v>
      </c>
      <c r="CG318" s="4" t="s">
        <v>241</v>
      </c>
      <c r="CK318" s="4" t="s">
        <v>291</v>
      </c>
      <c r="CL318" s="4" t="s">
        <v>266</v>
      </c>
      <c r="CM318" s="4" t="s">
        <v>241</v>
      </c>
      <c r="CO318" s="4" t="s">
        <v>331</v>
      </c>
      <c r="CP318" s="5" t="s">
        <v>268</v>
      </c>
      <c r="CQ318" s="4" t="s">
        <v>269</v>
      </c>
      <c r="CR318" s="4" t="s">
        <v>270</v>
      </c>
      <c r="CS318" s="4" t="s">
        <v>293</v>
      </c>
      <c r="CT318" s="4" t="s">
        <v>241</v>
      </c>
      <c r="CU318" s="4">
        <v>7.6999999999999999E-2</v>
      </c>
      <c r="CV318" s="4" t="s">
        <v>271</v>
      </c>
      <c r="CW318" s="4" t="s">
        <v>415</v>
      </c>
      <c r="CX318" s="4" t="s">
        <v>428</v>
      </c>
      <c r="CY318" s="6">
        <f>0</f>
        <v>0</v>
      </c>
      <c r="CZ318" s="6">
        <f>22698480</f>
        <v>22698480</v>
      </c>
      <c r="DA318" s="6">
        <f>19202916</f>
        <v>19202916</v>
      </c>
      <c r="DC318" s="4" t="s">
        <v>241</v>
      </c>
      <c r="DD318" s="4" t="s">
        <v>241</v>
      </c>
      <c r="DF318" s="4" t="s">
        <v>241</v>
      </c>
      <c r="DG318" s="6">
        <f>0</f>
        <v>0</v>
      </c>
      <c r="DI318" s="4" t="s">
        <v>241</v>
      </c>
      <c r="DJ318" s="4" t="s">
        <v>241</v>
      </c>
      <c r="DK318" s="4" t="s">
        <v>241</v>
      </c>
      <c r="DL318" s="4" t="s">
        <v>241</v>
      </c>
      <c r="DM318" s="4" t="s">
        <v>278</v>
      </c>
      <c r="DN318" s="4" t="s">
        <v>278</v>
      </c>
      <c r="DO318" s="6" t="s">
        <v>241</v>
      </c>
      <c r="DP318" s="4" t="s">
        <v>241</v>
      </c>
      <c r="DQ318" s="4" t="s">
        <v>241</v>
      </c>
      <c r="DR318" s="4" t="s">
        <v>241</v>
      </c>
      <c r="DS318" s="4" t="s">
        <v>241</v>
      </c>
      <c r="DV318" s="4" t="s">
        <v>768</v>
      </c>
      <c r="DW318" s="4" t="s">
        <v>341</v>
      </c>
      <c r="GN318" s="4" t="s">
        <v>2854</v>
      </c>
      <c r="HO318" s="4" t="s">
        <v>297</v>
      </c>
      <c r="HR318" s="4" t="s">
        <v>278</v>
      </c>
      <c r="HS318" s="4" t="s">
        <v>278</v>
      </c>
      <c r="HT318" s="4" t="s">
        <v>241</v>
      </c>
      <c r="HU318" s="4" t="s">
        <v>241</v>
      </c>
      <c r="HV318" s="4" t="s">
        <v>241</v>
      </c>
      <c r="HW318" s="4" t="s">
        <v>241</v>
      </c>
      <c r="HX318" s="4" t="s">
        <v>241</v>
      </c>
      <c r="HY318" s="4" t="s">
        <v>241</v>
      </c>
      <c r="HZ318" s="4" t="s">
        <v>241</v>
      </c>
      <c r="IA318" s="4" t="s">
        <v>241</v>
      </c>
      <c r="IB318" s="4" t="s">
        <v>241</v>
      </c>
      <c r="IC318" s="4" t="s">
        <v>241</v>
      </c>
      <c r="ID318" s="4" t="s">
        <v>241</v>
      </c>
      <c r="IE318" s="4" t="s">
        <v>241</v>
      </c>
      <c r="IF318" s="4" t="s">
        <v>241</v>
      </c>
    </row>
    <row r="319" spans="1:240" x14ac:dyDescent="0.4">
      <c r="A319" s="4">
        <v>2</v>
      </c>
      <c r="B319" s="4" t="s">
        <v>239</v>
      </c>
      <c r="C319" s="4">
        <v>345</v>
      </c>
      <c r="D319" s="4">
        <v>1</v>
      </c>
      <c r="E319" s="4">
        <v>3</v>
      </c>
      <c r="F319" s="4" t="s">
        <v>240</v>
      </c>
      <c r="G319" s="4" t="s">
        <v>241</v>
      </c>
      <c r="H319" s="4" t="s">
        <v>241</v>
      </c>
      <c r="I319" s="4" t="s">
        <v>773</v>
      </c>
      <c r="J319" s="4" t="s">
        <v>653</v>
      </c>
      <c r="K319" s="4" t="s">
        <v>256</v>
      </c>
      <c r="L319" s="4" t="s">
        <v>658</v>
      </c>
      <c r="M319" s="5" t="s">
        <v>776</v>
      </c>
      <c r="N319" s="4" t="s">
        <v>658</v>
      </c>
      <c r="O319" s="6">
        <f>761</f>
        <v>761</v>
      </c>
      <c r="P319" s="4" t="s">
        <v>276</v>
      </c>
      <c r="Q319" s="6">
        <f>16848540</f>
        <v>16848540</v>
      </c>
      <c r="R319" s="6">
        <f>102735000</f>
        <v>102735000</v>
      </c>
      <c r="S319" s="5" t="s">
        <v>774</v>
      </c>
      <c r="T319" s="4" t="s">
        <v>668</v>
      </c>
      <c r="U319" s="4" t="s">
        <v>777</v>
      </c>
      <c r="V319" s="6">
        <f>2260170</f>
        <v>2260170</v>
      </c>
      <c r="W319" s="6">
        <f>85886460</f>
        <v>85886460</v>
      </c>
      <c r="X319" s="4" t="s">
        <v>243</v>
      </c>
      <c r="Y319" s="4" t="s">
        <v>244</v>
      </c>
      <c r="Z319" s="4" t="s">
        <v>465</v>
      </c>
      <c r="AA319" s="4" t="s">
        <v>241</v>
      </c>
      <c r="AD319" s="4" t="s">
        <v>241</v>
      </c>
      <c r="AE319" s="5" t="s">
        <v>241</v>
      </c>
      <c r="AF319" s="5" t="s">
        <v>241</v>
      </c>
      <c r="AH319" s="5" t="s">
        <v>241</v>
      </c>
      <c r="AI319" s="5" t="s">
        <v>775</v>
      </c>
      <c r="AJ319" s="4" t="s">
        <v>251</v>
      </c>
      <c r="AK319" s="4" t="s">
        <v>252</v>
      </c>
      <c r="AQ319" s="4" t="s">
        <v>241</v>
      </c>
      <c r="AR319" s="4" t="s">
        <v>241</v>
      </c>
      <c r="AS319" s="4" t="s">
        <v>241</v>
      </c>
      <c r="AT319" s="5" t="s">
        <v>241</v>
      </c>
      <c r="AU319" s="5" t="s">
        <v>241</v>
      </c>
      <c r="AV319" s="5" t="s">
        <v>241</v>
      </c>
      <c r="AY319" s="4" t="s">
        <v>286</v>
      </c>
      <c r="AZ319" s="4" t="s">
        <v>286</v>
      </c>
      <c r="BA319" s="4" t="s">
        <v>254</v>
      </c>
      <c r="BB319" s="4" t="s">
        <v>287</v>
      </c>
      <c r="BC319" s="4" t="s">
        <v>255</v>
      </c>
      <c r="BD319" s="4" t="s">
        <v>241</v>
      </c>
      <c r="BE319" s="4" t="s">
        <v>257</v>
      </c>
      <c r="BF319" s="4" t="s">
        <v>241</v>
      </c>
      <c r="BH319" s="4" t="s">
        <v>763</v>
      </c>
      <c r="BJ319" s="4" t="s">
        <v>288</v>
      </c>
      <c r="BK319" s="5" t="s">
        <v>289</v>
      </c>
      <c r="BL319" s="4" t="s">
        <v>290</v>
      </c>
      <c r="BM319" s="4" t="s">
        <v>290</v>
      </c>
      <c r="BN319" s="4" t="s">
        <v>241</v>
      </c>
      <c r="BO319" s="6">
        <f>0</f>
        <v>0</v>
      </c>
      <c r="BP319" s="6">
        <f>-2260170</f>
        <v>-2260170</v>
      </c>
      <c r="BQ319" s="4" t="s">
        <v>263</v>
      </c>
      <c r="BR319" s="4" t="s">
        <v>264</v>
      </c>
      <c r="BS319" s="4" t="s">
        <v>241</v>
      </c>
      <c r="BT319" s="4" t="s">
        <v>241</v>
      </c>
      <c r="BU319" s="4" t="s">
        <v>241</v>
      </c>
      <c r="BV319" s="4" t="s">
        <v>241</v>
      </c>
      <c r="CE319" s="4" t="s">
        <v>264</v>
      </c>
      <c r="CF319" s="4" t="s">
        <v>241</v>
      </c>
      <c r="CG319" s="4" t="s">
        <v>241</v>
      </c>
      <c r="CK319" s="4" t="s">
        <v>265</v>
      </c>
      <c r="CL319" s="4" t="s">
        <v>266</v>
      </c>
      <c r="CM319" s="4" t="s">
        <v>241</v>
      </c>
      <c r="CO319" s="4" t="s">
        <v>662</v>
      </c>
      <c r="CP319" s="5" t="s">
        <v>268</v>
      </c>
      <c r="CQ319" s="4" t="s">
        <v>269</v>
      </c>
      <c r="CR319" s="4" t="s">
        <v>270</v>
      </c>
      <c r="CS319" s="4" t="s">
        <v>293</v>
      </c>
      <c r="CT319" s="4" t="s">
        <v>241</v>
      </c>
      <c r="CU319" s="4">
        <v>2.1999999999999999E-2</v>
      </c>
      <c r="CV319" s="4" t="s">
        <v>271</v>
      </c>
      <c r="CW319" s="4" t="s">
        <v>655</v>
      </c>
      <c r="CX319" s="4" t="s">
        <v>295</v>
      </c>
      <c r="CY319" s="6">
        <f>0</f>
        <v>0</v>
      </c>
      <c r="CZ319" s="6">
        <f>102735000</f>
        <v>102735000</v>
      </c>
      <c r="DA319" s="6">
        <f>16848540</f>
        <v>16848540</v>
      </c>
      <c r="DC319" s="4" t="s">
        <v>241</v>
      </c>
      <c r="DD319" s="4" t="s">
        <v>241</v>
      </c>
      <c r="DF319" s="4" t="s">
        <v>241</v>
      </c>
      <c r="DG319" s="6">
        <f>0</f>
        <v>0</v>
      </c>
      <c r="DI319" s="4" t="s">
        <v>241</v>
      </c>
      <c r="DJ319" s="4" t="s">
        <v>241</v>
      </c>
      <c r="DK319" s="4" t="s">
        <v>241</v>
      </c>
      <c r="DL319" s="4" t="s">
        <v>241</v>
      </c>
      <c r="DM319" s="4" t="s">
        <v>277</v>
      </c>
      <c r="DN319" s="4" t="s">
        <v>278</v>
      </c>
      <c r="DO319" s="6">
        <f>761</f>
        <v>761</v>
      </c>
      <c r="DP319" s="4" t="s">
        <v>241</v>
      </c>
      <c r="DQ319" s="4" t="s">
        <v>241</v>
      </c>
      <c r="DR319" s="4" t="s">
        <v>241</v>
      </c>
      <c r="DS319" s="4" t="s">
        <v>241</v>
      </c>
      <c r="DV319" s="4" t="s">
        <v>778</v>
      </c>
      <c r="DW319" s="4" t="s">
        <v>277</v>
      </c>
      <c r="GN319" s="4" t="s">
        <v>779</v>
      </c>
      <c r="HO319" s="4" t="s">
        <v>300</v>
      </c>
      <c r="HR319" s="4" t="s">
        <v>278</v>
      </c>
      <c r="HS319" s="4" t="s">
        <v>278</v>
      </c>
      <c r="HT319" s="4" t="s">
        <v>241</v>
      </c>
      <c r="HU319" s="4" t="s">
        <v>241</v>
      </c>
      <c r="HV319" s="4" t="s">
        <v>241</v>
      </c>
      <c r="HW319" s="4" t="s">
        <v>241</v>
      </c>
      <c r="HX319" s="4" t="s">
        <v>241</v>
      </c>
      <c r="HY319" s="4" t="s">
        <v>241</v>
      </c>
      <c r="HZ319" s="4" t="s">
        <v>241</v>
      </c>
      <c r="IA319" s="4" t="s">
        <v>241</v>
      </c>
      <c r="IB319" s="4" t="s">
        <v>241</v>
      </c>
      <c r="IC319" s="4" t="s">
        <v>241</v>
      </c>
      <c r="ID319" s="4" t="s">
        <v>241</v>
      </c>
      <c r="IE319" s="4" t="s">
        <v>241</v>
      </c>
      <c r="IF319" s="4" t="s">
        <v>241</v>
      </c>
    </row>
    <row r="320" spans="1:240" x14ac:dyDescent="0.4">
      <c r="A320" s="4">
        <v>2</v>
      </c>
      <c r="B320" s="4" t="s">
        <v>239</v>
      </c>
      <c r="C320" s="4">
        <v>346</v>
      </c>
      <c r="D320" s="4">
        <v>1</v>
      </c>
      <c r="E320" s="4">
        <v>3</v>
      </c>
      <c r="F320" s="4" t="s">
        <v>240</v>
      </c>
      <c r="G320" s="4" t="s">
        <v>241</v>
      </c>
      <c r="H320" s="4" t="s">
        <v>241</v>
      </c>
      <c r="I320" s="4" t="s">
        <v>773</v>
      </c>
      <c r="J320" s="4" t="s">
        <v>653</v>
      </c>
      <c r="K320" s="4" t="s">
        <v>256</v>
      </c>
      <c r="L320" s="4" t="s">
        <v>1699</v>
      </c>
      <c r="M320" s="5" t="s">
        <v>776</v>
      </c>
      <c r="N320" s="4" t="s">
        <v>1699</v>
      </c>
      <c r="O320" s="6">
        <f>64</f>
        <v>64</v>
      </c>
      <c r="P320" s="4" t="s">
        <v>276</v>
      </c>
      <c r="Q320" s="6">
        <f>2322688</f>
        <v>2322688</v>
      </c>
      <c r="R320" s="6">
        <f>13504000</f>
        <v>13504000</v>
      </c>
      <c r="S320" s="5" t="s">
        <v>1737</v>
      </c>
      <c r="T320" s="4" t="s">
        <v>314</v>
      </c>
      <c r="U320" s="4" t="s">
        <v>401</v>
      </c>
      <c r="V320" s="6">
        <f>621184</f>
        <v>621184</v>
      </c>
      <c r="W320" s="6">
        <f>11181312</f>
        <v>11181312</v>
      </c>
      <c r="X320" s="4" t="s">
        <v>243</v>
      </c>
      <c r="Y320" s="4" t="s">
        <v>244</v>
      </c>
      <c r="Z320" s="4" t="s">
        <v>465</v>
      </c>
      <c r="AA320" s="4" t="s">
        <v>241</v>
      </c>
      <c r="AD320" s="4" t="s">
        <v>241</v>
      </c>
      <c r="AE320" s="5" t="s">
        <v>241</v>
      </c>
      <c r="AF320" s="5" t="s">
        <v>241</v>
      </c>
      <c r="AH320" s="5" t="s">
        <v>241</v>
      </c>
      <c r="AI320" s="5" t="s">
        <v>775</v>
      </c>
      <c r="AJ320" s="4" t="s">
        <v>251</v>
      </c>
      <c r="AK320" s="4" t="s">
        <v>252</v>
      </c>
      <c r="AQ320" s="4" t="s">
        <v>241</v>
      </c>
      <c r="AR320" s="4" t="s">
        <v>241</v>
      </c>
      <c r="AS320" s="4" t="s">
        <v>241</v>
      </c>
      <c r="AT320" s="5" t="s">
        <v>241</v>
      </c>
      <c r="AU320" s="5" t="s">
        <v>241</v>
      </c>
      <c r="AV320" s="5" t="s">
        <v>241</v>
      </c>
      <c r="AY320" s="4" t="s">
        <v>286</v>
      </c>
      <c r="AZ320" s="4" t="s">
        <v>286</v>
      </c>
      <c r="BA320" s="4" t="s">
        <v>254</v>
      </c>
      <c r="BB320" s="4" t="s">
        <v>287</v>
      </c>
      <c r="BC320" s="4" t="s">
        <v>255</v>
      </c>
      <c r="BD320" s="4" t="s">
        <v>241</v>
      </c>
      <c r="BE320" s="4" t="s">
        <v>257</v>
      </c>
      <c r="BF320" s="4" t="s">
        <v>241</v>
      </c>
      <c r="BJ320" s="4" t="s">
        <v>288</v>
      </c>
      <c r="BK320" s="5" t="s">
        <v>289</v>
      </c>
      <c r="BL320" s="4" t="s">
        <v>290</v>
      </c>
      <c r="BM320" s="4" t="s">
        <v>290</v>
      </c>
      <c r="BN320" s="4" t="s">
        <v>241</v>
      </c>
      <c r="BO320" s="6">
        <f>0</f>
        <v>0</v>
      </c>
      <c r="BP320" s="6">
        <f>-621184</f>
        <v>-621184</v>
      </c>
      <c r="BQ320" s="4" t="s">
        <v>263</v>
      </c>
      <c r="BR320" s="4" t="s">
        <v>264</v>
      </c>
      <c r="BS320" s="4" t="s">
        <v>241</v>
      </c>
      <c r="BT320" s="4" t="s">
        <v>241</v>
      </c>
      <c r="BU320" s="4" t="s">
        <v>241</v>
      </c>
      <c r="BV320" s="4" t="s">
        <v>241</v>
      </c>
      <c r="CE320" s="4" t="s">
        <v>264</v>
      </c>
      <c r="CF320" s="4" t="s">
        <v>241</v>
      </c>
      <c r="CG320" s="4" t="s">
        <v>241</v>
      </c>
      <c r="CK320" s="4" t="s">
        <v>291</v>
      </c>
      <c r="CL320" s="4" t="s">
        <v>266</v>
      </c>
      <c r="CM320" s="4" t="s">
        <v>241</v>
      </c>
      <c r="CO320" s="4" t="s">
        <v>446</v>
      </c>
      <c r="CP320" s="5" t="s">
        <v>268</v>
      </c>
      <c r="CQ320" s="4" t="s">
        <v>269</v>
      </c>
      <c r="CR320" s="4" t="s">
        <v>270</v>
      </c>
      <c r="CS320" s="4" t="s">
        <v>293</v>
      </c>
      <c r="CT320" s="4" t="s">
        <v>241</v>
      </c>
      <c r="CU320" s="4">
        <v>4.5999999999999999E-2</v>
      </c>
      <c r="CV320" s="4" t="s">
        <v>271</v>
      </c>
      <c r="CW320" s="4" t="s">
        <v>1671</v>
      </c>
      <c r="CX320" s="4" t="s">
        <v>347</v>
      </c>
      <c r="CY320" s="6">
        <f>0</f>
        <v>0</v>
      </c>
      <c r="CZ320" s="6">
        <f>13504000</f>
        <v>13504000</v>
      </c>
      <c r="DA320" s="6">
        <f>2322688</f>
        <v>2322688</v>
      </c>
      <c r="DC320" s="4" t="s">
        <v>241</v>
      </c>
      <c r="DD320" s="4" t="s">
        <v>241</v>
      </c>
      <c r="DF320" s="4" t="s">
        <v>241</v>
      </c>
      <c r="DG320" s="6">
        <f>0</f>
        <v>0</v>
      </c>
      <c r="DI320" s="4" t="s">
        <v>241</v>
      </c>
      <c r="DJ320" s="4" t="s">
        <v>241</v>
      </c>
      <c r="DK320" s="4" t="s">
        <v>241</v>
      </c>
      <c r="DL320" s="4" t="s">
        <v>241</v>
      </c>
      <c r="DM320" s="4" t="s">
        <v>277</v>
      </c>
      <c r="DN320" s="4" t="s">
        <v>278</v>
      </c>
      <c r="DO320" s="6">
        <f>64</f>
        <v>64</v>
      </c>
      <c r="DP320" s="4" t="s">
        <v>241</v>
      </c>
      <c r="DQ320" s="4" t="s">
        <v>241</v>
      </c>
      <c r="DR320" s="4" t="s">
        <v>241</v>
      </c>
      <c r="DS320" s="4" t="s">
        <v>241</v>
      </c>
      <c r="DV320" s="4" t="s">
        <v>778</v>
      </c>
      <c r="DW320" s="4" t="s">
        <v>323</v>
      </c>
      <c r="GN320" s="4" t="s">
        <v>1738</v>
      </c>
      <c r="HO320" s="4" t="s">
        <v>300</v>
      </c>
      <c r="HR320" s="4" t="s">
        <v>278</v>
      </c>
      <c r="HS320" s="4" t="s">
        <v>278</v>
      </c>
      <c r="HT320" s="4" t="s">
        <v>241</v>
      </c>
      <c r="HU320" s="4" t="s">
        <v>241</v>
      </c>
      <c r="HV320" s="4" t="s">
        <v>241</v>
      </c>
      <c r="HW320" s="4" t="s">
        <v>241</v>
      </c>
      <c r="HX320" s="4" t="s">
        <v>241</v>
      </c>
      <c r="HY320" s="4" t="s">
        <v>241</v>
      </c>
      <c r="HZ320" s="4" t="s">
        <v>241</v>
      </c>
      <c r="IA320" s="4" t="s">
        <v>241</v>
      </c>
      <c r="IB320" s="4" t="s">
        <v>241</v>
      </c>
      <c r="IC320" s="4" t="s">
        <v>241</v>
      </c>
      <c r="ID320" s="4" t="s">
        <v>241</v>
      </c>
      <c r="IE320" s="4" t="s">
        <v>241</v>
      </c>
      <c r="IF320" s="4" t="s">
        <v>241</v>
      </c>
    </row>
    <row r="321" spans="1:240" x14ac:dyDescent="0.4">
      <c r="A321" s="4">
        <v>2</v>
      </c>
      <c r="B321" s="4" t="s">
        <v>239</v>
      </c>
      <c r="C321" s="4">
        <v>347</v>
      </c>
      <c r="D321" s="4">
        <v>1</v>
      </c>
      <c r="E321" s="4">
        <v>1</v>
      </c>
      <c r="F321" s="4" t="s">
        <v>240</v>
      </c>
      <c r="G321" s="4" t="s">
        <v>241</v>
      </c>
      <c r="H321" s="4" t="s">
        <v>241</v>
      </c>
      <c r="I321" s="4" t="s">
        <v>773</v>
      </c>
      <c r="J321" s="4" t="s">
        <v>653</v>
      </c>
      <c r="K321" s="4" t="s">
        <v>256</v>
      </c>
      <c r="L321" s="4" t="s">
        <v>429</v>
      </c>
      <c r="M321" s="5" t="s">
        <v>776</v>
      </c>
      <c r="N321" s="4" t="s">
        <v>429</v>
      </c>
      <c r="O321" s="6">
        <f>14</f>
        <v>14</v>
      </c>
      <c r="P321" s="4" t="s">
        <v>276</v>
      </c>
      <c r="Q321" s="6">
        <f>1</f>
        <v>1</v>
      </c>
      <c r="R321" s="6">
        <f>2954000</f>
        <v>2954000</v>
      </c>
      <c r="S321" s="5" t="s">
        <v>3718</v>
      </c>
      <c r="T321" s="4" t="s">
        <v>274</v>
      </c>
      <c r="U321" s="4" t="s">
        <v>404</v>
      </c>
      <c r="W321" s="6">
        <f>2953999</f>
        <v>2953999</v>
      </c>
      <c r="X321" s="4" t="s">
        <v>243</v>
      </c>
      <c r="Y321" s="4" t="s">
        <v>244</v>
      </c>
      <c r="Z321" s="4" t="s">
        <v>465</v>
      </c>
      <c r="AA321" s="4" t="s">
        <v>241</v>
      </c>
      <c r="AD321" s="4" t="s">
        <v>241</v>
      </c>
      <c r="AF321" s="5" t="s">
        <v>241</v>
      </c>
      <c r="AI321" s="5" t="s">
        <v>775</v>
      </c>
      <c r="AJ321" s="4" t="s">
        <v>251</v>
      </c>
      <c r="AK321" s="4" t="s">
        <v>252</v>
      </c>
      <c r="BA321" s="4" t="s">
        <v>254</v>
      </c>
      <c r="BB321" s="4" t="s">
        <v>241</v>
      </c>
      <c r="BC321" s="4" t="s">
        <v>255</v>
      </c>
      <c r="BD321" s="4" t="s">
        <v>241</v>
      </c>
      <c r="BE321" s="4" t="s">
        <v>257</v>
      </c>
      <c r="BF321" s="4" t="s">
        <v>241</v>
      </c>
      <c r="BJ321" s="4" t="s">
        <v>259</v>
      </c>
      <c r="BK321" s="5" t="s">
        <v>260</v>
      </c>
      <c r="BL321" s="4" t="s">
        <v>261</v>
      </c>
      <c r="BM321" s="4" t="s">
        <v>262</v>
      </c>
      <c r="BN321" s="4" t="s">
        <v>241</v>
      </c>
      <c r="BO321" s="6">
        <f>0</f>
        <v>0</v>
      </c>
      <c r="BP321" s="6">
        <f>0</f>
        <v>0</v>
      </c>
      <c r="BQ321" s="4" t="s">
        <v>263</v>
      </c>
      <c r="BR321" s="4" t="s">
        <v>264</v>
      </c>
      <c r="CF321" s="4" t="s">
        <v>241</v>
      </c>
      <c r="CG321" s="4" t="s">
        <v>241</v>
      </c>
      <c r="CK321" s="4" t="s">
        <v>291</v>
      </c>
      <c r="CL321" s="4" t="s">
        <v>266</v>
      </c>
      <c r="CM321" s="4" t="s">
        <v>241</v>
      </c>
      <c r="CO321" s="4" t="s">
        <v>468</v>
      </c>
      <c r="CP321" s="5" t="s">
        <v>268</v>
      </c>
      <c r="CQ321" s="4" t="s">
        <v>269</v>
      </c>
      <c r="CR321" s="4" t="s">
        <v>270</v>
      </c>
      <c r="CS321" s="4" t="s">
        <v>241</v>
      </c>
      <c r="CT321" s="4" t="s">
        <v>241</v>
      </c>
      <c r="CU321" s="4">
        <v>0</v>
      </c>
      <c r="CV321" s="4" t="s">
        <v>271</v>
      </c>
      <c r="CW321" s="4" t="s">
        <v>272</v>
      </c>
      <c r="CX321" s="4" t="s">
        <v>273</v>
      </c>
      <c r="CZ321" s="6">
        <f>2954000</f>
        <v>2954000</v>
      </c>
      <c r="DA321" s="6">
        <f>0</f>
        <v>0</v>
      </c>
      <c r="DC321" s="4" t="s">
        <v>241</v>
      </c>
      <c r="DD321" s="4" t="s">
        <v>241</v>
      </c>
      <c r="DF321" s="4" t="s">
        <v>241</v>
      </c>
      <c r="DI321" s="4" t="s">
        <v>241</v>
      </c>
      <c r="DJ321" s="4" t="s">
        <v>241</v>
      </c>
      <c r="DK321" s="4" t="s">
        <v>241</v>
      </c>
      <c r="DL321" s="4" t="s">
        <v>241</v>
      </c>
      <c r="DM321" s="4" t="s">
        <v>277</v>
      </c>
      <c r="DN321" s="4" t="s">
        <v>278</v>
      </c>
      <c r="DO321" s="6">
        <f>14</f>
        <v>14</v>
      </c>
      <c r="DP321" s="4" t="s">
        <v>241</v>
      </c>
      <c r="DQ321" s="4" t="s">
        <v>241</v>
      </c>
      <c r="DR321" s="4" t="s">
        <v>241</v>
      </c>
      <c r="DS321" s="4" t="s">
        <v>241</v>
      </c>
      <c r="DV321" s="4" t="s">
        <v>778</v>
      </c>
      <c r="DW321" s="4" t="s">
        <v>297</v>
      </c>
      <c r="HO321" s="4" t="s">
        <v>277</v>
      </c>
      <c r="HR321" s="4" t="s">
        <v>278</v>
      </c>
      <c r="HS321" s="4" t="s">
        <v>278</v>
      </c>
    </row>
    <row r="322" spans="1:240" x14ac:dyDescent="0.4">
      <c r="A322" s="4">
        <v>2</v>
      </c>
      <c r="B322" s="4" t="s">
        <v>239</v>
      </c>
      <c r="C322" s="4">
        <v>348</v>
      </c>
      <c r="D322" s="4">
        <v>1</v>
      </c>
      <c r="E322" s="4">
        <v>3</v>
      </c>
      <c r="F322" s="4" t="s">
        <v>240</v>
      </c>
      <c r="G322" s="4" t="s">
        <v>241</v>
      </c>
      <c r="H322" s="4" t="s">
        <v>241</v>
      </c>
      <c r="I322" s="4" t="s">
        <v>773</v>
      </c>
      <c r="J322" s="4" t="s">
        <v>653</v>
      </c>
      <c r="K322" s="4" t="s">
        <v>256</v>
      </c>
      <c r="L322" s="4" t="s">
        <v>429</v>
      </c>
      <c r="M322" s="5" t="s">
        <v>776</v>
      </c>
      <c r="N322" s="4" t="s">
        <v>429</v>
      </c>
      <c r="O322" s="6">
        <f>14</f>
        <v>14</v>
      </c>
      <c r="P322" s="4" t="s">
        <v>276</v>
      </c>
      <c r="Q322" s="6">
        <f>1</f>
        <v>1</v>
      </c>
      <c r="R322" s="6">
        <f>2954000</f>
        <v>2954000</v>
      </c>
      <c r="S322" s="5" t="s">
        <v>1760</v>
      </c>
      <c r="T322" s="4" t="s">
        <v>274</v>
      </c>
      <c r="U322" s="4" t="s">
        <v>453</v>
      </c>
      <c r="V322" s="6">
        <f>100435</f>
        <v>100435</v>
      </c>
      <c r="W322" s="6">
        <f>2953999</f>
        <v>2953999</v>
      </c>
      <c r="X322" s="4" t="s">
        <v>243</v>
      </c>
      <c r="Y322" s="4" t="s">
        <v>244</v>
      </c>
      <c r="Z322" s="4" t="s">
        <v>465</v>
      </c>
      <c r="AA322" s="4" t="s">
        <v>241</v>
      </c>
      <c r="AD322" s="4" t="s">
        <v>241</v>
      </c>
      <c r="AE322" s="5" t="s">
        <v>241</v>
      </c>
      <c r="AF322" s="5" t="s">
        <v>241</v>
      </c>
      <c r="AH322" s="5" t="s">
        <v>241</v>
      </c>
      <c r="AI322" s="5" t="s">
        <v>249</v>
      </c>
      <c r="AJ322" s="4" t="s">
        <v>251</v>
      </c>
      <c r="AK322" s="4" t="s">
        <v>252</v>
      </c>
      <c r="AQ322" s="4" t="s">
        <v>241</v>
      </c>
      <c r="AR322" s="4" t="s">
        <v>241</v>
      </c>
      <c r="AS322" s="4" t="s">
        <v>241</v>
      </c>
      <c r="AT322" s="5" t="s">
        <v>241</v>
      </c>
      <c r="AU322" s="5" t="s">
        <v>241</v>
      </c>
      <c r="AV322" s="5" t="s">
        <v>241</v>
      </c>
      <c r="AY322" s="4" t="s">
        <v>286</v>
      </c>
      <c r="AZ322" s="4" t="s">
        <v>286</v>
      </c>
      <c r="BA322" s="4" t="s">
        <v>254</v>
      </c>
      <c r="BB322" s="4" t="s">
        <v>287</v>
      </c>
      <c r="BC322" s="4" t="s">
        <v>255</v>
      </c>
      <c r="BD322" s="4" t="s">
        <v>241</v>
      </c>
      <c r="BE322" s="4" t="s">
        <v>257</v>
      </c>
      <c r="BF322" s="4" t="s">
        <v>241</v>
      </c>
      <c r="BJ322" s="4" t="s">
        <v>288</v>
      </c>
      <c r="BK322" s="5" t="s">
        <v>289</v>
      </c>
      <c r="BL322" s="4" t="s">
        <v>290</v>
      </c>
      <c r="BM322" s="4" t="s">
        <v>290</v>
      </c>
      <c r="BN322" s="4" t="s">
        <v>241</v>
      </c>
      <c r="BO322" s="6">
        <f>0</f>
        <v>0</v>
      </c>
      <c r="BP322" s="6">
        <f>-100435</f>
        <v>-100435</v>
      </c>
      <c r="BQ322" s="4" t="s">
        <v>263</v>
      </c>
      <c r="BR322" s="4" t="s">
        <v>264</v>
      </c>
      <c r="BS322" s="4" t="s">
        <v>241</v>
      </c>
      <c r="BT322" s="4" t="s">
        <v>241</v>
      </c>
      <c r="BU322" s="4" t="s">
        <v>241</v>
      </c>
      <c r="BV322" s="4" t="s">
        <v>241</v>
      </c>
      <c r="CE322" s="4" t="s">
        <v>264</v>
      </c>
      <c r="CF322" s="4" t="s">
        <v>241</v>
      </c>
      <c r="CG322" s="4" t="s">
        <v>241</v>
      </c>
      <c r="CK322" s="4" t="s">
        <v>291</v>
      </c>
      <c r="CL322" s="4" t="s">
        <v>266</v>
      </c>
      <c r="CM322" s="4" t="s">
        <v>241</v>
      </c>
      <c r="CO322" s="4" t="s">
        <v>1568</v>
      </c>
      <c r="CP322" s="5" t="s">
        <v>268</v>
      </c>
      <c r="CQ322" s="4" t="s">
        <v>269</v>
      </c>
      <c r="CR322" s="4" t="s">
        <v>270</v>
      </c>
      <c r="CS322" s="4" t="s">
        <v>293</v>
      </c>
      <c r="CT322" s="4" t="s">
        <v>241</v>
      </c>
      <c r="CU322" s="4">
        <v>4.2000000000000003E-2</v>
      </c>
      <c r="CV322" s="4" t="s">
        <v>271</v>
      </c>
      <c r="CW322" s="4" t="s">
        <v>272</v>
      </c>
      <c r="CX322" s="4" t="s">
        <v>273</v>
      </c>
      <c r="CY322" s="6">
        <f>0</f>
        <v>0</v>
      </c>
      <c r="CZ322" s="6">
        <f>2954000</f>
        <v>2954000</v>
      </c>
      <c r="DA322" s="6">
        <f>1</f>
        <v>1</v>
      </c>
      <c r="DC322" s="4" t="s">
        <v>241</v>
      </c>
      <c r="DD322" s="4" t="s">
        <v>241</v>
      </c>
      <c r="DF322" s="4" t="s">
        <v>241</v>
      </c>
      <c r="DG322" s="6">
        <f>0</f>
        <v>0</v>
      </c>
      <c r="DI322" s="4" t="s">
        <v>241</v>
      </c>
      <c r="DJ322" s="4" t="s">
        <v>241</v>
      </c>
      <c r="DK322" s="4" t="s">
        <v>241</v>
      </c>
      <c r="DL322" s="4" t="s">
        <v>241</v>
      </c>
      <c r="DM322" s="4" t="s">
        <v>277</v>
      </c>
      <c r="DN322" s="4" t="s">
        <v>278</v>
      </c>
      <c r="DO322" s="6">
        <f>14</f>
        <v>14</v>
      </c>
      <c r="DP322" s="4" t="s">
        <v>241</v>
      </c>
      <c r="DQ322" s="4" t="s">
        <v>241</v>
      </c>
      <c r="DR322" s="4" t="s">
        <v>241</v>
      </c>
      <c r="DS322" s="4" t="s">
        <v>241</v>
      </c>
      <c r="DV322" s="4" t="s">
        <v>778</v>
      </c>
      <c r="DW322" s="4" t="s">
        <v>336</v>
      </c>
      <c r="GN322" s="4" t="s">
        <v>3585</v>
      </c>
      <c r="HO322" s="4" t="s">
        <v>300</v>
      </c>
      <c r="HR322" s="4" t="s">
        <v>278</v>
      </c>
      <c r="HS322" s="4" t="s">
        <v>278</v>
      </c>
      <c r="HT322" s="4" t="s">
        <v>241</v>
      </c>
      <c r="HU322" s="4" t="s">
        <v>241</v>
      </c>
      <c r="HV322" s="4" t="s">
        <v>241</v>
      </c>
      <c r="HW322" s="4" t="s">
        <v>241</v>
      </c>
      <c r="HX322" s="4" t="s">
        <v>241</v>
      </c>
      <c r="HY322" s="4" t="s">
        <v>241</v>
      </c>
      <c r="HZ322" s="4" t="s">
        <v>241</v>
      </c>
      <c r="IA322" s="4" t="s">
        <v>241</v>
      </c>
      <c r="IB322" s="4" t="s">
        <v>241</v>
      </c>
      <c r="IC322" s="4" t="s">
        <v>241</v>
      </c>
      <c r="ID322" s="4" t="s">
        <v>241</v>
      </c>
      <c r="IE322" s="4" t="s">
        <v>241</v>
      </c>
      <c r="IF322" s="4" t="s">
        <v>241</v>
      </c>
    </row>
    <row r="323" spans="1:240" x14ac:dyDescent="0.4">
      <c r="A323" s="4">
        <v>2</v>
      </c>
      <c r="B323" s="4" t="s">
        <v>239</v>
      </c>
      <c r="C323" s="4">
        <v>349</v>
      </c>
      <c r="D323" s="4">
        <v>1</v>
      </c>
      <c r="E323" s="4">
        <v>1</v>
      </c>
      <c r="F323" s="4" t="s">
        <v>240</v>
      </c>
      <c r="G323" s="4" t="s">
        <v>241</v>
      </c>
      <c r="H323" s="4" t="s">
        <v>241</v>
      </c>
      <c r="I323" s="4" t="s">
        <v>964</v>
      </c>
      <c r="J323" s="4" t="s">
        <v>653</v>
      </c>
      <c r="K323" s="4" t="s">
        <v>256</v>
      </c>
      <c r="L323" s="4" t="s">
        <v>429</v>
      </c>
      <c r="M323" s="5" t="s">
        <v>966</v>
      </c>
      <c r="N323" s="4" t="s">
        <v>429</v>
      </c>
      <c r="O323" s="6">
        <f>29</f>
        <v>29</v>
      </c>
      <c r="P323" s="4" t="s">
        <v>276</v>
      </c>
      <c r="Q323" s="6">
        <f>1</f>
        <v>1</v>
      </c>
      <c r="R323" s="6">
        <f>1740000</f>
        <v>1740000</v>
      </c>
      <c r="S323" s="5" t="s">
        <v>3719</v>
      </c>
      <c r="T323" s="4" t="s">
        <v>348</v>
      </c>
      <c r="U323" s="4" t="s">
        <v>357</v>
      </c>
      <c r="W323" s="6">
        <f>1739999</f>
        <v>1739999</v>
      </c>
      <c r="X323" s="4" t="s">
        <v>243</v>
      </c>
      <c r="Y323" s="4" t="s">
        <v>244</v>
      </c>
      <c r="Z323" s="4" t="s">
        <v>465</v>
      </c>
      <c r="AA323" s="4" t="s">
        <v>241</v>
      </c>
      <c r="AD323" s="4" t="s">
        <v>241</v>
      </c>
      <c r="AF323" s="5" t="s">
        <v>241</v>
      </c>
      <c r="AI323" s="5" t="s">
        <v>249</v>
      </c>
      <c r="AJ323" s="4" t="s">
        <v>251</v>
      </c>
      <c r="AK323" s="4" t="s">
        <v>252</v>
      </c>
      <c r="BA323" s="4" t="s">
        <v>254</v>
      </c>
      <c r="BB323" s="4" t="s">
        <v>241</v>
      </c>
      <c r="BC323" s="4" t="s">
        <v>255</v>
      </c>
      <c r="BD323" s="4" t="s">
        <v>241</v>
      </c>
      <c r="BE323" s="4" t="s">
        <v>257</v>
      </c>
      <c r="BF323" s="4" t="s">
        <v>241</v>
      </c>
      <c r="BJ323" s="4" t="s">
        <v>367</v>
      </c>
      <c r="BK323" s="5" t="s">
        <v>249</v>
      </c>
      <c r="BL323" s="4" t="s">
        <v>261</v>
      </c>
      <c r="BM323" s="4" t="s">
        <v>262</v>
      </c>
      <c r="BN323" s="4" t="s">
        <v>241</v>
      </c>
      <c r="BO323" s="6">
        <f>0</f>
        <v>0</v>
      </c>
      <c r="BP323" s="6">
        <f>0</f>
        <v>0</v>
      </c>
      <c r="BQ323" s="4" t="s">
        <v>263</v>
      </c>
      <c r="BR323" s="4" t="s">
        <v>264</v>
      </c>
      <c r="CF323" s="4" t="s">
        <v>241</v>
      </c>
      <c r="CG323" s="4" t="s">
        <v>241</v>
      </c>
      <c r="CK323" s="4" t="s">
        <v>265</v>
      </c>
      <c r="CL323" s="4" t="s">
        <v>266</v>
      </c>
      <c r="CM323" s="4" t="s">
        <v>241</v>
      </c>
      <c r="CO323" s="4" t="s">
        <v>382</v>
      </c>
      <c r="CP323" s="5" t="s">
        <v>268</v>
      </c>
      <c r="CQ323" s="4" t="s">
        <v>269</v>
      </c>
      <c r="CR323" s="4" t="s">
        <v>270</v>
      </c>
      <c r="CS323" s="4" t="s">
        <v>241</v>
      </c>
      <c r="CT323" s="4" t="s">
        <v>241</v>
      </c>
      <c r="CU323" s="4">
        <v>0</v>
      </c>
      <c r="CV323" s="4" t="s">
        <v>271</v>
      </c>
      <c r="CW323" s="4" t="s">
        <v>272</v>
      </c>
      <c r="CX323" s="4" t="s">
        <v>347</v>
      </c>
      <c r="CZ323" s="6">
        <f>1740000</f>
        <v>1740000</v>
      </c>
      <c r="DA323" s="6">
        <f>0</f>
        <v>0</v>
      </c>
      <c r="DC323" s="4" t="s">
        <v>241</v>
      </c>
      <c r="DD323" s="4" t="s">
        <v>241</v>
      </c>
      <c r="DF323" s="4" t="s">
        <v>241</v>
      </c>
      <c r="DI323" s="4" t="s">
        <v>241</v>
      </c>
      <c r="DJ323" s="4" t="s">
        <v>241</v>
      </c>
      <c r="DK323" s="4" t="s">
        <v>241</v>
      </c>
      <c r="DL323" s="4" t="s">
        <v>241</v>
      </c>
      <c r="DM323" s="4" t="s">
        <v>277</v>
      </c>
      <c r="DN323" s="4" t="s">
        <v>278</v>
      </c>
      <c r="DO323" s="6">
        <f>29</f>
        <v>29</v>
      </c>
      <c r="DP323" s="4" t="s">
        <v>241</v>
      </c>
      <c r="DQ323" s="4" t="s">
        <v>241</v>
      </c>
      <c r="DR323" s="4" t="s">
        <v>241</v>
      </c>
      <c r="DS323" s="4" t="s">
        <v>241</v>
      </c>
      <c r="DV323" s="4" t="s">
        <v>967</v>
      </c>
      <c r="DW323" s="4" t="s">
        <v>277</v>
      </c>
      <c r="HO323" s="4" t="s">
        <v>277</v>
      </c>
      <c r="HR323" s="4" t="s">
        <v>278</v>
      </c>
      <c r="HS323" s="4" t="s">
        <v>278</v>
      </c>
    </row>
    <row r="324" spans="1:240" x14ac:dyDescent="0.4">
      <c r="A324" s="4">
        <v>2</v>
      </c>
      <c r="B324" s="4" t="s">
        <v>239</v>
      </c>
      <c r="C324" s="4">
        <v>350</v>
      </c>
      <c r="D324" s="4">
        <v>1</v>
      </c>
      <c r="E324" s="4">
        <v>1</v>
      </c>
      <c r="F324" s="4" t="s">
        <v>240</v>
      </c>
      <c r="G324" s="4" t="s">
        <v>241</v>
      </c>
      <c r="H324" s="4" t="s">
        <v>241</v>
      </c>
      <c r="I324" s="4" t="s">
        <v>964</v>
      </c>
      <c r="J324" s="4" t="s">
        <v>653</v>
      </c>
      <c r="K324" s="4" t="s">
        <v>256</v>
      </c>
      <c r="L324" s="4" t="s">
        <v>658</v>
      </c>
      <c r="M324" s="5" t="s">
        <v>966</v>
      </c>
      <c r="N324" s="4" t="s">
        <v>658</v>
      </c>
      <c r="O324" s="6">
        <f>446</f>
        <v>446</v>
      </c>
      <c r="P324" s="4" t="s">
        <v>276</v>
      </c>
      <c r="Q324" s="6">
        <f>1</f>
        <v>1</v>
      </c>
      <c r="R324" s="6">
        <f>35680000</f>
        <v>35680000</v>
      </c>
      <c r="S324" s="5" t="s">
        <v>965</v>
      </c>
      <c r="T324" s="4" t="s">
        <v>357</v>
      </c>
      <c r="U324" s="4" t="s">
        <v>669</v>
      </c>
      <c r="W324" s="6">
        <f>35679999</f>
        <v>35679999</v>
      </c>
      <c r="X324" s="4" t="s">
        <v>243</v>
      </c>
      <c r="Y324" s="4" t="s">
        <v>244</v>
      </c>
      <c r="Z324" s="4" t="s">
        <v>465</v>
      </c>
      <c r="AA324" s="4" t="s">
        <v>241</v>
      </c>
      <c r="AD324" s="4" t="s">
        <v>241</v>
      </c>
      <c r="AF324" s="5" t="s">
        <v>241</v>
      </c>
      <c r="AI324" s="5" t="s">
        <v>249</v>
      </c>
      <c r="AJ324" s="4" t="s">
        <v>251</v>
      </c>
      <c r="AK324" s="4" t="s">
        <v>252</v>
      </c>
      <c r="BA324" s="4" t="s">
        <v>254</v>
      </c>
      <c r="BB324" s="4" t="s">
        <v>241</v>
      </c>
      <c r="BC324" s="4" t="s">
        <v>255</v>
      </c>
      <c r="BD324" s="4" t="s">
        <v>241</v>
      </c>
      <c r="BE324" s="4" t="s">
        <v>257</v>
      </c>
      <c r="BF324" s="4" t="s">
        <v>241</v>
      </c>
      <c r="BJ324" s="4" t="s">
        <v>367</v>
      </c>
      <c r="BK324" s="5" t="s">
        <v>249</v>
      </c>
      <c r="BL324" s="4" t="s">
        <v>261</v>
      </c>
      <c r="BM324" s="4" t="s">
        <v>262</v>
      </c>
      <c r="BN324" s="4" t="s">
        <v>241</v>
      </c>
      <c r="BO324" s="6">
        <f>0</f>
        <v>0</v>
      </c>
      <c r="BP324" s="6">
        <f>0</f>
        <v>0</v>
      </c>
      <c r="BQ324" s="4" t="s">
        <v>263</v>
      </c>
      <c r="BR324" s="4" t="s">
        <v>264</v>
      </c>
      <c r="CF324" s="4" t="s">
        <v>241</v>
      </c>
      <c r="CG324" s="4" t="s">
        <v>241</v>
      </c>
      <c r="CK324" s="4" t="s">
        <v>265</v>
      </c>
      <c r="CL324" s="4" t="s">
        <v>266</v>
      </c>
      <c r="CM324" s="4" t="s">
        <v>241</v>
      </c>
      <c r="CO324" s="4" t="s">
        <v>841</v>
      </c>
      <c r="CP324" s="5" t="s">
        <v>268</v>
      </c>
      <c r="CQ324" s="4" t="s">
        <v>269</v>
      </c>
      <c r="CR324" s="4" t="s">
        <v>270</v>
      </c>
      <c r="CS324" s="4" t="s">
        <v>241</v>
      </c>
      <c r="CT324" s="4" t="s">
        <v>241</v>
      </c>
      <c r="CU324" s="4">
        <v>0</v>
      </c>
      <c r="CV324" s="4" t="s">
        <v>271</v>
      </c>
      <c r="CW324" s="4" t="s">
        <v>655</v>
      </c>
      <c r="CX324" s="4" t="s">
        <v>487</v>
      </c>
      <c r="CZ324" s="6">
        <f>35680000</f>
        <v>35680000</v>
      </c>
      <c r="DA324" s="6">
        <f>0</f>
        <v>0</v>
      </c>
      <c r="DC324" s="4" t="s">
        <v>241</v>
      </c>
      <c r="DD324" s="4" t="s">
        <v>241</v>
      </c>
      <c r="DF324" s="4" t="s">
        <v>241</v>
      </c>
      <c r="DI324" s="4" t="s">
        <v>241</v>
      </c>
      <c r="DJ324" s="4" t="s">
        <v>241</v>
      </c>
      <c r="DK324" s="4" t="s">
        <v>241</v>
      </c>
      <c r="DL324" s="4" t="s">
        <v>241</v>
      </c>
      <c r="DM324" s="4" t="s">
        <v>277</v>
      </c>
      <c r="DN324" s="4" t="s">
        <v>278</v>
      </c>
      <c r="DO324" s="6">
        <f>446</f>
        <v>446</v>
      </c>
      <c r="DP324" s="4" t="s">
        <v>241</v>
      </c>
      <c r="DQ324" s="4" t="s">
        <v>241</v>
      </c>
      <c r="DR324" s="4" t="s">
        <v>241</v>
      </c>
      <c r="DS324" s="4" t="s">
        <v>241</v>
      </c>
      <c r="DV324" s="4" t="s">
        <v>967</v>
      </c>
      <c r="DW324" s="4" t="s">
        <v>323</v>
      </c>
      <c r="HO324" s="4" t="s">
        <v>277</v>
      </c>
      <c r="HR324" s="4" t="s">
        <v>278</v>
      </c>
      <c r="HS324" s="4" t="s">
        <v>278</v>
      </c>
    </row>
    <row r="325" spans="1:240" x14ac:dyDescent="0.4">
      <c r="A325" s="4">
        <v>2</v>
      </c>
      <c r="B325" s="4" t="s">
        <v>239</v>
      </c>
      <c r="C325" s="4">
        <v>351</v>
      </c>
      <c r="D325" s="4">
        <v>1</v>
      </c>
      <c r="E325" s="4">
        <v>1</v>
      </c>
      <c r="F325" s="4" t="s">
        <v>240</v>
      </c>
      <c r="G325" s="4" t="s">
        <v>241</v>
      </c>
      <c r="H325" s="4" t="s">
        <v>241</v>
      </c>
      <c r="I325" s="4" t="s">
        <v>964</v>
      </c>
      <c r="J325" s="4" t="s">
        <v>653</v>
      </c>
      <c r="K325" s="4" t="s">
        <v>256</v>
      </c>
      <c r="L325" s="4" t="s">
        <v>429</v>
      </c>
      <c r="M325" s="5" t="s">
        <v>966</v>
      </c>
      <c r="N325" s="4" t="s">
        <v>429</v>
      </c>
      <c r="O325" s="6">
        <f>16</f>
        <v>16</v>
      </c>
      <c r="P325" s="4" t="s">
        <v>276</v>
      </c>
      <c r="Q325" s="6">
        <f>1</f>
        <v>1</v>
      </c>
      <c r="R325" s="6">
        <f>1456000</f>
        <v>1456000</v>
      </c>
      <c r="S325" s="5" t="s">
        <v>3720</v>
      </c>
      <c r="T325" s="4" t="s">
        <v>348</v>
      </c>
      <c r="U325" s="4" t="s">
        <v>399</v>
      </c>
      <c r="W325" s="6">
        <f>1455999</f>
        <v>1455999</v>
      </c>
      <c r="X325" s="4" t="s">
        <v>243</v>
      </c>
      <c r="Y325" s="4" t="s">
        <v>244</v>
      </c>
      <c r="Z325" s="4" t="s">
        <v>465</v>
      </c>
      <c r="AA325" s="4" t="s">
        <v>241</v>
      </c>
      <c r="AD325" s="4" t="s">
        <v>241</v>
      </c>
      <c r="AF325" s="5" t="s">
        <v>241</v>
      </c>
      <c r="AI325" s="5" t="s">
        <v>249</v>
      </c>
      <c r="AJ325" s="4" t="s">
        <v>251</v>
      </c>
      <c r="AK325" s="4" t="s">
        <v>252</v>
      </c>
      <c r="BA325" s="4" t="s">
        <v>254</v>
      </c>
      <c r="BB325" s="4" t="s">
        <v>241</v>
      </c>
      <c r="BC325" s="4" t="s">
        <v>255</v>
      </c>
      <c r="BD325" s="4" t="s">
        <v>241</v>
      </c>
      <c r="BE325" s="4" t="s">
        <v>257</v>
      </c>
      <c r="BF325" s="4" t="s">
        <v>241</v>
      </c>
      <c r="BJ325" s="4" t="s">
        <v>367</v>
      </c>
      <c r="BK325" s="5" t="s">
        <v>249</v>
      </c>
      <c r="BL325" s="4" t="s">
        <v>261</v>
      </c>
      <c r="BM325" s="4" t="s">
        <v>262</v>
      </c>
      <c r="BN325" s="4" t="s">
        <v>241</v>
      </c>
      <c r="BO325" s="6">
        <f>0</f>
        <v>0</v>
      </c>
      <c r="BP325" s="6">
        <f>0</f>
        <v>0</v>
      </c>
      <c r="BQ325" s="4" t="s">
        <v>263</v>
      </c>
      <c r="BR325" s="4" t="s">
        <v>264</v>
      </c>
      <c r="CF325" s="4" t="s">
        <v>241</v>
      </c>
      <c r="CG325" s="4" t="s">
        <v>241</v>
      </c>
      <c r="CK325" s="4" t="s">
        <v>291</v>
      </c>
      <c r="CL325" s="4" t="s">
        <v>266</v>
      </c>
      <c r="CM325" s="4" t="s">
        <v>241</v>
      </c>
      <c r="CO325" s="4" t="s">
        <v>398</v>
      </c>
      <c r="CP325" s="5" t="s">
        <v>268</v>
      </c>
      <c r="CQ325" s="4" t="s">
        <v>269</v>
      </c>
      <c r="CR325" s="4" t="s">
        <v>270</v>
      </c>
      <c r="CS325" s="4" t="s">
        <v>241</v>
      </c>
      <c r="CT325" s="4" t="s">
        <v>241</v>
      </c>
      <c r="CU325" s="4">
        <v>0</v>
      </c>
      <c r="CV325" s="4" t="s">
        <v>271</v>
      </c>
      <c r="CW325" s="4" t="s">
        <v>272</v>
      </c>
      <c r="CX325" s="4" t="s">
        <v>347</v>
      </c>
      <c r="CZ325" s="6">
        <f>1456000</f>
        <v>1456000</v>
      </c>
      <c r="DA325" s="6">
        <f>0</f>
        <v>0</v>
      </c>
      <c r="DC325" s="4" t="s">
        <v>241</v>
      </c>
      <c r="DD325" s="4" t="s">
        <v>241</v>
      </c>
      <c r="DF325" s="4" t="s">
        <v>241</v>
      </c>
      <c r="DI325" s="4" t="s">
        <v>241</v>
      </c>
      <c r="DJ325" s="4" t="s">
        <v>241</v>
      </c>
      <c r="DK325" s="4" t="s">
        <v>241</v>
      </c>
      <c r="DL325" s="4" t="s">
        <v>241</v>
      </c>
      <c r="DM325" s="4" t="s">
        <v>277</v>
      </c>
      <c r="DN325" s="4" t="s">
        <v>278</v>
      </c>
      <c r="DO325" s="6">
        <f>16</f>
        <v>16</v>
      </c>
      <c r="DP325" s="4" t="s">
        <v>241</v>
      </c>
      <c r="DQ325" s="4" t="s">
        <v>241</v>
      </c>
      <c r="DR325" s="4" t="s">
        <v>241</v>
      </c>
      <c r="DS325" s="4" t="s">
        <v>241</v>
      </c>
      <c r="DV325" s="4" t="s">
        <v>967</v>
      </c>
      <c r="DW325" s="4" t="s">
        <v>297</v>
      </c>
      <c r="HO325" s="4" t="s">
        <v>277</v>
      </c>
      <c r="HR325" s="4" t="s">
        <v>278</v>
      </c>
      <c r="HS325" s="4" t="s">
        <v>278</v>
      </c>
    </row>
    <row r="326" spans="1:240" x14ac:dyDescent="0.4">
      <c r="A326" s="4">
        <v>2</v>
      </c>
      <c r="B326" s="4" t="s">
        <v>239</v>
      </c>
      <c r="C326" s="4">
        <v>352</v>
      </c>
      <c r="D326" s="4">
        <v>1</v>
      </c>
      <c r="E326" s="4">
        <v>3</v>
      </c>
      <c r="F326" s="4" t="s">
        <v>240</v>
      </c>
      <c r="G326" s="4" t="s">
        <v>241</v>
      </c>
      <c r="H326" s="4" t="s">
        <v>241</v>
      </c>
      <c r="I326" s="4" t="s">
        <v>964</v>
      </c>
      <c r="J326" s="4" t="s">
        <v>653</v>
      </c>
      <c r="K326" s="4" t="s">
        <v>256</v>
      </c>
      <c r="L326" s="4" t="s">
        <v>997</v>
      </c>
      <c r="M326" s="5" t="s">
        <v>966</v>
      </c>
      <c r="N326" s="4" t="s">
        <v>995</v>
      </c>
      <c r="O326" s="6">
        <f>12</f>
        <v>12</v>
      </c>
      <c r="P326" s="4" t="s">
        <v>276</v>
      </c>
      <c r="Q326" s="6">
        <f>109800</f>
        <v>109800</v>
      </c>
      <c r="R326" s="6">
        <f>2196000</f>
        <v>2196000</v>
      </c>
      <c r="S326" s="5" t="s">
        <v>697</v>
      </c>
      <c r="T326" s="4" t="s">
        <v>335</v>
      </c>
      <c r="U326" s="4" t="s">
        <v>365</v>
      </c>
      <c r="V326" s="6">
        <f>109800</f>
        <v>109800</v>
      </c>
      <c r="W326" s="6">
        <f>2086200</f>
        <v>2086200</v>
      </c>
      <c r="X326" s="4" t="s">
        <v>243</v>
      </c>
      <c r="Y326" s="4" t="s">
        <v>244</v>
      </c>
      <c r="Z326" s="4" t="s">
        <v>465</v>
      </c>
      <c r="AA326" s="4" t="s">
        <v>241</v>
      </c>
      <c r="AD326" s="4" t="s">
        <v>241</v>
      </c>
      <c r="AE326" s="5" t="s">
        <v>241</v>
      </c>
      <c r="AF326" s="5" t="s">
        <v>241</v>
      </c>
      <c r="AH326" s="5" t="s">
        <v>241</v>
      </c>
      <c r="AI326" s="5" t="s">
        <v>249</v>
      </c>
      <c r="AJ326" s="4" t="s">
        <v>251</v>
      </c>
      <c r="AK326" s="4" t="s">
        <v>252</v>
      </c>
      <c r="AQ326" s="4" t="s">
        <v>241</v>
      </c>
      <c r="AR326" s="4" t="s">
        <v>241</v>
      </c>
      <c r="AS326" s="4" t="s">
        <v>241</v>
      </c>
      <c r="AT326" s="5" t="s">
        <v>241</v>
      </c>
      <c r="AU326" s="5" t="s">
        <v>241</v>
      </c>
      <c r="AV326" s="5" t="s">
        <v>241</v>
      </c>
      <c r="AY326" s="4" t="s">
        <v>286</v>
      </c>
      <c r="AZ326" s="4" t="s">
        <v>286</v>
      </c>
      <c r="BA326" s="4" t="s">
        <v>254</v>
      </c>
      <c r="BB326" s="4" t="s">
        <v>287</v>
      </c>
      <c r="BC326" s="4" t="s">
        <v>255</v>
      </c>
      <c r="BD326" s="4" t="s">
        <v>241</v>
      </c>
      <c r="BE326" s="4" t="s">
        <v>257</v>
      </c>
      <c r="BF326" s="4" t="s">
        <v>241</v>
      </c>
      <c r="BJ326" s="4" t="s">
        <v>288</v>
      </c>
      <c r="BK326" s="5" t="s">
        <v>289</v>
      </c>
      <c r="BL326" s="4" t="s">
        <v>290</v>
      </c>
      <c r="BM326" s="4" t="s">
        <v>290</v>
      </c>
      <c r="BN326" s="4" t="s">
        <v>241</v>
      </c>
      <c r="BO326" s="6">
        <f>0</f>
        <v>0</v>
      </c>
      <c r="BP326" s="6">
        <f>-109800</f>
        <v>-109800</v>
      </c>
      <c r="BQ326" s="4" t="s">
        <v>263</v>
      </c>
      <c r="BR326" s="4" t="s">
        <v>264</v>
      </c>
      <c r="BS326" s="4" t="s">
        <v>241</v>
      </c>
      <c r="BT326" s="4" t="s">
        <v>241</v>
      </c>
      <c r="BU326" s="4" t="s">
        <v>241</v>
      </c>
      <c r="BV326" s="4" t="s">
        <v>241</v>
      </c>
      <c r="CE326" s="4" t="s">
        <v>264</v>
      </c>
      <c r="CF326" s="4" t="s">
        <v>241</v>
      </c>
      <c r="CG326" s="4" t="s">
        <v>241</v>
      </c>
      <c r="CK326" s="4" t="s">
        <v>291</v>
      </c>
      <c r="CL326" s="4" t="s">
        <v>266</v>
      </c>
      <c r="CM326" s="4" t="s">
        <v>241</v>
      </c>
      <c r="CO326" s="4" t="s">
        <v>364</v>
      </c>
      <c r="CP326" s="5" t="s">
        <v>268</v>
      </c>
      <c r="CQ326" s="4" t="s">
        <v>269</v>
      </c>
      <c r="CR326" s="4" t="s">
        <v>270</v>
      </c>
      <c r="CS326" s="4" t="s">
        <v>293</v>
      </c>
      <c r="CT326" s="4" t="s">
        <v>241</v>
      </c>
      <c r="CU326" s="4">
        <v>0.05</v>
      </c>
      <c r="CV326" s="4" t="s">
        <v>271</v>
      </c>
      <c r="CW326" s="4" t="s">
        <v>999</v>
      </c>
      <c r="CX326" s="4" t="s">
        <v>347</v>
      </c>
      <c r="CY326" s="6">
        <f>0</f>
        <v>0</v>
      </c>
      <c r="CZ326" s="6">
        <f>2196000</f>
        <v>2196000</v>
      </c>
      <c r="DA326" s="6">
        <f>109800</f>
        <v>109800</v>
      </c>
      <c r="DC326" s="4" t="s">
        <v>241</v>
      </c>
      <c r="DD326" s="4" t="s">
        <v>241</v>
      </c>
      <c r="DF326" s="4" t="s">
        <v>241</v>
      </c>
      <c r="DG326" s="6">
        <f>0</f>
        <v>0</v>
      </c>
      <c r="DI326" s="4" t="s">
        <v>241</v>
      </c>
      <c r="DJ326" s="4" t="s">
        <v>241</v>
      </c>
      <c r="DK326" s="4" t="s">
        <v>241</v>
      </c>
      <c r="DL326" s="4" t="s">
        <v>241</v>
      </c>
      <c r="DM326" s="4" t="s">
        <v>277</v>
      </c>
      <c r="DN326" s="4" t="s">
        <v>278</v>
      </c>
      <c r="DO326" s="6">
        <f>12</f>
        <v>12</v>
      </c>
      <c r="DP326" s="4" t="s">
        <v>241</v>
      </c>
      <c r="DQ326" s="4" t="s">
        <v>241</v>
      </c>
      <c r="DR326" s="4" t="s">
        <v>241</v>
      </c>
      <c r="DS326" s="4" t="s">
        <v>241</v>
      </c>
      <c r="DV326" s="4" t="s">
        <v>967</v>
      </c>
      <c r="DW326" s="4" t="s">
        <v>336</v>
      </c>
      <c r="GN326" s="4" t="s">
        <v>1002</v>
      </c>
      <c r="HO326" s="4" t="s">
        <v>300</v>
      </c>
      <c r="HR326" s="4" t="s">
        <v>278</v>
      </c>
      <c r="HS326" s="4" t="s">
        <v>278</v>
      </c>
      <c r="HT326" s="4" t="s">
        <v>241</v>
      </c>
      <c r="HU326" s="4" t="s">
        <v>241</v>
      </c>
      <c r="HV326" s="4" t="s">
        <v>241</v>
      </c>
      <c r="HW326" s="4" t="s">
        <v>241</v>
      </c>
      <c r="HX326" s="4" t="s">
        <v>241</v>
      </c>
      <c r="HY326" s="4" t="s">
        <v>241</v>
      </c>
      <c r="HZ326" s="4" t="s">
        <v>241</v>
      </c>
      <c r="IA326" s="4" t="s">
        <v>241</v>
      </c>
      <c r="IB326" s="4" t="s">
        <v>241</v>
      </c>
      <c r="IC326" s="4" t="s">
        <v>241</v>
      </c>
      <c r="ID326" s="4" t="s">
        <v>241</v>
      </c>
      <c r="IE326" s="4" t="s">
        <v>241</v>
      </c>
      <c r="IF326" s="4" t="s">
        <v>241</v>
      </c>
    </row>
    <row r="327" spans="1:240" x14ac:dyDescent="0.4">
      <c r="A327" s="4">
        <v>2</v>
      </c>
      <c r="B327" s="4" t="s">
        <v>239</v>
      </c>
      <c r="C327" s="4">
        <v>353</v>
      </c>
      <c r="D327" s="4">
        <v>1</v>
      </c>
      <c r="E327" s="4">
        <v>3</v>
      </c>
      <c r="F327" s="4" t="s">
        <v>326</v>
      </c>
      <c r="G327" s="4" t="s">
        <v>241</v>
      </c>
      <c r="H327" s="4" t="s">
        <v>241</v>
      </c>
      <c r="I327" s="4" t="s">
        <v>964</v>
      </c>
      <c r="J327" s="4" t="s">
        <v>653</v>
      </c>
      <c r="K327" s="4" t="s">
        <v>256</v>
      </c>
      <c r="L327" s="4" t="s">
        <v>241</v>
      </c>
      <c r="M327" s="5" t="s">
        <v>966</v>
      </c>
      <c r="N327" s="4" t="s">
        <v>2747</v>
      </c>
      <c r="O327" s="6">
        <f>0</f>
        <v>0</v>
      </c>
      <c r="P327" s="4" t="s">
        <v>276</v>
      </c>
      <c r="Q327" s="6">
        <f>10500401</f>
        <v>10500401</v>
      </c>
      <c r="R327" s="6">
        <f>12411821</f>
        <v>12411821</v>
      </c>
      <c r="S327" s="5" t="s">
        <v>2849</v>
      </c>
      <c r="T327" s="4" t="s">
        <v>322</v>
      </c>
      <c r="U327" s="4" t="s">
        <v>277</v>
      </c>
      <c r="V327" s="6">
        <f>955710</f>
        <v>955710</v>
      </c>
      <c r="W327" s="6">
        <f>1911420</f>
        <v>1911420</v>
      </c>
      <c r="X327" s="4" t="s">
        <v>243</v>
      </c>
      <c r="Y327" s="4" t="s">
        <v>244</v>
      </c>
      <c r="Z327" s="4" t="s">
        <v>241</v>
      </c>
      <c r="AA327" s="4" t="s">
        <v>241</v>
      </c>
      <c r="AD327" s="4" t="s">
        <v>241</v>
      </c>
      <c r="AE327" s="5" t="s">
        <v>241</v>
      </c>
      <c r="AF327" s="5" t="s">
        <v>241</v>
      </c>
      <c r="AH327" s="5" t="s">
        <v>241</v>
      </c>
      <c r="AI327" s="5" t="s">
        <v>249</v>
      </c>
      <c r="AJ327" s="4" t="s">
        <v>251</v>
      </c>
      <c r="AK327" s="4" t="s">
        <v>252</v>
      </c>
      <c r="AQ327" s="4" t="s">
        <v>241</v>
      </c>
      <c r="AR327" s="4" t="s">
        <v>241</v>
      </c>
      <c r="AS327" s="4" t="s">
        <v>241</v>
      </c>
      <c r="AT327" s="5" t="s">
        <v>241</v>
      </c>
      <c r="AU327" s="5" t="s">
        <v>241</v>
      </c>
      <c r="AV327" s="5" t="s">
        <v>241</v>
      </c>
      <c r="AY327" s="4" t="s">
        <v>286</v>
      </c>
      <c r="AZ327" s="4" t="s">
        <v>286</v>
      </c>
      <c r="BA327" s="4" t="s">
        <v>254</v>
      </c>
      <c r="BB327" s="4" t="s">
        <v>287</v>
      </c>
      <c r="BC327" s="4" t="s">
        <v>255</v>
      </c>
      <c r="BD327" s="4" t="s">
        <v>241</v>
      </c>
      <c r="BE327" s="4" t="s">
        <v>257</v>
      </c>
      <c r="BF327" s="4" t="s">
        <v>241</v>
      </c>
      <c r="BJ327" s="4" t="s">
        <v>288</v>
      </c>
      <c r="BK327" s="5" t="s">
        <v>289</v>
      </c>
      <c r="BL327" s="4" t="s">
        <v>290</v>
      </c>
      <c r="BM327" s="4" t="s">
        <v>290</v>
      </c>
      <c r="BN327" s="4" t="s">
        <v>241</v>
      </c>
      <c r="BP327" s="6">
        <f>-955710</f>
        <v>-955710</v>
      </c>
      <c r="BQ327" s="4" t="s">
        <v>263</v>
      </c>
      <c r="BR327" s="4" t="s">
        <v>264</v>
      </c>
      <c r="BS327" s="4" t="s">
        <v>241</v>
      </c>
      <c r="BT327" s="4" t="s">
        <v>241</v>
      </c>
      <c r="BU327" s="4" t="s">
        <v>241</v>
      </c>
      <c r="BV327" s="4" t="s">
        <v>241</v>
      </c>
      <c r="CE327" s="4" t="s">
        <v>264</v>
      </c>
      <c r="CF327" s="4" t="s">
        <v>241</v>
      </c>
      <c r="CG327" s="4" t="s">
        <v>241</v>
      </c>
      <c r="CK327" s="4" t="s">
        <v>291</v>
      </c>
      <c r="CL327" s="4" t="s">
        <v>266</v>
      </c>
      <c r="CM327" s="4" t="s">
        <v>241</v>
      </c>
      <c r="CO327" s="4" t="s">
        <v>331</v>
      </c>
      <c r="CP327" s="5" t="s">
        <v>268</v>
      </c>
      <c r="CQ327" s="4" t="s">
        <v>269</v>
      </c>
      <c r="CR327" s="4" t="s">
        <v>270</v>
      </c>
      <c r="CS327" s="4" t="s">
        <v>293</v>
      </c>
      <c r="CT327" s="4" t="s">
        <v>241</v>
      </c>
      <c r="CU327" s="4">
        <v>7.6999999999999999E-2</v>
      </c>
      <c r="CV327" s="4" t="s">
        <v>271</v>
      </c>
      <c r="CW327" s="4" t="s">
        <v>415</v>
      </c>
      <c r="CX327" s="4" t="s">
        <v>428</v>
      </c>
      <c r="CY327" s="6">
        <f>0</f>
        <v>0</v>
      </c>
      <c r="CZ327" s="6">
        <f>12411821</f>
        <v>12411821</v>
      </c>
      <c r="DA327" s="6">
        <f>10500401</f>
        <v>10500401</v>
      </c>
      <c r="DC327" s="4" t="s">
        <v>241</v>
      </c>
      <c r="DD327" s="4" t="s">
        <v>241</v>
      </c>
      <c r="DF327" s="4" t="s">
        <v>241</v>
      </c>
      <c r="DG327" s="6">
        <f>0</f>
        <v>0</v>
      </c>
      <c r="DI327" s="4" t="s">
        <v>241</v>
      </c>
      <c r="DJ327" s="4" t="s">
        <v>241</v>
      </c>
      <c r="DK327" s="4" t="s">
        <v>241</v>
      </c>
      <c r="DL327" s="4" t="s">
        <v>241</v>
      </c>
      <c r="DM327" s="4" t="s">
        <v>278</v>
      </c>
      <c r="DN327" s="4" t="s">
        <v>278</v>
      </c>
      <c r="DO327" s="6" t="s">
        <v>241</v>
      </c>
      <c r="DP327" s="4" t="s">
        <v>241</v>
      </c>
      <c r="DQ327" s="4" t="s">
        <v>241</v>
      </c>
      <c r="DR327" s="4" t="s">
        <v>241</v>
      </c>
      <c r="DS327" s="4" t="s">
        <v>241</v>
      </c>
      <c r="DV327" s="4" t="s">
        <v>967</v>
      </c>
      <c r="DW327" s="4" t="s">
        <v>351</v>
      </c>
      <c r="GN327" s="4" t="s">
        <v>2853</v>
      </c>
      <c r="HO327" s="4" t="s">
        <v>297</v>
      </c>
      <c r="HR327" s="4" t="s">
        <v>278</v>
      </c>
      <c r="HS327" s="4" t="s">
        <v>278</v>
      </c>
      <c r="HT327" s="4" t="s">
        <v>241</v>
      </c>
      <c r="HU327" s="4" t="s">
        <v>241</v>
      </c>
      <c r="HV327" s="4" t="s">
        <v>241</v>
      </c>
      <c r="HW327" s="4" t="s">
        <v>241</v>
      </c>
      <c r="HX327" s="4" t="s">
        <v>241</v>
      </c>
      <c r="HY327" s="4" t="s">
        <v>241</v>
      </c>
      <c r="HZ327" s="4" t="s">
        <v>241</v>
      </c>
      <c r="IA327" s="4" t="s">
        <v>241</v>
      </c>
      <c r="IB327" s="4" t="s">
        <v>241</v>
      </c>
      <c r="IC327" s="4" t="s">
        <v>241</v>
      </c>
      <c r="ID327" s="4" t="s">
        <v>241</v>
      </c>
      <c r="IE327" s="4" t="s">
        <v>241</v>
      </c>
      <c r="IF327" s="4" t="s">
        <v>241</v>
      </c>
    </row>
    <row r="328" spans="1:240" x14ac:dyDescent="0.4">
      <c r="A328" s="4">
        <v>2</v>
      </c>
      <c r="B328" s="4" t="s">
        <v>239</v>
      </c>
      <c r="C328" s="4">
        <v>354</v>
      </c>
      <c r="D328" s="4">
        <v>1</v>
      </c>
      <c r="E328" s="4">
        <v>1</v>
      </c>
      <c r="F328" s="4" t="s">
        <v>240</v>
      </c>
      <c r="G328" s="4" t="s">
        <v>241</v>
      </c>
      <c r="H328" s="4" t="s">
        <v>241</v>
      </c>
      <c r="I328" s="4" t="s">
        <v>725</v>
      </c>
      <c r="J328" s="4" t="s">
        <v>653</v>
      </c>
      <c r="K328" s="4" t="s">
        <v>256</v>
      </c>
      <c r="L328" s="4" t="s">
        <v>658</v>
      </c>
      <c r="M328" s="5" t="s">
        <v>727</v>
      </c>
      <c r="N328" s="4" t="s">
        <v>658</v>
      </c>
      <c r="O328" s="6">
        <f>745</f>
        <v>745</v>
      </c>
      <c r="P328" s="4" t="s">
        <v>276</v>
      </c>
      <c r="Q328" s="6">
        <f>1</f>
        <v>1</v>
      </c>
      <c r="R328" s="6">
        <f>59600000</f>
        <v>59600000</v>
      </c>
      <c r="S328" s="5" t="s">
        <v>726</v>
      </c>
      <c r="T328" s="4" t="s">
        <v>357</v>
      </c>
      <c r="U328" s="4" t="s">
        <v>333</v>
      </c>
      <c r="W328" s="6">
        <f>59599999</f>
        <v>59599999</v>
      </c>
      <c r="X328" s="4" t="s">
        <v>243</v>
      </c>
      <c r="Y328" s="4" t="s">
        <v>244</v>
      </c>
      <c r="Z328" s="4" t="s">
        <v>465</v>
      </c>
      <c r="AA328" s="4" t="s">
        <v>241</v>
      </c>
      <c r="AD328" s="4" t="s">
        <v>241</v>
      </c>
      <c r="AF328" s="5" t="s">
        <v>241</v>
      </c>
      <c r="AI328" s="5" t="s">
        <v>249</v>
      </c>
      <c r="AJ328" s="4" t="s">
        <v>251</v>
      </c>
      <c r="AK328" s="4" t="s">
        <v>252</v>
      </c>
      <c r="BA328" s="4" t="s">
        <v>254</v>
      </c>
      <c r="BB328" s="4" t="s">
        <v>241</v>
      </c>
      <c r="BC328" s="4" t="s">
        <v>255</v>
      </c>
      <c r="BD328" s="4" t="s">
        <v>241</v>
      </c>
      <c r="BE328" s="4" t="s">
        <v>257</v>
      </c>
      <c r="BF328" s="4" t="s">
        <v>241</v>
      </c>
      <c r="BJ328" s="4" t="s">
        <v>367</v>
      </c>
      <c r="BK328" s="5" t="s">
        <v>249</v>
      </c>
      <c r="BL328" s="4" t="s">
        <v>261</v>
      </c>
      <c r="BM328" s="4" t="s">
        <v>262</v>
      </c>
      <c r="BN328" s="4" t="s">
        <v>241</v>
      </c>
      <c r="BO328" s="6">
        <f>0</f>
        <v>0</v>
      </c>
      <c r="BP328" s="6">
        <f>0</f>
        <v>0</v>
      </c>
      <c r="BQ328" s="4" t="s">
        <v>263</v>
      </c>
      <c r="BR328" s="4" t="s">
        <v>264</v>
      </c>
      <c r="CF328" s="4" t="s">
        <v>241</v>
      </c>
      <c r="CG328" s="4" t="s">
        <v>241</v>
      </c>
      <c r="CK328" s="4" t="s">
        <v>265</v>
      </c>
      <c r="CL328" s="4" t="s">
        <v>266</v>
      </c>
      <c r="CM328" s="4" t="s">
        <v>241</v>
      </c>
      <c r="CO328" s="4" t="s">
        <v>368</v>
      </c>
      <c r="CP328" s="5" t="s">
        <v>268</v>
      </c>
      <c r="CQ328" s="4" t="s">
        <v>269</v>
      </c>
      <c r="CR328" s="4" t="s">
        <v>270</v>
      </c>
      <c r="CS328" s="4" t="s">
        <v>241</v>
      </c>
      <c r="CT328" s="4" t="s">
        <v>241</v>
      </c>
      <c r="CU328" s="4">
        <v>0</v>
      </c>
      <c r="CV328" s="4" t="s">
        <v>271</v>
      </c>
      <c r="CW328" s="4" t="s">
        <v>655</v>
      </c>
      <c r="CX328" s="4" t="s">
        <v>487</v>
      </c>
      <c r="CZ328" s="6">
        <f>59600000</f>
        <v>59600000</v>
      </c>
      <c r="DA328" s="6">
        <f>0</f>
        <v>0</v>
      </c>
      <c r="DC328" s="4" t="s">
        <v>241</v>
      </c>
      <c r="DD328" s="4" t="s">
        <v>241</v>
      </c>
      <c r="DF328" s="4" t="s">
        <v>241</v>
      </c>
      <c r="DI328" s="4" t="s">
        <v>241</v>
      </c>
      <c r="DJ328" s="4" t="s">
        <v>241</v>
      </c>
      <c r="DK328" s="4" t="s">
        <v>241</v>
      </c>
      <c r="DL328" s="4" t="s">
        <v>241</v>
      </c>
      <c r="DM328" s="4" t="s">
        <v>277</v>
      </c>
      <c r="DN328" s="4" t="s">
        <v>278</v>
      </c>
      <c r="DO328" s="6">
        <f>745</f>
        <v>745</v>
      </c>
      <c r="DP328" s="4" t="s">
        <v>241</v>
      </c>
      <c r="DQ328" s="4" t="s">
        <v>241</v>
      </c>
      <c r="DR328" s="4" t="s">
        <v>241</v>
      </c>
      <c r="DS328" s="4" t="s">
        <v>241</v>
      </c>
      <c r="DV328" s="4" t="s">
        <v>728</v>
      </c>
      <c r="DW328" s="4" t="s">
        <v>277</v>
      </c>
      <c r="HO328" s="4" t="s">
        <v>277</v>
      </c>
      <c r="HR328" s="4" t="s">
        <v>278</v>
      </c>
      <c r="HS328" s="4" t="s">
        <v>278</v>
      </c>
    </row>
    <row r="329" spans="1:240" x14ac:dyDescent="0.4">
      <c r="A329" s="4">
        <v>2</v>
      </c>
      <c r="B329" s="4" t="s">
        <v>239</v>
      </c>
      <c r="C329" s="4">
        <v>355</v>
      </c>
      <c r="D329" s="4">
        <v>1</v>
      </c>
      <c r="E329" s="4">
        <v>1</v>
      </c>
      <c r="F329" s="4" t="s">
        <v>240</v>
      </c>
      <c r="G329" s="4" t="s">
        <v>241</v>
      </c>
      <c r="H329" s="4" t="s">
        <v>241</v>
      </c>
      <c r="I329" s="4" t="s">
        <v>725</v>
      </c>
      <c r="J329" s="4" t="s">
        <v>653</v>
      </c>
      <c r="K329" s="4" t="s">
        <v>256</v>
      </c>
      <c r="L329" s="4" t="s">
        <v>429</v>
      </c>
      <c r="M329" s="5" t="s">
        <v>727</v>
      </c>
      <c r="N329" s="4" t="s">
        <v>429</v>
      </c>
      <c r="O329" s="6">
        <f>43</f>
        <v>43</v>
      </c>
      <c r="P329" s="4" t="s">
        <v>276</v>
      </c>
      <c r="Q329" s="6">
        <f>1</f>
        <v>1</v>
      </c>
      <c r="R329" s="6">
        <f>2580000</f>
        <v>2580000</v>
      </c>
      <c r="S329" s="5" t="s">
        <v>726</v>
      </c>
      <c r="T329" s="4" t="s">
        <v>274</v>
      </c>
      <c r="U329" s="4" t="s">
        <v>333</v>
      </c>
      <c r="W329" s="6">
        <f>2579999</f>
        <v>2579999</v>
      </c>
      <c r="X329" s="4" t="s">
        <v>243</v>
      </c>
      <c r="Y329" s="4" t="s">
        <v>244</v>
      </c>
      <c r="Z329" s="4" t="s">
        <v>465</v>
      </c>
      <c r="AA329" s="4" t="s">
        <v>241</v>
      </c>
      <c r="AD329" s="4" t="s">
        <v>241</v>
      </c>
      <c r="AF329" s="5" t="s">
        <v>241</v>
      </c>
      <c r="AI329" s="5" t="s">
        <v>249</v>
      </c>
      <c r="AJ329" s="4" t="s">
        <v>251</v>
      </c>
      <c r="AK329" s="4" t="s">
        <v>252</v>
      </c>
      <c r="BA329" s="4" t="s">
        <v>254</v>
      </c>
      <c r="BB329" s="4" t="s">
        <v>241</v>
      </c>
      <c r="BC329" s="4" t="s">
        <v>255</v>
      </c>
      <c r="BD329" s="4" t="s">
        <v>241</v>
      </c>
      <c r="BE329" s="4" t="s">
        <v>257</v>
      </c>
      <c r="BF329" s="4" t="s">
        <v>241</v>
      </c>
      <c r="BJ329" s="4" t="s">
        <v>367</v>
      </c>
      <c r="BK329" s="5" t="s">
        <v>249</v>
      </c>
      <c r="BL329" s="4" t="s">
        <v>261</v>
      </c>
      <c r="BM329" s="4" t="s">
        <v>262</v>
      </c>
      <c r="BN329" s="4" t="s">
        <v>241</v>
      </c>
      <c r="BO329" s="6">
        <f>0</f>
        <v>0</v>
      </c>
      <c r="BP329" s="6">
        <f>0</f>
        <v>0</v>
      </c>
      <c r="BQ329" s="4" t="s">
        <v>263</v>
      </c>
      <c r="BR329" s="4" t="s">
        <v>264</v>
      </c>
      <c r="CF329" s="4" t="s">
        <v>241</v>
      </c>
      <c r="CG329" s="4" t="s">
        <v>241</v>
      </c>
      <c r="CK329" s="4" t="s">
        <v>265</v>
      </c>
      <c r="CL329" s="4" t="s">
        <v>266</v>
      </c>
      <c r="CM329" s="4" t="s">
        <v>241</v>
      </c>
      <c r="CO329" s="4" t="s">
        <v>368</v>
      </c>
      <c r="CP329" s="5" t="s">
        <v>268</v>
      </c>
      <c r="CQ329" s="4" t="s">
        <v>269</v>
      </c>
      <c r="CR329" s="4" t="s">
        <v>270</v>
      </c>
      <c r="CS329" s="4" t="s">
        <v>241</v>
      </c>
      <c r="CT329" s="4" t="s">
        <v>241</v>
      </c>
      <c r="CU329" s="4">
        <v>0</v>
      </c>
      <c r="CV329" s="4" t="s">
        <v>271</v>
      </c>
      <c r="CW329" s="4" t="s">
        <v>272</v>
      </c>
      <c r="CX329" s="4" t="s">
        <v>273</v>
      </c>
      <c r="CZ329" s="6">
        <f>2580000</f>
        <v>2580000</v>
      </c>
      <c r="DA329" s="6">
        <f>0</f>
        <v>0</v>
      </c>
      <c r="DC329" s="4" t="s">
        <v>241</v>
      </c>
      <c r="DD329" s="4" t="s">
        <v>241</v>
      </c>
      <c r="DF329" s="4" t="s">
        <v>241</v>
      </c>
      <c r="DI329" s="4" t="s">
        <v>241</v>
      </c>
      <c r="DJ329" s="4" t="s">
        <v>241</v>
      </c>
      <c r="DK329" s="4" t="s">
        <v>241</v>
      </c>
      <c r="DL329" s="4" t="s">
        <v>241</v>
      </c>
      <c r="DM329" s="4" t="s">
        <v>277</v>
      </c>
      <c r="DN329" s="4" t="s">
        <v>278</v>
      </c>
      <c r="DO329" s="6">
        <f>43</f>
        <v>43</v>
      </c>
      <c r="DP329" s="4" t="s">
        <v>241</v>
      </c>
      <c r="DQ329" s="4" t="s">
        <v>241</v>
      </c>
      <c r="DR329" s="4" t="s">
        <v>241</v>
      </c>
      <c r="DS329" s="4" t="s">
        <v>241</v>
      </c>
      <c r="DV329" s="4" t="s">
        <v>728</v>
      </c>
      <c r="DW329" s="4" t="s">
        <v>323</v>
      </c>
      <c r="HO329" s="4" t="s">
        <v>277</v>
      </c>
      <c r="HR329" s="4" t="s">
        <v>278</v>
      </c>
      <c r="HS329" s="4" t="s">
        <v>278</v>
      </c>
    </row>
    <row r="330" spans="1:240" x14ac:dyDescent="0.4">
      <c r="A330" s="4">
        <v>2</v>
      </c>
      <c r="B330" s="4" t="s">
        <v>239</v>
      </c>
      <c r="C330" s="4">
        <v>356</v>
      </c>
      <c r="D330" s="4">
        <v>1</v>
      </c>
      <c r="E330" s="4">
        <v>3</v>
      </c>
      <c r="F330" s="4" t="s">
        <v>326</v>
      </c>
      <c r="G330" s="4" t="s">
        <v>241</v>
      </c>
      <c r="H330" s="4" t="s">
        <v>241</v>
      </c>
      <c r="I330" s="4" t="s">
        <v>725</v>
      </c>
      <c r="J330" s="4" t="s">
        <v>653</v>
      </c>
      <c r="K330" s="4" t="s">
        <v>256</v>
      </c>
      <c r="L330" s="4" t="s">
        <v>241</v>
      </c>
      <c r="M330" s="5" t="s">
        <v>727</v>
      </c>
      <c r="N330" s="4" t="s">
        <v>2747</v>
      </c>
      <c r="O330" s="6">
        <f>0</f>
        <v>0</v>
      </c>
      <c r="P330" s="4" t="s">
        <v>276</v>
      </c>
      <c r="Q330" s="6">
        <f>7886489</f>
        <v>7886489</v>
      </c>
      <c r="R330" s="6">
        <f>9322089</f>
        <v>9322089</v>
      </c>
      <c r="S330" s="5" t="s">
        <v>2849</v>
      </c>
      <c r="T330" s="4" t="s">
        <v>322</v>
      </c>
      <c r="U330" s="4" t="s">
        <v>277</v>
      </c>
      <c r="V330" s="6">
        <f>717800</f>
        <v>717800</v>
      </c>
      <c r="W330" s="6">
        <f>1435600</f>
        <v>1435600</v>
      </c>
      <c r="X330" s="4" t="s">
        <v>243</v>
      </c>
      <c r="Y330" s="4" t="s">
        <v>244</v>
      </c>
      <c r="Z330" s="4" t="s">
        <v>241</v>
      </c>
      <c r="AA330" s="4" t="s">
        <v>241</v>
      </c>
      <c r="AD330" s="4" t="s">
        <v>241</v>
      </c>
      <c r="AE330" s="5" t="s">
        <v>241</v>
      </c>
      <c r="AF330" s="5" t="s">
        <v>241</v>
      </c>
      <c r="AH330" s="5" t="s">
        <v>241</v>
      </c>
      <c r="AI330" s="5" t="s">
        <v>249</v>
      </c>
      <c r="AJ330" s="4" t="s">
        <v>251</v>
      </c>
      <c r="AK330" s="4" t="s">
        <v>252</v>
      </c>
      <c r="AQ330" s="4" t="s">
        <v>241</v>
      </c>
      <c r="AR330" s="4" t="s">
        <v>241</v>
      </c>
      <c r="AS330" s="4" t="s">
        <v>241</v>
      </c>
      <c r="AT330" s="5" t="s">
        <v>241</v>
      </c>
      <c r="AU330" s="5" t="s">
        <v>241</v>
      </c>
      <c r="AV330" s="5" t="s">
        <v>241</v>
      </c>
      <c r="AY330" s="4" t="s">
        <v>286</v>
      </c>
      <c r="AZ330" s="4" t="s">
        <v>286</v>
      </c>
      <c r="BA330" s="4" t="s">
        <v>254</v>
      </c>
      <c r="BB330" s="4" t="s">
        <v>287</v>
      </c>
      <c r="BC330" s="4" t="s">
        <v>255</v>
      </c>
      <c r="BD330" s="4" t="s">
        <v>241</v>
      </c>
      <c r="BE330" s="4" t="s">
        <v>257</v>
      </c>
      <c r="BF330" s="4" t="s">
        <v>241</v>
      </c>
      <c r="BJ330" s="4" t="s">
        <v>288</v>
      </c>
      <c r="BK330" s="5" t="s">
        <v>289</v>
      </c>
      <c r="BL330" s="4" t="s">
        <v>290</v>
      </c>
      <c r="BM330" s="4" t="s">
        <v>290</v>
      </c>
      <c r="BN330" s="4" t="s">
        <v>241</v>
      </c>
      <c r="BP330" s="6">
        <f>-717800</f>
        <v>-717800</v>
      </c>
      <c r="BQ330" s="4" t="s">
        <v>263</v>
      </c>
      <c r="BR330" s="4" t="s">
        <v>264</v>
      </c>
      <c r="BS330" s="4" t="s">
        <v>241</v>
      </c>
      <c r="BT330" s="4" t="s">
        <v>241</v>
      </c>
      <c r="BU330" s="4" t="s">
        <v>241</v>
      </c>
      <c r="BV330" s="4" t="s">
        <v>241</v>
      </c>
      <c r="CE330" s="4" t="s">
        <v>264</v>
      </c>
      <c r="CF330" s="4" t="s">
        <v>241</v>
      </c>
      <c r="CG330" s="4" t="s">
        <v>241</v>
      </c>
      <c r="CK330" s="4" t="s">
        <v>291</v>
      </c>
      <c r="CL330" s="4" t="s">
        <v>266</v>
      </c>
      <c r="CM330" s="4" t="s">
        <v>241</v>
      </c>
      <c r="CO330" s="4" t="s">
        <v>331</v>
      </c>
      <c r="CP330" s="5" t="s">
        <v>268</v>
      </c>
      <c r="CQ330" s="4" t="s">
        <v>269</v>
      </c>
      <c r="CR330" s="4" t="s">
        <v>270</v>
      </c>
      <c r="CS330" s="4" t="s">
        <v>293</v>
      </c>
      <c r="CT330" s="4" t="s">
        <v>241</v>
      </c>
      <c r="CU330" s="4">
        <v>7.6999999999999999E-2</v>
      </c>
      <c r="CV330" s="4" t="s">
        <v>271</v>
      </c>
      <c r="CW330" s="4" t="s">
        <v>415</v>
      </c>
      <c r="CX330" s="4" t="s">
        <v>428</v>
      </c>
      <c r="CY330" s="6">
        <f>0</f>
        <v>0</v>
      </c>
      <c r="CZ330" s="6">
        <f>9322089</f>
        <v>9322089</v>
      </c>
      <c r="DA330" s="6">
        <f>7886489</f>
        <v>7886489</v>
      </c>
      <c r="DC330" s="4" t="s">
        <v>241</v>
      </c>
      <c r="DD330" s="4" t="s">
        <v>241</v>
      </c>
      <c r="DF330" s="4" t="s">
        <v>241</v>
      </c>
      <c r="DG330" s="6">
        <f>0</f>
        <v>0</v>
      </c>
      <c r="DI330" s="4" t="s">
        <v>241</v>
      </c>
      <c r="DJ330" s="4" t="s">
        <v>241</v>
      </c>
      <c r="DK330" s="4" t="s">
        <v>241</v>
      </c>
      <c r="DL330" s="4" t="s">
        <v>241</v>
      </c>
      <c r="DM330" s="4" t="s">
        <v>278</v>
      </c>
      <c r="DN330" s="4" t="s">
        <v>278</v>
      </c>
      <c r="DO330" s="6" t="s">
        <v>241</v>
      </c>
      <c r="DP330" s="4" t="s">
        <v>241</v>
      </c>
      <c r="DQ330" s="4" t="s">
        <v>241</v>
      </c>
      <c r="DR330" s="4" t="s">
        <v>241</v>
      </c>
      <c r="DS330" s="4" t="s">
        <v>241</v>
      </c>
      <c r="DV330" s="4" t="s">
        <v>728</v>
      </c>
      <c r="DW330" s="4" t="s">
        <v>297</v>
      </c>
      <c r="GN330" s="4" t="s">
        <v>2852</v>
      </c>
      <c r="HO330" s="4" t="s">
        <v>297</v>
      </c>
      <c r="HR330" s="4" t="s">
        <v>278</v>
      </c>
      <c r="HS330" s="4" t="s">
        <v>278</v>
      </c>
      <c r="HT330" s="4" t="s">
        <v>241</v>
      </c>
      <c r="HU330" s="4" t="s">
        <v>241</v>
      </c>
      <c r="HV330" s="4" t="s">
        <v>241</v>
      </c>
      <c r="HW330" s="4" t="s">
        <v>241</v>
      </c>
      <c r="HX330" s="4" t="s">
        <v>241</v>
      </c>
      <c r="HY330" s="4" t="s">
        <v>241</v>
      </c>
      <c r="HZ330" s="4" t="s">
        <v>241</v>
      </c>
      <c r="IA330" s="4" t="s">
        <v>241</v>
      </c>
      <c r="IB330" s="4" t="s">
        <v>241</v>
      </c>
      <c r="IC330" s="4" t="s">
        <v>241</v>
      </c>
      <c r="ID330" s="4" t="s">
        <v>241</v>
      </c>
      <c r="IE330" s="4" t="s">
        <v>241</v>
      </c>
      <c r="IF330" s="4" t="s">
        <v>241</v>
      </c>
    </row>
    <row r="331" spans="1:240" x14ac:dyDescent="0.4">
      <c r="A331" s="4">
        <v>2</v>
      </c>
      <c r="B331" s="4" t="s">
        <v>239</v>
      </c>
      <c r="C331" s="4">
        <v>357</v>
      </c>
      <c r="D331" s="4">
        <v>1</v>
      </c>
      <c r="E331" s="4">
        <v>1</v>
      </c>
      <c r="F331" s="4" t="s">
        <v>240</v>
      </c>
      <c r="G331" s="4" t="s">
        <v>241</v>
      </c>
      <c r="H331" s="4" t="s">
        <v>241</v>
      </c>
      <c r="I331" s="4" t="s">
        <v>798</v>
      </c>
      <c r="J331" s="4" t="s">
        <v>653</v>
      </c>
      <c r="K331" s="4" t="s">
        <v>256</v>
      </c>
      <c r="L331" s="4" t="s">
        <v>658</v>
      </c>
      <c r="M331" s="5" t="s">
        <v>577</v>
      </c>
      <c r="N331" s="4" t="s">
        <v>658</v>
      </c>
      <c r="O331" s="6">
        <f>455</f>
        <v>455</v>
      </c>
      <c r="P331" s="4" t="s">
        <v>276</v>
      </c>
      <c r="Q331" s="6">
        <f>1</f>
        <v>1</v>
      </c>
      <c r="R331" s="6">
        <f>36400000</f>
        <v>36400000</v>
      </c>
      <c r="S331" s="5" t="s">
        <v>748</v>
      </c>
      <c r="T331" s="4" t="s">
        <v>357</v>
      </c>
      <c r="U331" s="4" t="s">
        <v>835</v>
      </c>
      <c r="W331" s="6">
        <f>36399999</f>
        <v>36399999</v>
      </c>
      <c r="X331" s="4" t="s">
        <v>243</v>
      </c>
      <c r="Y331" s="4" t="s">
        <v>244</v>
      </c>
      <c r="Z331" s="4" t="s">
        <v>465</v>
      </c>
      <c r="AA331" s="4" t="s">
        <v>241</v>
      </c>
      <c r="AD331" s="4" t="s">
        <v>241</v>
      </c>
      <c r="AF331" s="5" t="s">
        <v>241</v>
      </c>
      <c r="AI331" s="5" t="s">
        <v>249</v>
      </c>
      <c r="AJ331" s="4" t="s">
        <v>251</v>
      </c>
      <c r="AK331" s="4" t="s">
        <v>252</v>
      </c>
      <c r="BA331" s="4" t="s">
        <v>254</v>
      </c>
      <c r="BB331" s="4" t="s">
        <v>241</v>
      </c>
      <c r="BC331" s="4" t="s">
        <v>255</v>
      </c>
      <c r="BD331" s="4" t="s">
        <v>241</v>
      </c>
      <c r="BE331" s="4" t="s">
        <v>257</v>
      </c>
      <c r="BF331" s="4" t="s">
        <v>241</v>
      </c>
      <c r="BH331" s="4" t="s">
        <v>763</v>
      </c>
      <c r="BJ331" s="4" t="s">
        <v>374</v>
      </c>
      <c r="BK331" s="5" t="s">
        <v>375</v>
      </c>
      <c r="BL331" s="4" t="s">
        <v>261</v>
      </c>
      <c r="BM331" s="4" t="s">
        <v>262</v>
      </c>
      <c r="BN331" s="4" t="s">
        <v>241</v>
      </c>
      <c r="BO331" s="6">
        <f>0</f>
        <v>0</v>
      </c>
      <c r="BP331" s="6">
        <f>0</f>
        <v>0</v>
      </c>
      <c r="BQ331" s="4" t="s">
        <v>263</v>
      </c>
      <c r="BR331" s="4" t="s">
        <v>264</v>
      </c>
      <c r="CF331" s="4" t="s">
        <v>241</v>
      </c>
      <c r="CG331" s="4" t="s">
        <v>241</v>
      </c>
      <c r="CK331" s="4" t="s">
        <v>265</v>
      </c>
      <c r="CL331" s="4" t="s">
        <v>266</v>
      </c>
      <c r="CM331" s="4" t="s">
        <v>241</v>
      </c>
      <c r="CO331" s="4" t="s">
        <v>513</v>
      </c>
      <c r="CP331" s="5" t="s">
        <v>268</v>
      </c>
      <c r="CQ331" s="4" t="s">
        <v>269</v>
      </c>
      <c r="CR331" s="4" t="s">
        <v>270</v>
      </c>
      <c r="CS331" s="4" t="s">
        <v>241</v>
      </c>
      <c r="CT331" s="4" t="s">
        <v>241</v>
      </c>
      <c r="CU331" s="4">
        <v>0</v>
      </c>
      <c r="CV331" s="4" t="s">
        <v>271</v>
      </c>
      <c r="CW331" s="4" t="s">
        <v>655</v>
      </c>
      <c r="CX331" s="4" t="s">
        <v>487</v>
      </c>
      <c r="CZ331" s="6">
        <f>36400000</f>
        <v>36400000</v>
      </c>
      <c r="DA331" s="6">
        <f>0</f>
        <v>0</v>
      </c>
      <c r="DC331" s="4" t="s">
        <v>241</v>
      </c>
      <c r="DD331" s="4" t="s">
        <v>241</v>
      </c>
      <c r="DF331" s="4" t="s">
        <v>241</v>
      </c>
      <c r="DI331" s="4" t="s">
        <v>241</v>
      </c>
      <c r="DJ331" s="4" t="s">
        <v>241</v>
      </c>
      <c r="DK331" s="4" t="s">
        <v>241</v>
      </c>
      <c r="DL331" s="4" t="s">
        <v>241</v>
      </c>
      <c r="DM331" s="4" t="s">
        <v>277</v>
      </c>
      <c r="DN331" s="4" t="s">
        <v>278</v>
      </c>
      <c r="DO331" s="6">
        <f>455</f>
        <v>455</v>
      </c>
      <c r="DP331" s="4" t="s">
        <v>241</v>
      </c>
      <c r="DQ331" s="4" t="s">
        <v>241</v>
      </c>
      <c r="DR331" s="4" t="s">
        <v>241</v>
      </c>
      <c r="DS331" s="4" t="s">
        <v>241</v>
      </c>
      <c r="DV331" s="4" t="s">
        <v>800</v>
      </c>
      <c r="DW331" s="4" t="s">
        <v>277</v>
      </c>
      <c r="HO331" s="4" t="s">
        <v>277</v>
      </c>
      <c r="HR331" s="4" t="s">
        <v>278</v>
      </c>
      <c r="HS331" s="4" t="s">
        <v>278</v>
      </c>
    </row>
    <row r="332" spans="1:240" x14ac:dyDescent="0.4">
      <c r="A332" s="4">
        <v>2</v>
      </c>
      <c r="B332" s="4" t="s">
        <v>239</v>
      </c>
      <c r="C332" s="4">
        <v>358</v>
      </c>
      <c r="D332" s="4">
        <v>1</v>
      </c>
      <c r="E332" s="4">
        <v>3</v>
      </c>
      <c r="F332" s="4" t="s">
        <v>240</v>
      </c>
      <c r="G332" s="4" t="s">
        <v>241</v>
      </c>
      <c r="H332" s="4" t="s">
        <v>241</v>
      </c>
      <c r="I332" s="4" t="s">
        <v>798</v>
      </c>
      <c r="J332" s="4" t="s">
        <v>653</v>
      </c>
      <c r="K332" s="4" t="s">
        <v>256</v>
      </c>
      <c r="L332" s="4" t="s">
        <v>658</v>
      </c>
      <c r="M332" s="5" t="s">
        <v>577</v>
      </c>
      <c r="N332" s="4" t="s">
        <v>658</v>
      </c>
      <c r="O332" s="6">
        <f>87</f>
        <v>87</v>
      </c>
      <c r="P332" s="4" t="s">
        <v>276</v>
      </c>
      <c r="Q332" s="6">
        <f>3502620</f>
        <v>3502620</v>
      </c>
      <c r="R332" s="6">
        <f>15921000</f>
        <v>15921000</v>
      </c>
      <c r="S332" s="5" t="s">
        <v>799</v>
      </c>
      <c r="T332" s="4" t="s">
        <v>357</v>
      </c>
      <c r="U332" s="4" t="s">
        <v>404</v>
      </c>
      <c r="V332" s="6">
        <f>477630</f>
        <v>477630</v>
      </c>
      <c r="W332" s="6">
        <f>12418380</f>
        <v>12418380</v>
      </c>
      <c r="X332" s="4" t="s">
        <v>243</v>
      </c>
      <c r="Y332" s="4" t="s">
        <v>244</v>
      </c>
      <c r="Z332" s="4" t="s">
        <v>465</v>
      </c>
      <c r="AA332" s="4" t="s">
        <v>241</v>
      </c>
      <c r="AD332" s="4" t="s">
        <v>241</v>
      </c>
      <c r="AE332" s="5" t="s">
        <v>241</v>
      </c>
      <c r="AF332" s="5" t="s">
        <v>241</v>
      </c>
      <c r="AH332" s="5" t="s">
        <v>241</v>
      </c>
      <c r="AI332" s="5" t="s">
        <v>249</v>
      </c>
      <c r="AJ332" s="4" t="s">
        <v>251</v>
      </c>
      <c r="AK332" s="4" t="s">
        <v>252</v>
      </c>
      <c r="AQ332" s="4" t="s">
        <v>241</v>
      </c>
      <c r="AR332" s="4" t="s">
        <v>241</v>
      </c>
      <c r="AS332" s="4" t="s">
        <v>241</v>
      </c>
      <c r="AT332" s="5" t="s">
        <v>241</v>
      </c>
      <c r="AU332" s="5" t="s">
        <v>241</v>
      </c>
      <c r="AV332" s="5" t="s">
        <v>241</v>
      </c>
      <c r="AY332" s="4" t="s">
        <v>286</v>
      </c>
      <c r="AZ332" s="4" t="s">
        <v>286</v>
      </c>
      <c r="BA332" s="4" t="s">
        <v>254</v>
      </c>
      <c r="BB332" s="4" t="s">
        <v>287</v>
      </c>
      <c r="BC332" s="4" t="s">
        <v>255</v>
      </c>
      <c r="BD332" s="4" t="s">
        <v>241</v>
      </c>
      <c r="BE332" s="4" t="s">
        <v>257</v>
      </c>
      <c r="BF332" s="4" t="s">
        <v>241</v>
      </c>
      <c r="BJ332" s="4" t="s">
        <v>288</v>
      </c>
      <c r="BK332" s="5" t="s">
        <v>289</v>
      </c>
      <c r="BL332" s="4" t="s">
        <v>290</v>
      </c>
      <c r="BM332" s="4" t="s">
        <v>290</v>
      </c>
      <c r="BN332" s="4" t="s">
        <v>241</v>
      </c>
      <c r="BO332" s="6">
        <f>0</f>
        <v>0</v>
      </c>
      <c r="BP332" s="6">
        <f>-477630</f>
        <v>-477630</v>
      </c>
      <c r="BQ332" s="4" t="s">
        <v>263</v>
      </c>
      <c r="BR332" s="4" t="s">
        <v>264</v>
      </c>
      <c r="BS332" s="4" t="s">
        <v>241</v>
      </c>
      <c r="BT332" s="4" t="s">
        <v>241</v>
      </c>
      <c r="BU332" s="4" t="s">
        <v>241</v>
      </c>
      <c r="BV332" s="4" t="s">
        <v>241</v>
      </c>
      <c r="CE332" s="4" t="s">
        <v>264</v>
      </c>
      <c r="CF332" s="4" t="s">
        <v>241</v>
      </c>
      <c r="CG332" s="4" t="s">
        <v>241</v>
      </c>
      <c r="CK332" s="4" t="s">
        <v>291</v>
      </c>
      <c r="CL332" s="4" t="s">
        <v>266</v>
      </c>
      <c r="CM332" s="4" t="s">
        <v>241</v>
      </c>
      <c r="CO332" s="4" t="s">
        <v>387</v>
      </c>
      <c r="CP332" s="5" t="s">
        <v>268</v>
      </c>
      <c r="CQ332" s="4" t="s">
        <v>269</v>
      </c>
      <c r="CR332" s="4" t="s">
        <v>270</v>
      </c>
      <c r="CS332" s="4" t="s">
        <v>293</v>
      </c>
      <c r="CT332" s="4" t="s">
        <v>241</v>
      </c>
      <c r="CU332" s="4">
        <v>0.03</v>
      </c>
      <c r="CV332" s="4" t="s">
        <v>271</v>
      </c>
      <c r="CW332" s="4" t="s">
        <v>655</v>
      </c>
      <c r="CX332" s="4" t="s">
        <v>487</v>
      </c>
      <c r="CY332" s="6">
        <f>0</f>
        <v>0</v>
      </c>
      <c r="CZ332" s="6">
        <f>15921000</f>
        <v>15921000</v>
      </c>
      <c r="DA332" s="6">
        <f>3502620</f>
        <v>3502620</v>
      </c>
      <c r="DC332" s="4" t="s">
        <v>241</v>
      </c>
      <c r="DD332" s="4" t="s">
        <v>241</v>
      </c>
      <c r="DF332" s="4" t="s">
        <v>241</v>
      </c>
      <c r="DG332" s="6">
        <f>0</f>
        <v>0</v>
      </c>
      <c r="DI332" s="4" t="s">
        <v>241</v>
      </c>
      <c r="DJ332" s="4" t="s">
        <v>241</v>
      </c>
      <c r="DK332" s="4" t="s">
        <v>241</v>
      </c>
      <c r="DL332" s="4" t="s">
        <v>241</v>
      </c>
      <c r="DM332" s="4" t="s">
        <v>277</v>
      </c>
      <c r="DN332" s="4" t="s">
        <v>278</v>
      </c>
      <c r="DO332" s="6">
        <f>87</f>
        <v>87</v>
      </c>
      <c r="DP332" s="4" t="s">
        <v>241</v>
      </c>
      <c r="DQ332" s="4" t="s">
        <v>241</v>
      </c>
      <c r="DR332" s="4" t="s">
        <v>241</v>
      </c>
      <c r="DS332" s="4" t="s">
        <v>241</v>
      </c>
      <c r="DV332" s="4" t="s">
        <v>800</v>
      </c>
      <c r="DW332" s="4" t="s">
        <v>323</v>
      </c>
      <c r="GN332" s="4" t="s">
        <v>801</v>
      </c>
      <c r="HO332" s="4" t="s">
        <v>300</v>
      </c>
      <c r="HR332" s="4" t="s">
        <v>278</v>
      </c>
      <c r="HS332" s="4" t="s">
        <v>278</v>
      </c>
      <c r="HT332" s="4" t="s">
        <v>241</v>
      </c>
      <c r="HU332" s="4" t="s">
        <v>241</v>
      </c>
      <c r="HV332" s="4" t="s">
        <v>241</v>
      </c>
      <c r="HW332" s="4" t="s">
        <v>241</v>
      </c>
      <c r="HX332" s="4" t="s">
        <v>241</v>
      </c>
      <c r="HY332" s="4" t="s">
        <v>241</v>
      </c>
      <c r="HZ332" s="4" t="s">
        <v>241</v>
      </c>
      <c r="IA332" s="4" t="s">
        <v>241</v>
      </c>
      <c r="IB332" s="4" t="s">
        <v>241</v>
      </c>
      <c r="IC332" s="4" t="s">
        <v>241</v>
      </c>
      <c r="ID332" s="4" t="s">
        <v>241</v>
      </c>
      <c r="IE332" s="4" t="s">
        <v>241</v>
      </c>
      <c r="IF332" s="4" t="s">
        <v>241</v>
      </c>
    </row>
    <row r="333" spans="1:240" x14ac:dyDescent="0.4">
      <c r="A333" s="4">
        <v>2</v>
      </c>
      <c r="B333" s="4" t="s">
        <v>239</v>
      </c>
      <c r="C333" s="4">
        <v>359</v>
      </c>
      <c r="D333" s="4">
        <v>1</v>
      </c>
      <c r="E333" s="4">
        <v>3</v>
      </c>
      <c r="F333" s="4" t="s">
        <v>240</v>
      </c>
      <c r="G333" s="4" t="s">
        <v>241</v>
      </c>
      <c r="H333" s="4" t="s">
        <v>241</v>
      </c>
      <c r="I333" s="4" t="s">
        <v>798</v>
      </c>
      <c r="J333" s="4" t="s">
        <v>653</v>
      </c>
      <c r="K333" s="4" t="s">
        <v>256</v>
      </c>
      <c r="L333" s="4" t="s">
        <v>658</v>
      </c>
      <c r="M333" s="5" t="s">
        <v>577</v>
      </c>
      <c r="N333" s="4" t="s">
        <v>658</v>
      </c>
      <c r="O333" s="6">
        <f>87</f>
        <v>87</v>
      </c>
      <c r="P333" s="4" t="s">
        <v>276</v>
      </c>
      <c r="Q333" s="6">
        <f>3502620</f>
        <v>3502620</v>
      </c>
      <c r="R333" s="6">
        <f>15921000</f>
        <v>15921000</v>
      </c>
      <c r="S333" s="5" t="s">
        <v>799</v>
      </c>
      <c r="T333" s="4" t="s">
        <v>357</v>
      </c>
      <c r="U333" s="4" t="s">
        <v>404</v>
      </c>
      <c r="V333" s="6">
        <f>477630</f>
        <v>477630</v>
      </c>
      <c r="W333" s="6">
        <f>12418380</f>
        <v>12418380</v>
      </c>
      <c r="X333" s="4" t="s">
        <v>243</v>
      </c>
      <c r="Y333" s="4" t="s">
        <v>244</v>
      </c>
      <c r="Z333" s="4" t="s">
        <v>465</v>
      </c>
      <c r="AA333" s="4" t="s">
        <v>241</v>
      </c>
      <c r="AD333" s="4" t="s">
        <v>241</v>
      </c>
      <c r="AE333" s="5" t="s">
        <v>241</v>
      </c>
      <c r="AF333" s="5" t="s">
        <v>241</v>
      </c>
      <c r="AH333" s="5" t="s">
        <v>241</v>
      </c>
      <c r="AI333" s="5" t="s">
        <v>249</v>
      </c>
      <c r="AJ333" s="4" t="s">
        <v>251</v>
      </c>
      <c r="AK333" s="4" t="s">
        <v>252</v>
      </c>
      <c r="AQ333" s="4" t="s">
        <v>241</v>
      </c>
      <c r="AR333" s="4" t="s">
        <v>241</v>
      </c>
      <c r="AS333" s="4" t="s">
        <v>241</v>
      </c>
      <c r="AT333" s="5" t="s">
        <v>241</v>
      </c>
      <c r="AU333" s="5" t="s">
        <v>241</v>
      </c>
      <c r="AV333" s="5" t="s">
        <v>241</v>
      </c>
      <c r="AY333" s="4" t="s">
        <v>286</v>
      </c>
      <c r="AZ333" s="4" t="s">
        <v>286</v>
      </c>
      <c r="BA333" s="4" t="s">
        <v>254</v>
      </c>
      <c r="BB333" s="4" t="s">
        <v>287</v>
      </c>
      <c r="BC333" s="4" t="s">
        <v>255</v>
      </c>
      <c r="BD333" s="4" t="s">
        <v>241</v>
      </c>
      <c r="BE333" s="4" t="s">
        <v>257</v>
      </c>
      <c r="BF333" s="4" t="s">
        <v>241</v>
      </c>
      <c r="BJ333" s="4" t="s">
        <v>288</v>
      </c>
      <c r="BK333" s="5" t="s">
        <v>289</v>
      </c>
      <c r="BL333" s="4" t="s">
        <v>290</v>
      </c>
      <c r="BM333" s="4" t="s">
        <v>290</v>
      </c>
      <c r="BN333" s="4" t="s">
        <v>241</v>
      </c>
      <c r="BO333" s="6">
        <f>0</f>
        <v>0</v>
      </c>
      <c r="BP333" s="6">
        <f>-477630</f>
        <v>-477630</v>
      </c>
      <c r="BQ333" s="4" t="s">
        <v>263</v>
      </c>
      <c r="BR333" s="4" t="s">
        <v>264</v>
      </c>
      <c r="BS333" s="4" t="s">
        <v>241</v>
      </c>
      <c r="BT333" s="4" t="s">
        <v>241</v>
      </c>
      <c r="BU333" s="4" t="s">
        <v>241</v>
      </c>
      <c r="BV333" s="4" t="s">
        <v>241</v>
      </c>
      <c r="CE333" s="4" t="s">
        <v>264</v>
      </c>
      <c r="CF333" s="4" t="s">
        <v>241</v>
      </c>
      <c r="CG333" s="4" t="s">
        <v>241</v>
      </c>
      <c r="CK333" s="4" t="s">
        <v>291</v>
      </c>
      <c r="CL333" s="4" t="s">
        <v>266</v>
      </c>
      <c r="CM333" s="4" t="s">
        <v>241</v>
      </c>
      <c r="CO333" s="4" t="s">
        <v>387</v>
      </c>
      <c r="CP333" s="5" t="s">
        <v>268</v>
      </c>
      <c r="CQ333" s="4" t="s">
        <v>269</v>
      </c>
      <c r="CR333" s="4" t="s">
        <v>270</v>
      </c>
      <c r="CS333" s="4" t="s">
        <v>293</v>
      </c>
      <c r="CT333" s="4" t="s">
        <v>241</v>
      </c>
      <c r="CU333" s="4">
        <v>0.03</v>
      </c>
      <c r="CV333" s="4" t="s">
        <v>271</v>
      </c>
      <c r="CW333" s="4" t="s">
        <v>655</v>
      </c>
      <c r="CX333" s="4" t="s">
        <v>487</v>
      </c>
      <c r="CY333" s="6">
        <f>0</f>
        <v>0</v>
      </c>
      <c r="CZ333" s="6">
        <f>15921000</f>
        <v>15921000</v>
      </c>
      <c r="DA333" s="6">
        <f>3502620</f>
        <v>3502620</v>
      </c>
      <c r="DC333" s="4" t="s">
        <v>241</v>
      </c>
      <c r="DD333" s="4" t="s">
        <v>241</v>
      </c>
      <c r="DF333" s="4" t="s">
        <v>241</v>
      </c>
      <c r="DG333" s="6">
        <f>0</f>
        <v>0</v>
      </c>
      <c r="DI333" s="4" t="s">
        <v>241</v>
      </c>
      <c r="DJ333" s="4" t="s">
        <v>241</v>
      </c>
      <c r="DK333" s="4" t="s">
        <v>241</v>
      </c>
      <c r="DL333" s="4" t="s">
        <v>241</v>
      </c>
      <c r="DM333" s="4" t="s">
        <v>277</v>
      </c>
      <c r="DN333" s="4" t="s">
        <v>278</v>
      </c>
      <c r="DO333" s="6">
        <f>87</f>
        <v>87</v>
      </c>
      <c r="DP333" s="4" t="s">
        <v>241</v>
      </c>
      <c r="DQ333" s="4" t="s">
        <v>241</v>
      </c>
      <c r="DR333" s="4" t="s">
        <v>241</v>
      </c>
      <c r="DS333" s="4" t="s">
        <v>241</v>
      </c>
      <c r="DV333" s="4" t="s">
        <v>800</v>
      </c>
      <c r="DW333" s="4" t="s">
        <v>297</v>
      </c>
      <c r="GN333" s="4" t="s">
        <v>802</v>
      </c>
      <c r="HO333" s="4" t="s">
        <v>300</v>
      </c>
      <c r="HR333" s="4" t="s">
        <v>278</v>
      </c>
      <c r="HS333" s="4" t="s">
        <v>278</v>
      </c>
      <c r="HT333" s="4" t="s">
        <v>241</v>
      </c>
      <c r="HU333" s="4" t="s">
        <v>241</v>
      </c>
      <c r="HV333" s="4" t="s">
        <v>241</v>
      </c>
      <c r="HW333" s="4" t="s">
        <v>241</v>
      </c>
      <c r="HX333" s="4" t="s">
        <v>241</v>
      </c>
      <c r="HY333" s="4" t="s">
        <v>241</v>
      </c>
      <c r="HZ333" s="4" t="s">
        <v>241</v>
      </c>
      <c r="IA333" s="4" t="s">
        <v>241</v>
      </c>
      <c r="IB333" s="4" t="s">
        <v>241</v>
      </c>
      <c r="IC333" s="4" t="s">
        <v>241</v>
      </c>
      <c r="ID333" s="4" t="s">
        <v>241</v>
      </c>
      <c r="IE333" s="4" t="s">
        <v>241</v>
      </c>
      <c r="IF333" s="4" t="s">
        <v>241</v>
      </c>
    </row>
    <row r="334" spans="1:240" x14ac:dyDescent="0.4">
      <c r="A334" s="4">
        <v>2</v>
      </c>
      <c r="B334" s="4" t="s">
        <v>239</v>
      </c>
      <c r="C334" s="4">
        <v>360</v>
      </c>
      <c r="D334" s="4">
        <v>1</v>
      </c>
      <c r="E334" s="4">
        <v>3</v>
      </c>
      <c r="F334" s="4" t="s">
        <v>240</v>
      </c>
      <c r="G334" s="4" t="s">
        <v>241</v>
      </c>
      <c r="H334" s="4" t="s">
        <v>241</v>
      </c>
      <c r="I334" s="4" t="s">
        <v>798</v>
      </c>
      <c r="J334" s="4" t="s">
        <v>653</v>
      </c>
      <c r="K334" s="4" t="s">
        <v>256</v>
      </c>
      <c r="L334" s="4" t="s">
        <v>658</v>
      </c>
      <c r="M334" s="5" t="s">
        <v>577</v>
      </c>
      <c r="N334" s="4" t="s">
        <v>658</v>
      </c>
      <c r="O334" s="6">
        <f>18</f>
        <v>18</v>
      </c>
      <c r="P334" s="4" t="s">
        <v>276</v>
      </c>
      <c r="Q334" s="6">
        <f>1614060</f>
        <v>1614060</v>
      </c>
      <c r="R334" s="6">
        <f>3294000</f>
        <v>3294000</v>
      </c>
      <c r="S334" s="5" t="s">
        <v>803</v>
      </c>
      <c r="T334" s="4" t="s">
        <v>357</v>
      </c>
      <c r="U334" s="4" t="s">
        <v>371</v>
      </c>
      <c r="V334" s="6">
        <f>98820</f>
        <v>98820</v>
      </c>
      <c r="W334" s="6">
        <f>1679940</f>
        <v>1679940</v>
      </c>
      <c r="X334" s="4" t="s">
        <v>243</v>
      </c>
      <c r="Y334" s="4" t="s">
        <v>244</v>
      </c>
      <c r="Z334" s="4" t="s">
        <v>465</v>
      </c>
      <c r="AA334" s="4" t="s">
        <v>241</v>
      </c>
      <c r="AD334" s="4" t="s">
        <v>241</v>
      </c>
      <c r="AE334" s="5" t="s">
        <v>241</v>
      </c>
      <c r="AF334" s="5" t="s">
        <v>241</v>
      </c>
      <c r="AH334" s="5" t="s">
        <v>241</v>
      </c>
      <c r="AI334" s="5" t="s">
        <v>249</v>
      </c>
      <c r="AJ334" s="4" t="s">
        <v>251</v>
      </c>
      <c r="AK334" s="4" t="s">
        <v>252</v>
      </c>
      <c r="AQ334" s="4" t="s">
        <v>241</v>
      </c>
      <c r="AR334" s="4" t="s">
        <v>241</v>
      </c>
      <c r="AS334" s="4" t="s">
        <v>241</v>
      </c>
      <c r="AT334" s="5" t="s">
        <v>241</v>
      </c>
      <c r="AU334" s="5" t="s">
        <v>241</v>
      </c>
      <c r="AV334" s="5" t="s">
        <v>241</v>
      </c>
      <c r="AY334" s="4" t="s">
        <v>286</v>
      </c>
      <c r="AZ334" s="4" t="s">
        <v>286</v>
      </c>
      <c r="BA334" s="4" t="s">
        <v>254</v>
      </c>
      <c r="BB334" s="4" t="s">
        <v>287</v>
      </c>
      <c r="BC334" s="4" t="s">
        <v>255</v>
      </c>
      <c r="BD334" s="4" t="s">
        <v>241</v>
      </c>
      <c r="BE334" s="4" t="s">
        <v>257</v>
      </c>
      <c r="BF334" s="4" t="s">
        <v>241</v>
      </c>
      <c r="BJ334" s="4" t="s">
        <v>288</v>
      </c>
      <c r="BK334" s="5" t="s">
        <v>289</v>
      </c>
      <c r="BL334" s="4" t="s">
        <v>290</v>
      </c>
      <c r="BM334" s="4" t="s">
        <v>290</v>
      </c>
      <c r="BN334" s="4" t="s">
        <v>241</v>
      </c>
      <c r="BO334" s="6">
        <f>0</f>
        <v>0</v>
      </c>
      <c r="BP334" s="6">
        <f>-98820</f>
        <v>-98820</v>
      </c>
      <c r="BQ334" s="4" t="s">
        <v>263</v>
      </c>
      <c r="BR334" s="4" t="s">
        <v>264</v>
      </c>
      <c r="BS334" s="4" t="s">
        <v>241</v>
      </c>
      <c r="BT334" s="4" t="s">
        <v>241</v>
      </c>
      <c r="BU334" s="4" t="s">
        <v>241</v>
      </c>
      <c r="BV334" s="4" t="s">
        <v>241</v>
      </c>
      <c r="CE334" s="4" t="s">
        <v>264</v>
      </c>
      <c r="CF334" s="4" t="s">
        <v>241</v>
      </c>
      <c r="CG334" s="4" t="s">
        <v>241</v>
      </c>
      <c r="CK334" s="4" t="s">
        <v>291</v>
      </c>
      <c r="CL334" s="4" t="s">
        <v>266</v>
      </c>
      <c r="CM334" s="4" t="s">
        <v>241</v>
      </c>
      <c r="CO334" s="4" t="s">
        <v>407</v>
      </c>
      <c r="CP334" s="5" t="s">
        <v>268</v>
      </c>
      <c r="CQ334" s="4" t="s">
        <v>269</v>
      </c>
      <c r="CR334" s="4" t="s">
        <v>270</v>
      </c>
      <c r="CS334" s="4" t="s">
        <v>293</v>
      </c>
      <c r="CT334" s="4" t="s">
        <v>241</v>
      </c>
      <c r="CU334" s="4">
        <v>0.03</v>
      </c>
      <c r="CV334" s="4" t="s">
        <v>271</v>
      </c>
      <c r="CW334" s="4" t="s">
        <v>655</v>
      </c>
      <c r="CX334" s="4" t="s">
        <v>487</v>
      </c>
      <c r="CY334" s="6">
        <f>0</f>
        <v>0</v>
      </c>
      <c r="CZ334" s="6">
        <f>3294000</f>
        <v>3294000</v>
      </c>
      <c r="DA334" s="6">
        <f>1614060</f>
        <v>1614060</v>
      </c>
      <c r="DC334" s="4" t="s">
        <v>241</v>
      </c>
      <c r="DD334" s="4" t="s">
        <v>241</v>
      </c>
      <c r="DF334" s="4" t="s">
        <v>241</v>
      </c>
      <c r="DG334" s="6">
        <f>0</f>
        <v>0</v>
      </c>
      <c r="DI334" s="4" t="s">
        <v>241</v>
      </c>
      <c r="DJ334" s="4" t="s">
        <v>241</v>
      </c>
      <c r="DK334" s="4" t="s">
        <v>241</v>
      </c>
      <c r="DL334" s="4" t="s">
        <v>241</v>
      </c>
      <c r="DM334" s="4" t="s">
        <v>277</v>
      </c>
      <c r="DN334" s="4" t="s">
        <v>278</v>
      </c>
      <c r="DO334" s="6">
        <f>18</f>
        <v>18</v>
      </c>
      <c r="DP334" s="4" t="s">
        <v>241</v>
      </c>
      <c r="DQ334" s="4" t="s">
        <v>241</v>
      </c>
      <c r="DR334" s="4" t="s">
        <v>241</v>
      </c>
      <c r="DS334" s="4" t="s">
        <v>241</v>
      </c>
      <c r="DV334" s="4" t="s">
        <v>800</v>
      </c>
      <c r="DW334" s="4" t="s">
        <v>336</v>
      </c>
      <c r="GN334" s="4" t="s">
        <v>804</v>
      </c>
      <c r="HO334" s="4" t="s">
        <v>300</v>
      </c>
      <c r="HR334" s="4" t="s">
        <v>278</v>
      </c>
      <c r="HS334" s="4" t="s">
        <v>278</v>
      </c>
      <c r="HT334" s="4" t="s">
        <v>241</v>
      </c>
      <c r="HU334" s="4" t="s">
        <v>241</v>
      </c>
      <c r="HV334" s="4" t="s">
        <v>241</v>
      </c>
      <c r="HW334" s="4" t="s">
        <v>241</v>
      </c>
      <c r="HX334" s="4" t="s">
        <v>241</v>
      </c>
      <c r="HY334" s="4" t="s">
        <v>241</v>
      </c>
      <c r="HZ334" s="4" t="s">
        <v>241</v>
      </c>
      <c r="IA334" s="4" t="s">
        <v>241</v>
      </c>
      <c r="IB334" s="4" t="s">
        <v>241</v>
      </c>
      <c r="IC334" s="4" t="s">
        <v>241</v>
      </c>
      <c r="ID334" s="4" t="s">
        <v>241</v>
      </c>
      <c r="IE334" s="4" t="s">
        <v>241</v>
      </c>
      <c r="IF334" s="4" t="s">
        <v>241</v>
      </c>
    </row>
    <row r="335" spans="1:240" x14ac:dyDescent="0.4">
      <c r="A335" s="4">
        <v>2</v>
      </c>
      <c r="B335" s="4" t="s">
        <v>239</v>
      </c>
      <c r="C335" s="4">
        <v>361</v>
      </c>
      <c r="D335" s="4">
        <v>1</v>
      </c>
      <c r="E335" s="4">
        <v>3</v>
      </c>
      <c r="F335" s="4" t="s">
        <v>240</v>
      </c>
      <c r="G335" s="4" t="s">
        <v>241</v>
      </c>
      <c r="H335" s="4" t="s">
        <v>241</v>
      </c>
      <c r="I335" s="4" t="s">
        <v>805</v>
      </c>
      <c r="J335" s="4" t="s">
        <v>653</v>
      </c>
      <c r="K335" s="4" t="s">
        <v>256</v>
      </c>
      <c r="L335" s="4" t="s">
        <v>658</v>
      </c>
      <c r="M335" s="5" t="s">
        <v>738</v>
      </c>
      <c r="N335" s="4" t="s">
        <v>658</v>
      </c>
      <c r="O335" s="6">
        <f>758</f>
        <v>758</v>
      </c>
      <c r="P335" s="4" t="s">
        <v>276</v>
      </c>
      <c r="Q335" s="6">
        <f>1788800</f>
        <v>1788800</v>
      </c>
      <c r="R335" s="6">
        <f>17888000</f>
        <v>17888000</v>
      </c>
      <c r="S335" s="5" t="s">
        <v>806</v>
      </c>
      <c r="T335" s="4" t="s">
        <v>357</v>
      </c>
      <c r="U335" s="4" t="s">
        <v>399</v>
      </c>
      <c r="V335" s="6">
        <f>536640</f>
        <v>536640</v>
      </c>
      <c r="W335" s="6">
        <f>16099200</f>
        <v>16099200</v>
      </c>
      <c r="X335" s="4" t="s">
        <v>243</v>
      </c>
      <c r="Y335" s="4" t="s">
        <v>244</v>
      </c>
      <c r="Z335" s="4" t="s">
        <v>465</v>
      </c>
      <c r="AA335" s="4" t="s">
        <v>241</v>
      </c>
      <c r="AD335" s="4" t="s">
        <v>241</v>
      </c>
      <c r="AE335" s="5" t="s">
        <v>241</v>
      </c>
      <c r="AF335" s="5" t="s">
        <v>241</v>
      </c>
      <c r="AH335" s="5" t="s">
        <v>241</v>
      </c>
      <c r="AI335" s="5" t="s">
        <v>249</v>
      </c>
      <c r="AJ335" s="4" t="s">
        <v>251</v>
      </c>
      <c r="AK335" s="4" t="s">
        <v>252</v>
      </c>
      <c r="AQ335" s="4" t="s">
        <v>241</v>
      </c>
      <c r="AR335" s="4" t="s">
        <v>241</v>
      </c>
      <c r="AS335" s="4" t="s">
        <v>241</v>
      </c>
      <c r="AT335" s="5" t="s">
        <v>241</v>
      </c>
      <c r="AU335" s="5" t="s">
        <v>241</v>
      </c>
      <c r="AV335" s="5" t="s">
        <v>241</v>
      </c>
      <c r="AY335" s="4" t="s">
        <v>286</v>
      </c>
      <c r="AZ335" s="4" t="s">
        <v>286</v>
      </c>
      <c r="BA335" s="4" t="s">
        <v>254</v>
      </c>
      <c r="BB335" s="4" t="s">
        <v>287</v>
      </c>
      <c r="BC335" s="4" t="s">
        <v>255</v>
      </c>
      <c r="BD335" s="4" t="s">
        <v>241</v>
      </c>
      <c r="BE335" s="4" t="s">
        <v>257</v>
      </c>
      <c r="BF335" s="4" t="s">
        <v>241</v>
      </c>
      <c r="BJ335" s="4" t="s">
        <v>288</v>
      </c>
      <c r="BK335" s="5" t="s">
        <v>289</v>
      </c>
      <c r="BL335" s="4" t="s">
        <v>290</v>
      </c>
      <c r="BM335" s="4" t="s">
        <v>290</v>
      </c>
      <c r="BN335" s="4" t="s">
        <v>241</v>
      </c>
      <c r="BO335" s="6">
        <f>0</f>
        <v>0</v>
      </c>
      <c r="BP335" s="6">
        <f>-536640</f>
        <v>-536640</v>
      </c>
      <c r="BQ335" s="4" t="s">
        <v>263</v>
      </c>
      <c r="BR335" s="4" t="s">
        <v>264</v>
      </c>
      <c r="BS335" s="4" t="s">
        <v>241</v>
      </c>
      <c r="BT335" s="4" t="s">
        <v>241</v>
      </c>
      <c r="BU335" s="4" t="s">
        <v>241</v>
      </c>
      <c r="BV335" s="4" t="s">
        <v>241</v>
      </c>
      <c r="CE335" s="4" t="s">
        <v>264</v>
      </c>
      <c r="CF335" s="4" t="s">
        <v>241</v>
      </c>
      <c r="CG335" s="4" t="s">
        <v>241</v>
      </c>
      <c r="CK335" s="4" t="s">
        <v>291</v>
      </c>
      <c r="CL335" s="4" t="s">
        <v>266</v>
      </c>
      <c r="CM335" s="4" t="s">
        <v>241</v>
      </c>
      <c r="CO335" s="4" t="s">
        <v>439</v>
      </c>
      <c r="CP335" s="5" t="s">
        <v>268</v>
      </c>
      <c r="CQ335" s="4" t="s">
        <v>269</v>
      </c>
      <c r="CR335" s="4" t="s">
        <v>270</v>
      </c>
      <c r="CS335" s="4" t="s">
        <v>293</v>
      </c>
      <c r="CT335" s="4" t="s">
        <v>241</v>
      </c>
      <c r="CU335" s="4">
        <v>0.03</v>
      </c>
      <c r="CV335" s="4" t="s">
        <v>271</v>
      </c>
      <c r="CW335" s="4" t="s">
        <v>655</v>
      </c>
      <c r="CX335" s="4" t="s">
        <v>487</v>
      </c>
      <c r="CY335" s="6">
        <f>0</f>
        <v>0</v>
      </c>
      <c r="CZ335" s="6">
        <f>17888000</f>
        <v>17888000</v>
      </c>
      <c r="DA335" s="6">
        <f>1788800</f>
        <v>1788800</v>
      </c>
      <c r="DC335" s="4" t="s">
        <v>241</v>
      </c>
      <c r="DD335" s="4" t="s">
        <v>241</v>
      </c>
      <c r="DF335" s="4" t="s">
        <v>241</v>
      </c>
      <c r="DG335" s="6">
        <f>0</f>
        <v>0</v>
      </c>
      <c r="DI335" s="4" t="s">
        <v>241</v>
      </c>
      <c r="DJ335" s="4" t="s">
        <v>241</v>
      </c>
      <c r="DK335" s="4" t="s">
        <v>241</v>
      </c>
      <c r="DL335" s="4" t="s">
        <v>241</v>
      </c>
      <c r="DM335" s="4" t="s">
        <v>277</v>
      </c>
      <c r="DN335" s="4" t="s">
        <v>278</v>
      </c>
      <c r="DO335" s="6">
        <f>758</f>
        <v>758</v>
      </c>
      <c r="DP335" s="4" t="s">
        <v>241</v>
      </c>
      <c r="DQ335" s="4" t="s">
        <v>241</v>
      </c>
      <c r="DR335" s="4" t="s">
        <v>241</v>
      </c>
      <c r="DS335" s="4" t="s">
        <v>241</v>
      </c>
      <c r="DV335" s="4" t="s">
        <v>807</v>
      </c>
      <c r="DW335" s="4" t="s">
        <v>277</v>
      </c>
      <c r="GN335" s="4" t="s">
        <v>808</v>
      </c>
      <c r="HO335" s="4" t="s">
        <v>300</v>
      </c>
      <c r="HR335" s="4" t="s">
        <v>278</v>
      </c>
      <c r="HS335" s="4" t="s">
        <v>278</v>
      </c>
      <c r="HT335" s="4" t="s">
        <v>241</v>
      </c>
      <c r="HU335" s="4" t="s">
        <v>241</v>
      </c>
      <c r="HV335" s="4" t="s">
        <v>241</v>
      </c>
      <c r="HW335" s="4" t="s">
        <v>241</v>
      </c>
      <c r="HX335" s="4" t="s">
        <v>241</v>
      </c>
      <c r="HY335" s="4" t="s">
        <v>241</v>
      </c>
      <c r="HZ335" s="4" t="s">
        <v>241</v>
      </c>
      <c r="IA335" s="4" t="s">
        <v>241</v>
      </c>
      <c r="IB335" s="4" t="s">
        <v>241</v>
      </c>
      <c r="IC335" s="4" t="s">
        <v>241</v>
      </c>
      <c r="ID335" s="4" t="s">
        <v>241</v>
      </c>
      <c r="IE335" s="4" t="s">
        <v>241</v>
      </c>
      <c r="IF335" s="4" t="s">
        <v>241</v>
      </c>
    </row>
    <row r="336" spans="1:240" x14ac:dyDescent="0.4">
      <c r="A336" s="4">
        <v>2</v>
      </c>
      <c r="B336" s="4" t="s">
        <v>239</v>
      </c>
      <c r="C336" s="4">
        <v>362</v>
      </c>
      <c r="D336" s="4">
        <v>1</v>
      </c>
      <c r="E336" s="4">
        <v>3</v>
      </c>
      <c r="F336" s="4" t="s">
        <v>326</v>
      </c>
      <c r="G336" s="4" t="s">
        <v>241</v>
      </c>
      <c r="H336" s="4" t="s">
        <v>241</v>
      </c>
      <c r="I336" s="4" t="s">
        <v>805</v>
      </c>
      <c r="J336" s="4" t="s">
        <v>653</v>
      </c>
      <c r="K336" s="4" t="s">
        <v>256</v>
      </c>
      <c r="L336" s="4" t="s">
        <v>241</v>
      </c>
      <c r="M336" s="5" t="s">
        <v>738</v>
      </c>
      <c r="N336" s="4" t="s">
        <v>2747</v>
      </c>
      <c r="O336" s="6">
        <f>0</f>
        <v>0</v>
      </c>
      <c r="P336" s="4" t="s">
        <v>276</v>
      </c>
      <c r="Q336" s="6">
        <f>9003606</f>
        <v>9003606</v>
      </c>
      <c r="R336" s="6">
        <f>10642558</f>
        <v>10642558</v>
      </c>
      <c r="S336" s="5" t="s">
        <v>2849</v>
      </c>
      <c r="T336" s="4" t="s">
        <v>322</v>
      </c>
      <c r="U336" s="4" t="s">
        <v>277</v>
      </c>
      <c r="V336" s="6">
        <f>819476</f>
        <v>819476</v>
      </c>
      <c r="W336" s="6">
        <f>1638952</f>
        <v>1638952</v>
      </c>
      <c r="X336" s="4" t="s">
        <v>243</v>
      </c>
      <c r="Y336" s="4" t="s">
        <v>244</v>
      </c>
      <c r="Z336" s="4" t="s">
        <v>241</v>
      </c>
      <c r="AA336" s="4" t="s">
        <v>241</v>
      </c>
      <c r="AD336" s="4" t="s">
        <v>241</v>
      </c>
      <c r="AE336" s="5" t="s">
        <v>241</v>
      </c>
      <c r="AF336" s="5" t="s">
        <v>241</v>
      </c>
      <c r="AH336" s="5" t="s">
        <v>241</v>
      </c>
      <c r="AI336" s="5" t="s">
        <v>249</v>
      </c>
      <c r="AJ336" s="4" t="s">
        <v>251</v>
      </c>
      <c r="AK336" s="4" t="s">
        <v>252</v>
      </c>
      <c r="AQ336" s="4" t="s">
        <v>241</v>
      </c>
      <c r="AR336" s="4" t="s">
        <v>241</v>
      </c>
      <c r="AS336" s="4" t="s">
        <v>241</v>
      </c>
      <c r="AT336" s="5" t="s">
        <v>241</v>
      </c>
      <c r="AU336" s="5" t="s">
        <v>241</v>
      </c>
      <c r="AV336" s="5" t="s">
        <v>241</v>
      </c>
      <c r="AY336" s="4" t="s">
        <v>286</v>
      </c>
      <c r="AZ336" s="4" t="s">
        <v>286</v>
      </c>
      <c r="BA336" s="4" t="s">
        <v>254</v>
      </c>
      <c r="BB336" s="4" t="s">
        <v>287</v>
      </c>
      <c r="BC336" s="4" t="s">
        <v>255</v>
      </c>
      <c r="BD336" s="4" t="s">
        <v>241</v>
      </c>
      <c r="BE336" s="4" t="s">
        <v>257</v>
      </c>
      <c r="BF336" s="4" t="s">
        <v>241</v>
      </c>
      <c r="BJ336" s="4" t="s">
        <v>288</v>
      </c>
      <c r="BK336" s="5" t="s">
        <v>289</v>
      </c>
      <c r="BL336" s="4" t="s">
        <v>290</v>
      </c>
      <c r="BM336" s="4" t="s">
        <v>290</v>
      </c>
      <c r="BN336" s="4" t="s">
        <v>241</v>
      </c>
      <c r="BP336" s="6">
        <f>-819476</f>
        <v>-819476</v>
      </c>
      <c r="BQ336" s="4" t="s">
        <v>263</v>
      </c>
      <c r="BR336" s="4" t="s">
        <v>264</v>
      </c>
      <c r="BS336" s="4" t="s">
        <v>241</v>
      </c>
      <c r="BT336" s="4" t="s">
        <v>241</v>
      </c>
      <c r="BU336" s="4" t="s">
        <v>241</v>
      </c>
      <c r="BV336" s="4" t="s">
        <v>241</v>
      </c>
      <c r="CE336" s="4" t="s">
        <v>264</v>
      </c>
      <c r="CF336" s="4" t="s">
        <v>241</v>
      </c>
      <c r="CG336" s="4" t="s">
        <v>241</v>
      </c>
      <c r="CK336" s="4" t="s">
        <v>291</v>
      </c>
      <c r="CL336" s="4" t="s">
        <v>266</v>
      </c>
      <c r="CM336" s="4" t="s">
        <v>241</v>
      </c>
      <c r="CO336" s="4" t="s">
        <v>331</v>
      </c>
      <c r="CP336" s="5" t="s">
        <v>268</v>
      </c>
      <c r="CQ336" s="4" t="s">
        <v>269</v>
      </c>
      <c r="CR336" s="4" t="s">
        <v>270</v>
      </c>
      <c r="CS336" s="4" t="s">
        <v>293</v>
      </c>
      <c r="CT336" s="4" t="s">
        <v>241</v>
      </c>
      <c r="CU336" s="4">
        <v>7.6999999999999999E-2</v>
      </c>
      <c r="CV336" s="4" t="s">
        <v>271</v>
      </c>
      <c r="CW336" s="4" t="s">
        <v>415</v>
      </c>
      <c r="CX336" s="4" t="s">
        <v>428</v>
      </c>
      <c r="CY336" s="6">
        <f>0</f>
        <v>0</v>
      </c>
      <c r="CZ336" s="6">
        <f>10642558</f>
        <v>10642558</v>
      </c>
      <c r="DA336" s="6">
        <f>9003606</f>
        <v>9003606</v>
      </c>
      <c r="DC336" s="4" t="s">
        <v>241</v>
      </c>
      <c r="DD336" s="4" t="s">
        <v>241</v>
      </c>
      <c r="DF336" s="4" t="s">
        <v>241</v>
      </c>
      <c r="DG336" s="6">
        <f>0</f>
        <v>0</v>
      </c>
      <c r="DI336" s="4" t="s">
        <v>241</v>
      </c>
      <c r="DJ336" s="4" t="s">
        <v>241</v>
      </c>
      <c r="DK336" s="4" t="s">
        <v>241</v>
      </c>
      <c r="DL336" s="4" t="s">
        <v>241</v>
      </c>
      <c r="DM336" s="4" t="s">
        <v>278</v>
      </c>
      <c r="DN336" s="4" t="s">
        <v>278</v>
      </c>
      <c r="DO336" s="6" t="s">
        <v>241</v>
      </c>
      <c r="DP336" s="4" t="s">
        <v>241</v>
      </c>
      <c r="DQ336" s="4" t="s">
        <v>241</v>
      </c>
      <c r="DR336" s="4" t="s">
        <v>241</v>
      </c>
      <c r="DS336" s="4" t="s">
        <v>241</v>
      </c>
      <c r="DV336" s="4" t="s">
        <v>807</v>
      </c>
      <c r="DW336" s="4" t="s">
        <v>323</v>
      </c>
      <c r="GN336" s="4" t="s">
        <v>2851</v>
      </c>
      <c r="HO336" s="4" t="s">
        <v>297</v>
      </c>
      <c r="HR336" s="4" t="s">
        <v>278</v>
      </c>
      <c r="HS336" s="4" t="s">
        <v>278</v>
      </c>
      <c r="HT336" s="4" t="s">
        <v>241</v>
      </c>
      <c r="HU336" s="4" t="s">
        <v>241</v>
      </c>
      <c r="HV336" s="4" t="s">
        <v>241</v>
      </c>
      <c r="HW336" s="4" t="s">
        <v>241</v>
      </c>
      <c r="HX336" s="4" t="s">
        <v>241</v>
      </c>
      <c r="HY336" s="4" t="s">
        <v>241</v>
      </c>
      <c r="HZ336" s="4" t="s">
        <v>241</v>
      </c>
      <c r="IA336" s="4" t="s">
        <v>241</v>
      </c>
      <c r="IB336" s="4" t="s">
        <v>241</v>
      </c>
      <c r="IC336" s="4" t="s">
        <v>241</v>
      </c>
      <c r="ID336" s="4" t="s">
        <v>241</v>
      </c>
      <c r="IE336" s="4" t="s">
        <v>241</v>
      </c>
      <c r="IF336" s="4" t="s">
        <v>241</v>
      </c>
    </row>
    <row r="337" spans="1:240" x14ac:dyDescent="0.4">
      <c r="A337" s="4">
        <v>2</v>
      </c>
      <c r="B337" s="4" t="s">
        <v>239</v>
      </c>
      <c r="C337" s="4">
        <v>364</v>
      </c>
      <c r="D337" s="4">
        <v>1</v>
      </c>
      <c r="E337" s="4">
        <v>1</v>
      </c>
      <c r="F337" s="4" t="s">
        <v>240</v>
      </c>
      <c r="G337" s="4" t="s">
        <v>241</v>
      </c>
      <c r="H337" s="4" t="s">
        <v>241</v>
      </c>
      <c r="I337" s="4" t="s">
        <v>809</v>
      </c>
      <c r="J337" s="4" t="s">
        <v>653</v>
      </c>
      <c r="K337" s="4" t="s">
        <v>256</v>
      </c>
      <c r="L337" s="4" t="s">
        <v>429</v>
      </c>
      <c r="M337" s="5" t="s">
        <v>810</v>
      </c>
      <c r="N337" s="4" t="s">
        <v>429</v>
      </c>
      <c r="O337" s="6">
        <f>16</f>
        <v>16</v>
      </c>
      <c r="P337" s="4" t="s">
        <v>276</v>
      </c>
      <c r="Q337" s="6">
        <f>1</f>
        <v>1</v>
      </c>
      <c r="R337" s="6">
        <f>960000</f>
        <v>960000</v>
      </c>
      <c r="S337" s="5" t="s">
        <v>3721</v>
      </c>
      <c r="T337" s="4" t="s">
        <v>348</v>
      </c>
      <c r="U337" s="4" t="s">
        <v>683</v>
      </c>
      <c r="W337" s="6">
        <f>959999</f>
        <v>959999</v>
      </c>
      <c r="X337" s="4" t="s">
        <v>243</v>
      </c>
      <c r="Y337" s="4" t="s">
        <v>244</v>
      </c>
      <c r="Z337" s="4" t="s">
        <v>465</v>
      </c>
      <c r="AA337" s="4" t="s">
        <v>241</v>
      </c>
      <c r="AD337" s="4" t="s">
        <v>241</v>
      </c>
      <c r="AF337" s="5" t="s">
        <v>241</v>
      </c>
      <c r="AI337" s="5" t="s">
        <v>249</v>
      </c>
      <c r="AJ337" s="4" t="s">
        <v>251</v>
      </c>
      <c r="AK337" s="4" t="s">
        <v>252</v>
      </c>
      <c r="BA337" s="4" t="s">
        <v>254</v>
      </c>
      <c r="BB337" s="4" t="s">
        <v>241</v>
      </c>
      <c r="BC337" s="4" t="s">
        <v>255</v>
      </c>
      <c r="BD337" s="4" t="s">
        <v>241</v>
      </c>
      <c r="BE337" s="4" t="s">
        <v>257</v>
      </c>
      <c r="BF337" s="4" t="s">
        <v>241</v>
      </c>
      <c r="BJ337" s="4" t="s">
        <v>367</v>
      </c>
      <c r="BK337" s="5" t="s">
        <v>249</v>
      </c>
      <c r="BL337" s="4" t="s">
        <v>261</v>
      </c>
      <c r="BM337" s="4" t="s">
        <v>262</v>
      </c>
      <c r="BN337" s="4" t="s">
        <v>241</v>
      </c>
      <c r="BO337" s="6">
        <f>0</f>
        <v>0</v>
      </c>
      <c r="BP337" s="6">
        <f>0</f>
        <v>0</v>
      </c>
      <c r="BQ337" s="4" t="s">
        <v>263</v>
      </c>
      <c r="BR337" s="4" t="s">
        <v>264</v>
      </c>
      <c r="CF337" s="4" t="s">
        <v>241</v>
      </c>
      <c r="CG337" s="4" t="s">
        <v>241</v>
      </c>
      <c r="CK337" s="4" t="s">
        <v>265</v>
      </c>
      <c r="CL337" s="4" t="s">
        <v>266</v>
      </c>
      <c r="CM337" s="4" t="s">
        <v>241</v>
      </c>
      <c r="CO337" s="4" t="s">
        <v>511</v>
      </c>
      <c r="CP337" s="5" t="s">
        <v>268</v>
      </c>
      <c r="CQ337" s="4" t="s">
        <v>269</v>
      </c>
      <c r="CR337" s="4" t="s">
        <v>270</v>
      </c>
      <c r="CS337" s="4" t="s">
        <v>241</v>
      </c>
      <c r="CT337" s="4" t="s">
        <v>241</v>
      </c>
      <c r="CU337" s="4">
        <v>0</v>
      </c>
      <c r="CV337" s="4" t="s">
        <v>271</v>
      </c>
      <c r="CW337" s="4" t="s">
        <v>272</v>
      </c>
      <c r="CX337" s="4" t="s">
        <v>347</v>
      </c>
      <c r="CZ337" s="6">
        <f>960000</f>
        <v>960000</v>
      </c>
      <c r="DA337" s="6">
        <f>0</f>
        <v>0</v>
      </c>
      <c r="DC337" s="4" t="s">
        <v>241</v>
      </c>
      <c r="DD337" s="4" t="s">
        <v>241</v>
      </c>
      <c r="DF337" s="4" t="s">
        <v>241</v>
      </c>
      <c r="DI337" s="4" t="s">
        <v>241</v>
      </c>
      <c r="DJ337" s="4" t="s">
        <v>241</v>
      </c>
      <c r="DK337" s="4" t="s">
        <v>241</v>
      </c>
      <c r="DL337" s="4" t="s">
        <v>241</v>
      </c>
      <c r="DM337" s="4" t="s">
        <v>277</v>
      </c>
      <c r="DN337" s="4" t="s">
        <v>278</v>
      </c>
      <c r="DO337" s="6">
        <f>16</f>
        <v>16</v>
      </c>
      <c r="DP337" s="4" t="s">
        <v>241</v>
      </c>
      <c r="DQ337" s="4" t="s">
        <v>241</v>
      </c>
      <c r="DR337" s="4" t="s">
        <v>241</v>
      </c>
      <c r="DS337" s="4" t="s">
        <v>241</v>
      </c>
      <c r="DV337" s="4" t="s">
        <v>811</v>
      </c>
      <c r="DW337" s="4" t="s">
        <v>277</v>
      </c>
      <c r="HO337" s="4" t="s">
        <v>277</v>
      </c>
      <c r="HR337" s="4" t="s">
        <v>278</v>
      </c>
      <c r="HS337" s="4" t="s">
        <v>278</v>
      </c>
    </row>
    <row r="338" spans="1:240" x14ac:dyDescent="0.4">
      <c r="A338" s="4">
        <v>2</v>
      </c>
      <c r="B338" s="4" t="s">
        <v>239</v>
      </c>
      <c r="C338" s="4">
        <v>365</v>
      </c>
      <c r="D338" s="4">
        <v>1</v>
      </c>
      <c r="E338" s="4">
        <v>3</v>
      </c>
      <c r="F338" s="4" t="s">
        <v>240</v>
      </c>
      <c r="G338" s="4" t="s">
        <v>241</v>
      </c>
      <c r="H338" s="4" t="s">
        <v>241</v>
      </c>
      <c r="I338" s="4" t="s">
        <v>809</v>
      </c>
      <c r="J338" s="4" t="s">
        <v>653</v>
      </c>
      <c r="K338" s="4" t="s">
        <v>256</v>
      </c>
      <c r="L338" s="4" t="s">
        <v>658</v>
      </c>
      <c r="M338" s="5" t="s">
        <v>810</v>
      </c>
      <c r="N338" s="4" t="s">
        <v>658</v>
      </c>
      <c r="O338" s="6">
        <f>260</f>
        <v>260</v>
      </c>
      <c r="P338" s="4" t="s">
        <v>276</v>
      </c>
      <c r="Q338" s="6">
        <f>4238000</f>
        <v>4238000</v>
      </c>
      <c r="R338" s="6">
        <f>42380000</f>
        <v>42380000</v>
      </c>
      <c r="S338" s="5" t="s">
        <v>806</v>
      </c>
      <c r="T338" s="4" t="s">
        <v>357</v>
      </c>
      <c r="U338" s="4" t="s">
        <v>399</v>
      </c>
      <c r="V338" s="6">
        <f>1271400</f>
        <v>1271400</v>
      </c>
      <c r="W338" s="6">
        <f>38142000</f>
        <v>38142000</v>
      </c>
      <c r="X338" s="4" t="s">
        <v>243</v>
      </c>
      <c r="Y338" s="4" t="s">
        <v>244</v>
      </c>
      <c r="Z338" s="4" t="s">
        <v>465</v>
      </c>
      <c r="AA338" s="4" t="s">
        <v>241</v>
      </c>
      <c r="AD338" s="4" t="s">
        <v>241</v>
      </c>
      <c r="AE338" s="5" t="s">
        <v>241</v>
      </c>
      <c r="AF338" s="5" t="s">
        <v>241</v>
      </c>
      <c r="AH338" s="5" t="s">
        <v>241</v>
      </c>
      <c r="AI338" s="5" t="s">
        <v>249</v>
      </c>
      <c r="AJ338" s="4" t="s">
        <v>251</v>
      </c>
      <c r="AK338" s="4" t="s">
        <v>252</v>
      </c>
      <c r="AQ338" s="4" t="s">
        <v>241</v>
      </c>
      <c r="AR338" s="4" t="s">
        <v>241</v>
      </c>
      <c r="AS338" s="4" t="s">
        <v>241</v>
      </c>
      <c r="AT338" s="5" t="s">
        <v>241</v>
      </c>
      <c r="AU338" s="5" t="s">
        <v>241</v>
      </c>
      <c r="AV338" s="5" t="s">
        <v>241</v>
      </c>
      <c r="AY338" s="4" t="s">
        <v>286</v>
      </c>
      <c r="AZ338" s="4" t="s">
        <v>286</v>
      </c>
      <c r="BA338" s="4" t="s">
        <v>254</v>
      </c>
      <c r="BB338" s="4" t="s">
        <v>287</v>
      </c>
      <c r="BC338" s="4" t="s">
        <v>255</v>
      </c>
      <c r="BD338" s="4" t="s">
        <v>241</v>
      </c>
      <c r="BE338" s="4" t="s">
        <v>257</v>
      </c>
      <c r="BF338" s="4" t="s">
        <v>241</v>
      </c>
      <c r="BJ338" s="4" t="s">
        <v>288</v>
      </c>
      <c r="BK338" s="5" t="s">
        <v>289</v>
      </c>
      <c r="BL338" s="4" t="s">
        <v>290</v>
      </c>
      <c r="BM338" s="4" t="s">
        <v>290</v>
      </c>
      <c r="BN338" s="4" t="s">
        <v>241</v>
      </c>
      <c r="BO338" s="6">
        <f>0</f>
        <v>0</v>
      </c>
      <c r="BP338" s="6">
        <f>-1271400</f>
        <v>-1271400</v>
      </c>
      <c r="BQ338" s="4" t="s">
        <v>263</v>
      </c>
      <c r="BR338" s="4" t="s">
        <v>264</v>
      </c>
      <c r="BS338" s="4" t="s">
        <v>241</v>
      </c>
      <c r="BT338" s="4" t="s">
        <v>241</v>
      </c>
      <c r="BU338" s="4" t="s">
        <v>241</v>
      </c>
      <c r="BV338" s="4" t="s">
        <v>241</v>
      </c>
      <c r="CE338" s="4" t="s">
        <v>264</v>
      </c>
      <c r="CF338" s="4" t="s">
        <v>241</v>
      </c>
      <c r="CG338" s="4" t="s">
        <v>241</v>
      </c>
      <c r="CK338" s="4" t="s">
        <v>291</v>
      </c>
      <c r="CL338" s="4" t="s">
        <v>266</v>
      </c>
      <c r="CM338" s="4" t="s">
        <v>241</v>
      </c>
      <c r="CO338" s="4" t="s">
        <v>439</v>
      </c>
      <c r="CP338" s="5" t="s">
        <v>268</v>
      </c>
      <c r="CQ338" s="4" t="s">
        <v>269</v>
      </c>
      <c r="CR338" s="4" t="s">
        <v>270</v>
      </c>
      <c r="CS338" s="4" t="s">
        <v>293</v>
      </c>
      <c r="CT338" s="4" t="s">
        <v>241</v>
      </c>
      <c r="CU338" s="4">
        <v>0.03</v>
      </c>
      <c r="CV338" s="4" t="s">
        <v>271</v>
      </c>
      <c r="CW338" s="4" t="s">
        <v>655</v>
      </c>
      <c r="CX338" s="4" t="s">
        <v>487</v>
      </c>
      <c r="CY338" s="6">
        <f>0</f>
        <v>0</v>
      </c>
      <c r="CZ338" s="6">
        <f>42380000</f>
        <v>42380000</v>
      </c>
      <c r="DA338" s="6">
        <f>4238000</f>
        <v>4238000</v>
      </c>
      <c r="DC338" s="4" t="s">
        <v>241</v>
      </c>
      <c r="DD338" s="4" t="s">
        <v>241</v>
      </c>
      <c r="DF338" s="4" t="s">
        <v>241</v>
      </c>
      <c r="DG338" s="6">
        <f>0</f>
        <v>0</v>
      </c>
      <c r="DI338" s="4" t="s">
        <v>241</v>
      </c>
      <c r="DJ338" s="4" t="s">
        <v>241</v>
      </c>
      <c r="DK338" s="4" t="s">
        <v>241</v>
      </c>
      <c r="DL338" s="4" t="s">
        <v>241</v>
      </c>
      <c r="DM338" s="4" t="s">
        <v>277</v>
      </c>
      <c r="DN338" s="4" t="s">
        <v>278</v>
      </c>
      <c r="DO338" s="6">
        <f>260</f>
        <v>260</v>
      </c>
      <c r="DP338" s="4" t="s">
        <v>241</v>
      </c>
      <c r="DQ338" s="4" t="s">
        <v>241</v>
      </c>
      <c r="DR338" s="4" t="s">
        <v>241</v>
      </c>
      <c r="DS338" s="4" t="s">
        <v>241</v>
      </c>
      <c r="DV338" s="4" t="s">
        <v>811</v>
      </c>
      <c r="DW338" s="4" t="s">
        <v>323</v>
      </c>
      <c r="GN338" s="4" t="s">
        <v>812</v>
      </c>
      <c r="HO338" s="4" t="s">
        <v>300</v>
      </c>
      <c r="HR338" s="4" t="s">
        <v>278</v>
      </c>
      <c r="HS338" s="4" t="s">
        <v>278</v>
      </c>
      <c r="HT338" s="4" t="s">
        <v>241</v>
      </c>
      <c r="HU338" s="4" t="s">
        <v>241</v>
      </c>
      <c r="HV338" s="4" t="s">
        <v>241</v>
      </c>
      <c r="HW338" s="4" t="s">
        <v>241</v>
      </c>
      <c r="HX338" s="4" t="s">
        <v>241</v>
      </c>
      <c r="HY338" s="4" t="s">
        <v>241</v>
      </c>
      <c r="HZ338" s="4" t="s">
        <v>241</v>
      </c>
      <c r="IA338" s="4" t="s">
        <v>241</v>
      </c>
      <c r="IB338" s="4" t="s">
        <v>241</v>
      </c>
      <c r="IC338" s="4" t="s">
        <v>241</v>
      </c>
      <c r="ID338" s="4" t="s">
        <v>241</v>
      </c>
      <c r="IE338" s="4" t="s">
        <v>241</v>
      </c>
      <c r="IF338" s="4" t="s">
        <v>241</v>
      </c>
    </row>
    <row r="339" spans="1:240" x14ac:dyDescent="0.4">
      <c r="A339" s="4">
        <v>2</v>
      </c>
      <c r="B339" s="4" t="s">
        <v>239</v>
      </c>
      <c r="C339" s="4">
        <v>366</v>
      </c>
      <c r="D339" s="4">
        <v>1</v>
      </c>
      <c r="E339" s="4">
        <v>3</v>
      </c>
      <c r="F339" s="4" t="s">
        <v>240</v>
      </c>
      <c r="G339" s="4" t="s">
        <v>241</v>
      </c>
      <c r="H339" s="4" t="s">
        <v>241</v>
      </c>
      <c r="I339" s="4" t="s">
        <v>809</v>
      </c>
      <c r="J339" s="4" t="s">
        <v>653</v>
      </c>
      <c r="K339" s="4" t="s">
        <v>256</v>
      </c>
      <c r="L339" s="4" t="s">
        <v>658</v>
      </c>
      <c r="M339" s="5" t="s">
        <v>810</v>
      </c>
      <c r="N339" s="4" t="s">
        <v>658</v>
      </c>
      <c r="O339" s="6">
        <f>155</f>
        <v>155</v>
      </c>
      <c r="P339" s="4" t="s">
        <v>276</v>
      </c>
      <c r="Q339" s="6">
        <f>2526500</f>
        <v>2526500</v>
      </c>
      <c r="R339" s="6">
        <f>25265000</f>
        <v>25265000</v>
      </c>
      <c r="S339" s="5" t="s">
        <v>806</v>
      </c>
      <c r="T339" s="4" t="s">
        <v>357</v>
      </c>
      <c r="U339" s="4" t="s">
        <v>399</v>
      </c>
      <c r="V339" s="6">
        <f>757950</f>
        <v>757950</v>
      </c>
      <c r="W339" s="6">
        <f>22738500</f>
        <v>22738500</v>
      </c>
      <c r="X339" s="4" t="s">
        <v>243</v>
      </c>
      <c r="Y339" s="4" t="s">
        <v>244</v>
      </c>
      <c r="Z339" s="4" t="s">
        <v>465</v>
      </c>
      <c r="AA339" s="4" t="s">
        <v>241</v>
      </c>
      <c r="AD339" s="4" t="s">
        <v>241</v>
      </c>
      <c r="AE339" s="5" t="s">
        <v>241</v>
      </c>
      <c r="AF339" s="5" t="s">
        <v>241</v>
      </c>
      <c r="AH339" s="5" t="s">
        <v>241</v>
      </c>
      <c r="AI339" s="5" t="s">
        <v>249</v>
      </c>
      <c r="AJ339" s="4" t="s">
        <v>251</v>
      </c>
      <c r="AK339" s="4" t="s">
        <v>252</v>
      </c>
      <c r="AQ339" s="4" t="s">
        <v>241</v>
      </c>
      <c r="AR339" s="4" t="s">
        <v>241</v>
      </c>
      <c r="AS339" s="4" t="s">
        <v>241</v>
      </c>
      <c r="AT339" s="5" t="s">
        <v>241</v>
      </c>
      <c r="AU339" s="5" t="s">
        <v>241</v>
      </c>
      <c r="AV339" s="5" t="s">
        <v>241</v>
      </c>
      <c r="AY339" s="4" t="s">
        <v>286</v>
      </c>
      <c r="AZ339" s="4" t="s">
        <v>286</v>
      </c>
      <c r="BA339" s="4" t="s">
        <v>254</v>
      </c>
      <c r="BB339" s="4" t="s">
        <v>287</v>
      </c>
      <c r="BC339" s="4" t="s">
        <v>255</v>
      </c>
      <c r="BD339" s="4" t="s">
        <v>241</v>
      </c>
      <c r="BE339" s="4" t="s">
        <v>257</v>
      </c>
      <c r="BF339" s="4" t="s">
        <v>241</v>
      </c>
      <c r="BJ339" s="4" t="s">
        <v>288</v>
      </c>
      <c r="BK339" s="5" t="s">
        <v>289</v>
      </c>
      <c r="BL339" s="4" t="s">
        <v>290</v>
      </c>
      <c r="BM339" s="4" t="s">
        <v>290</v>
      </c>
      <c r="BN339" s="4" t="s">
        <v>241</v>
      </c>
      <c r="BO339" s="6">
        <f>0</f>
        <v>0</v>
      </c>
      <c r="BP339" s="6">
        <f>-757950</f>
        <v>-757950</v>
      </c>
      <c r="BQ339" s="4" t="s">
        <v>263</v>
      </c>
      <c r="BR339" s="4" t="s">
        <v>264</v>
      </c>
      <c r="BS339" s="4" t="s">
        <v>241</v>
      </c>
      <c r="BT339" s="4" t="s">
        <v>241</v>
      </c>
      <c r="BU339" s="4" t="s">
        <v>241</v>
      </c>
      <c r="BV339" s="4" t="s">
        <v>241</v>
      </c>
      <c r="CE339" s="4" t="s">
        <v>264</v>
      </c>
      <c r="CF339" s="4" t="s">
        <v>241</v>
      </c>
      <c r="CG339" s="4" t="s">
        <v>241</v>
      </c>
      <c r="CK339" s="4" t="s">
        <v>291</v>
      </c>
      <c r="CL339" s="4" t="s">
        <v>266</v>
      </c>
      <c r="CM339" s="4" t="s">
        <v>241</v>
      </c>
      <c r="CO339" s="4" t="s">
        <v>439</v>
      </c>
      <c r="CP339" s="5" t="s">
        <v>268</v>
      </c>
      <c r="CQ339" s="4" t="s">
        <v>269</v>
      </c>
      <c r="CR339" s="4" t="s">
        <v>270</v>
      </c>
      <c r="CS339" s="4" t="s">
        <v>293</v>
      </c>
      <c r="CT339" s="4" t="s">
        <v>241</v>
      </c>
      <c r="CU339" s="4">
        <v>0.03</v>
      </c>
      <c r="CV339" s="4" t="s">
        <v>271</v>
      </c>
      <c r="CW339" s="4" t="s">
        <v>655</v>
      </c>
      <c r="CX339" s="4" t="s">
        <v>487</v>
      </c>
      <c r="CY339" s="6">
        <f>0</f>
        <v>0</v>
      </c>
      <c r="CZ339" s="6">
        <f>25265000</f>
        <v>25265000</v>
      </c>
      <c r="DA339" s="6">
        <f>2526500</f>
        <v>2526500</v>
      </c>
      <c r="DC339" s="4" t="s">
        <v>241</v>
      </c>
      <c r="DD339" s="4" t="s">
        <v>241</v>
      </c>
      <c r="DF339" s="4" t="s">
        <v>241</v>
      </c>
      <c r="DG339" s="6">
        <f>0</f>
        <v>0</v>
      </c>
      <c r="DI339" s="4" t="s">
        <v>241</v>
      </c>
      <c r="DJ339" s="4" t="s">
        <v>241</v>
      </c>
      <c r="DK339" s="4" t="s">
        <v>241</v>
      </c>
      <c r="DL339" s="4" t="s">
        <v>241</v>
      </c>
      <c r="DM339" s="4" t="s">
        <v>277</v>
      </c>
      <c r="DN339" s="4" t="s">
        <v>278</v>
      </c>
      <c r="DO339" s="6">
        <f>155</f>
        <v>155</v>
      </c>
      <c r="DP339" s="4" t="s">
        <v>241</v>
      </c>
      <c r="DQ339" s="4" t="s">
        <v>241</v>
      </c>
      <c r="DR339" s="4" t="s">
        <v>241</v>
      </c>
      <c r="DS339" s="4" t="s">
        <v>241</v>
      </c>
      <c r="DV339" s="4" t="s">
        <v>811</v>
      </c>
      <c r="DW339" s="4" t="s">
        <v>297</v>
      </c>
      <c r="GN339" s="4" t="s">
        <v>813</v>
      </c>
      <c r="HO339" s="4" t="s">
        <v>300</v>
      </c>
      <c r="HR339" s="4" t="s">
        <v>278</v>
      </c>
      <c r="HS339" s="4" t="s">
        <v>278</v>
      </c>
      <c r="HT339" s="4" t="s">
        <v>241</v>
      </c>
      <c r="HU339" s="4" t="s">
        <v>241</v>
      </c>
      <c r="HV339" s="4" t="s">
        <v>241</v>
      </c>
      <c r="HW339" s="4" t="s">
        <v>241</v>
      </c>
      <c r="HX339" s="4" t="s">
        <v>241</v>
      </c>
      <c r="HY339" s="4" t="s">
        <v>241</v>
      </c>
      <c r="HZ339" s="4" t="s">
        <v>241</v>
      </c>
      <c r="IA339" s="4" t="s">
        <v>241</v>
      </c>
      <c r="IB339" s="4" t="s">
        <v>241</v>
      </c>
      <c r="IC339" s="4" t="s">
        <v>241</v>
      </c>
      <c r="ID339" s="4" t="s">
        <v>241</v>
      </c>
      <c r="IE339" s="4" t="s">
        <v>241</v>
      </c>
      <c r="IF339" s="4" t="s">
        <v>241</v>
      </c>
    </row>
    <row r="340" spans="1:240" x14ac:dyDescent="0.4">
      <c r="A340" s="4">
        <v>2</v>
      </c>
      <c r="B340" s="4" t="s">
        <v>239</v>
      </c>
      <c r="C340" s="4">
        <v>367</v>
      </c>
      <c r="D340" s="4">
        <v>1</v>
      </c>
      <c r="E340" s="4">
        <v>3</v>
      </c>
      <c r="F340" s="4" t="s">
        <v>326</v>
      </c>
      <c r="G340" s="4" t="s">
        <v>241</v>
      </c>
      <c r="H340" s="4" t="s">
        <v>241</v>
      </c>
      <c r="I340" s="4" t="s">
        <v>809</v>
      </c>
      <c r="J340" s="4" t="s">
        <v>653</v>
      </c>
      <c r="K340" s="4" t="s">
        <v>256</v>
      </c>
      <c r="L340" s="4" t="s">
        <v>241</v>
      </c>
      <c r="M340" s="5" t="s">
        <v>810</v>
      </c>
      <c r="N340" s="4" t="s">
        <v>2747</v>
      </c>
      <c r="O340" s="6">
        <f>0</f>
        <v>0</v>
      </c>
      <c r="P340" s="4" t="s">
        <v>276</v>
      </c>
      <c r="Q340" s="6">
        <f>7099144</f>
        <v>7099144</v>
      </c>
      <c r="R340" s="6">
        <f>8391422</f>
        <v>8391422</v>
      </c>
      <c r="S340" s="5" t="s">
        <v>2849</v>
      </c>
      <c r="T340" s="4" t="s">
        <v>322</v>
      </c>
      <c r="U340" s="4" t="s">
        <v>277</v>
      </c>
      <c r="V340" s="6">
        <f>646139</f>
        <v>646139</v>
      </c>
      <c r="W340" s="6">
        <f>1292278</f>
        <v>1292278</v>
      </c>
      <c r="X340" s="4" t="s">
        <v>243</v>
      </c>
      <c r="Y340" s="4" t="s">
        <v>244</v>
      </c>
      <c r="Z340" s="4" t="s">
        <v>241</v>
      </c>
      <c r="AA340" s="4" t="s">
        <v>241</v>
      </c>
      <c r="AD340" s="4" t="s">
        <v>241</v>
      </c>
      <c r="AE340" s="5" t="s">
        <v>241</v>
      </c>
      <c r="AF340" s="5" t="s">
        <v>241</v>
      </c>
      <c r="AH340" s="5" t="s">
        <v>241</v>
      </c>
      <c r="AI340" s="5" t="s">
        <v>249</v>
      </c>
      <c r="AJ340" s="4" t="s">
        <v>251</v>
      </c>
      <c r="AK340" s="4" t="s">
        <v>252</v>
      </c>
      <c r="AQ340" s="4" t="s">
        <v>241</v>
      </c>
      <c r="AR340" s="4" t="s">
        <v>241</v>
      </c>
      <c r="AS340" s="4" t="s">
        <v>241</v>
      </c>
      <c r="AT340" s="5" t="s">
        <v>241</v>
      </c>
      <c r="AU340" s="5" t="s">
        <v>241</v>
      </c>
      <c r="AV340" s="5" t="s">
        <v>241</v>
      </c>
      <c r="AY340" s="4" t="s">
        <v>286</v>
      </c>
      <c r="AZ340" s="4" t="s">
        <v>286</v>
      </c>
      <c r="BA340" s="4" t="s">
        <v>254</v>
      </c>
      <c r="BB340" s="4" t="s">
        <v>287</v>
      </c>
      <c r="BC340" s="4" t="s">
        <v>255</v>
      </c>
      <c r="BD340" s="4" t="s">
        <v>241</v>
      </c>
      <c r="BE340" s="4" t="s">
        <v>257</v>
      </c>
      <c r="BF340" s="4" t="s">
        <v>241</v>
      </c>
      <c r="BJ340" s="4" t="s">
        <v>288</v>
      </c>
      <c r="BK340" s="5" t="s">
        <v>289</v>
      </c>
      <c r="BL340" s="4" t="s">
        <v>290</v>
      </c>
      <c r="BM340" s="4" t="s">
        <v>290</v>
      </c>
      <c r="BN340" s="4" t="s">
        <v>241</v>
      </c>
      <c r="BP340" s="6">
        <f>-646139</f>
        <v>-646139</v>
      </c>
      <c r="BQ340" s="4" t="s">
        <v>263</v>
      </c>
      <c r="BR340" s="4" t="s">
        <v>264</v>
      </c>
      <c r="BS340" s="4" t="s">
        <v>241</v>
      </c>
      <c r="BT340" s="4" t="s">
        <v>241</v>
      </c>
      <c r="BU340" s="4" t="s">
        <v>241</v>
      </c>
      <c r="BV340" s="4" t="s">
        <v>241</v>
      </c>
      <c r="CE340" s="4" t="s">
        <v>264</v>
      </c>
      <c r="CF340" s="4" t="s">
        <v>241</v>
      </c>
      <c r="CG340" s="4" t="s">
        <v>241</v>
      </c>
      <c r="CK340" s="4" t="s">
        <v>291</v>
      </c>
      <c r="CL340" s="4" t="s">
        <v>266</v>
      </c>
      <c r="CM340" s="4" t="s">
        <v>241</v>
      </c>
      <c r="CO340" s="4" t="s">
        <v>331</v>
      </c>
      <c r="CP340" s="5" t="s">
        <v>268</v>
      </c>
      <c r="CQ340" s="4" t="s">
        <v>269</v>
      </c>
      <c r="CR340" s="4" t="s">
        <v>270</v>
      </c>
      <c r="CS340" s="4" t="s">
        <v>293</v>
      </c>
      <c r="CT340" s="4" t="s">
        <v>241</v>
      </c>
      <c r="CU340" s="4">
        <v>7.6999999999999999E-2</v>
      </c>
      <c r="CV340" s="4" t="s">
        <v>271</v>
      </c>
      <c r="CW340" s="4" t="s">
        <v>415</v>
      </c>
      <c r="CX340" s="4" t="s">
        <v>428</v>
      </c>
      <c r="CY340" s="6">
        <f>0</f>
        <v>0</v>
      </c>
      <c r="CZ340" s="6">
        <f>8391422</f>
        <v>8391422</v>
      </c>
      <c r="DA340" s="6">
        <f>7099144</f>
        <v>7099144</v>
      </c>
      <c r="DC340" s="4" t="s">
        <v>241</v>
      </c>
      <c r="DD340" s="4" t="s">
        <v>241</v>
      </c>
      <c r="DF340" s="4" t="s">
        <v>241</v>
      </c>
      <c r="DG340" s="6">
        <f>0</f>
        <v>0</v>
      </c>
      <c r="DI340" s="4" t="s">
        <v>241</v>
      </c>
      <c r="DJ340" s="4" t="s">
        <v>241</v>
      </c>
      <c r="DK340" s="4" t="s">
        <v>241</v>
      </c>
      <c r="DL340" s="4" t="s">
        <v>241</v>
      </c>
      <c r="DM340" s="4" t="s">
        <v>278</v>
      </c>
      <c r="DN340" s="4" t="s">
        <v>278</v>
      </c>
      <c r="DO340" s="6" t="s">
        <v>241</v>
      </c>
      <c r="DP340" s="4" t="s">
        <v>241</v>
      </c>
      <c r="DQ340" s="4" t="s">
        <v>241</v>
      </c>
      <c r="DR340" s="4" t="s">
        <v>241</v>
      </c>
      <c r="DS340" s="4" t="s">
        <v>241</v>
      </c>
      <c r="DV340" s="4" t="s">
        <v>811</v>
      </c>
      <c r="DW340" s="4" t="s">
        <v>336</v>
      </c>
      <c r="GN340" s="4" t="s">
        <v>2850</v>
      </c>
      <c r="HO340" s="4" t="s">
        <v>297</v>
      </c>
      <c r="HR340" s="4" t="s">
        <v>278</v>
      </c>
      <c r="HS340" s="4" t="s">
        <v>278</v>
      </c>
      <c r="HT340" s="4" t="s">
        <v>241</v>
      </c>
      <c r="HU340" s="4" t="s">
        <v>241</v>
      </c>
      <c r="HV340" s="4" t="s">
        <v>241</v>
      </c>
      <c r="HW340" s="4" t="s">
        <v>241</v>
      </c>
      <c r="HX340" s="4" t="s">
        <v>241</v>
      </c>
      <c r="HY340" s="4" t="s">
        <v>241</v>
      </c>
      <c r="HZ340" s="4" t="s">
        <v>241</v>
      </c>
      <c r="IA340" s="4" t="s">
        <v>241</v>
      </c>
      <c r="IB340" s="4" t="s">
        <v>241</v>
      </c>
      <c r="IC340" s="4" t="s">
        <v>241</v>
      </c>
      <c r="ID340" s="4" t="s">
        <v>241</v>
      </c>
      <c r="IE340" s="4" t="s">
        <v>241</v>
      </c>
      <c r="IF340" s="4" t="s">
        <v>241</v>
      </c>
    </row>
    <row r="341" spans="1:240" x14ac:dyDescent="0.4">
      <c r="A341" s="4">
        <v>2</v>
      </c>
      <c r="B341" s="4" t="s">
        <v>239</v>
      </c>
      <c r="C341" s="4">
        <v>372</v>
      </c>
      <c r="D341" s="4">
        <v>1</v>
      </c>
      <c r="E341" s="4">
        <v>1</v>
      </c>
      <c r="F341" s="4" t="s">
        <v>240</v>
      </c>
      <c r="G341" s="4" t="s">
        <v>241</v>
      </c>
      <c r="H341" s="4" t="s">
        <v>241</v>
      </c>
      <c r="I341" s="4" t="s">
        <v>823</v>
      </c>
      <c r="J341" s="4" t="s">
        <v>653</v>
      </c>
      <c r="K341" s="4" t="s">
        <v>256</v>
      </c>
      <c r="L341" s="4" t="s">
        <v>2529</v>
      </c>
      <c r="M341" s="5" t="s">
        <v>825</v>
      </c>
      <c r="N341" s="4" t="s">
        <v>2529</v>
      </c>
      <c r="O341" s="6">
        <f>99</f>
        <v>99</v>
      </c>
      <c r="P341" s="4" t="s">
        <v>276</v>
      </c>
      <c r="Q341" s="6">
        <f>1</f>
        <v>1</v>
      </c>
      <c r="R341" s="6">
        <f>16137000</f>
        <v>16137000</v>
      </c>
      <c r="S341" s="5" t="s">
        <v>400</v>
      </c>
      <c r="T341" s="4" t="s">
        <v>348</v>
      </c>
      <c r="U341" s="4" t="s">
        <v>401</v>
      </c>
      <c r="W341" s="6">
        <f>16136999</f>
        <v>16136999</v>
      </c>
      <c r="X341" s="4" t="s">
        <v>243</v>
      </c>
      <c r="Y341" s="4" t="s">
        <v>244</v>
      </c>
      <c r="Z341" s="4" t="s">
        <v>465</v>
      </c>
      <c r="AA341" s="4" t="s">
        <v>241</v>
      </c>
      <c r="AD341" s="4" t="s">
        <v>241</v>
      </c>
      <c r="AF341" s="5" t="s">
        <v>241</v>
      </c>
      <c r="AI341" s="5" t="s">
        <v>249</v>
      </c>
      <c r="AJ341" s="4" t="s">
        <v>251</v>
      </c>
      <c r="AK341" s="4" t="s">
        <v>252</v>
      </c>
      <c r="BA341" s="4" t="s">
        <v>254</v>
      </c>
      <c r="BB341" s="4" t="s">
        <v>241</v>
      </c>
      <c r="BC341" s="4" t="s">
        <v>255</v>
      </c>
      <c r="BD341" s="4" t="s">
        <v>241</v>
      </c>
      <c r="BE341" s="4" t="s">
        <v>257</v>
      </c>
      <c r="BF341" s="4" t="s">
        <v>241</v>
      </c>
      <c r="BJ341" s="4" t="s">
        <v>367</v>
      </c>
      <c r="BK341" s="5" t="s">
        <v>249</v>
      </c>
      <c r="BL341" s="4" t="s">
        <v>261</v>
      </c>
      <c r="BM341" s="4" t="s">
        <v>262</v>
      </c>
      <c r="BN341" s="4" t="s">
        <v>241</v>
      </c>
      <c r="BO341" s="6">
        <f>0</f>
        <v>0</v>
      </c>
      <c r="BP341" s="6">
        <f>0</f>
        <v>0</v>
      </c>
      <c r="BQ341" s="4" t="s">
        <v>263</v>
      </c>
      <c r="BR341" s="4" t="s">
        <v>264</v>
      </c>
      <c r="CF341" s="4" t="s">
        <v>241</v>
      </c>
      <c r="CG341" s="4" t="s">
        <v>241</v>
      </c>
      <c r="CK341" s="4" t="s">
        <v>291</v>
      </c>
      <c r="CL341" s="4" t="s">
        <v>266</v>
      </c>
      <c r="CM341" s="4" t="s">
        <v>241</v>
      </c>
      <c r="CO341" s="4" t="s">
        <v>313</v>
      </c>
      <c r="CP341" s="5" t="s">
        <v>268</v>
      </c>
      <c r="CQ341" s="4" t="s">
        <v>269</v>
      </c>
      <c r="CR341" s="4" t="s">
        <v>270</v>
      </c>
      <c r="CS341" s="4" t="s">
        <v>241</v>
      </c>
      <c r="CT341" s="4" t="s">
        <v>241</v>
      </c>
      <c r="CU341" s="4">
        <v>0</v>
      </c>
      <c r="CV341" s="4" t="s">
        <v>271</v>
      </c>
      <c r="CW341" s="4" t="s">
        <v>415</v>
      </c>
      <c r="CX341" s="4" t="s">
        <v>416</v>
      </c>
      <c r="CZ341" s="6">
        <f>16137000</f>
        <v>16137000</v>
      </c>
      <c r="DA341" s="6">
        <f>0</f>
        <v>0</v>
      </c>
      <c r="DC341" s="4" t="s">
        <v>241</v>
      </c>
      <c r="DD341" s="4" t="s">
        <v>241</v>
      </c>
      <c r="DF341" s="4" t="s">
        <v>241</v>
      </c>
      <c r="DI341" s="4" t="s">
        <v>241</v>
      </c>
      <c r="DJ341" s="4" t="s">
        <v>241</v>
      </c>
      <c r="DK341" s="4" t="s">
        <v>241</v>
      </c>
      <c r="DL341" s="4" t="s">
        <v>241</v>
      </c>
      <c r="DM341" s="4" t="s">
        <v>277</v>
      </c>
      <c r="DN341" s="4" t="s">
        <v>278</v>
      </c>
      <c r="DO341" s="6">
        <f>99</f>
        <v>99</v>
      </c>
      <c r="DP341" s="4" t="s">
        <v>241</v>
      </c>
      <c r="DQ341" s="4" t="s">
        <v>241</v>
      </c>
      <c r="DR341" s="4" t="s">
        <v>241</v>
      </c>
      <c r="DS341" s="4" t="s">
        <v>241</v>
      </c>
      <c r="DV341" s="4" t="s">
        <v>827</v>
      </c>
      <c r="DW341" s="4" t="s">
        <v>277</v>
      </c>
      <c r="HO341" s="4" t="s">
        <v>277</v>
      </c>
      <c r="HR341" s="4" t="s">
        <v>278</v>
      </c>
      <c r="HS341" s="4" t="s">
        <v>278</v>
      </c>
    </row>
    <row r="342" spans="1:240" x14ac:dyDescent="0.4">
      <c r="A342" s="4">
        <v>2</v>
      </c>
      <c r="B342" s="4" t="s">
        <v>239</v>
      </c>
      <c r="C342" s="4">
        <v>373</v>
      </c>
      <c r="D342" s="4">
        <v>1</v>
      </c>
      <c r="E342" s="4">
        <v>3</v>
      </c>
      <c r="F342" s="4" t="s">
        <v>240</v>
      </c>
      <c r="G342" s="4" t="s">
        <v>241</v>
      </c>
      <c r="H342" s="4" t="s">
        <v>241</v>
      </c>
      <c r="I342" s="4" t="s">
        <v>823</v>
      </c>
      <c r="J342" s="4" t="s">
        <v>653</v>
      </c>
      <c r="K342" s="4" t="s">
        <v>256</v>
      </c>
      <c r="L342" s="4" t="s">
        <v>651</v>
      </c>
      <c r="M342" s="5" t="s">
        <v>825</v>
      </c>
      <c r="N342" s="4" t="s">
        <v>651</v>
      </c>
      <c r="O342" s="6">
        <f>6511</f>
        <v>6511</v>
      </c>
      <c r="P342" s="4" t="s">
        <v>276</v>
      </c>
      <c r="Q342" s="6">
        <f>1022882028</f>
        <v>1022882028</v>
      </c>
      <c r="R342" s="6">
        <f>1275414000</f>
        <v>1275414000</v>
      </c>
      <c r="S342" s="5" t="s">
        <v>824</v>
      </c>
      <c r="T342" s="4" t="s">
        <v>668</v>
      </c>
      <c r="U342" s="4" t="s">
        <v>343</v>
      </c>
      <c r="V342" s="6">
        <f>28059108</f>
        <v>28059108</v>
      </c>
      <c r="W342" s="6">
        <f>252531972</f>
        <v>252531972</v>
      </c>
      <c r="X342" s="4" t="s">
        <v>243</v>
      </c>
      <c r="Y342" s="4" t="s">
        <v>244</v>
      </c>
      <c r="Z342" s="4" t="s">
        <v>465</v>
      </c>
      <c r="AA342" s="4" t="s">
        <v>241</v>
      </c>
      <c r="AD342" s="4" t="s">
        <v>241</v>
      </c>
      <c r="AE342" s="5" t="s">
        <v>241</v>
      </c>
      <c r="AF342" s="5" t="s">
        <v>241</v>
      </c>
      <c r="AH342" s="5" t="s">
        <v>241</v>
      </c>
      <c r="AI342" s="5" t="s">
        <v>249</v>
      </c>
      <c r="AJ342" s="4" t="s">
        <v>251</v>
      </c>
      <c r="AK342" s="4" t="s">
        <v>252</v>
      </c>
      <c r="AQ342" s="4" t="s">
        <v>241</v>
      </c>
      <c r="AR342" s="4" t="s">
        <v>241</v>
      </c>
      <c r="AS342" s="4" t="s">
        <v>241</v>
      </c>
      <c r="AT342" s="5" t="s">
        <v>241</v>
      </c>
      <c r="AU342" s="5" t="s">
        <v>241</v>
      </c>
      <c r="AV342" s="5" t="s">
        <v>241</v>
      </c>
      <c r="AY342" s="4" t="s">
        <v>286</v>
      </c>
      <c r="AZ342" s="4" t="s">
        <v>286</v>
      </c>
      <c r="BA342" s="4" t="s">
        <v>254</v>
      </c>
      <c r="BB342" s="4" t="s">
        <v>287</v>
      </c>
      <c r="BC342" s="4" t="s">
        <v>255</v>
      </c>
      <c r="BD342" s="4" t="s">
        <v>241</v>
      </c>
      <c r="BE342" s="4" t="s">
        <v>257</v>
      </c>
      <c r="BF342" s="4" t="s">
        <v>241</v>
      </c>
      <c r="BJ342" s="4" t="s">
        <v>288</v>
      </c>
      <c r="BK342" s="5" t="s">
        <v>289</v>
      </c>
      <c r="BL342" s="4" t="s">
        <v>290</v>
      </c>
      <c r="BM342" s="4" t="s">
        <v>290</v>
      </c>
      <c r="BN342" s="4" t="s">
        <v>241</v>
      </c>
      <c r="BO342" s="6">
        <f>0</f>
        <v>0</v>
      </c>
      <c r="BP342" s="6">
        <f>-28059108</f>
        <v>-28059108</v>
      </c>
      <c r="BQ342" s="4" t="s">
        <v>263</v>
      </c>
      <c r="BR342" s="4" t="s">
        <v>264</v>
      </c>
      <c r="BS342" s="4" t="s">
        <v>241</v>
      </c>
      <c r="BT342" s="4" t="s">
        <v>241</v>
      </c>
      <c r="BU342" s="4" t="s">
        <v>241</v>
      </c>
      <c r="BV342" s="4" t="s">
        <v>241</v>
      </c>
      <c r="CE342" s="4" t="s">
        <v>264</v>
      </c>
      <c r="CF342" s="4" t="s">
        <v>241</v>
      </c>
      <c r="CG342" s="4" t="s">
        <v>241</v>
      </c>
      <c r="CK342" s="4" t="s">
        <v>291</v>
      </c>
      <c r="CL342" s="4" t="s">
        <v>266</v>
      </c>
      <c r="CM342" s="4" t="s">
        <v>241</v>
      </c>
      <c r="CO342" s="4" t="s">
        <v>826</v>
      </c>
      <c r="CP342" s="5" t="s">
        <v>268</v>
      </c>
      <c r="CQ342" s="4" t="s">
        <v>269</v>
      </c>
      <c r="CR342" s="4" t="s">
        <v>270</v>
      </c>
      <c r="CS342" s="4" t="s">
        <v>293</v>
      </c>
      <c r="CT342" s="4" t="s">
        <v>241</v>
      </c>
      <c r="CU342" s="4">
        <v>2.1999999999999999E-2</v>
      </c>
      <c r="CV342" s="4" t="s">
        <v>271</v>
      </c>
      <c r="CW342" s="4" t="s">
        <v>655</v>
      </c>
      <c r="CX342" s="4" t="s">
        <v>295</v>
      </c>
      <c r="CY342" s="6">
        <f>0</f>
        <v>0</v>
      </c>
      <c r="CZ342" s="6">
        <f>1275414000</f>
        <v>1275414000</v>
      </c>
      <c r="DA342" s="6">
        <f>1022882028</f>
        <v>1022882028</v>
      </c>
      <c r="DC342" s="4" t="s">
        <v>241</v>
      </c>
      <c r="DD342" s="4" t="s">
        <v>241</v>
      </c>
      <c r="DF342" s="4" t="s">
        <v>241</v>
      </c>
      <c r="DG342" s="6">
        <f>0</f>
        <v>0</v>
      </c>
      <c r="DI342" s="4" t="s">
        <v>241</v>
      </c>
      <c r="DJ342" s="4" t="s">
        <v>241</v>
      </c>
      <c r="DK342" s="4" t="s">
        <v>241</v>
      </c>
      <c r="DL342" s="4" t="s">
        <v>241</v>
      </c>
      <c r="DM342" s="4" t="s">
        <v>297</v>
      </c>
      <c r="DN342" s="4" t="s">
        <v>278</v>
      </c>
      <c r="DO342" s="6">
        <f>6511</f>
        <v>6511</v>
      </c>
      <c r="DP342" s="4" t="s">
        <v>241</v>
      </c>
      <c r="DQ342" s="4" t="s">
        <v>241</v>
      </c>
      <c r="DR342" s="4" t="s">
        <v>241</v>
      </c>
      <c r="DS342" s="4" t="s">
        <v>241</v>
      </c>
      <c r="DV342" s="4" t="s">
        <v>827</v>
      </c>
      <c r="DW342" s="4" t="s">
        <v>323</v>
      </c>
      <c r="GN342" s="4" t="s">
        <v>828</v>
      </c>
      <c r="HO342" s="4" t="s">
        <v>300</v>
      </c>
      <c r="HR342" s="4" t="s">
        <v>278</v>
      </c>
      <c r="HS342" s="4" t="s">
        <v>278</v>
      </c>
      <c r="HT342" s="4" t="s">
        <v>241</v>
      </c>
      <c r="HU342" s="4" t="s">
        <v>241</v>
      </c>
      <c r="HV342" s="4" t="s">
        <v>241</v>
      </c>
      <c r="HW342" s="4" t="s">
        <v>241</v>
      </c>
      <c r="HX342" s="4" t="s">
        <v>241</v>
      </c>
      <c r="HY342" s="4" t="s">
        <v>241</v>
      </c>
      <c r="HZ342" s="4" t="s">
        <v>241</v>
      </c>
      <c r="IA342" s="4" t="s">
        <v>241</v>
      </c>
      <c r="IB342" s="4" t="s">
        <v>241</v>
      </c>
      <c r="IC342" s="4" t="s">
        <v>241</v>
      </c>
      <c r="ID342" s="4" t="s">
        <v>241</v>
      </c>
      <c r="IE342" s="4" t="s">
        <v>241</v>
      </c>
      <c r="IF342" s="4" t="s">
        <v>241</v>
      </c>
    </row>
    <row r="343" spans="1:240" x14ac:dyDescent="0.4">
      <c r="A343" s="4">
        <v>2</v>
      </c>
      <c r="B343" s="4" t="s">
        <v>239</v>
      </c>
      <c r="C343" s="4">
        <v>374</v>
      </c>
      <c r="D343" s="4">
        <v>1</v>
      </c>
      <c r="E343" s="4">
        <v>3</v>
      </c>
      <c r="F343" s="4" t="s">
        <v>240</v>
      </c>
      <c r="G343" s="4" t="s">
        <v>241</v>
      </c>
      <c r="H343" s="4" t="s">
        <v>241</v>
      </c>
      <c r="I343" s="4" t="s">
        <v>823</v>
      </c>
      <c r="J343" s="4" t="s">
        <v>653</v>
      </c>
      <c r="K343" s="4" t="s">
        <v>256</v>
      </c>
      <c r="L343" s="4" t="s">
        <v>1003</v>
      </c>
      <c r="M343" s="5" t="s">
        <v>825</v>
      </c>
      <c r="N343" s="4" t="s">
        <v>1003</v>
      </c>
      <c r="O343" s="6">
        <f>1595</f>
        <v>1595</v>
      </c>
      <c r="P343" s="4" t="s">
        <v>276</v>
      </c>
      <c r="Q343" s="6">
        <f>325751550</f>
        <v>325751550</v>
      </c>
      <c r="R343" s="6">
        <f>446235000</f>
        <v>446235000</v>
      </c>
      <c r="S343" s="5" t="s">
        <v>824</v>
      </c>
      <c r="T343" s="4" t="s">
        <v>357</v>
      </c>
      <c r="U343" s="4" t="s">
        <v>343</v>
      </c>
      <c r="V343" s="6">
        <f>13387050</f>
        <v>13387050</v>
      </c>
      <c r="W343" s="6">
        <f>120483450</f>
        <v>120483450</v>
      </c>
      <c r="X343" s="4" t="s">
        <v>243</v>
      </c>
      <c r="Y343" s="4" t="s">
        <v>244</v>
      </c>
      <c r="Z343" s="4" t="s">
        <v>465</v>
      </c>
      <c r="AA343" s="4" t="s">
        <v>241</v>
      </c>
      <c r="AD343" s="4" t="s">
        <v>241</v>
      </c>
      <c r="AE343" s="5" t="s">
        <v>241</v>
      </c>
      <c r="AF343" s="5" t="s">
        <v>241</v>
      </c>
      <c r="AH343" s="5" t="s">
        <v>241</v>
      </c>
      <c r="AI343" s="5" t="s">
        <v>249</v>
      </c>
      <c r="AJ343" s="4" t="s">
        <v>251</v>
      </c>
      <c r="AK343" s="4" t="s">
        <v>252</v>
      </c>
      <c r="AQ343" s="4" t="s">
        <v>241</v>
      </c>
      <c r="AR343" s="4" t="s">
        <v>241</v>
      </c>
      <c r="AS343" s="4" t="s">
        <v>241</v>
      </c>
      <c r="AT343" s="5" t="s">
        <v>241</v>
      </c>
      <c r="AU343" s="5" t="s">
        <v>241</v>
      </c>
      <c r="AV343" s="5" t="s">
        <v>241</v>
      </c>
      <c r="AY343" s="4" t="s">
        <v>286</v>
      </c>
      <c r="AZ343" s="4" t="s">
        <v>286</v>
      </c>
      <c r="BA343" s="4" t="s">
        <v>254</v>
      </c>
      <c r="BB343" s="4" t="s">
        <v>287</v>
      </c>
      <c r="BC343" s="4" t="s">
        <v>255</v>
      </c>
      <c r="BD343" s="4" t="s">
        <v>241</v>
      </c>
      <c r="BE343" s="4" t="s">
        <v>257</v>
      </c>
      <c r="BF343" s="4" t="s">
        <v>241</v>
      </c>
      <c r="BJ343" s="4" t="s">
        <v>288</v>
      </c>
      <c r="BK343" s="5" t="s">
        <v>289</v>
      </c>
      <c r="BL343" s="4" t="s">
        <v>290</v>
      </c>
      <c r="BM343" s="4" t="s">
        <v>290</v>
      </c>
      <c r="BN343" s="4" t="s">
        <v>241</v>
      </c>
      <c r="BO343" s="6">
        <f>0</f>
        <v>0</v>
      </c>
      <c r="BP343" s="6">
        <f>-13387050</f>
        <v>-13387050</v>
      </c>
      <c r="BQ343" s="4" t="s">
        <v>263</v>
      </c>
      <c r="BR343" s="4" t="s">
        <v>264</v>
      </c>
      <c r="BS343" s="4" t="s">
        <v>241</v>
      </c>
      <c r="BT343" s="4" t="s">
        <v>241</v>
      </c>
      <c r="BU343" s="4" t="s">
        <v>241</v>
      </c>
      <c r="BV343" s="4" t="s">
        <v>241</v>
      </c>
      <c r="CE343" s="4" t="s">
        <v>264</v>
      </c>
      <c r="CF343" s="4" t="s">
        <v>241</v>
      </c>
      <c r="CG343" s="4" t="s">
        <v>241</v>
      </c>
      <c r="CK343" s="4" t="s">
        <v>291</v>
      </c>
      <c r="CL343" s="4" t="s">
        <v>266</v>
      </c>
      <c r="CM343" s="4" t="s">
        <v>241</v>
      </c>
      <c r="CO343" s="4" t="s">
        <v>826</v>
      </c>
      <c r="CP343" s="5" t="s">
        <v>268</v>
      </c>
      <c r="CQ343" s="4" t="s">
        <v>269</v>
      </c>
      <c r="CR343" s="4" t="s">
        <v>270</v>
      </c>
      <c r="CS343" s="4" t="s">
        <v>293</v>
      </c>
      <c r="CT343" s="4" t="s">
        <v>241</v>
      </c>
      <c r="CU343" s="4">
        <v>0.03</v>
      </c>
      <c r="CV343" s="4" t="s">
        <v>271</v>
      </c>
      <c r="CW343" s="4" t="s">
        <v>1006</v>
      </c>
      <c r="CX343" s="4" t="s">
        <v>487</v>
      </c>
      <c r="CY343" s="6">
        <f>0</f>
        <v>0</v>
      </c>
      <c r="CZ343" s="6">
        <f>446235000</f>
        <v>446235000</v>
      </c>
      <c r="DA343" s="6">
        <f>325751550</f>
        <v>325751550</v>
      </c>
      <c r="DC343" s="4" t="s">
        <v>241</v>
      </c>
      <c r="DD343" s="4" t="s">
        <v>241</v>
      </c>
      <c r="DF343" s="4" t="s">
        <v>241</v>
      </c>
      <c r="DG343" s="6">
        <f>0</f>
        <v>0</v>
      </c>
      <c r="DI343" s="4" t="s">
        <v>241</v>
      </c>
      <c r="DJ343" s="4" t="s">
        <v>241</v>
      </c>
      <c r="DK343" s="4" t="s">
        <v>241</v>
      </c>
      <c r="DL343" s="4" t="s">
        <v>241</v>
      </c>
      <c r="DM343" s="4" t="s">
        <v>277</v>
      </c>
      <c r="DN343" s="4" t="s">
        <v>278</v>
      </c>
      <c r="DO343" s="6">
        <f>1595</f>
        <v>1595</v>
      </c>
      <c r="DP343" s="4" t="s">
        <v>241</v>
      </c>
      <c r="DQ343" s="4" t="s">
        <v>241</v>
      </c>
      <c r="DR343" s="4" t="s">
        <v>241</v>
      </c>
      <c r="DS343" s="4" t="s">
        <v>241</v>
      </c>
      <c r="DV343" s="4" t="s">
        <v>827</v>
      </c>
      <c r="DW343" s="4" t="s">
        <v>297</v>
      </c>
      <c r="GN343" s="4" t="s">
        <v>1106</v>
      </c>
      <c r="HO343" s="4" t="s">
        <v>300</v>
      </c>
      <c r="HR343" s="4" t="s">
        <v>278</v>
      </c>
      <c r="HS343" s="4" t="s">
        <v>278</v>
      </c>
      <c r="HT343" s="4" t="s">
        <v>241</v>
      </c>
      <c r="HU343" s="4" t="s">
        <v>241</v>
      </c>
      <c r="HV343" s="4" t="s">
        <v>241</v>
      </c>
      <c r="HW343" s="4" t="s">
        <v>241</v>
      </c>
      <c r="HX343" s="4" t="s">
        <v>241</v>
      </c>
      <c r="HY343" s="4" t="s">
        <v>241</v>
      </c>
      <c r="HZ343" s="4" t="s">
        <v>241</v>
      </c>
      <c r="IA343" s="4" t="s">
        <v>241</v>
      </c>
      <c r="IB343" s="4" t="s">
        <v>241</v>
      </c>
      <c r="IC343" s="4" t="s">
        <v>241</v>
      </c>
      <c r="ID343" s="4" t="s">
        <v>241</v>
      </c>
      <c r="IE343" s="4" t="s">
        <v>241</v>
      </c>
      <c r="IF343" s="4" t="s">
        <v>241</v>
      </c>
    </row>
    <row r="344" spans="1:240" x14ac:dyDescent="0.4">
      <c r="A344" s="4">
        <v>2</v>
      </c>
      <c r="B344" s="4" t="s">
        <v>239</v>
      </c>
      <c r="C344" s="4">
        <v>375</v>
      </c>
      <c r="D344" s="4">
        <v>1</v>
      </c>
      <c r="E344" s="4">
        <v>1</v>
      </c>
      <c r="F344" s="4" t="s">
        <v>240</v>
      </c>
      <c r="G344" s="4" t="s">
        <v>241</v>
      </c>
      <c r="H344" s="4" t="s">
        <v>241</v>
      </c>
      <c r="I344" s="4" t="s">
        <v>823</v>
      </c>
      <c r="J344" s="4" t="s">
        <v>653</v>
      </c>
      <c r="K344" s="4" t="s">
        <v>256</v>
      </c>
      <c r="L344" s="4" t="s">
        <v>429</v>
      </c>
      <c r="M344" s="5" t="s">
        <v>825</v>
      </c>
      <c r="N344" s="4" t="s">
        <v>3037</v>
      </c>
      <c r="O344" s="6">
        <f>19</f>
        <v>19</v>
      </c>
      <c r="P344" s="4" t="s">
        <v>276</v>
      </c>
      <c r="Q344" s="6">
        <f>1</f>
        <v>1</v>
      </c>
      <c r="R344" s="6">
        <f>1520000</f>
        <v>1520000</v>
      </c>
      <c r="S344" s="5" t="s">
        <v>451</v>
      </c>
      <c r="T344" s="4" t="s">
        <v>348</v>
      </c>
      <c r="U344" s="4" t="s">
        <v>453</v>
      </c>
      <c r="W344" s="6">
        <f>1519999</f>
        <v>1519999</v>
      </c>
      <c r="X344" s="4" t="s">
        <v>243</v>
      </c>
      <c r="Y344" s="4" t="s">
        <v>244</v>
      </c>
      <c r="Z344" s="4" t="s">
        <v>465</v>
      </c>
      <c r="AA344" s="4" t="s">
        <v>241</v>
      </c>
      <c r="AD344" s="4" t="s">
        <v>241</v>
      </c>
      <c r="AF344" s="5" t="s">
        <v>241</v>
      </c>
      <c r="AI344" s="5" t="s">
        <v>249</v>
      </c>
      <c r="AJ344" s="4" t="s">
        <v>251</v>
      </c>
      <c r="AK344" s="4" t="s">
        <v>252</v>
      </c>
      <c r="BA344" s="4" t="s">
        <v>254</v>
      </c>
      <c r="BB344" s="4" t="s">
        <v>241</v>
      </c>
      <c r="BC344" s="4" t="s">
        <v>255</v>
      </c>
      <c r="BD344" s="4" t="s">
        <v>241</v>
      </c>
      <c r="BE344" s="4" t="s">
        <v>257</v>
      </c>
      <c r="BF344" s="4" t="s">
        <v>241</v>
      </c>
      <c r="BJ344" s="4" t="s">
        <v>259</v>
      </c>
      <c r="BK344" s="5" t="s">
        <v>830</v>
      </c>
      <c r="BL344" s="4" t="s">
        <v>261</v>
      </c>
      <c r="BM344" s="4" t="s">
        <v>262</v>
      </c>
      <c r="BN344" s="4" t="s">
        <v>241</v>
      </c>
      <c r="BO344" s="6">
        <f>0</f>
        <v>0</v>
      </c>
      <c r="BP344" s="6">
        <f>0</f>
        <v>0</v>
      </c>
      <c r="BQ344" s="4" t="s">
        <v>263</v>
      </c>
      <c r="BR344" s="4" t="s">
        <v>264</v>
      </c>
      <c r="CF344" s="4" t="s">
        <v>241</v>
      </c>
      <c r="CG344" s="4" t="s">
        <v>241</v>
      </c>
      <c r="CK344" s="4" t="s">
        <v>291</v>
      </c>
      <c r="CL344" s="4" t="s">
        <v>266</v>
      </c>
      <c r="CM344" s="4" t="s">
        <v>241</v>
      </c>
      <c r="CO344" s="4" t="s">
        <v>452</v>
      </c>
      <c r="CP344" s="5" t="s">
        <v>268</v>
      </c>
      <c r="CQ344" s="4" t="s">
        <v>269</v>
      </c>
      <c r="CR344" s="4" t="s">
        <v>270</v>
      </c>
      <c r="CS344" s="4" t="s">
        <v>241</v>
      </c>
      <c r="CT344" s="4" t="s">
        <v>241</v>
      </c>
      <c r="CU344" s="4">
        <v>0</v>
      </c>
      <c r="CV344" s="4" t="s">
        <v>271</v>
      </c>
      <c r="CW344" s="4" t="s">
        <v>272</v>
      </c>
      <c r="CX344" s="4" t="s">
        <v>347</v>
      </c>
      <c r="CZ344" s="6">
        <f>1520000</f>
        <v>1520000</v>
      </c>
      <c r="DA344" s="6">
        <f>0</f>
        <v>0</v>
      </c>
      <c r="DC344" s="4" t="s">
        <v>241</v>
      </c>
      <c r="DD344" s="4" t="s">
        <v>241</v>
      </c>
      <c r="DF344" s="4" t="s">
        <v>241</v>
      </c>
      <c r="DI344" s="4" t="s">
        <v>241</v>
      </c>
      <c r="DJ344" s="4" t="s">
        <v>241</v>
      </c>
      <c r="DK344" s="4" t="s">
        <v>241</v>
      </c>
      <c r="DL344" s="4" t="s">
        <v>241</v>
      </c>
      <c r="DM344" s="4" t="s">
        <v>277</v>
      </c>
      <c r="DN344" s="4" t="s">
        <v>278</v>
      </c>
      <c r="DO344" s="6">
        <f>19</f>
        <v>19</v>
      </c>
      <c r="DP344" s="4" t="s">
        <v>241</v>
      </c>
      <c r="DQ344" s="4" t="s">
        <v>241</v>
      </c>
      <c r="DR344" s="4" t="s">
        <v>241</v>
      </c>
      <c r="DS344" s="4" t="s">
        <v>241</v>
      </c>
      <c r="DV344" s="4" t="s">
        <v>827</v>
      </c>
      <c r="DW344" s="4" t="s">
        <v>336</v>
      </c>
      <c r="HO344" s="4" t="s">
        <v>277</v>
      </c>
      <c r="HR344" s="4" t="s">
        <v>278</v>
      </c>
      <c r="HS344" s="4" t="s">
        <v>278</v>
      </c>
    </row>
    <row r="345" spans="1:240" x14ac:dyDescent="0.4">
      <c r="A345" s="4">
        <v>2</v>
      </c>
      <c r="B345" s="4" t="s">
        <v>239</v>
      </c>
      <c r="C345" s="4">
        <v>376</v>
      </c>
      <c r="D345" s="4">
        <v>1</v>
      </c>
      <c r="E345" s="4">
        <v>1</v>
      </c>
      <c r="F345" s="4" t="s">
        <v>240</v>
      </c>
      <c r="G345" s="4" t="s">
        <v>241</v>
      </c>
      <c r="H345" s="4" t="s">
        <v>241</v>
      </c>
      <c r="I345" s="4" t="s">
        <v>823</v>
      </c>
      <c r="J345" s="4" t="s">
        <v>653</v>
      </c>
      <c r="K345" s="4" t="s">
        <v>256</v>
      </c>
      <c r="L345" s="4" t="s">
        <v>429</v>
      </c>
      <c r="M345" s="5" t="s">
        <v>825</v>
      </c>
      <c r="N345" s="4" t="s">
        <v>3036</v>
      </c>
      <c r="O345" s="6">
        <f>12</f>
        <v>12</v>
      </c>
      <c r="P345" s="4" t="s">
        <v>276</v>
      </c>
      <c r="Q345" s="6">
        <f>1</f>
        <v>1</v>
      </c>
      <c r="R345" s="6">
        <f>960000</f>
        <v>960000</v>
      </c>
      <c r="S345" s="5" t="s">
        <v>339</v>
      </c>
      <c r="T345" s="4" t="s">
        <v>348</v>
      </c>
      <c r="U345" s="4" t="s">
        <v>379</v>
      </c>
      <c r="W345" s="6">
        <f>959999</f>
        <v>959999</v>
      </c>
      <c r="X345" s="4" t="s">
        <v>243</v>
      </c>
      <c r="Y345" s="4" t="s">
        <v>244</v>
      </c>
      <c r="Z345" s="4" t="s">
        <v>465</v>
      </c>
      <c r="AA345" s="4" t="s">
        <v>241</v>
      </c>
      <c r="AD345" s="4" t="s">
        <v>241</v>
      </c>
      <c r="AF345" s="5" t="s">
        <v>241</v>
      </c>
      <c r="AI345" s="5" t="s">
        <v>830</v>
      </c>
      <c r="AJ345" s="4" t="s">
        <v>251</v>
      </c>
      <c r="AK345" s="4" t="s">
        <v>252</v>
      </c>
      <c r="BA345" s="4" t="s">
        <v>254</v>
      </c>
      <c r="BB345" s="4" t="s">
        <v>241</v>
      </c>
      <c r="BC345" s="4" t="s">
        <v>255</v>
      </c>
      <c r="BD345" s="4" t="s">
        <v>241</v>
      </c>
      <c r="BE345" s="4" t="s">
        <v>257</v>
      </c>
      <c r="BF345" s="4" t="s">
        <v>241</v>
      </c>
      <c r="BJ345" s="4" t="s">
        <v>259</v>
      </c>
      <c r="BK345" s="5" t="s">
        <v>830</v>
      </c>
      <c r="BL345" s="4" t="s">
        <v>261</v>
      </c>
      <c r="BM345" s="4" t="s">
        <v>262</v>
      </c>
      <c r="BN345" s="4" t="s">
        <v>241</v>
      </c>
      <c r="BO345" s="6">
        <f>0</f>
        <v>0</v>
      </c>
      <c r="BP345" s="6">
        <f>0</f>
        <v>0</v>
      </c>
      <c r="BQ345" s="4" t="s">
        <v>263</v>
      </c>
      <c r="BR345" s="4" t="s">
        <v>264</v>
      </c>
      <c r="CF345" s="4" t="s">
        <v>241</v>
      </c>
      <c r="CG345" s="4" t="s">
        <v>241</v>
      </c>
      <c r="CK345" s="4" t="s">
        <v>291</v>
      </c>
      <c r="CL345" s="4" t="s">
        <v>266</v>
      </c>
      <c r="CM345" s="4" t="s">
        <v>241</v>
      </c>
      <c r="CO345" s="4" t="s">
        <v>292</v>
      </c>
      <c r="CP345" s="5" t="s">
        <v>268</v>
      </c>
      <c r="CQ345" s="4" t="s">
        <v>269</v>
      </c>
      <c r="CR345" s="4" t="s">
        <v>270</v>
      </c>
      <c r="CS345" s="4" t="s">
        <v>241</v>
      </c>
      <c r="CT345" s="4" t="s">
        <v>241</v>
      </c>
      <c r="CU345" s="4">
        <v>0</v>
      </c>
      <c r="CV345" s="4" t="s">
        <v>271</v>
      </c>
      <c r="CW345" s="4" t="s">
        <v>272</v>
      </c>
      <c r="CX345" s="4" t="s">
        <v>347</v>
      </c>
      <c r="CZ345" s="6">
        <f>960000</f>
        <v>960000</v>
      </c>
      <c r="DA345" s="6">
        <f>0</f>
        <v>0</v>
      </c>
      <c r="DC345" s="4" t="s">
        <v>241</v>
      </c>
      <c r="DD345" s="4" t="s">
        <v>241</v>
      </c>
      <c r="DF345" s="4" t="s">
        <v>241</v>
      </c>
      <c r="DI345" s="4" t="s">
        <v>241</v>
      </c>
      <c r="DJ345" s="4" t="s">
        <v>241</v>
      </c>
      <c r="DK345" s="4" t="s">
        <v>241</v>
      </c>
      <c r="DL345" s="4" t="s">
        <v>241</v>
      </c>
      <c r="DM345" s="4" t="s">
        <v>277</v>
      </c>
      <c r="DN345" s="4" t="s">
        <v>278</v>
      </c>
      <c r="DO345" s="6">
        <f>12</f>
        <v>12</v>
      </c>
      <c r="DP345" s="4" t="s">
        <v>241</v>
      </c>
      <c r="DQ345" s="4" t="s">
        <v>241</v>
      </c>
      <c r="DR345" s="4" t="s">
        <v>241</v>
      </c>
      <c r="DS345" s="4" t="s">
        <v>241</v>
      </c>
      <c r="DV345" s="4" t="s">
        <v>827</v>
      </c>
      <c r="DW345" s="4" t="s">
        <v>351</v>
      </c>
      <c r="HO345" s="4" t="s">
        <v>277</v>
      </c>
      <c r="HR345" s="4" t="s">
        <v>278</v>
      </c>
      <c r="HS345" s="4" t="s">
        <v>278</v>
      </c>
    </row>
    <row r="346" spans="1:240" x14ac:dyDescent="0.4">
      <c r="A346" s="4">
        <v>2</v>
      </c>
      <c r="B346" s="4" t="s">
        <v>239</v>
      </c>
      <c r="C346" s="4">
        <v>377</v>
      </c>
      <c r="D346" s="4">
        <v>1</v>
      </c>
      <c r="E346" s="4">
        <v>3</v>
      </c>
      <c r="F346" s="4" t="s">
        <v>326</v>
      </c>
      <c r="G346" s="4" t="s">
        <v>241</v>
      </c>
      <c r="H346" s="4" t="s">
        <v>241</v>
      </c>
      <c r="I346" s="4" t="s">
        <v>823</v>
      </c>
      <c r="J346" s="4" t="s">
        <v>653</v>
      </c>
      <c r="K346" s="4" t="s">
        <v>256</v>
      </c>
      <c r="L346" s="4" t="s">
        <v>241</v>
      </c>
      <c r="M346" s="5" t="s">
        <v>825</v>
      </c>
      <c r="N346" s="4" t="s">
        <v>2747</v>
      </c>
      <c r="O346" s="6">
        <f>0</f>
        <v>0</v>
      </c>
      <c r="P346" s="4" t="s">
        <v>276</v>
      </c>
      <c r="Q346" s="6">
        <f>56567591</f>
        <v>56567591</v>
      </c>
      <c r="R346" s="6">
        <f>66864763</f>
        <v>66864763</v>
      </c>
      <c r="S346" s="5" t="s">
        <v>1104</v>
      </c>
      <c r="T346" s="4" t="s">
        <v>322</v>
      </c>
      <c r="U346" s="4" t="s">
        <v>277</v>
      </c>
      <c r="V346" s="6">
        <f>5148586</f>
        <v>5148586</v>
      </c>
      <c r="W346" s="6">
        <f>10297172</f>
        <v>10297172</v>
      </c>
      <c r="X346" s="4" t="s">
        <v>243</v>
      </c>
      <c r="Y346" s="4" t="s">
        <v>244</v>
      </c>
      <c r="Z346" s="4" t="s">
        <v>241</v>
      </c>
      <c r="AA346" s="4" t="s">
        <v>241</v>
      </c>
      <c r="AD346" s="4" t="s">
        <v>241</v>
      </c>
      <c r="AE346" s="5" t="s">
        <v>241</v>
      </c>
      <c r="AF346" s="5" t="s">
        <v>241</v>
      </c>
      <c r="AH346" s="5" t="s">
        <v>241</v>
      </c>
      <c r="AI346" s="5" t="s">
        <v>830</v>
      </c>
      <c r="AJ346" s="4" t="s">
        <v>251</v>
      </c>
      <c r="AK346" s="4" t="s">
        <v>252</v>
      </c>
      <c r="AQ346" s="4" t="s">
        <v>241</v>
      </c>
      <c r="AR346" s="4" t="s">
        <v>241</v>
      </c>
      <c r="AS346" s="4" t="s">
        <v>241</v>
      </c>
      <c r="AT346" s="5" t="s">
        <v>241</v>
      </c>
      <c r="AU346" s="5" t="s">
        <v>241</v>
      </c>
      <c r="AV346" s="5" t="s">
        <v>241</v>
      </c>
      <c r="AY346" s="4" t="s">
        <v>286</v>
      </c>
      <c r="AZ346" s="4" t="s">
        <v>286</v>
      </c>
      <c r="BA346" s="4" t="s">
        <v>254</v>
      </c>
      <c r="BB346" s="4" t="s">
        <v>287</v>
      </c>
      <c r="BC346" s="4" t="s">
        <v>255</v>
      </c>
      <c r="BD346" s="4" t="s">
        <v>241</v>
      </c>
      <c r="BE346" s="4" t="s">
        <v>257</v>
      </c>
      <c r="BF346" s="4" t="s">
        <v>241</v>
      </c>
      <c r="BJ346" s="4" t="s">
        <v>288</v>
      </c>
      <c r="BK346" s="5" t="s">
        <v>289</v>
      </c>
      <c r="BL346" s="4" t="s">
        <v>290</v>
      </c>
      <c r="BM346" s="4" t="s">
        <v>290</v>
      </c>
      <c r="BN346" s="4" t="s">
        <v>241</v>
      </c>
      <c r="BP346" s="6">
        <f>-5148586</f>
        <v>-5148586</v>
      </c>
      <c r="BQ346" s="4" t="s">
        <v>263</v>
      </c>
      <c r="BR346" s="4" t="s">
        <v>264</v>
      </c>
      <c r="BS346" s="4" t="s">
        <v>241</v>
      </c>
      <c r="BT346" s="4" t="s">
        <v>241</v>
      </c>
      <c r="BU346" s="4" t="s">
        <v>241</v>
      </c>
      <c r="BV346" s="4" t="s">
        <v>241</v>
      </c>
      <c r="CE346" s="4" t="s">
        <v>264</v>
      </c>
      <c r="CF346" s="4" t="s">
        <v>241</v>
      </c>
      <c r="CG346" s="4" t="s">
        <v>241</v>
      </c>
      <c r="CK346" s="4" t="s">
        <v>291</v>
      </c>
      <c r="CL346" s="4" t="s">
        <v>266</v>
      </c>
      <c r="CM346" s="4" t="s">
        <v>241</v>
      </c>
      <c r="CO346" s="4" t="s">
        <v>331</v>
      </c>
      <c r="CP346" s="5" t="s">
        <v>268</v>
      </c>
      <c r="CQ346" s="4" t="s">
        <v>269</v>
      </c>
      <c r="CR346" s="4" t="s">
        <v>270</v>
      </c>
      <c r="CS346" s="4" t="s">
        <v>293</v>
      </c>
      <c r="CT346" s="4" t="s">
        <v>241</v>
      </c>
      <c r="CU346" s="4">
        <v>7.6999999999999999E-2</v>
      </c>
      <c r="CV346" s="4" t="s">
        <v>271</v>
      </c>
      <c r="CW346" s="4" t="s">
        <v>415</v>
      </c>
      <c r="CX346" s="4" t="s">
        <v>428</v>
      </c>
      <c r="CY346" s="6">
        <f>0</f>
        <v>0</v>
      </c>
      <c r="CZ346" s="6">
        <f>66864763</f>
        <v>66864763</v>
      </c>
      <c r="DA346" s="6">
        <f>56567591</f>
        <v>56567591</v>
      </c>
      <c r="DC346" s="4" t="s">
        <v>241</v>
      </c>
      <c r="DD346" s="4" t="s">
        <v>241</v>
      </c>
      <c r="DF346" s="4" t="s">
        <v>241</v>
      </c>
      <c r="DG346" s="6">
        <f>0</f>
        <v>0</v>
      </c>
      <c r="DI346" s="4" t="s">
        <v>241</v>
      </c>
      <c r="DJ346" s="4" t="s">
        <v>241</v>
      </c>
      <c r="DK346" s="4" t="s">
        <v>241</v>
      </c>
      <c r="DL346" s="4" t="s">
        <v>241</v>
      </c>
      <c r="DM346" s="4" t="s">
        <v>278</v>
      </c>
      <c r="DN346" s="4" t="s">
        <v>278</v>
      </c>
      <c r="DO346" s="6" t="s">
        <v>241</v>
      </c>
      <c r="DP346" s="4" t="s">
        <v>241</v>
      </c>
      <c r="DQ346" s="4" t="s">
        <v>241</v>
      </c>
      <c r="DR346" s="4" t="s">
        <v>241</v>
      </c>
      <c r="DS346" s="4" t="s">
        <v>241</v>
      </c>
      <c r="DV346" s="4" t="s">
        <v>827</v>
      </c>
      <c r="DW346" s="4" t="s">
        <v>300</v>
      </c>
      <c r="GN346" s="4" t="s">
        <v>2848</v>
      </c>
      <c r="HO346" s="4" t="s">
        <v>297</v>
      </c>
      <c r="HR346" s="4" t="s">
        <v>278</v>
      </c>
      <c r="HS346" s="4" t="s">
        <v>278</v>
      </c>
      <c r="HT346" s="4" t="s">
        <v>241</v>
      </c>
      <c r="HU346" s="4" t="s">
        <v>241</v>
      </c>
      <c r="HV346" s="4" t="s">
        <v>241</v>
      </c>
      <c r="HW346" s="4" t="s">
        <v>241</v>
      </c>
      <c r="HX346" s="4" t="s">
        <v>241</v>
      </c>
      <c r="HY346" s="4" t="s">
        <v>241</v>
      </c>
      <c r="HZ346" s="4" t="s">
        <v>241</v>
      </c>
      <c r="IA346" s="4" t="s">
        <v>241</v>
      </c>
      <c r="IB346" s="4" t="s">
        <v>241</v>
      </c>
      <c r="IC346" s="4" t="s">
        <v>241</v>
      </c>
      <c r="ID346" s="4" t="s">
        <v>241</v>
      </c>
      <c r="IE346" s="4" t="s">
        <v>241</v>
      </c>
      <c r="IF346" s="4" t="s">
        <v>241</v>
      </c>
    </row>
    <row r="347" spans="1:240" x14ac:dyDescent="0.4">
      <c r="A347" s="4">
        <v>2</v>
      </c>
      <c r="B347" s="4" t="s">
        <v>239</v>
      </c>
      <c r="C347" s="4">
        <v>378</v>
      </c>
      <c r="D347" s="4">
        <v>1</v>
      </c>
      <c r="E347" s="4">
        <v>3</v>
      </c>
      <c r="F347" s="4" t="s">
        <v>240</v>
      </c>
      <c r="G347" s="4" t="s">
        <v>241</v>
      </c>
      <c r="H347" s="4" t="s">
        <v>241</v>
      </c>
      <c r="I347" s="4" t="s">
        <v>829</v>
      </c>
      <c r="J347" s="4" t="s">
        <v>653</v>
      </c>
      <c r="K347" s="4" t="s">
        <v>256</v>
      </c>
      <c r="L347" s="4" t="s">
        <v>651</v>
      </c>
      <c r="M347" s="5" t="s">
        <v>654</v>
      </c>
      <c r="N347" s="4" t="s">
        <v>651</v>
      </c>
      <c r="O347" s="6">
        <f>2157.93</f>
        <v>2157.9299999999998</v>
      </c>
      <c r="P347" s="4" t="s">
        <v>276</v>
      </c>
      <c r="Q347" s="6">
        <f>350771340</f>
        <v>350771340</v>
      </c>
      <c r="R347" s="6">
        <f>506895000</f>
        <v>506895000</v>
      </c>
      <c r="S347" s="5" t="s">
        <v>319</v>
      </c>
      <c r="T347" s="4" t="s">
        <v>668</v>
      </c>
      <c r="U347" s="4" t="s">
        <v>322</v>
      </c>
      <c r="V347" s="6">
        <f>11151690</f>
        <v>11151690</v>
      </c>
      <c r="W347" s="6">
        <f>156123660</f>
        <v>156123660</v>
      </c>
      <c r="X347" s="4" t="s">
        <v>243</v>
      </c>
      <c r="Y347" s="4" t="s">
        <v>244</v>
      </c>
      <c r="Z347" s="4" t="s">
        <v>465</v>
      </c>
      <c r="AA347" s="4" t="s">
        <v>241</v>
      </c>
      <c r="AD347" s="4" t="s">
        <v>241</v>
      </c>
      <c r="AE347" s="5" t="s">
        <v>241</v>
      </c>
      <c r="AF347" s="5" t="s">
        <v>241</v>
      </c>
      <c r="AH347" s="5" t="s">
        <v>241</v>
      </c>
      <c r="AI347" s="5" t="s">
        <v>830</v>
      </c>
      <c r="AJ347" s="4" t="s">
        <v>251</v>
      </c>
      <c r="AK347" s="4" t="s">
        <v>252</v>
      </c>
      <c r="AQ347" s="4" t="s">
        <v>241</v>
      </c>
      <c r="AR347" s="4" t="s">
        <v>241</v>
      </c>
      <c r="AS347" s="4" t="s">
        <v>241</v>
      </c>
      <c r="AT347" s="5" t="s">
        <v>241</v>
      </c>
      <c r="AU347" s="5" t="s">
        <v>241</v>
      </c>
      <c r="AV347" s="5" t="s">
        <v>241</v>
      </c>
      <c r="AY347" s="4" t="s">
        <v>286</v>
      </c>
      <c r="AZ347" s="4" t="s">
        <v>286</v>
      </c>
      <c r="BA347" s="4" t="s">
        <v>254</v>
      </c>
      <c r="BB347" s="4" t="s">
        <v>287</v>
      </c>
      <c r="BC347" s="4" t="s">
        <v>255</v>
      </c>
      <c r="BD347" s="4" t="s">
        <v>241</v>
      </c>
      <c r="BE347" s="4" t="s">
        <v>257</v>
      </c>
      <c r="BF347" s="4" t="s">
        <v>241</v>
      </c>
      <c r="BH347" s="4" t="s">
        <v>750</v>
      </c>
      <c r="BJ347" s="4" t="s">
        <v>288</v>
      </c>
      <c r="BK347" s="5" t="s">
        <v>289</v>
      </c>
      <c r="BL347" s="4" t="s">
        <v>290</v>
      </c>
      <c r="BM347" s="4" t="s">
        <v>290</v>
      </c>
      <c r="BN347" s="4" t="s">
        <v>241</v>
      </c>
      <c r="BO347" s="6">
        <f>0</f>
        <v>0</v>
      </c>
      <c r="BP347" s="6">
        <f>-11151690</f>
        <v>-11151690</v>
      </c>
      <c r="BQ347" s="4" t="s">
        <v>263</v>
      </c>
      <c r="BR347" s="4" t="s">
        <v>264</v>
      </c>
      <c r="BS347" s="4" t="s">
        <v>241</v>
      </c>
      <c r="BT347" s="4" t="s">
        <v>241</v>
      </c>
      <c r="BU347" s="4" t="s">
        <v>241</v>
      </c>
      <c r="BV347" s="4" t="s">
        <v>241</v>
      </c>
      <c r="CE347" s="4" t="s">
        <v>264</v>
      </c>
      <c r="CF347" s="4" t="s">
        <v>241</v>
      </c>
      <c r="CG347" s="4" t="s">
        <v>241</v>
      </c>
      <c r="CK347" s="4" t="s">
        <v>291</v>
      </c>
      <c r="CL347" s="4" t="s">
        <v>266</v>
      </c>
      <c r="CM347" s="4" t="s">
        <v>241</v>
      </c>
      <c r="CO347" s="4" t="s">
        <v>321</v>
      </c>
      <c r="CP347" s="5" t="s">
        <v>268</v>
      </c>
      <c r="CQ347" s="4" t="s">
        <v>269</v>
      </c>
      <c r="CR347" s="4" t="s">
        <v>270</v>
      </c>
      <c r="CS347" s="4" t="s">
        <v>293</v>
      </c>
      <c r="CT347" s="4" t="s">
        <v>241</v>
      </c>
      <c r="CU347" s="4">
        <v>2.1999999999999999E-2</v>
      </c>
      <c r="CV347" s="4" t="s">
        <v>271</v>
      </c>
      <c r="CW347" s="4" t="s">
        <v>655</v>
      </c>
      <c r="CX347" s="4" t="s">
        <v>295</v>
      </c>
      <c r="CY347" s="6">
        <f>0</f>
        <v>0</v>
      </c>
      <c r="CZ347" s="6">
        <f>506895000</f>
        <v>506895000</v>
      </c>
      <c r="DA347" s="6">
        <f>350771340</f>
        <v>350771340</v>
      </c>
      <c r="DC347" s="4" t="s">
        <v>241</v>
      </c>
      <c r="DD347" s="4" t="s">
        <v>241</v>
      </c>
      <c r="DF347" s="4" t="s">
        <v>241</v>
      </c>
      <c r="DG347" s="6">
        <f>0</f>
        <v>0</v>
      </c>
      <c r="DI347" s="4" t="s">
        <v>241</v>
      </c>
      <c r="DJ347" s="4" t="s">
        <v>241</v>
      </c>
      <c r="DK347" s="4" t="s">
        <v>241</v>
      </c>
      <c r="DL347" s="4" t="s">
        <v>241</v>
      </c>
      <c r="DM347" s="4" t="s">
        <v>297</v>
      </c>
      <c r="DN347" s="4" t="s">
        <v>278</v>
      </c>
      <c r="DO347" s="6">
        <f>2157.93</f>
        <v>2157.9299999999998</v>
      </c>
      <c r="DP347" s="4" t="s">
        <v>241</v>
      </c>
      <c r="DQ347" s="4" t="s">
        <v>241</v>
      </c>
      <c r="DR347" s="4" t="s">
        <v>241</v>
      </c>
      <c r="DS347" s="4" t="s">
        <v>241</v>
      </c>
      <c r="DV347" s="4" t="s">
        <v>831</v>
      </c>
      <c r="DW347" s="4" t="s">
        <v>277</v>
      </c>
      <c r="GN347" s="4" t="s">
        <v>832</v>
      </c>
      <c r="HO347" s="4" t="s">
        <v>300</v>
      </c>
      <c r="HR347" s="4" t="s">
        <v>278</v>
      </c>
      <c r="HS347" s="4" t="s">
        <v>278</v>
      </c>
      <c r="HT347" s="4" t="s">
        <v>241</v>
      </c>
      <c r="HU347" s="4" t="s">
        <v>241</v>
      </c>
      <c r="HV347" s="4" t="s">
        <v>241</v>
      </c>
      <c r="HW347" s="4" t="s">
        <v>241</v>
      </c>
      <c r="HX347" s="4" t="s">
        <v>241</v>
      </c>
      <c r="HY347" s="4" t="s">
        <v>241</v>
      </c>
      <c r="HZ347" s="4" t="s">
        <v>241</v>
      </c>
      <c r="IA347" s="4" t="s">
        <v>241</v>
      </c>
      <c r="IB347" s="4" t="s">
        <v>241</v>
      </c>
      <c r="IC347" s="4" t="s">
        <v>241</v>
      </c>
      <c r="ID347" s="4" t="s">
        <v>241</v>
      </c>
      <c r="IE347" s="4" t="s">
        <v>241</v>
      </c>
      <c r="IF347" s="4" t="s">
        <v>241</v>
      </c>
    </row>
    <row r="348" spans="1:240" x14ac:dyDescent="0.4">
      <c r="A348" s="4">
        <v>2</v>
      </c>
      <c r="B348" s="4" t="s">
        <v>239</v>
      </c>
      <c r="C348" s="4">
        <v>379</v>
      </c>
      <c r="D348" s="4">
        <v>1</v>
      </c>
      <c r="E348" s="4">
        <v>3</v>
      </c>
      <c r="F348" s="4" t="s">
        <v>240</v>
      </c>
      <c r="G348" s="4" t="s">
        <v>241</v>
      </c>
      <c r="H348" s="4" t="s">
        <v>241</v>
      </c>
      <c r="I348" s="4" t="s">
        <v>829</v>
      </c>
      <c r="J348" s="4" t="s">
        <v>653</v>
      </c>
      <c r="K348" s="4" t="s">
        <v>256</v>
      </c>
      <c r="L348" s="4" t="s">
        <v>651</v>
      </c>
      <c r="M348" s="5" t="s">
        <v>654</v>
      </c>
      <c r="N348" s="4" t="s">
        <v>651</v>
      </c>
      <c r="O348" s="6">
        <f>536.71</f>
        <v>536.71</v>
      </c>
      <c r="P348" s="4" t="s">
        <v>276</v>
      </c>
      <c r="Q348" s="6">
        <f>87164320</f>
        <v>87164320</v>
      </c>
      <c r="R348" s="6">
        <f>125960000</f>
        <v>125960000</v>
      </c>
      <c r="S348" s="5" t="s">
        <v>319</v>
      </c>
      <c r="T348" s="4" t="s">
        <v>668</v>
      </c>
      <c r="U348" s="4" t="s">
        <v>322</v>
      </c>
      <c r="V348" s="6">
        <f>2771120</f>
        <v>2771120</v>
      </c>
      <c r="W348" s="6">
        <f>38795680</f>
        <v>38795680</v>
      </c>
      <c r="X348" s="4" t="s">
        <v>243</v>
      </c>
      <c r="Y348" s="4" t="s">
        <v>244</v>
      </c>
      <c r="Z348" s="4" t="s">
        <v>465</v>
      </c>
      <c r="AA348" s="4" t="s">
        <v>241</v>
      </c>
      <c r="AD348" s="4" t="s">
        <v>241</v>
      </c>
      <c r="AE348" s="5" t="s">
        <v>241</v>
      </c>
      <c r="AF348" s="5" t="s">
        <v>241</v>
      </c>
      <c r="AH348" s="5" t="s">
        <v>241</v>
      </c>
      <c r="AI348" s="5" t="s">
        <v>249</v>
      </c>
      <c r="AJ348" s="4" t="s">
        <v>251</v>
      </c>
      <c r="AK348" s="4" t="s">
        <v>252</v>
      </c>
      <c r="AQ348" s="4" t="s">
        <v>241</v>
      </c>
      <c r="AR348" s="4" t="s">
        <v>241</v>
      </c>
      <c r="AS348" s="4" t="s">
        <v>241</v>
      </c>
      <c r="AT348" s="5" t="s">
        <v>241</v>
      </c>
      <c r="AU348" s="5" t="s">
        <v>241</v>
      </c>
      <c r="AV348" s="5" t="s">
        <v>241</v>
      </c>
      <c r="AY348" s="4" t="s">
        <v>286</v>
      </c>
      <c r="AZ348" s="4" t="s">
        <v>286</v>
      </c>
      <c r="BA348" s="4" t="s">
        <v>254</v>
      </c>
      <c r="BB348" s="4" t="s">
        <v>287</v>
      </c>
      <c r="BC348" s="4" t="s">
        <v>255</v>
      </c>
      <c r="BD348" s="4" t="s">
        <v>241</v>
      </c>
      <c r="BE348" s="4" t="s">
        <v>257</v>
      </c>
      <c r="BF348" s="4" t="s">
        <v>241</v>
      </c>
      <c r="BJ348" s="4" t="s">
        <v>288</v>
      </c>
      <c r="BK348" s="5" t="s">
        <v>289</v>
      </c>
      <c r="BL348" s="4" t="s">
        <v>290</v>
      </c>
      <c r="BM348" s="4" t="s">
        <v>290</v>
      </c>
      <c r="BN348" s="4" t="s">
        <v>241</v>
      </c>
      <c r="BO348" s="6">
        <f>0</f>
        <v>0</v>
      </c>
      <c r="BP348" s="6">
        <f>-2771120</f>
        <v>-2771120</v>
      </c>
      <c r="BQ348" s="4" t="s">
        <v>263</v>
      </c>
      <c r="BR348" s="4" t="s">
        <v>264</v>
      </c>
      <c r="BS348" s="4" t="s">
        <v>241</v>
      </c>
      <c r="BT348" s="4" t="s">
        <v>241</v>
      </c>
      <c r="BU348" s="4" t="s">
        <v>241</v>
      </c>
      <c r="BV348" s="4" t="s">
        <v>241</v>
      </c>
      <c r="CE348" s="4" t="s">
        <v>264</v>
      </c>
      <c r="CF348" s="4" t="s">
        <v>241</v>
      </c>
      <c r="CG348" s="4" t="s">
        <v>241</v>
      </c>
      <c r="CK348" s="4" t="s">
        <v>291</v>
      </c>
      <c r="CL348" s="4" t="s">
        <v>266</v>
      </c>
      <c r="CM348" s="4" t="s">
        <v>241</v>
      </c>
      <c r="CO348" s="4" t="s">
        <v>321</v>
      </c>
      <c r="CP348" s="5" t="s">
        <v>268</v>
      </c>
      <c r="CQ348" s="4" t="s">
        <v>269</v>
      </c>
      <c r="CR348" s="4" t="s">
        <v>270</v>
      </c>
      <c r="CS348" s="4" t="s">
        <v>293</v>
      </c>
      <c r="CT348" s="4" t="s">
        <v>241</v>
      </c>
      <c r="CU348" s="4">
        <v>2.1999999999999999E-2</v>
      </c>
      <c r="CV348" s="4" t="s">
        <v>271</v>
      </c>
      <c r="CW348" s="4" t="s">
        <v>655</v>
      </c>
      <c r="CX348" s="4" t="s">
        <v>295</v>
      </c>
      <c r="CY348" s="6">
        <f>0</f>
        <v>0</v>
      </c>
      <c r="CZ348" s="6">
        <f>125960000</f>
        <v>125960000</v>
      </c>
      <c r="DA348" s="6">
        <f>87164320</f>
        <v>87164320</v>
      </c>
      <c r="DC348" s="4" t="s">
        <v>241</v>
      </c>
      <c r="DD348" s="4" t="s">
        <v>241</v>
      </c>
      <c r="DF348" s="4" t="s">
        <v>241</v>
      </c>
      <c r="DG348" s="6">
        <f>0</f>
        <v>0</v>
      </c>
      <c r="DI348" s="4" t="s">
        <v>241</v>
      </c>
      <c r="DJ348" s="4" t="s">
        <v>241</v>
      </c>
      <c r="DK348" s="4" t="s">
        <v>241</v>
      </c>
      <c r="DL348" s="4" t="s">
        <v>241</v>
      </c>
      <c r="DM348" s="4" t="s">
        <v>277</v>
      </c>
      <c r="DN348" s="4" t="s">
        <v>278</v>
      </c>
      <c r="DO348" s="6">
        <f>536.71</f>
        <v>536.71</v>
      </c>
      <c r="DP348" s="4" t="s">
        <v>241</v>
      </c>
      <c r="DQ348" s="4" t="s">
        <v>241</v>
      </c>
      <c r="DR348" s="4" t="s">
        <v>241</v>
      </c>
      <c r="DS348" s="4" t="s">
        <v>241</v>
      </c>
      <c r="DV348" s="4" t="s">
        <v>831</v>
      </c>
      <c r="DW348" s="4" t="s">
        <v>323</v>
      </c>
      <c r="GN348" s="4" t="s">
        <v>833</v>
      </c>
      <c r="HO348" s="4" t="s">
        <v>300</v>
      </c>
      <c r="HR348" s="4" t="s">
        <v>278</v>
      </c>
      <c r="HS348" s="4" t="s">
        <v>278</v>
      </c>
      <c r="HT348" s="4" t="s">
        <v>241</v>
      </c>
      <c r="HU348" s="4" t="s">
        <v>241</v>
      </c>
      <c r="HV348" s="4" t="s">
        <v>241</v>
      </c>
      <c r="HW348" s="4" t="s">
        <v>241</v>
      </c>
      <c r="HX348" s="4" t="s">
        <v>241</v>
      </c>
      <c r="HY348" s="4" t="s">
        <v>241</v>
      </c>
      <c r="HZ348" s="4" t="s">
        <v>241</v>
      </c>
      <c r="IA348" s="4" t="s">
        <v>241</v>
      </c>
      <c r="IB348" s="4" t="s">
        <v>241</v>
      </c>
      <c r="IC348" s="4" t="s">
        <v>241</v>
      </c>
      <c r="ID348" s="4" t="s">
        <v>241</v>
      </c>
      <c r="IE348" s="4" t="s">
        <v>241</v>
      </c>
      <c r="IF348" s="4" t="s">
        <v>241</v>
      </c>
    </row>
    <row r="349" spans="1:240" x14ac:dyDescent="0.4">
      <c r="A349" s="4">
        <v>2</v>
      </c>
      <c r="B349" s="4" t="s">
        <v>239</v>
      </c>
      <c r="C349" s="4">
        <v>380</v>
      </c>
      <c r="D349" s="4">
        <v>1</v>
      </c>
      <c r="E349" s="4">
        <v>3</v>
      </c>
      <c r="F349" s="4" t="s">
        <v>240</v>
      </c>
      <c r="G349" s="4" t="s">
        <v>241</v>
      </c>
      <c r="H349" s="4" t="s">
        <v>241</v>
      </c>
      <c r="I349" s="4" t="s">
        <v>829</v>
      </c>
      <c r="J349" s="4" t="s">
        <v>653</v>
      </c>
      <c r="K349" s="4" t="s">
        <v>256</v>
      </c>
      <c r="L349" s="4" t="s">
        <v>1003</v>
      </c>
      <c r="M349" s="5" t="s">
        <v>654</v>
      </c>
      <c r="N349" s="4" t="s">
        <v>1003</v>
      </c>
      <c r="O349" s="6">
        <f>827.48</f>
        <v>827.48</v>
      </c>
      <c r="P349" s="4" t="s">
        <v>276</v>
      </c>
      <c r="Q349" s="6">
        <f>122988810</f>
        <v>122988810</v>
      </c>
      <c r="R349" s="6">
        <f>201621000</f>
        <v>201621000</v>
      </c>
      <c r="S349" s="5" t="s">
        <v>1112</v>
      </c>
      <c r="T349" s="4" t="s">
        <v>357</v>
      </c>
      <c r="U349" s="4" t="s">
        <v>409</v>
      </c>
      <c r="V349" s="6">
        <f>6048630</f>
        <v>6048630</v>
      </c>
      <c r="W349" s="6">
        <f>78632190</f>
        <v>78632190</v>
      </c>
      <c r="X349" s="4" t="s">
        <v>243</v>
      </c>
      <c r="Y349" s="4" t="s">
        <v>244</v>
      </c>
      <c r="Z349" s="4" t="s">
        <v>465</v>
      </c>
      <c r="AA349" s="4" t="s">
        <v>241</v>
      </c>
      <c r="AD349" s="4" t="s">
        <v>241</v>
      </c>
      <c r="AE349" s="5" t="s">
        <v>241</v>
      </c>
      <c r="AF349" s="5" t="s">
        <v>241</v>
      </c>
      <c r="AH349" s="5" t="s">
        <v>241</v>
      </c>
      <c r="AI349" s="5" t="s">
        <v>249</v>
      </c>
      <c r="AJ349" s="4" t="s">
        <v>251</v>
      </c>
      <c r="AK349" s="4" t="s">
        <v>252</v>
      </c>
      <c r="AQ349" s="4" t="s">
        <v>241</v>
      </c>
      <c r="AR349" s="4" t="s">
        <v>241</v>
      </c>
      <c r="AS349" s="4" t="s">
        <v>241</v>
      </c>
      <c r="AT349" s="5" t="s">
        <v>241</v>
      </c>
      <c r="AU349" s="5" t="s">
        <v>241</v>
      </c>
      <c r="AV349" s="5" t="s">
        <v>241</v>
      </c>
      <c r="AY349" s="4" t="s">
        <v>286</v>
      </c>
      <c r="AZ349" s="4" t="s">
        <v>286</v>
      </c>
      <c r="BA349" s="4" t="s">
        <v>254</v>
      </c>
      <c r="BB349" s="4" t="s">
        <v>287</v>
      </c>
      <c r="BC349" s="4" t="s">
        <v>255</v>
      </c>
      <c r="BD349" s="4" t="s">
        <v>241</v>
      </c>
      <c r="BE349" s="4" t="s">
        <v>257</v>
      </c>
      <c r="BF349" s="4" t="s">
        <v>241</v>
      </c>
      <c r="BJ349" s="4" t="s">
        <v>288</v>
      </c>
      <c r="BK349" s="5" t="s">
        <v>289</v>
      </c>
      <c r="BL349" s="4" t="s">
        <v>290</v>
      </c>
      <c r="BM349" s="4" t="s">
        <v>290</v>
      </c>
      <c r="BN349" s="4" t="s">
        <v>241</v>
      </c>
      <c r="BO349" s="6">
        <f>0</f>
        <v>0</v>
      </c>
      <c r="BP349" s="6">
        <f>-6048630</f>
        <v>-6048630</v>
      </c>
      <c r="BQ349" s="4" t="s">
        <v>263</v>
      </c>
      <c r="BR349" s="4" t="s">
        <v>264</v>
      </c>
      <c r="BS349" s="4" t="s">
        <v>241</v>
      </c>
      <c r="BT349" s="4" t="s">
        <v>241</v>
      </c>
      <c r="BU349" s="4" t="s">
        <v>241</v>
      </c>
      <c r="BV349" s="4" t="s">
        <v>241</v>
      </c>
      <c r="CE349" s="4" t="s">
        <v>264</v>
      </c>
      <c r="CF349" s="4" t="s">
        <v>241</v>
      </c>
      <c r="CG349" s="4" t="s">
        <v>241</v>
      </c>
      <c r="CK349" s="4" t="s">
        <v>291</v>
      </c>
      <c r="CL349" s="4" t="s">
        <v>266</v>
      </c>
      <c r="CM349" s="4" t="s">
        <v>241</v>
      </c>
      <c r="CO349" s="4" t="s">
        <v>567</v>
      </c>
      <c r="CP349" s="5" t="s">
        <v>268</v>
      </c>
      <c r="CQ349" s="4" t="s">
        <v>269</v>
      </c>
      <c r="CR349" s="4" t="s">
        <v>270</v>
      </c>
      <c r="CS349" s="4" t="s">
        <v>293</v>
      </c>
      <c r="CT349" s="4" t="s">
        <v>241</v>
      </c>
      <c r="CU349" s="4">
        <v>0.03</v>
      </c>
      <c r="CV349" s="4" t="s">
        <v>271</v>
      </c>
      <c r="CW349" s="4" t="s">
        <v>1006</v>
      </c>
      <c r="CX349" s="4" t="s">
        <v>487</v>
      </c>
      <c r="CY349" s="6">
        <f>0</f>
        <v>0</v>
      </c>
      <c r="CZ349" s="6">
        <f>201621000</f>
        <v>201621000</v>
      </c>
      <c r="DA349" s="6">
        <f>122988810</f>
        <v>122988810</v>
      </c>
      <c r="DC349" s="4" t="s">
        <v>241</v>
      </c>
      <c r="DD349" s="4" t="s">
        <v>241</v>
      </c>
      <c r="DF349" s="4" t="s">
        <v>241</v>
      </c>
      <c r="DG349" s="6">
        <f>0</f>
        <v>0</v>
      </c>
      <c r="DI349" s="4" t="s">
        <v>241</v>
      </c>
      <c r="DJ349" s="4" t="s">
        <v>241</v>
      </c>
      <c r="DK349" s="4" t="s">
        <v>241</v>
      </c>
      <c r="DL349" s="4" t="s">
        <v>241</v>
      </c>
      <c r="DM349" s="4" t="s">
        <v>277</v>
      </c>
      <c r="DN349" s="4" t="s">
        <v>278</v>
      </c>
      <c r="DO349" s="6">
        <f>827.48</f>
        <v>827.48</v>
      </c>
      <c r="DP349" s="4" t="s">
        <v>241</v>
      </c>
      <c r="DQ349" s="4" t="s">
        <v>241</v>
      </c>
      <c r="DR349" s="4" t="s">
        <v>241</v>
      </c>
      <c r="DS349" s="4" t="s">
        <v>241</v>
      </c>
      <c r="DV349" s="4" t="s">
        <v>831</v>
      </c>
      <c r="DW349" s="4" t="s">
        <v>297</v>
      </c>
      <c r="GN349" s="4" t="s">
        <v>1113</v>
      </c>
      <c r="HO349" s="4" t="s">
        <v>300</v>
      </c>
      <c r="HR349" s="4" t="s">
        <v>278</v>
      </c>
      <c r="HS349" s="4" t="s">
        <v>278</v>
      </c>
      <c r="HT349" s="4" t="s">
        <v>241</v>
      </c>
      <c r="HU349" s="4" t="s">
        <v>241</v>
      </c>
      <c r="HV349" s="4" t="s">
        <v>241</v>
      </c>
      <c r="HW349" s="4" t="s">
        <v>241</v>
      </c>
      <c r="HX349" s="4" t="s">
        <v>241</v>
      </c>
      <c r="HY349" s="4" t="s">
        <v>241</v>
      </c>
      <c r="HZ349" s="4" t="s">
        <v>241</v>
      </c>
      <c r="IA349" s="4" t="s">
        <v>241</v>
      </c>
      <c r="IB349" s="4" t="s">
        <v>241</v>
      </c>
      <c r="IC349" s="4" t="s">
        <v>241</v>
      </c>
      <c r="ID349" s="4" t="s">
        <v>241</v>
      </c>
      <c r="IE349" s="4" t="s">
        <v>241</v>
      </c>
      <c r="IF349" s="4" t="s">
        <v>241</v>
      </c>
    </row>
    <row r="350" spans="1:240" x14ac:dyDescent="0.4">
      <c r="A350" s="4">
        <v>2</v>
      </c>
      <c r="B350" s="4" t="s">
        <v>239</v>
      </c>
      <c r="C350" s="4">
        <v>381</v>
      </c>
      <c r="D350" s="4">
        <v>1</v>
      </c>
      <c r="E350" s="4">
        <v>3</v>
      </c>
      <c r="F350" s="4" t="s">
        <v>326</v>
      </c>
      <c r="G350" s="4" t="s">
        <v>241</v>
      </c>
      <c r="H350" s="4" t="s">
        <v>241</v>
      </c>
      <c r="I350" s="4" t="s">
        <v>829</v>
      </c>
      <c r="J350" s="4" t="s">
        <v>653</v>
      </c>
      <c r="K350" s="4" t="s">
        <v>256</v>
      </c>
      <c r="L350" s="4" t="s">
        <v>241</v>
      </c>
      <c r="M350" s="5" t="s">
        <v>654</v>
      </c>
      <c r="N350" s="4" t="s">
        <v>2747</v>
      </c>
      <c r="O350" s="6">
        <f>0</f>
        <v>0</v>
      </c>
      <c r="P350" s="4" t="s">
        <v>276</v>
      </c>
      <c r="Q350" s="6">
        <f>21620827</f>
        <v>21620827</v>
      </c>
      <c r="R350" s="6">
        <f>25556533</f>
        <v>25556533</v>
      </c>
      <c r="S350" s="5" t="s">
        <v>1104</v>
      </c>
      <c r="T350" s="4" t="s">
        <v>322</v>
      </c>
      <c r="U350" s="4" t="s">
        <v>277</v>
      </c>
      <c r="V350" s="6">
        <f>1967853</f>
        <v>1967853</v>
      </c>
      <c r="W350" s="6">
        <f>3935706</f>
        <v>3935706</v>
      </c>
      <c r="X350" s="4" t="s">
        <v>243</v>
      </c>
      <c r="Y350" s="4" t="s">
        <v>244</v>
      </c>
      <c r="Z350" s="4" t="s">
        <v>241</v>
      </c>
      <c r="AA350" s="4" t="s">
        <v>241</v>
      </c>
      <c r="AD350" s="4" t="s">
        <v>241</v>
      </c>
      <c r="AE350" s="5" t="s">
        <v>241</v>
      </c>
      <c r="AF350" s="5" t="s">
        <v>241</v>
      </c>
      <c r="AH350" s="5" t="s">
        <v>241</v>
      </c>
      <c r="AI350" s="5" t="s">
        <v>249</v>
      </c>
      <c r="AJ350" s="4" t="s">
        <v>251</v>
      </c>
      <c r="AK350" s="4" t="s">
        <v>252</v>
      </c>
      <c r="AQ350" s="4" t="s">
        <v>241</v>
      </c>
      <c r="AR350" s="4" t="s">
        <v>241</v>
      </c>
      <c r="AS350" s="4" t="s">
        <v>241</v>
      </c>
      <c r="AT350" s="5" t="s">
        <v>241</v>
      </c>
      <c r="AU350" s="5" t="s">
        <v>241</v>
      </c>
      <c r="AV350" s="5" t="s">
        <v>241</v>
      </c>
      <c r="AY350" s="4" t="s">
        <v>286</v>
      </c>
      <c r="AZ350" s="4" t="s">
        <v>286</v>
      </c>
      <c r="BA350" s="4" t="s">
        <v>254</v>
      </c>
      <c r="BB350" s="4" t="s">
        <v>287</v>
      </c>
      <c r="BC350" s="4" t="s">
        <v>255</v>
      </c>
      <c r="BD350" s="4" t="s">
        <v>241</v>
      </c>
      <c r="BE350" s="4" t="s">
        <v>257</v>
      </c>
      <c r="BF350" s="4" t="s">
        <v>241</v>
      </c>
      <c r="BJ350" s="4" t="s">
        <v>288</v>
      </c>
      <c r="BK350" s="5" t="s">
        <v>289</v>
      </c>
      <c r="BL350" s="4" t="s">
        <v>290</v>
      </c>
      <c r="BM350" s="4" t="s">
        <v>290</v>
      </c>
      <c r="BN350" s="4" t="s">
        <v>241</v>
      </c>
      <c r="BP350" s="6">
        <f>-1967853</f>
        <v>-1967853</v>
      </c>
      <c r="BQ350" s="4" t="s">
        <v>263</v>
      </c>
      <c r="BR350" s="4" t="s">
        <v>264</v>
      </c>
      <c r="BS350" s="4" t="s">
        <v>241</v>
      </c>
      <c r="BT350" s="4" t="s">
        <v>241</v>
      </c>
      <c r="BU350" s="4" t="s">
        <v>241</v>
      </c>
      <c r="BV350" s="4" t="s">
        <v>241</v>
      </c>
      <c r="CE350" s="4" t="s">
        <v>264</v>
      </c>
      <c r="CF350" s="4" t="s">
        <v>241</v>
      </c>
      <c r="CG350" s="4" t="s">
        <v>241</v>
      </c>
      <c r="CK350" s="4" t="s">
        <v>291</v>
      </c>
      <c r="CL350" s="4" t="s">
        <v>266</v>
      </c>
      <c r="CM350" s="4" t="s">
        <v>241</v>
      </c>
      <c r="CO350" s="4" t="s">
        <v>331</v>
      </c>
      <c r="CP350" s="5" t="s">
        <v>268</v>
      </c>
      <c r="CQ350" s="4" t="s">
        <v>269</v>
      </c>
      <c r="CR350" s="4" t="s">
        <v>270</v>
      </c>
      <c r="CS350" s="4" t="s">
        <v>293</v>
      </c>
      <c r="CT350" s="4" t="s">
        <v>241</v>
      </c>
      <c r="CU350" s="4">
        <v>7.6999999999999999E-2</v>
      </c>
      <c r="CV350" s="4" t="s">
        <v>271</v>
      </c>
      <c r="CW350" s="4" t="s">
        <v>415</v>
      </c>
      <c r="CX350" s="4" t="s">
        <v>428</v>
      </c>
      <c r="CY350" s="6">
        <f>0</f>
        <v>0</v>
      </c>
      <c r="CZ350" s="6">
        <f>25556533</f>
        <v>25556533</v>
      </c>
      <c r="DA350" s="6">
        <f>21620827</f>
        <v>21620827</v>
      </c>
      <c r="DC350" s="4" t="s">
        <v>241</v>
      </c>
      <c r="DD350" s="4" t="s">
        <v>241</v>
      </c>
      <c r="DF350" s="4" t="s">
        <v>241</v>
      </c>
      <c r="DG350" s="6">
        <f>0</f>
        <v>0</v>
      </c>
      <c r="DI350" s="4" t="s">
        <v>241</v>
      </c>
      <c r="DJ350" s="4" t="s">
        <v>241</v>
      </c>
      <c r="DK350" s="4" t="s">
        <v>241</v>
      </c>
      <c r="DL350" s="4" t="s">
        <v>241</v>
      </c>
      <c r="DM350" s="4" t="s">
        <v>278</v>
      </c>
      <c r="DN350" s="4" t="s">
        <v>278</v>
      </c>
      <c r="DO350" s="6" t="s">
        <v>241</v>
      </c>
      <c r="DP350" s="4" t="s">
        <v>241</v>
      </c>
      <c r="DQ350" s="4" t="s">
        <v>241</v>
      </c>
      <c r="DR350" s="4" t="s">
        <v>241</v>
      </c>
      <c r="DS350" s="4" t="s">
        <v>241</v>
      </c>
      <c r="DV350" s="4" t="s">
        <v>831</v>
      </c>
      <c r="DW350" s="4" t="s">
        <v>336</v>
      </c>
      <c r="GN350" s="4" t="s">
        <v>2847</v>
      </c>
      <c r="HO350" s="4" t="s">
        <v>297</v>
      </c>
      <c r="HR350" s="4" t="s">
        <v>278</v>
      </c>
      <c r="HS350" s="4" t="s">
        <v>278</v>
      </c>
      <c r="HT350" s="4" t="s">
        <v>241</v>
      </c>
      <c r="HU350" s="4" t="s">
        <v>241</v>
      </c>
      <c r="HV350" s="4" t="s">
        <v>241</v>
      </c>
      <c r="HW350" s="4" t="s">
        <v>241</v>
      </c>
      <c r="HX350" s="4" t="s">
        <v>241</v>
      </c>
      <c r="HY350" s="4" t="s">
        <v>241</v>
      </c>
      <c r="HZ350" s="4" t="s">
        <v>241</v>
      </c>
      <c r="IA350" s="4" t="s">
        <v>241</v>
      </c>
      <c r="IB350" s="4" t="s">
        <v>241</v>
      </c>
      <c r="IC350" s="4" t="s">
        <v>241</v>
      </c>
      <c r="ID350" s="4" t="s">
        <v>241</v>
      </c>
      <c r="IE350" s="4" t="s">
        <v>241</v>
      </c>
      <c r="IF350" s="4" t="s">
        <v>241</v>
      </c>
    </row>
    <row r="351" spans="1:240" x14ac:dyDescent="0.4">
      <c r="A351" s="4">
        <v>2</v>
      </c>
      <c r="B351" s="4" t="s">
        <v>239</v>
      </c>
      <c r="C351" s="4">
        <v>382</v>
      </c>
      <c r="D351" s="4">
        <v>1</v>
      </c>
      <c r="E351" s="4">
        <v>1</v>
      </c>
      <c r="F351" s="4" t="s">
        <v>240</v>
      </c>
      <c r="G351" s="4" t="s">
        <v>241</v>
      </c>
      <c r="H351" s="4" t="s">
        <v>241</v>
      </c>
      <c r="I351" s="4" t="s">
        <v>752</v>
      </c>
      <c r="J351" s="4" t="s">
        <v>653</v>
      </c>
      <c r="K351" s="4" t="s">
        <v>256</v>
      </c>
      <c r="L351" s="4" t="s">
        <v>651</v>
      </c>
      <c r="M351" s="5" t="s">
        <v>754</v>
      </c>
      <c r="N351" s="4" t="s">
        <v>651</v>
      </c>
      <c r="O351" s="6">
        <f>3197</f>
        <v>3197</v>
      </c>
      <c r="P351" s="4" t="s">
        <v>276</v>
      </c>
      <c r="Q351" s="6">
        <f>1</f>
        <v>1</v>
      </c>
      <c r="R351" s="6">
        <f>431595000</f>
        <v>431595000</v>
      </c>
      <c r="S351" s="5" t="s">
        <v>753</v>
      </c>
      <c r="T351" s="4" t="s">
        <v>668</v>
      </c>
      <c r="U351" s="4" t="s">
        <v>668</v>
      </c>
      <c r="W351" s="6">
        <f>431594999</f>
        <v>431594999</v>
      </c>
      <c r="X351" s="4" t="s">
        <v>243</v>
      </c>
      <c r="Y351" s="4" t="s">
        <v>244</v>
      </c>
      <c r="Z351" s="4" t="s">
        <v>465</v>
      </c>
      <c r="AA351" s="4" t="s">
        <v>241</v>
      </c>
      <c r="AD351" s="4" t="s">
        <v>241</v>
      </c>
      <c r="AF351" s="5" t="s">
        <v>241</v>
      </c>
      <c r="AI351" s="5" t="s">
        <v>249</v>
      </c>
      <c r="AJ351" s="4" t="s">
        <v>251</v>
      </c>
      <c r="AK351" s="4" t="s">
        <v>252</v>
      </c>
      <c r="BA351" s="4" t="s">
        <v>254</v>
      </c>
      <c r="BB351" s="4" t="s">
        <v>241</v>
      </c>
      <c r="BC351" s="4" t="s">
        <v>255</v>
      </c>
      <c r="BD351" s="4" t="s">
        <v>241</v>
      </c>
      <c r="BE351" s="4" t="s">
        <v>257</v>
      </c>
      <c r="BF351" s="4" t="s">
        <v>241</v>
      </c>
      <c r="BJ351" s="4" t="s">
        <v>377</v>
      </c>
      <c r="BK351" s="5" t="s">
        <v>378</v>
      </c>
      <c r="BL351" s="4" t="s">
        <v>261</v>
      </c>
      <c r="BM351" s="4" t="s">
        <v>290</v>
      </c>
      <c r="BN351" s="4" t="s">
        <v>241</v>
      </c>
      <c r="BO351" s="6">
        <f>0</f>
        <v>0</v>
      </c>
      <c r="BP351" s="6">
        <f>0</f>
        <v>0</v>
      </c>
      <c r="BQ351" s="4" t="s">
        <v>263</v>
      </c>
      <c r="BR351" s="4" t="s">
        <v>264</v>
      </c>
      <c r="CF351" s="4" t="s">
        <v>241</v>
      </c>
      <c r="CG351" s="4" t="s">
        <v>241</v>
      </c>
      <c r="CK351" s="4" t="s">
        <v>265</v>
      </c>
      <c r="CL351" s="4" t="s">
        <v>266</v>
      </c>
      <c r="CM351" s="4" t="s">
        <v>241</v>
      </c>
      <c r="CO351" s="4" t="s">
        <v>511</v>
      </c>
      <c r="CP351" s="5" t="s">
        <v>268</v>
      </c>
      <c r="CQ351" s="4" t="s">
        <v>269</v>
      </c>
      <c r="CR351" s="4" t="s">
        <v>270</v>
      </c>
      <c r="CS351" s="4" t="s">
        <v>241</v>
      </c>
      <c r="CT351" s="4" t="s">
        <v>241</v>
      </c>
      <c r="CU351" s="4">
        <v>0</v>
      </c>
      <c r="CV351" s="4" t="s">
        <v>271</v>
      </c>
      <c r="CW351" s="4" t="s">
        <v>655</v>
      </c>
      <c r="CX351" s="4" t="s">
        <v>295</v>
      </c>
      <c r="CZ351" s="6">
        <f>431595000</f>
        <v>431595000</v>
      </c>
      <c r="DA351" s="6">
        <f>0</f>
        <v>0</v>
      </c>
      <c r="DC351" s="4" t="s">
        <v>241</v>
      </c>
      <c r="DD351" s="4" t="s">
        <v>241</v>
      </c>
      <c r="DF351" s="4" t="s">
        <v>241</v>
      </c>
      <c r="DI351" s="4" t="s">
        <v>241</v>
      </c>
      <c r="DJ351" s="4" t="s">
        <v>241</v>
      </c>
      <c r="DK351" s="4" t="s">
        <v>241</v>
      </c>
      <c r="DL351" s="4" t="s">
        <v>241</v>
      </c>
      <c r="DM351" s="4" t="s">
        <v>297</v>
      </c>
      <c r="DN351" s="4" t="s">
        <v>278</v>
      </c>
      <c r="DO351" s="6">
        <f>3197</f>
        <v>3197</v>
      </c>
      <c r="DP351" s="4" t="s">
        <v>241</v>
      </c>
      <c r="DQ351" s="4" t="s">
        <v>241</v>
      </c>
      <c r="DR351" s="4" t="s">
        <v>241</v>
      </c>
      <c r="DS351" s="4" t="s">
        <v>241</v>
      </c>
      <c r="DV351" s="4" t="s">
        <v>755</v>
      </c>
      <c r="DW351" s="4" t="s">
        <v>277</v>
      </c>
      <c r="HO351" s="4" t="s">
        <v>336</v>
      </c>
      <c r="HR351" s="4" t="s">
        <v>278</v>
      </c>
      <c r="HS351" s="4" t="s">
        <v>278</v>
      </c>
    </row>
    <row r="352" spans="1:240" x14ac:dyDescent="0.4">
      <c r="A352" s="4">
        <v>2</v>
      </c>
      <c r="B352" s="4" t="s">
        <v>239</v>
      </c>
      <c r="C352" s="4">
        <v>383</v>
      </c>
      <c r="D352" s="4">
        <v>1</v>
      </c>
      <c r="E352" s="4">
        <v>3</v>
      </c>
      <c r="F352" s="4" t="s">
        <v>240</v>
      </c>
      <c r="G352" s="4" t="s">
        <v>241</v>
      </c>
      <c r="H352" s="4" t="s">
        <v>241</v>
      </c>
      <c r="I352" s="4" t="s">
        <v>752</v>
      </c>
      <c r="J352" s="4" t="s">
        <v>653</v>
      </c>
      <c r="K352" s="4" t="s">
        <v>256</v>
      </c>
      <c r="L352" s="4" t="s">
        <v>2000</v>
      </c>
      <c r="M352" s="5" t="s">
        <v>754</v>
      </c>
      <c r="N352" s="4" t="s">
        <v>2000</v>
      </c>
      <c r="O352" s="6">
        <f>94</f>
        <v>94</v>
      </c>
      <c r="P352" s="4" t="s">
        <v>276</v>
      </c>
      <c r="Q352" s="6">
        <f>162620</f>
        <v>162620</v>
      </c>
      <c r="R352" s="6">
        <f>16262000</f>
        <v>16262000</v>
      </c>
      <c r="S352" s="5" t="s">
        <v>2060</v>
      </c>
      <c r="T352" s="4" t="s">
        <v>441</v>
      </c>
      <c r="U352" s="4" t="s">
        <v>399</v>
      </c>
      <c r="V352" s="6">
        <f>536646</f>
        <v>536646</v>
      </c>
      <c r="W352" s="6">
        <f>16099380</f>
        <v>16099380</v>
      </c>
      <c r="X352" s="4" t="s">
        <v>243</v>
      </c>
      <c r="Y352" s="4" t="s">
        <v>244</v>
      </c>
      <c r="Z352" s="4" t="s">
        <v>465</v>
      </c>
      <c r="AA352" s="4" t="s">
        <v>241</v>
      </c>
      <c r="AD352" s="4" t="s">
        <v>241</v>
      </c>
      <c r="AE352" s="5" t="s">
        <v>241</v>
      </c>
      <c r="AF352" s="5" t="s">
        <v>241</v>
      </c>
      <c r="AH352" s="5" t="s">
        <v>241</v>
      </c>
      <c r="AI352" s="5" t="s">
        <v>249</v>
      </c>
      <c r="AJ352" s="4" t="s">
        <v>251</v>
      </c>
      <c r="AK352" s="4" t="s">
        <v>252</v>
      </c>
      <c r="AQ352" s="4" t="s">
        <v>241</v>
      </c>
      <c r="AR352" s="4" t="s">
        <v>241</v>
      </c>
      <c r="AS352" s="4" t="s">
        <v>241</v>
      </c>
      <c r="AT352" s="5" t="s">
        <v>241</v>
      </c>
      <c r="AU352" s="5" t="s">
        <v>241</v>
      </c>
      <c r="AV352" s="5" t="s">
        <v>241</v>
      </c>
      <c r="AY352" s="4" t="s">
        <v>286</v>
      </c>
      <c r="AZ352" s="4" t="s">
        <v>286</v>
      </c>
      <c r="BA352" s="4" t="s">
        <v>254</v>
      </c>
      <c r="BB352" s="4" t="s">
        <v>287</v>
      </c>
      <c r="BC352" s="4" t="s">
        <v>255</v>
      </c>
      <c r="BD352" s="4" t="s">
        <v>241</v>
      </c>
      <c r="BE352" s="4" t="s">
        <v>257</v>
      </c>
      <c r="BF352" s="4" t="s">
        <v>241</v>
      </c>
      <c r="BJ352" s="4" t="s">
        <v>288</v>
      </c>
      <c r="BK352" s="5" t="s">
        <v>289</v>
      </c>
      <c r="BL352" s="4" t="s">
        <v>290</v>
      </c>
      <c r="BM352" s="4" t="s">
        <v>290</v>
      </c>
      <c r="BN352" s="4" t="s">
        <v>241</v>
      </c>
      <c r="BO352" s="6">
        <f>0</f>
        <v>0</v>
      </c>
      <c r="BP352" s="6">
        <f>-536646</f>
        <v>-536646</v>
      </c>
      <c r="BQ352" s="4" t="s">
        <v>263</v>
      </c>
      <c r="BR352" s="4" t="s">
        <v>264</v>
      </c>
      <c r="BS352" s="4" t="s">
        <v>241</v>
      </c>
      <c r="BT352" s="4" t="s">
        <v>241</v>
      </c>
      <c r="BU352" s="4" t="s">
        <v>241</v>
      </c>
      <c r="BV352" s="4" t="s">
        <v>241</v>
      </c>
      <c r="CE352" s="4" t="s">
        <v>264</v>
      </c>
      <c r="CF352" s="4" t="s">
        <v>241</v>
      </c>
      <c r="CG352" s="4" t="s">
        <v>241</v>
      </c>
      <c r="CK352" s="4" t="s">
        <v>291</v>
      </c>
      <c r="CL352" s="4" t="s">
        <v>266</v>
      </c>
      <c r="CM352" s="4" t="s">
        <v>241</v>
      </c>
      <c r="CO352" s="4" t="s">
        <v>439</v>
      </c>
      <c r="CP352" s="5" t="s">
        <v>268</v>
      </c>
      <c r="CQ352" s="4" t="s">
        <v>269</v>
      </c>
      <c r="CR352" s="4" t="s">
        <v>270</v>
      </c>
      <c r="CS352" s="4" t="s">
        <v>293</v>
      </c>
      <c r="CT352" s="4" t="s">
        <v>241</v>
      </c>
      <c r="CU352" s="4">
        <v>3.3000000000000002E-2</v>
      </c>
      <c r="CV352" s="4" t="s">
        <v>271</v>
      </c>
      <c r="CW352" s="4" t="s">
        <v>1986</v>
      </c>
      <c r="CX352" s="4" t="s">
        <v>487</v>
      </c>
      <c r="CY352" s="6">
        <f>0</f>
        <v>0</v>
      </c>
      <c r="CZ352" s="6">
        <f>16262000</f>
        <v>16262000</v>
      </c>
      <c r="DA352" s="6">
        <f>162620</f>
        <v>162620</v>
      </c>
      <c r="DC352" s="4" t="s">
        <v>241</v>
      </c>
      <c r="DD352" s="4" t="s">
        <v>241</v>
      </c>
      <c r="DF352" s="4" t="s">
        <v>241</v>
      </c>
      <c r="DG352" s="6">
        <f>0</f>
        <v>0</v>
      </c>
      <c r="DI352" s="4" t="s">
        <v>241</v>
      </c>
      <c r="DJ352" s="4" t="s">
        <v>241</v>
      </c>
      <c r="DK352" s="4" t="s">
        <v>241</v>
      </c>
      <c r="DL352" s="4" t="s">
        <v>241</v>
      </c>
      <c r="DM352" s="4" t="s">
        <v>277</v>
      </c>
      <c r="DN352" s="4" t="s">
        <v>278</v>
      </c>
      <c r="DO352" s="6">
        <f>94</f>
        <v>94</v>
      </c>
      <c r="DP352" s="4" t="s">
        <v>241</v>
      </c>
      <c r="DQ352" s="4" t="s">
        <v>241</v>
      </c>
      <c r="DR352" s="4" t="s">
        <v>241</v>
      </c>
      <c r="DS352" s="4" t="s">
        <v>241</v>
      </c>
      <c r="DV352" s="4" t="s">
        <v>755</v>
      </c>
      <c r="DW352" s="4" t="s">
        <v>323</v>
      </c>
      <c r="GN352" s="4" t="s">
        <v>2061</v>
      </c>
      <c r="HO352" s="4" t="s">
        <v>300</v>
      </c>
      <c r="HR352" s="4" t="s">
        <v>278</v>
      </c>
      <c r="HS352" s="4" t="s">
        <v>278</v>
      </c>
      <c r="HT352" s="4" t="s">
        <v>241</v>
      </c>
      <c r="HU352" s="4" t="s">
        <v>241</v>
      </c>
      <c r="HV352" s="4" t="s">
        <v>241</v>
      </c>
      <c r="HW352" s="4" t="s">
        <v>241</v>
      </c>
      <c r="HX352" s="4" t="s">
        <v>241</v>
      </c>
      <c r="HY352" s="4" t="s">
        <v>241</v>
      </c>
      <c r="HZ352" s="4" t="s">
        <v>241</v>
      </c>
      <c r="IA352" s="4" t="s">
        <v>241</v>
      </c>
      <c r="IB352" s="4" t="s">
        <v>241</v>
      </c>
      <c r="IC352" s="4" t="s">
        <v>241</v>
      </c>
      <c r="ID352" s="4" t="s">
        <v>241</v>
      </c>
      <c r="IE352" s="4" t="s">
        <v>241</v>
      </c>
      <c r="IF352" s="4" t="s">
        <v>241</v>
      </c>
    </row>
    <row r="353" spans="1:240" x14ac:dyDescent="0.4">
      <c r="A353" s="4">
        <v>2</v>
      </c>
      <c r="B353" s="4" t="s">
        <v>239</v>
      </c>
      <c r="C353" s="4">
        <v>384</v>
      </c>
      <c r="D353" s="4">
        <v>1</v>
      </c>
      <c r="E353" s="4">
        <v>1</v>
      </c>
      <c r="F353" s="4" t="s">
        <v>240</v>
      </c>
      <c r="G353" s="4" t="s">
        <v>241</v>
      </c>
      <c r="H353" s="4" t="s">
        <v>241</v>
      </c>
      <c r="I353" s="4" t="s">
        <v>752</v>
      </c>
      <c r="J353" s="4" t="s">
        <v>653</v>
      </c>
      <c r="K353" s="4" t="s">
        <v>256</v>
      </c>
      <c r="L353" s="4" t="s">
        <v>1003</v>
      </c>
      <c r="M353" s="5" t="s">
        <v>754</v>
      </c>
      <c r="N353" s="4" t="s">
        <v>1003</v>
      </c>
      <c r="O353" s="6">
        <f>728</f>
        <v>728</v>
      </c>
      <c r="P353" s="4" t="s">
        <v>276</v>
      </c>
      <c r="Q353" s="6">
        <f>1</f>
        <v>1</v>
      </c>
      <c r="R353" s="6">
        <f>58240000</f>
        <v>58240000</v>
      </c>
      <c r="S353" s="5" t="s">
        <v>1142</v>
      </c>
      <c r="T353" s="4" t="s">
        <v>357</v>
      </c>
      <c r="U353" s="4" t="s">
        <v>437</v>
      </c>
      <c r="W353" s="6">
        <f>58239999</f>
        <v>58239999</v>
      </c>
      <c r="X353" s="4" t="s">
        <v>243</v>
      </c>
      <c r="Y353" s="4" t="s">
        <v>244</v>
      </c>
      <c r="Z353" s="4" t="s">
        <v>465</v>
      </c>
      <c r="AA353" s="4" t="s">
        <v>241</v>
      </c>
      <c r="AD353" s="4" t="s">
        <v>241</v>
      </c>
      <c r="AF353" s="5" t="s">
        <v>241</v>
      </c>
      <c r="AI353" s="5" t="s">
        <v>249</v>
      </c>
      <c r="AJ353" s="4" t="s">
        <v>251</v>
      </c>
      <c r="AK353" s="4" t="s">
        <v>252</v>
      </c>
      <c r="BA353" s="4" t="s">
        <v>254</v>
      </c>
      <c r="BB353" s="4" t="s">
        <v>241</v>
      </c>
      <c r="BC353" s="4" t="s">
        <v>255</v>
      </c>
      <c r="BD353" s="4" t="s">
        <v>241</v>
      </c>
      <c r="BE353" s="4" t="s">
        <v>257</v>
      </c>
      <c r="BF353" s="4" t="s">
        <v>241</v>
      </c>
      <c r="BJ353" s="4" t="s">
        <v>367</v>
      </c>
      <c r="BK353" s="5" t="s">
        <v>249</v>
      </c>
      <c r="BL353" s="4" t="s">
        <v>261</v>
      </c>
      <c r="BM353" s="4" t="s">
        <v>262</v>
      </c>
      <c r="BN353" s="4" t="s">
        <v>241</v>
      </c>
      <c r="BO353" s="6">
        <f>0</f>
        <v>0</v>
      </c>
      <c r="BP353" s="6">
        <f>0</f>
        <v>0</v>
      </c>
      <c r="BQ353" s="4" t="s">
        <v>263</v>
      </c>
      <c r="BR353" s="4" t="s">
        <v>264</v>
      </c>
      <c r="CF353" s="4" t="s">
        <v>241</v>
      </c>
      <c r="CG353" s="4" t="s">
        <v>241</v>
      </c>
      <c r="CK353" s="4" t="s">
        <v>265</v>
      </c>
      <c r="CL353" s="4" t="s">
        <v>266</v>
      </c>
      <c r="CM353" s="4" t="s">
        <v>241</v>
      </c>
      <c r="CO353" s="4" t="s">
        <v>436</v>
      </c>
      <c r="CP353" s="5" t="s">
        <v>268</v>
      </c>
      <c r="CQ353" s="4" t="s">
        <v>269</v>
      </c>
      <c r="CR353" s="4" t="s">
        <v>270</v>
      </c>
      <c r="CS353" s="4" t="s">
        <v>241</v>
      </c>
      <c r="CT353" s="4" t="s">
        <v>241</v>
      </c>
      <c r="CU353" s="4">
        <v>0</v>
      </c>
      <c r="CV353" s="4" t="s">
        <v>271</v>
      </c>
      <c r="CW353" s="4" t="s">
        <v>1006</v>
      </c>
      <c r="CX353" s="4" t="s">
        <v>487</v>
      </c>
      <c r="CZ353" s="6">
        <f>58240000</f>
        <v>58240000</v>
      </c>
      <c r="DA353" s="6">
        <f>0</f>
        <v>0</v>
      </c>
      <c r="DC353" s="4" t="s">
        <v>241</v>
      </c>
      <c r="DD353" s="4" t="s">
        <v>241</v>
      </c>
      <c r="DF353" s="4" t="s">
        <v>241</v>
      </c>
      <c r="DI353" s="4" t="s">
        <v>241</v>
      </c>
      <c r="DJ353" s="4" t="s">
        <v>241</v>
      </c>
      <c r="DK353" s="4" t="s">
        <v>241</v>
      </c>
      <c r="DL353" s="4" t="s">
        <v>241</v>
      </c>
      <c r="DM353" s="4" t="s">
        <v>277</v>
      </c>
      <c r="DN353" s="4" t="s">
        <v>278</v>
      </c>
      <c r="DO353" s="6">
        <f>728</f>
        <v>728</v>
      </c>
      <c r="DP353" s="4" t="s">
        <v>241</v>
      </c>
      <c r="DQ353" s="4" t="s">
        <v>241</v>
      </c>
      <c r="DR353" s="4" t="s">
        <v>241</v>
      </c>
      <c r="DS353" s="4" t="s">
        <v>241</v>
      </c>
      <c r="DV353" s="4" t="s">
        <v>755</v>
      </c>
      <c r="DW353" s="4" t="s">
        <v>297</v>
      </c>
      <c r="HO353" s="4" t="s">
        <v>277</v>
      </c>
      <c r="HR353" s="4" t="s">
        <v>278</v>
      </c>
      <c r="HS353" s="4" t="s">
        <v>278</v>
      </c>
    </row>
    <row r="354" spans="1:240" x14ac:dyDescent="0.4">
      <c r="A354" s="4">
        <v>2</v>
      </c>
      <c r="B354" s="4" t="s">
        <v>239</v>
      </c>
      <c r="C354" s="4">
        <v>385</v>
      </c>
      <c r="D354" s="4">
        <v>1</v>
      </c>
      <c r="E354" s="4">
        <v>1</v>
      </c>
      <c r="F354" s="4" t="s">
        <v>240</v>
      </c>
      <c r="G354" s="4" t="s">
        <v>241</v>
      </c>
      <c r="H354" s="4" t="s">
        <v>241</v>
      </c>
      <c r="I354" s="4" t="s">
        <v>752</v>
      </c>
      <c r="J354" s="4" t="s">
        <v>653</v>
      </c>
      <c r="K354" s="4" t="s">
        <v>256</v>
      </c>
      <c r="L354" s="4" t="s">
        <v>429</v>
      </c>
      <c r="M354" s="5" t="s">
        <v>754</v>
      </c>
      <c r="N354" s="4" t="s">
        <v>429</v>
      </c>
      <c r="O354" s="6">
        <f>20</f>
        <v>20</v>
      </c>
      <c r="P354" s="4" t="s">
        <v>276</v>
      </c>
      <c r="Q354" s="6">
        <f>1</f>
        <v>1</v>
      </c>
      <c r="R354" s="6">
        <f>1200000</f>
        <v>1200000</v>
      </c>
      <c r="S354" s="5" t="s">
        <v>3030</v>
      </c>
      <c r="T354" s="4" t="s">
        <v>348</v>
      </c>
      <c r="U354" s="4" t="s">
        <v>3032</v>
      </c>
      <c r="W354" s="6">
        <f>1199999</f>
        <v>1199999</v>
      </c>
      <c r="X354" s="4" t="s">
        <v>243</v>
      </c>
      <c r="Y354" s="4" t="s">
        <v>244</v>
      </c>
      <c r="Z354" s="4" t="s">
        <v>465</v>
      </c>
      <c r="AA354" s="4" t="s">
        <v>241</v>
      </c>
      <c r="AD354" s="4" t="s">
        <v>241</v>
      </c>
      <c r="AF354" s="5" t="s">
        <v>241</v>
      </c>
      <c r="AI354" s="5" t="s">
        <v>249</v>
      </c>
      <c r="AJ354" s="4" t="s">
        <v>251</v>
      </c>
      <c r="AK354" s="4" t="s">
        <v>252</v>
      </c>
      <c r="BA354" s="4" t="s">
        <v>254</v>
      </c>
      <c r="BB354" s="4" t="s">
        <v>241</v>
      </c>
      <c r="BC354" s="4" t="s">
        <v>255</v>
      </c>
      <c r="BD354" s="4" t="s">
        <v>241</v>
      </c>
      <c r="BE354" s="4" t="s">
        <v>257</v>
      </c>
      <c r="BF354" s="4" t="s">
        <v>241</v>
      </c>
      <c r="BJ354" s="4" t="s">
        <v>374</v>
      </c>
      <c r="BK354" s="5" t="s">
        <v>375</v>
      </c>
      <c r="BL354" s="4" t="s">
        <v>261</v>
      </c>
      <c r="BM354" s="4" t="s">
        <v>262</v>
      </c>
      <c r="BN354" s="4" t="s">
        <v>241</v>
      </c>
      <c r="BO354" s="6">
        <f>0</f>
        <v>0</v>
      </c>
      <c r="BP354" s="6">
        <f>0</f>
        <v>0</v>
      </c>
      <c r="BQ354" s="4" t="s">
        <v>263</v>
      </c>
      <c r="BR354" s="4" t="s">
        <v>264</v>
      </c>
      <c r="CF354" s="4" t="s">
        <v>241</v>
      </c>
      <c r="CG354" s="4" t="s">
        <v>241</v>
      </c>
      <c r="CK354" s="4" t="s">
        <v>265</v>
      </c>
      <c r="CL354" s="4" t="s">
        <v>266</v>
      </c>
      <c r="CM354" s="4" t="s">
        <v>241</v>
      </c>
      <c r="CO354" s="4" t="s">
        <v>3031</v>
      </c>
      <c r="CP354" s="5" t="s">
        <v>268</v>
      </c>
      <c r="CQ354" s="4" t="s">
        <v>269</v>
      </c>
      <c r="CR354" s="4" t="s">
        <v>270</v>
      </c>
      <c r="CS354" s="4" t="s">
        <v>241</v>
      </c>
      <c r="CT354" s="4" t="s">
        <v>241</v>
      </c>
      <c r="CU354" s="4">
        <v>0</v>
      </c>
      <c r="CV354" s="4" t="s">
        <v>271</v>
      </c>
      <c r="CW354" s="4" t="s">
        <v>272</v>
      </c>
      <c r="CX354" s="4" t="s">
        <v>347</v>
      </c>
      <c r="CZ354" s="6">
        <f>1200000</f>
        <v>1200000</v>
      </c>
      <c r="DA354" s="6">
        <f>0</f>
        <v>0</v>
      </c>
      <c r="DC354" s="4" t="s">
        <v>241</v>
      </c>
      <c r="DD354" s="4" t="s">
        <v>241</v>
      </c>
      <c r="DF354" s="4" t="s">
        <v>241</v>
      </c>
      <c r="DI354" s="4" t="s">
        <v>241</v>
      </c>
      <c r="DJ354" s="4" t="s">
        <v>241</v>
      </c>
      <c r="DK354" s="4" t="s">
        <v>241</v>
      </c>
      <c r="DL354" s="4" t="s">
        <v>241</v>
      </c>
      <c r="DM354" s="4" t="s">
        <v>277</v>
      </c>
      <c r="DN354" s="4" t="s">
        <v>278</v>
      </c>
      <c r="DO354" s="6">
        <f>20</f>
        <v>20</v>
      </c>
      <c r="DP354" s="4" t="s">
        <v>241</v>
      </c>
      <c r="DQ354" s="4" t="s">
        <v>241</v>
      </c>
      <c r="DR354" s="4" t="s">
        <v>241</v>
      </c>
      <c r="DS354" s="4" t="s">
        <v>241</v>
      </c>
      <c r="DV354" s="4" t="s">
        <v>755</v>
      </c>
      <c r="DW354" s="4" t="s">
        <v>336</v>
      </c>
      <c r="HO354" s="4" t="s">
        <v>277</v>
      </c>
      <c r="HR354" s="4" t="s">
        <v>278</v>
      </c>
      <c r="HS354" s="4" t="s">
        <v>278</v>
      </c>
    </row>
    <row r="355" spans="1:240" x14ac:dyDescent="0.4">
      <c r="A355" s="4">
        <v>2</v>
      </c>
      <c r="B355" s="4" t="s">
        <v>239</v>
      </c>
      <c r="C355" s="4">
        <v>386</v>
      </c>
      <c r="D355" s="4">
        <v>1</v>
      </c>
      <c r="E355" s="4">
        <v>3</v>
      </c>
      <c r="F355" s="4" t="s">
        <v>326</v>
      </c>
      <c r="G355" s="4" t="s">
        <v>241</v>
      </c>
      <c r="H355" s="4" t="s">
        <v>241</v>
      </c>
      <c r="I355" s="4" t="s">
        <v>752</v>
      </c>
      <c r="J355" s="4" t="s">
        <v>653</v>
      </c>
      <c r="K355" s="4" t="s">
        <v>256</v>
      </c>
      <c r="L355" s="4" t="s">
        <v>2724</v>
      </c>
      <c r="M355" s="5" t="s">
        <v>754</v>
      </c>
      <c r="N355" s="4" t="s">
        <v>2761</v>
      </c>
      <c r="O355" s="6">
        <f>0</f>
        <v>0</v>
      </c>
      <c r="P355" s="4" t="s">
        <v>276</v>
      </c>
      <c r="Q355" s="6">
        <f>698728</f>
        <v>698728</v>
      </c>
      <c r="R355" s="6">
        <f>954544</f>
        <v>954544</v>
      </c>
      <c r="S355" s="5" t="s">
        <v>380</v>
      </c>
      <c r="T355" s="4" t="s">
        <v>348</v>
      </c>
      <c r="U355" s="4" t="s">
        <v>297</v>
      </c>
      <c r="V355" s="6">
        <f>63954</f>
        <v>63954</v>
      </c>
      <c r="W355" s="6">
        <f>255816</f>
        <v>255816</v>
      </c>
      <c r="X355" s="4" t="s">
        <v>243</v>
      </c>
      <c r="Y355" s="4" t="s">
        <v>244</v>
      </c>
      <c r="Z355" s="4" t="s">
        <v>465</v>
      </c>
      <c r="AA355" s="4" t="s">
        <v>241</v>
      </c>
      <c r="AD355" s="4" t="s">
        <v>241</v>
      </c>
      <c r="AE355" s="5" t="s">
        <v>241</v>
      </c>
      <c r="AF355" s="5" t="s">
        <v>241</v>
      </c>
      <c r="AH355" s="5" t="s">
        <v>241</v>
      </c>
      <c r="AI355" s="5" t="s">
        <v>249</v>
      </c>
      <c r="AJ355" s="4" t="s">
        <v>251</v>
      </c>
      <c r="AK355" s="4" t="s">
        <v>252</v>
      </c>
      <c r="AQ355" s="4" t="s">
        <v>241</v>
      </c>
      <c r="AR355" s="4" t="s">
        <v>241</v>
      </c>
      <c r="AS355" s="4" t="s">
        <v>241</v>
      </c>
      <c r="AT355" s="5" t="s">
        <v>241</v>
      </c>
      <c r="AU355" s="5" t="s">
        <v>241</v>
      </c>
      <c r="AV355" s="5" t="s">
        <v>241</v>
      </c>
      <c r="AY355" s="4" t="s">
        <v>286</v>
      </c>
      <c r="AZ355" s="4" t="s">
        <v>286</v>
      </c>
      <c r="BA355" s="4" t="s">
        <v>254</v>
      </c>
      <c r="BB355" s="4" t="s">
        <v>287</v>
      </c>
      <c r="BC355" s="4" t="s">
        <v>255</v>
      </c>
      <c r="BD355" s="4" t="s">
        <v>241</v>
      </c>
      <c r="BE355" s="4" t="s">
        <v>257</v>
      </c>
      <c r="BF355" s="4" t="s">
        <v>241</v>
      </c>
      <c r="BJ355" s="4" t="s">
        <v>288</v>
      </c>
      <c r="BK355" s="5" t="s">
        <v>289</v>
      </c>
      <c r="BL355" s="4" t="s">
        <v>290</v>
      </c>
      <c r="BM355" s="4" t="s">
        <v>290</v>
      </c>
      <c r="BN355" s="4" t="s">
        <v>241</v>
      </c>
      <c r="BP355" s="6">
        <f>-63954</f>
        <v>-63954</v>
      </c>
      <c r="BQ355" s="4" t="s">
        <v>263</v>
      </c>
      <c r="BR355" s="4" t="s">
        <v>264</v>
      </c>
      <c r="BS355" s="4" t="s">
        <v>241</v>
      </c>
      <c r="BT355" s="4" t="s">
        <v>241</v>
      </c>
      <c r="BU355" s="4" t="s">
        <v>241</v>
      </c>
      <c r="BV355" s="4" t="s">
        <v>241</v>
      </c>
      <c r="CE355" s="4" t="s">
        <v>264</v>
      </c>
      <c r="CF355" s="4" t="s">
        <v>241</v>
      </c>
      <c r="CG355" s="4" t="s">
        <v>241</v>
      </c>
      <c r="CK355" s="4" t="s">
        <v>291</v>
      </c>
      <c r="CL355" s="4" t="s">
        <v>266</v>
      </c>
      <c r="CM355" s="4" t="s">
        <v>241</v>
      </c>
      <c r="CO355" s="4" t="s">
        <v>413</v>
      </c>
      <c r="CP355" s="5" t="s">
        <v>268</v>
      </c>
      <c r="CQ355" s="4" t="s">
        <v>269</v>
      </c>
      <c r="CR355" s="4" t="s">
        <v>270</v>
      </c>
      <c r="CS355" s="4" t="s">
        <v>293</v>
      </c>
      <c r="CT355" s="4" t="s">
        <v>241</v>
      </c>
      <c r="CU355" s="4">
        <v>6.7000000000000004E-2</v>
      </c>
      <c r="CV355" s="4" t="s">
        <v>271</v>
      </c>
      <c r="CW355" s="4" t="s">
        <v>415</v>
      </c>
      <c r="CX355" s="4" t="s">
        <v>422</v>
      </c>
      <c r="CY355" s="6">
        <f>0</f>
        <v>0</v>
      </c>
      <c r="CZ355" s="6">
        <f>954544</f>
        <v>954544</v>
      </c>
      <c r="DA355" s="6">
        <f>698728</f>
        <v>698728</v>
      </c>
      <c r="DC355" s="4" t="s">
        <v>241</v>
      </c>
      <c r="DD355" s="4" t="s">
        <v>241</v>
      </c>
      <c r="DF355" s="4" t="s">
        <v>241</v>
      </c>
      <c r="DG355" s="6">
        <f>0</f>
        <v>0</v>
      </c>
      <c r="DI355" s="4" t="s">
        <v>241</v>
      </c>
      <c r="DJ355" s="4" t="s">
        <v>241</v>
      </c>
      <c r="DK355" s="4" t="s">
        <v>241</v>
      </c>
      <c r="DL355" s="4" t="s">
        <v>241</v>
      </c>
      <c r="DM355" s="4" t="s">
        <v>278</v>
      </c>
      <c r="DN355" s="4" t="s">
        <v>278</v>
      </c>
      <c r="DO355" s="6" t="s">
        <v>241</v>
      </c>
      <c r="DP355" s="4" t="s">
        <v>241</v>
      </c>
      <c r="DQ355" s="4" t="s">
        <v>241</v>
      </c>
      <c r="DR355" s="4" t="s">
        <v>241</v>
      </c>
      <c r="DS355" s="4" t="s">
        <v>241</v>
      </c>
      <c r="DV355" s="4" t="s">
        <v>755</v>
      </c>
      <c r="DW355" s="4" t="s">
        <v>351</v>
      </c>
      <c r="GN355" s="4" t="s">
        <v>2846</v>
      </c>
      <c r="HO355" s="4" t="s">
        <v>351</v>
      </c>
      <c r="HR355" s="4" t="s">
        <v>278</v>
      </c>
      <c r="HS355" s="4" t="s">
        <v>278</v>
      </c>
      <c r="HT355" s="4" t="s">
        <v>241</v>
      </c>
      <c r="HU355" s="4" t="s">
        <v>241</v>
      </c>
      <c r="HV355" s="4" t="s">
        <v>241</v>
      </c>
      <c r="HW355" s="4" t="s">
        <v>241</v>
      </c>
      <c r="HX355" s="4" t="s">
        <v>241</v>
      </c>
      <c r="HY355" s="4" t="s">
        <v>241</v>
      </c>
      <c r="HZ355" s="4" t="s">
        <v>241</v>
      </c>
      <c r="IA355" s="4" t="s">
        <v>241</v>
      </c>
      <c r="IB355" s="4" t="s">
        <v>241</v>
      </c>
      <c r="IC355" s="4" t="s">
        <v>241</v>
      </c>
      <c r="ID355" s="4" t="s">
        <v>241</v>
      </c>
      <c r="IE355" s="4" t="s">
        <v>241</v>
      </c>
      <c r="IF355" s="4" t="s">
        <v>241</v>
      </c>
    </row>
    <row r="356" spans="1:240" x14ac:dyDescent="0.4">
      <c r="A356" s="4">
        <v>2</v>
      </c>
      <c r="B356" s="4" t="s">
        <v>239</v>
      </c>
      <c r="C356" s="4">
        <v>387</v>
      </c>
      <c r="D356" s="4">
        <v>1</v>
      </c>
      <c r="E356" s="4">
        <v>3</v>
      </c>
      <c r="F356" s="4" t="s">
        <v>326</v>
      </c>
      <c r="G356" s="4" t="s">
        <v>241</v>
      </c>
      <c r="H356" s="4" t="s">
        <v>241</v>
      </c>
      <c r="I356" s="4" t="s">
        <v>752</v>
      </c>
      <c r="J356" s="4" t="s">
        <v>653</v>
      </c>
      <c r="K356" s="4" t="s">
        <v>256</v>
      </c>
      <c r="L356" s="4" t="s">
        <v>241</v>
      </c>
      <c r="M356" s="5" t="s">
        <v>754</v>
      </c>
      <c r="N356" s="4" t="s">
        <v>2843</v>
      </c>
      <c r="O356" s="6">
        <f>0</f>
        <v>0</v>
      </c>
      <c r="P356" s="4" t="s">
        <v>276</v>
      </c>
      <c r="Q356" s="6">
        <f>1505074</f>
        <v>1505074</v>
      </c>
      <c r="R356" s="6">
        <f>1737960</f>
        <v>1737960</v>
      </c>
      <c r="S356" s="5" t="s">
        <v>2844</v>
      </c>
      <c r="T356" s="4" t="s">
        <v>348</v>
      </c>
      <c r="U356" s="4" t="s">
        <v>277</v>
      </c>
      <c r="V356" s="6">
        <f>116443</f>
        <v>116443</v>
      </c>
      <c r="W356" s="6">
        <f>232886</f>
        <v>232886</v>
      </c>
      <c r="X356" s="4" t="s">
        <v>243</v>
      </c>
      <c r="Y356" s="4" t="s">
        <v>244</v>
      </c>
      <c r="Z356" s="4" t="s">
        <v>241</v>
      </c>
      <c r="AA356" s="4" t="s">
        <v>241</v>
      </c>
      <c r="AD356" s="4" t="s">
        <v>241</v>
      </c>
      <c r="AE356" s="5" t="s">
        <v>241</v>
      </c>
      <c r="AF356" s="5" t="s">
        <v>241</v>
      </c>
      <c r="AH356" s="5" t="s">
        <v>241</v>
      </c>
      <c r="AI356" s="5" t="s">
        <v>249</v>
      </c>
      <c r="AJ356" s="4" t="s">
        <v>251</v>
      </c>
      <c r="AK356" s="4" t="s">
        <v>252</v>
      </c>
      <c r="AQ356" s="4" t="s">
        <v>241</v>
      </c>
      <c r="AR356" s="4" t="s">
        <v>241</v>
      </c>
      <c r="AS356" s="4" t="s">
        <v>241</v>
      </c>
      <c r="AT356" s="5" t="s">
        <v>241</v>
      </c>
      <c r="AU356" s="5" t="s">
        <v>241</v>
      </c>
      <c r="AV356" s="5" t="s">
        <v>241</v>
      </c>
      <c r="AY356" s="4" t="s">
        <v>286</v>
      </c>
      <c r="AZ356" s="4" t="s">
        <v>286</v>
      </c>
      <c r="BA356" s="4" t="s">
        <v>254</v>
      </c>
      <c r="BB356" s="4" t="s">
        <v>287</v>
      </c>
      <c r="BC356" s="4" t="s">
        <v>255</v>
      </c>
      <c r="BD356" s="4" t="s">
        <v>241</v>
      </c>
      <c r="BE356" s="4" t="s">
        <v>257</v>
      </c>
      <c r="BF356" s="4" t="s">
        <v>241</v>
      </c>
      <c r="BJ356" s="4" t="s">
        <v>288</v>
      </c>
      <c r="BK356" s="5" t="s">
        <v>289</v>
      </c>
      <c r="BL356" s="4" t="s">
        <v>290</v>
      </c>
      <c r="BM356" s="4" t="s">
        <v>290</v>
      </c>
      <c r="BN356" s="4" t="s">
        <v>241</v>
      </c>
      <c r="BP356" s="6">
        <f>-116443</f>
        <v>-116443</v>
      </c>
      <c r="BQ356" s="4" t="s">
        <v>263</v>
      </c>
      <c r="BR356" s="4" t="s">
        <v>264</v>
      </c>
      <c r="BS356" s="4" t="s">
        <v>241</v>
      </c>
      <c r="BT356" s="4" t="s">
        <v>241</v>
      </c>
      <c r="BU356" s="4" t="s">
        <v>241</v>
      </c>
      <c r="BV356" s="4" t="s">
        <v>241</v>
      </c>
      <c r="CE356" s="4" t="s">
        <v>264</v>
      </c>
      <c r="CF356" s="4" t="s">
        <v>241</v>
      </c>
      <c r="CG356" s="4" t="s">
        <v>241</v>
      </c>
      <c r="CK356" s="4" t="s">
        <v>291</v>
      </c>
      <c r="CL356" s="4" t="s">
        <v>266</v>
      </c>
      <c r="CM356" s="4" t="s">
        <v>241</v>
      </c>
      <c r="CO356" s="4" t="s">
        <v>331</v>
      </c>
      <c r="CP356" s="5" t="s">
        <v>268</v>
      </c>
      <c r="CQ356" s="4" t="s">
        <v>269</v>
      </c>
      <c r="CR356" s="4" t="s">
        <v>270</v>
      </c>
      <c r="CS356" s="4" t="s">
        <v>293</v>
      </c>
      <c r="CT356" s="4" t="s">
        <v>241</v>
      </c>
      <c r="CU356" s="4">
        <v>6.7000000000000004E-2</v>
      </c>
      <c r="CV356" s="4" t="s">
        <v>271</v>
      </c>
      <c r="CW356" s="4" t="s">
        <v>415</v>
      </c>
      <c r="CX356" s="4" t="s">
        <v>422</v>
      </c>
      <c r="CY356" s="6">
        <f>0</f>
        <v>0</v>
      </c>
      <c r="CZ356" s="6">
        <f>1737960</f>
        <v>1737960</v>
      </c>
      <c r="DA356" s="6">
        <f>1505074</f>
        <v>1505074</v>
      </c>
      <c r="DC356" s="4" t="s">
        <v>241</v>
      </c>
      <c r="DD356" s="4" t="s">
        <v>241</v>
      </c>
      <c r="DF356" s="4" t="s">
        <v>241</v>
      </c>
      <c r="DG356" s="6">
        <f>0</f>
        <v>0</v>
      </c>
      <c r="DI356" s="4" t="s">
        <v>241</v>
      </c>
      <c r="DJ356" s="4" t="s">
        <v>241</v>
      </c>
      <c r="DK356" s="4" t="s">
        <v>241</v>
      </c>
      <c r="DL356" s="4" t="s">
        <v>241</v>
      </c>
      <c r="DM356" s="4" t="s">
        <v>278</v>
      </c>
      <c r="DN356" s="4" t="s">
        <v>278</v>
      </c>
      <c r="DO356" s="6" t="s">
        <v>241</v>
      </c>
      <c r="DP356" s="4" t="s">
        <v>241</v>
      </c>
      <c r="DQ356" s="4" t="s">
        <v>241</v>
      </c>
      <c r="DR356" s="4" t="s">
        <v>241</v>
      </c>
      <c r="DS356" s="4" t="s">
        <v>241</v>
      </c>
      <c r="DV356" s="4" t="s">
        <v>755</v>
      </c>
      <c r="DW356" s="4" t="s">
        <v>300</v>
      </c>
      <c r="GN356" s="4" t="s">
        <v>2845</v>
      </c>
      <c r="HO356" s="4" t="s">
        <v>297</v>
      </c>
      <c r="HR356" s="4" t="s">
        <v>278</v>
      </c>
      <c r="HS356" s="4" t="s">
        <v>278</v>
      </c>
      <c r="HT356" s="4" t="s">
        <v>241</v>
      </c>
      <c r="HU356" s="4" t="s">
        <v>241</v>
      </c>
      <c r="HV356" s="4" t="s">
        <v>241</v>
      </c>
      <c r="HW356" s="4" t="s">
        <v>241</v>
      </c>
      <c r="HX356" s="4" t="s">
        <v>241</v>
      </c>
      <c r="HY356" s="4" t="s">
        <v>241</v>
      </c>
      <c r="HZ356" s="4" t="s">
        <v>241</v>
      </c>
      <c r="IA356" s="4" t="s">
        <v>241</v>
      </c>
      <c r="IB356" s="4" t="s">
        <v>241</v>
      </c>
      <c r="IC356" s="4" t="s">
        <v>241</v>
      </c>
      <c r="ID356" s="4" t="s">
        <v>241</v>
      </c>
      <c r="IE356" s="4" t="s">
        <v>241</v>
      </c>
      <c r="IF356" s="4" t="s">
        <v>241</v>
      </c>
    </row>
    <row r="357" spans="1:240" x14ac:dyDescent="0.4">
      <c r="A357" s="4">
        <v>2</v>
      </c>
      <c r="B357" s="4" t="s">
        <v>239</v>
      </c>
      <c r="C357" s="4">
        <v>388</v>
      </c>
      <c r="D357" s="4">
        <v>1</v>
      </c>
      <c r="E357" s="4">
        <v>3</v>
      </c>
      <c r="F357" s="4" t="s">
        <v>326</v>
      </c>
      <c r="G357" s="4" t="s">
        <v>241</v>
      </c>
      <c r="H357" s="4" t="s">
        <v>241</v>
      </c>
      <c r="I357" s="4" t="s">
        <v>752</v>
      </c>
      <c r="J357" s="4" t="s">
        <v>653</v>
      </c>
      <c r="K357" s="4" t="s">
        <v>256</v>
      </c>
      <c r="L357" s="4" t="s">
        <v>241</v>
      </c>
      <c r="M357" s="5" t="s">
        <v>754</v>
      </c>
      <c r="N357" s="4" t="s">
        <v>2747</v>
      </c>
      <c r="O357" s="6">
        <f>0</f>
        <v>0</v>
      </c>
      <c r="P357" s="4" t="s">
        <v>276</v>
      </c>
      <c r="Q357" s="6">
        <f>20929105</f>
        <v>20929105</v>
      </c>
      <c r="R357" s="6">
        <f>24738893</f>
        <v>24738893</v>
      </c>
      <c r="S357" s="5" t="s">
        <v>1104</v>
      </c>
      <c r="T357" s="4" t="s">
        <v>322</v>
      </c>
      <c r="U357" s="4" t="s">
        <v>277</v>
      </c>
      <c r="V357" s="6">
        <f>1904894</f>
        <v>1904894</v>
      </c>
      <c r="W357" s="6">
        <f>3809788</f>
        <v>3809788</v>
      </c>
      <c r="X357" s="4" t="s">
        <v>243</v>
      </c>
      <c r="Y357" s="4" t="s">
        <v>244</v>
      </c>
      <c r="Z357" s="4" t="s">
        <v>241</v>
      </c>
      <c r="AA357" s="4" t="s">
        <v>241</v>
      </c>
      <c r="AD357" s="4" t="s">
        <v>241</v>
      </c>
      <c r="AE357" s="5" t="s">
        <v>241</v>
      </c>
      <c r="AF357" s="5" t="s">
        <v>241</v>
      </c>
      <c r="AH357" s="5" t="s">
        <v>241</v>
      </c>
      <c r="AI357" s="5" t="s">
        <v>249</v>
      </c>
      <c r="AJ357" s="4" t="s">
        <v>251</v>
      </c>
      <c r="AK357" s="4" t="s">
        <v>252</v>
      </c>
      <c r="AQ357" s="4" t="s">
        <v>241</v>
      </c>
      <c r="AR357" s="4" t="s">
        <v>241</v>
      </c>
      <c r="AS357" s="4" t="s">
        <v>241</v>
      </c>
      <c r="AT357" s="5" t="s">
        <v>241</v>
      </c>
      <c r="AU357" s="5" t="s">
        <v>241</v>
      </c>
      <c r="AV357" s="5" t="s">
        <v>241</v>
      </c>
      <c r="AY357" s="4" t="s">
        <v>286</v>
      </c>
      <c r="AZ357" s="4" t="s">
        <v>286</v>
      </c>
      <c r="BA357" s="4" t="s">
        <v>254</v>
      </c>
      <c r="BB357" s="4" t="s">
        <v>287</v>
      </c>
      <c r="BC357" s="4" t="s">
        <v>255</v>
      </c>
      <c r="BD357" s="4" t="s">
        <v>241</v>
      </c>
      <c r="BE357" s="4" t="s">
        <v>257</v>
      </c>
      <c r="BF357" s="4" t="s">
        <v>241</v>
      </c>
      <c r="BJ357" s="4" t="s">
        <v>288</v>
      </c>
      <c r="BK357" s="5" t="s">
        <v>289</v>
      </c>
      <c r="BL357" s="4" t="s">
        <v>290</v>
      </c>
      <c r="BM357" s="4" t="s">
        <v>290</v>
      </c>
      <c r="BN357" s="4" t="s">
        <v>241</v>
      </c>
      <c r="BP357" s="6">
        <f>-1904894</f>
        <v>-1904894</v>
      </c>
      <c r="BQ357" s="4" t="s">
        <v>263</v>
      </c>
      <c r="BR357" s="4" t="s">
        <v>264</v>
      </c>
      <c r="BS357" s="4" t="s">
        <v>241</v>
      </c>
      <c r="BT357" s="4" t="s">
        <v>241</v>
      </c>
      <c r="BU357" s="4" t="s">
        <v>241</v>
      </c>
      <c r="BV357" s="4" t="s">
        <v>241</v>
      </c>
      <c r="CE357" s="4" t="s">
        <v>264</v>
      </c>
      <c r="CF357" s="4" t="s">
        <v>241</v>
      </c>
      <c r="CG357" s="4" t="s">
        <v>241</v>
      </c>
      <c r="CK357" s="4" t="s">
        <v>291</v>
      </c>
      <c r="CL357" s="4" t="s">
        <v>266</v>
      </c>
      <c r="CM357" s="4" t="s">
        <v>241</v>
      </c>
      <c r="CO357" s="4" t="s">
        <v>331</v>
      </c>
      <c r="CP357" s="5" t="s">
        <v>268</v>
      </c>
      <c r="CQ357" s="4" t="s">
        <v>269</v>
      </c>
      <c r="CR357" s="4" t="s">
        <v>270</v>
      </c>
      <c r="CS357" s="4" t="s">
        <v>293</v>
      </c>
      <c r="CT357" s="4" t="s">
        <v>241</v>
      </c>
      <c r="CU357" s="4">
        <v>7.6999999999999999E-2</v>
      </c>
      <c r="CV357" s="4" t="s">
        <v>271</v>
      </c>
      <c r="CW357" s="4" t="s">
        <v>415</v>
      </c>
      <c r="CX357" s="4" t="s">
        <v>428</v>
      </c>
      <c r="CY357" s="6">
        <f>0</f>
        <v>0</v>
      </c>
      <c r="CZ357" s="6">
        <f>24738893</f>
        <v>24738893</v>
      </c>
      <c r="DA357" s="6">
        <f>20929105</f>
        <v>20929105</v>
      </c>
      <c r="DC357" s="4" t="s">
        <v>241</v>
      </c>
      <c r="DD357" s="4" t="s">
        <v>241</v>
      </c>
      <c r="DF357" s="4" t="s">
        <v>241</v>
      </c>
      <c r="DG357" s="6">
        <f>0</f>
        <v>0</v>
      </c>
      <c r="DI357" s="4" t="s">
        <v>241</v>
      </c>
      <c r="DJ357" s="4" t="s">
        <v>241</v>
      </c>
      <c r="DK357" s="4" t="s">
        <v>241</v>
      </c>
      <c r="DL357" s="4" t="s">
        <v>241</v>
      </c>
      <c r="DM357" s="4" t="s">
        <v>278</v>
      </c>
      <c r="DN357" s="4" t="s">
        <v>278</v>
      </c>
      <c r="DO357" s="6" t="s">
        <v>241</v>
      </c>
      <c r="DP357" s="4" t="s">
        <v>241</v>
      </c>
      <c r="DQ357" s="4" t="s">
        <v>241</v>
      </c>
      <c r="DR357" s="4" t="s">
        <v>241</v>
      </c>
      <c r="DS357" s="4" t="s">
        <v>241</v>
      </c>
      <c r="DV357" s="4" t="s">
        <v>755</v>
      </c>
      <c r="DW357" s="4" t="s">
        <v>341</v>
      </c>
      <c r="GN357" s="4" t="s">
        <v>2842</v>
      </c>
      <c r="HO357" s="4" t="s">
        <v>297</v>
      </c>
      <c r="HR357" s="4" t="s">
        <v>278</v>
      </c>
      <c r="HS357" s="4" t="s">
        <v>278</v>
      </c>
      <c r="HT357" s="4" t="s">
        <v>241</v>
      </c>
      <c r="HU357" s="4" t="s">
        <v>241</v>
      </c>
      <c r="HV357" s="4" t="s">
        <v>241</v>
      </c>
      <c r="HW357" s="4" t="s">
        <v>241</v>
      </c>
      <c r="HX357" s="4" t="s">
        <v>241</v>
      </c>
      <c r="HY357" s="4" t="s">
        <v>241</v>
      </c>
      <c r="HZ357" s="4" t="s">
        <v>241</v>
      </c>
      <c r="IA357" s="4" t="s">
        <v>241</v>
      </c>
      <c r="IB357" s="4" t="s">
        <v>241</v>
      </c>
      <c r="IC357" s="4" t="s">
        <v>241</v>
      </c>
      <c r="ID357" s="4" t="s">
        <v>241</v>
      </c>
      <c r="IE357" s="4" t="s">
        <v>241</v>
      </c>
      <c r="IF357" s="4" t="s">
        <v>241</v>
      </c>
    </row>
    <row r="358" spans="1:240" x14ac:dyDescent="0.4">
      <c r="A358" s="4">
        <v>2</v>
      </c>
      <c r="B358" s="4" t="s">
        <v>239</v>
      </c>
      <c r="C358" s="4">
        <v>389</v>
      </c>
      <c r="D358" s="4">
        <v>1</v>
      </c>
      <c r="E358" s="4">
        <v>1</v>
      </c>
      <c r="F358" s="4" t="s">
        <v>240</v>
      </c>
      <c r="G358" s="4" t="s">
        <v>241</v>
      </c>
      <c r="H358" s="4" t="s">
        <v>241</v>
      </c>
      <c r="I358" s="4" t="s">
        <v>834</v>
      </c>
      <c r="J358" s="4" t="s">
        <v>653</v>
      </c>
      <c r="K358" s="4" t="s">
        <v>256</v>
      </c>
      <c r="L358" s="4" t="s">
        <v>2529</v>
      </c>
      <c r="M358" s="5" t="s">
        <v>588</v>
      </c>
      <c r="N358" s="4" t="s">
        <v>2529</v>
      </c>
      <c r="O358" s="6">
        <f>94</f>
        <v>94</v>
      </c>
      <c r="P358" s="4" t="s">
        <v>276</v>
      </c>
      <c r="Q358" s="6">
        <f>1</f>
        <v>1</v>
      </c>
      <c r="R358" s="6">
        <f>9682000</f>
        <v>9682000</v>
      </c>
      <c r="S358" s="5" t="s">
        <v>451</v>
      </c>
      <c r="T358" s="4" t="s">
        <v>348</v>
      </c>
      <c r="U358" s="4" t="s">
        <v>453</v>
      </c>
      <c r="W358" s="6">
        <f>9681999</f>
        <v>9681999</v>
      </c>
      <c r="X358" s="4" t="s">
        <v>243</v>
      </c>
      <c r="Y358" s="4" t="s">
        <v>244</v>
      </c>
      <c r="Z358" s="4" t="s">
        <v>465</v>
      </c>
      <c r="AA358" s="4" t="s">
        <v>241</v>
      </c>
      <c r="AD358" s="4" t="s">
        <v>241</v>
      </c>
      <c r="AF358" s="5" t="s">
        <v>241</v>
      </c>
      <c r="AI358" s="5" t="s">
        <v>249</v>
      </c>
      <c r="AJ358" s="4" t="s">
        <v>251</v>
      </c>
      <c r="AK358" s="4" t="s">
        <v>252</v>
      </c>
      <c r="BA358" s="4" t="s">
        <v>254</v>
      </c>
      <c r="BB358" s="4" t="s">
        <v>241</v>
      </c>
      <c r="BC358" s="4" t="s">
        <v>255</v>
      </c>
      <c r="BD358" s="4" t="s">
        <v>241</v>
      </c>
      <c r="BE358" s="4" t="s">
        <v>257</v>
      </c>
      <c r="BF358" s="4" t="s">
        <v>241</v>
      </c>
      <c r="BJ358" s="4" t="s">
        <v>367</v>
      </c>
      <c r="BK358" s="5" t="s">
        <v>249</v>
      </c>
      <c r="BL358" s="4" t="s">
        <v>261</v>
      </c>
      <c r="BM358" s="4" t="s">
        <v>262</v>
      </c>
      <c r="BN358" s="4" t="s">
        <v>241</v>
      </c>
      <c r="BO358" s="6">
        <f>0</f>
        <v>0</v>
      </c>
      <c r="BP358" s="6">
        <f>0</f>
        <v>0</v>
      </c>
      <c r="BQ358" s="4" t="s">
        <v>263</v>
      </c>
      <c r="BR358" s="4" t="s">
        <v>264</v>
      </c>
      <c r="CF358" s="4" t="s">
        <v>241</v>
      </c>
      <c r="CG358" s="4" t="s">
        <v>241</v>
      </c>
      <c r="CK358" s="4" t="s">
        <v>291</v>
      </c>
      <c r="CL358" s="4" t="s">
        <v>266</v>
      </c>
      <c r="CM358" s="4" t="s">
        <v>241</v>
      </c>
      <c r="CO358" s="4" t="s">
        <v>452</v>
      </c>
      <c r="CP358" s="5" t="s">
        <v>268</v>
      </c>
      <c r="CQ358" s="4" t="s">
        <v>269</v>
      </c>
      <c r="CR358" s="4" t="s">
        <v>270</v>
      </c>
      <c r="CS358" s="4" t="s">
        <v>241</v>
      </c>
      <c r="CT358" s="4" t="s">
        <v>241</v>
      </c>
      <c r="CU358" s="4">
        <v>0</v>
      </c>
      <c r="CV358" s="4" t="s">
        <v>271</v>
      </c>
      <c r="CW358" s="4" t="s">
        <v>415</v>
      </c>
      <c r="CX358" s="4" t="s">
        <v>416</v>
      </c>
      <c r="CZ358" s="6">
        <f>9682000</f>
        <v>9682000</v>
      </c>
      <c r="DA358" s="6">
        <f>0</f>
        <v>0</v>
      </c>
      <c r="DC358" s="4" t="s">
        <v>241</v>
      </c>
      <c r="DD358" s="4" t="s">
        <v>241</v>
      </c>
      <c r="DF358" s="4" t="s">
        <v>241</v>
      </c>
      <c r="DI358" s="4" t="s">
        <v>241</v>
      </c>
      <c r="DJ358" s="4" t="s">
        <v>241</v>
      </c>
      <c r="DK358" s="4" t="s">
        <v>241</v>
      </c>
      <c r="DL358" s="4" t="s">
        <v>241</v>
      </c>
      <c r="DM358" s="4" t="s">
        <v>277</v>
      </c>
      <c r="DN358" s="4" t="s">
        <v>278</v>
      </c>
      <c r="DO358" s="6">
        <f>94</f>
        <v>94</v>
      </c>
      <c r="DP358" s="4" t="s">
        <v>241</v>
      </c>
      <c r="DQ358" s="4" t="s">
        <v>241</v>
      </c>
      <c r="DR358" s="4" t="s">
        <v>241</v>
      </c>
      <c r="DS358" s="4" t="s">
        <v>241</v>
      </c>
      <c r="DV358" s="4" t="s">
        <v>836</v>
      </c>
      <c r="DW358" s="4" t="s">
        <v>277</v>
      </c>
      <c r="HO358" s="4" t="s">
        <v>277</v>
      </c>
      <c r="HR358" s="4" t="s">
        <v>278</v>
      </c>
      <c r="HS358" s="4" t="s">
        <v>278</v>
      </c>
    </row>
    <row r="359" spans="1:240" x14ac:dyDescent="0.4">
      <c r="A359" s="4">
        <v>2</v>
      </c>
      <c r="B359" s="4" t="s">
        <v>239</v>
      </c>
      <c r="C359" s="4">
        <v>390</v>
      </c>
      <c r="D359" s="4">
        <v>1</v>
      </c>
      <c r="E359" s="4">
        <v>3</v>
      </c>
      <c r="F359" s="4" t="s">
        <v>240</v>
      </c>
      <c r="G359" s="4" t="s">
        <v>241</v>
      </c>
      <c r="H359" s="4" t="s">
        <v>241</v>
      </c>
      <c r="I359" s="4" t="s">
        <v>834</v>
      </c>
      <c r="J359" s="4" t="s">
        <v>653</v>
      </c>
      <c r="K359" s="4" t="s">
        <v>256</v>
      </c>
      <c r="L359" s="4" t="s">
        <v>651</v>
      </c>
      <c r="M359" s="5" t="s">
        <v>588</v>
      </c>
      <c r="N359" s="4" t="s">
        <v>651</v>
      </c>
      <c r="O359" s="6">
        <f>4005</f>
        <v>4005</v>
      </c>
      <c r="P359" s="4" t="s">
        <v>276</v>
      </c>
      <c r="Q359" s="6">
        <f>17301600</f>
        <v>17301600</v>
      </c>
      <c r="R359" s="6">
        <f>540675000</f>
        <v>540675000</v>
      </c>
      <c r="S359" s="5" t="s">
        <v>366</v>
      </c>
      <c r="T359" s="4" t="s">
        <v>668</v>
      </c>
      <c r="U359" s="4" t="s">
        <v>835</v>
      </c>
      <c r="V359" s="6">
        <f>11894850</f>
        <v>11894850</v>
      </c>
      <c r="W359" s="6">
        <f>523373400</f>
        <v>523373400</v>
      </c>
      <c r="X359" s="4" t="s">
        <v>243</v>
      </c>
      <c r="Y359" s="4" t="s">
        <v>244</v>
      </c>
      <c r="Z359" s="4" t="s">
        <v>465</v>
      </c>
      <c r="AA359" s="4" t="s">
        <v>241</v>
      </c>
      <c r="AD359" s="4" t="s">
        <v>241</v>
      </c>
      <c r="AE359" s="5" t="s">
        <v>241</v>
      </c>
      <c r="AF359" s="5" t="s">
        <v>241</v>
      </c>
      <c r="AH359" s="5" t="s">
        <v>241</v>
      </c>
      <c r="AI359" s="5" t="s">
        <v>249</v>
      </c>
      <c r="AJ359" s="4" t="s">
        <v>251</v>
      </c>
      <c r="AK359" s="4" t="s">
        <v>252</v>
      </c>
      <c r="AQ359" s="4" t="s">
        <v>241</v>
      </c>
      <c r="AR359" s="4" t="s">
        <v>241</v>
      </c>
      <c r="AS359" s="4" t="s">
        <v>241</v>
      </c>
      <c r="AT359" s="5" t="s">
        <v>241</v>
      </c>
      <c r="AU359" s="5" t="s">
        <v>241</v>
      </c>
      <c r="AV359" s="5" t="s">
        <v>241</v>
      </c>
      <c r="AY359" s="4" t="s">
        <v>286</v>
      </c>
      <c r="AZ359" s="4" t="s">
        <v>286</v>
      </c>
      <c r="BA359" s="4" t="s">
        <v>254</v>
      </c>
      <c r="BB359" s="4" t="s">
        <v>287</v>
      </c>
      <c r="BC359" s="4" t="s">
        <v>255</v>
      </c>
      <c r="BD359" s="4" t="s">
        <v>241</v>
      </c>
      <c r="BE359" s="4" t="s">
        <v>257</v>
      </c>
      <c r="BF359" s="4" t="s">
        <v>241</v>
      </c>
      <c r="BJ359" s="4" t="s">
        <v>288</v>
      </c>
      <c r="BK359" s="5" t="s">
        <v>289</v>
      </c>
      <c r="BL359" s="4" t="s">
        <v>290</v>
      </c>
      <c r="BM359" s="4" t="s">
        <v>290</v>
      </c>
      <c r="BN359" s="4" t="s">
        <v>241</v>
      </c>
      <c r="BO359" s="6">
        <f>0</f>
        <v>0</v>
      </c>
      <c r="BP359" s="6">
        <f>-11894850</f>
        <v>-11894850</v>
      </c>
      <c r="BQ359" s="4" t="s">
        <v>263</v>
      </c>
      <c r="BR359" s="4" t="s">
        <v>264</v>
      </c>
      <c r="BS359" s="4" t="s">
        <v>241</v>
      </c>
      <c r="BT359" s="4" t="s">
        <v>241</v>
      </c>
      <c r="BU359" s="4" t="s">
        <v>241</v>
      </c>
      <c r="BV359" s="4" t="s">
        <v>241</v>
      </c>
      <c r="CE359" s="4" t="s">
        <v>264</v>
      </c>
      <c r="CF359" s="4" t="s">
        <v>241</v>
      </c>
      <c r="CG359" s="4" t="s">
        <v>241</v>
      </c>
      <c r="CK359" s="4" t="s">
        <v>265</v>
      </c>
      <c r="CL359" s="4" t="s">
        <v>266</v>
      </c>
      <c r="CM359" s="4" t="s">
        <v>241</v>
      </c>
      <c r="CO359" s="4" t="s">
        <v>368</v>
      </c>
      <c r="CP359" s="5" t="s">
        <v>268</v>
      </c>
      <c r="CQ359" s="4" t="s">
        <v>269</v>
      </c>
      <c r="CR359" s="4" t="s">
        <v>270</v>
      </c>
      <c r="CS359" s="4" t="s">
        <v>293</v>
      </c>
      <c r="CT359" s="4" t="s">
        <v>241</v>
      </c>
      <c r="CU359" s="4">
        <v>2.1999999999999999E-2</v>
      </c>
      <c r="CV359" s="4" t="s">
        <v>271</v>
      </c>
      <c r="CW359" s="4" t="s">
        <v>655</v>
      </c>
      <c r="CX359" s="4" t="s">
        <v>295</v>
      </c>
      <c r="CY359" s="6">
        <f>0</f>
        <v>0</v>
      </c>
      <c r="CZ359" s="6">
        <f>540675000</f>
        <v>540675000</v>
      </c>
      <c r="DA359" s="6">
        <f>17301600</f>
        <v>17301600</v>
      </c>
      <c r="DC359" s="4" t="s">
        <v>241</v>
      </c>
      <c r="DD359" s="4" t="s">
        <v>241</v>
      </c>
      <c r="DF359" s="4" t="s">
        <v>241</v>
      </c>
      <c r="DG359" s="6">
        <f>0</f>
        <v>0</v>
      </c>
      <c r="DI359" s="4" t="s">
        <v>241</v>
      </c>
      <c r="DJ359" s="4" t="s">
        <v>241</v>
      </c>
      <c r="DK359" s="4" t="s">
        <v>241</v>
      </c>
      <c r="DL359" s="4" t="s">
        <v>241</v>
      </c>
      <c r="DM359" s="4" t="s">
        <v>336</v>
      </c>
      <c r="DN359" s="4" t="s">
        <v>278</v>
      </c>
      <c r="DO359" s="6">
        <f>4005</f>
        <v>4005</v>
      </c>
      <c r="DP359" s="4" t="s">
        <v>241</v>
      </c>
      <c r="DQ359" s="4" t="s">
        <v>241</v>
      </c>
      <c r="DR359" s="4" t="s">
        <v>241</v>
      </c>
      <c r="DS359" s="4" t="s">
        <v>241</v>
      </c>
      <c r="DV359" s="4" t="s">
        <v>836</v>
      </c>
      <c r="DW359" s="4" t="s">
        <v>323</v>
      </c>
      <c r="GN359" s="4" t="s">
        <v>837</v>
      </c>
      <c r="HO359" s="4" t="s">
        <v>300</v>
      </c>
      <c r="HR359" s="4" t="s">
        <v>278</v>
      </c>
      <c r="HS359" s="4" t="s">
        <v>278</v>
      </c>
      <c r="HT359" s="4" t="s">
        <v>241</v>
      </c>
      <c r="HU359" s="4" t="s">
        <v>241</v>
      </c>
      <c r="HV359" s="4" t="s">
        <v>241</v>
      </c>
      <c r="HW359" s="4" t="s">
        <v>241</v>
      </c>
      <c r="HX359" s="4" t="s">
        <v>241</v>
      </c>
      <c r="HY359" s="4" t="s">
        <v>241</v>
      </c>
      <c r="HZ359" s="4" t="s">
        <v>241</v>
      </c>
      <c r="IA359" s="4" t="s">
        <v>241</v>
      </c>
      <c r="IB359" s="4" t="s">
        <v>241</v>
      </c>
      <c r="IC359" s="4" t="s">
        <v>241</v>
      </c>
      <c r="ID359" s="4" t="s">
        <v>241</v>
      </c>
      <c r="IE359" s="4" t="s">
        <v>241</v>
      </c>
      <c r="IF359" s="4" t="s">
        <v>241</v>
      </c>
    </row>
    <row r="360" spans="1:240" x14ac:dyDescent="0.4">
      <c r="A360" s="4">
        <v>2</v>
      </c>
      <c r="B360" s="4" t="s">
        <v>239</v>
      </c>
      <c r="C360" s="4">
        <v>391</v>
      </c>
      <c r="D360" s="4">
        <v>1</v>
      </c>
      <c r="E360" s="4">
        <v>3</v>
      </c>
      <c r="F360" s="4" t="s">
        <v>240</v>
      </c>
      <c r="G360" s="4" t="s">
        <v>241</v>
      </c>
      <c r="H360" s="4" t="s">
        <v>241</v>
      </c>
      <c r="I360" s="4" t="s">
        <v>834</v>
      </c>
      <c r="J360" s="4" t="s">
        <v>653</v>
      </c>
      <c r="K360" s="4" t="s">
        <v>256</v>
      </c>
      <c r="L360" s="4" t="s">
        <v>1003</v>
      </c>
      <c r="M360" s="5" t="s">
        <v>588</v>
      </c>
      <c r="N360" s="4" t="s">
        <v>1003</v>
      </c>
      <c r="O360" s="6">
        <f>960</f>
        <v>960</v>
      </c>
      <c r="P360" s="4" t="s">
        <v>276</v>
      </c>
      <c r="Q360" s="6">
        <f>9849600</f>
        <v>9849600</v>
      </c>
      <c r="R360" s="6">
        <f>129600000</f>
        <v>129600000</v>
      </c>
      <c r="S360" s="5" t="s">
        <v>1088</v>
      </c>
      <c r="T360" s="4" t="s">
        <v>668</v>
      </c>
      <c r="U360" s="4" t="s">
        <v>373</v>
      </c>
      <c r="V360" s="6">
        <f>2851200</f>
        <v>2851200</v>
      </c>
      <c r="W360" s="6">
        <f>119750400</f>
        <v>119750400</v>
      </c>
      <c r="X360" s="4" t="s">
        <v>243</v>
      </c>
      <c r="Y360" s="4" t="s">
        <v>244</v>
      </c>
      <c r="Z360" s="4" t="s">
        <v>465</v>
      </c>
      <c r="AA360" s="4" t="s">
        <v>241</v>
      </c>
      <c r="AD360" s="4" t="s">
        <v>241</v>
      </c>
      <c r="AE360" s="5" t="s">
        <v>241</v>
      </c>
      <c r="AF360" s="5" t="s">
        <v>241</v>
      </c>
      <c r="AH360" s="5" t="s">
        <v>241</v>
      </c>
      <c r="AI360" s="5" t="s">
        <v>249</v>
      </c>
      <c r="AJ360" s="4" t="s">
        <v>251</v>
      </c>
      <c r="AK360" s="4" t="s">
        <v>252</v>
      </c>
      <c r="AQ360" s="4" t="s">
        <v>241</v>
      </c>
      <c r="AR360" s="4" t="s">
        <v>241</v>
      </c>
      <c r="AS360" s="4" t="s">
        <v>241</v>
      </c>
      <c r="AT360" s="5" t="s">
        <v>241</v>
      </c>
      <c r="AU360" s="5" t="s">
        <v>241</v>
      </c>
      <c r="AV360" s="5" t="s">
        <v>241</v>
      </c>
      <c r="AY360" s="4" t="s">
        <v>286</v>
      </c>
      <c r="AZ360" s="4" t="s">
        <v>286</v>
      </c>
      <c r="BA360" s="4" t="s">
        <v>254</v>
      </c>
      <c r="BB360" s="4" t="s">
        <v>287</v>
      </c>
      <c r="BC360" s="4" t="s">
        <v>255</v>
      </c>
      <c r="BD360" s="4" t="s">
        <v>241</v>
      </c>
      <c r="BE360" s="4" t="s">
        <v>257</v>
      </c>
      <c r="BF360" s="4" t="s">
        <v>241</v>
      </c>
      <c r="BJ360" s="4" t="s">
        <v>288</v>
      </c>
      <c r="BK360" s="5" t="s">
        <v>289</v>
      </c>
      <c r="BL360" s="4" t="s">
        <v>290</v>
      </c>
      <c r="BM360" s="4" t="s">
        <v>290</v>
      </c>
      <c r="BN360" s="4" t="s">
        <v>241</v>
      </c>
      <c r="BO360" s="6">
        <f>0</f>
        <v>0</v>
      </c>
      <c r="BP360" s="6">
        <f>-2851200</f>
        <v>-2851200</v>
      </c>
      <c r="BQ360" s="4" t="s">
        <v>263</v>
      </c>
      <c r="BR360" s="4" t="s">
        <v>264</v>
      </c>
      <c r="BS360" s="4" t="s">
        <v>241</v>
      </c>
      <c r="BT360" s="4" t="s">
        <v>241</v>
      </c>
      <c r="BU360" s="4" t="s">
        <v>241</v>
      </c>
      <c r="BV360" s="4" t="s">
        <v>241</v>
      </c>
      <c r="CE360" s="4" t="s">
        <v>264</v>
      </c>
      <c r="CF360" s="4" t="s">
        <v>241</v>
      </c>
      <c r="CG360" s="4" t="s">
        <v>241</v>
      </c>
      <c r="CK360" s="4" t="s">
        <v>265</v>
      </c>
      <c r="CL360" s="4" t="s">
        <v>266</v>
      </c>
      <c r="CM360" s="4" t="s">
        <v>241</v>
      </c>
      <c r="CO360" s="4" t="s">
        <v>914</v>
      </c>
      <c r="CP360" s="5" t="s">
        <v>268</v>
      </c>
      <c r="CQ360" s="4" t="s">
        <v>269</v>
      </c>
      <c r="CR360" s="4" t="s">
        <v>270</v>
      </c>
      <c r="CS360" s="4" t="s">
        <v>293</v>
      </c>
      <c r="CT360" s="4" t="s">
        <v>241</v>
      </c>
      <c r="CU360" s="4">
        <v>2.1999999999999999E-2</v>
      </c>
      <c r="CV360" s="4" t="s">
        <v>271</v>
      </c>
      <c r="CW360" s="4" t="s">
        <v>1006</v>
      </c>
      <c r="CX360" s="4" t="s">
        <v>295</v>
      </c>
      <c r="CY360" s="6">
        <f>0</f>
        <v>0</v>
      </c>
      <c r="CZ360" s="6">
        <f>129600000</f>
        <v>129600000</v>
      </c>
      <c r="DA360" s="6">
        <f>9849600</f>
        <v>9849600</v>
      </c>
      <c r="DC360" s="4" t="s">
        <v>241</v>
      </c>
      <c r="DD360" s="4" t="s">
        <v>241</v>
      </c>
      <c r="DF360" s="4" t="s">
        <v>241</v>
      </c>
      <c r="DG360" s="6">
        <f>0</f>
        <v>0</v>
      </c>
      <c r="DI360" s="4" t="s">
        <v>241</v>
      </c>
      <c r="DJ360" s="4" t="s">
        <v>241</v>
      </c>
      <c r="DK360" s="4" t="s">
        <v>241</v>
      </c>
      <c r="DL360" s="4" t="s">
        <v>241</v>
      </c>
      <c r="DM360" s="4" t="s">
        <v>277</v>
      </c>
      <c r="DN360" s="4" t="s">
        <v>278</v>
      </c>
      <c r="DO360" s="6">
        <f>960</f>
        <v>960</v>
      </c>
      <c r="DP360" s="4" t="s">
        <v>241</v>
      </c>
      <c r="DQ360" s="4" t="s">
        <v>241</v>
      </c>
      <c r="DR360" s="4" t="s">
        <v>241</v>
      </c>
      <c r="DS360" s="4" t="s">
        <v>241</v>
      </c>
      <c r="DV360" s="4" t="s">
        <v>836</v>
      </c>
      <c r="DW360" s="4" t="s">
        <v>297</v>
      </c>
      <c r="GN360" s="4" t="s">
        <v>1120</v>
      </c>
      <c r="HO360" s="4" t="s">
        <v>300</v>
      </c>
      <c r="HR360" s="4" t="s">
        <v>278</v>
      </c>
      <c r="HS360" s="4" t="s">
        <v>278</v>
      </c>
      <c r="HT360" s="4" t="s">
        <v>241</v>
      </c>
      <c r="HU360" s="4" t="s">
        <v>241</v>
      </c>
      <c r="HV360" s="4" t="s">
        <v>241</v>
      </c>
      <c r="HW360" s="4" t="s">
        <v>241</v>
      </c>
      <c r="HX360" s="4" t="s">
        <v>241</v>
      </c>
      <c r="HY360" s="4" t="s">
        <v>241</v>
      </c>
      <c r="HZ360" s="4" t="s">
        <v>241</v>
      </c>
      <c r="IA360" s="4" t="s">
        <v>241</v>
      </c>
      <c r="IB360" s="4" t="s">
        <v>241</v>
      </c>
      <c r="IC360" s="4" t="s">
        <v>241</v>
      </c>
      <c r="ID360" s="4" t="s">
        <v>241</v>
      </c>
      <c r="IE360" s="4" t="s">
        <v>241</v>
      </c>
      <c r="IF360" s="4" t="s">
        <v>241</v>
      </c>
    </row>
    <row r="361" spans="1:240" x14ac:dyDescent="0.4">
      <c r="A361" s="4">
        <v>2</v>
      </c>
      <c r="B361" s="4" t="s">
        <v>239</v>
      </c>
      <c r="C361" s="4">
        <v>392</v>
      </c>
      <c r="D361" s="4">
        <v>1</v>
      </c>
      <c r="E361" s="4">
        <v>3</v>
      </c>
      <c r="F361" s="4" t="s">
        <v>326</v>
      </c>
      <c r="G361" s="4" t="s">
        <v>241</v>
      </c>
      <c r="H361" s="4" t="s">
        <v>241</v>
      </c>
      <c r="I361" s="4" t="s">
        <v>834</v>
      </c>
      <c r="J361" s="4" t="s">
        <v>653</v>
      </c>
      <c r="K361" s="4" t="s">
        <v>256</v>
      </c>
      <c r="L361" s="4" t="s">
        <v>2840</v>
      </c>
      <c r="M361" s="5" t="s">
        <v>588</v>
      </c>
      <c r="N361" s="4" t="s">
        <v>2839</v>
      </c>
      <c r="O361" s="6">
        <f>0</f>
        <v>0</v>
      </c>
      <c r="P361" s="4" t="s">
        <v>276</v>
      </c>
      <c r="Q361" s="6">
        <f>22931996</f>
        <v>22931996</v>
      </c>
      <c r="R361" s="6">
        <f>33138720</f>
        <v>33138720</v>
      </c>
      <c r="S361" s="5" t="s">
        <v>2260</v>
      </c>
      <c r="T361" s="4" t="s">
        <v>322</v>
      </c>
      <c r="U361" s="4" t="s">
        <v>297</v>
      </c>
      <c r="V361" s="6">
        <f>2551681</f>
        <v>2551681</v>
      </c>
      <c r="W361" s="6">
        <f>10206724</f>
        <v>10206724</v>
      </c>
      <c r="X361" s="4" t="s">
        <v>243</v>
      </c>
      <c r="Y361" s="4" t="s">
        <v>244</v>
      </c>
      <c r="Z361" s="4" t="s">
        <v>465</v>
      </c>
      <c r="AA361" s="4" t="s">
        <v>241</v>
      </c>
      <c r="AD361" s="4" t="s">
        <v>241</v>
      </c>
      <c r="AE361" s="5" t="s">
        <v>241</v>
      </c>
      <c r="AF361" s="5" t="s">
        <v>241</v>
      </c>
      <c r="AH361" s="5" t="s">
        <v>241</v>
      </c>
      <c r="AI361" s="5" t="s">
        <v>249</v>
      </c>
      <c r="AJ361" s="4" t="s">
        <v>251</v>
      </c>
      <c r="AK361" s="4" t="s">
        <v>252</v>
      </c>
      <c r="AQ361" s="4" t="s">
        <v>241</v>
      </c>
      <c r="AR361" s="4" t="s">
        <v>241</v>
      </c>
      <c r="AS361" s="4" t="s">
        <v>241</v>
      </c>
      <c r="AT361" s="5" t="s">
        <v>241</v>
      </c>
      <c r="AU361" s="5" t="s">
        <v>241</v>
      </c>
      <c r="AV361" s="5" t="s">
        <v>241</v>
      </c>
      <c r="AY361" s="4" t="s">
        <v>286</v>
      </c>
      <c r="AZ361" s="4" t="s">
        <v>286</v>
      </c>
      <c r="BA361" s="4" t="s">
        <v>254</v>
      </c>
      <c r="BB361" s="4" t="s">
        <v>287</v>
      </c>
      <c r="BC361" s="4" t="s">
        <v>255</v>
      </c>
      <c r="BD361" s="4" t="s">
        <v>241</v>
      </c>
      <c r="BE361" s="4" t="s">
        <v>257</v>
      </c>
      <c r="BF361" s="4" t="s">
        <v>241</v>
      </c>
      <c r="BJ361" s="4" t="s">
        <v>288</v>
      </c>
      <c r="BK361" s="5" t="s">
        <v>289</v>
      </c>
      <c r="BL361" s="4" t="s">
        <v>290</v>
      </c>
      <c r="BM361" s="4" t="s">
        <v>290</v>
      </c>
      <c r="BN361" s="4" t="s">
        <v>241</v>
      </c>
      <c r="BP361" s="6">
        <f>-2551681</f>
        <v>-2551681</v>
      </c>
      <c r="BQ361" s="4" t="s">
        <v>263</v>
      </c>
      <c r="BR361" s="4" t="s">
        <v>264</v>
      </c>
      <c r="BS361" s="4" t="s">
        <v>241</v>
      </c>
      <c r="BT361" s="4" t="s">
        <v>241</v>
      </c>
      <c r="BU361" s="4" t="s">
        <v>241</v>
      </c>
      <c r="BV361" s="4" t="s">
        <v>241</v>
      </c>
      <c r="CE361" s="4" t="s">
        <v>264</v>
      </c>
      <c r="CF361" s="4" t="s">
        <v>241</v>
      </c>
      <c r="CG361" s="4" t="s">
        <v>241</v>
      </c>
      <c r="CK361" s="4" t="s">
        <v>291</v>
      </c>
      <c r="CL361" s="4" t="s">
        <v>266</v>
      </c>
      <c r="CM361" s="4" t="s">
        <v>241</v>
      </c>
      <c r="CO361" s="4" t="s">
        <v>413</v>
      </c>
      <c r="CP361" s="5" t="s">
        <v>268</v>
      </c>
      <c r="CQ361" s="4" t="s">
        <v>269</v>
      </c>
      <c r="CR361" s="4" t="s">
        <v>270</v>
      </c>
      <c r="CS361" s="4" t="s">
        <v>293</v>
      </c>
      <c r="CT361" s="4" t="s">
        <v>241</v>
      </c>
      <c r="CU361" s="4">
        <v>7.6999999999999999E-2</v>
      </c>
      <c r="CV361" s="4" t="s">
        <v>271</v>
      </c>
      <c r="CW361" s="4" t="s">
        <v>415</v>
      </c>
      <c r="CX361" s="4" t="s">
        <v>428</v>
      </c>
      <c r="CY361" s="6">
        <f>0</f>
        <v>0</v>
      </c>
      <c r="CZ361" s="6">
        <f>33138720</f>
        <v>33138720</v>
      </c>
      <c r="DA361" s="6">
        <f>22931996</f>
        <v>22931996</v>
      </c>
      <c r="DC361" s="4" t="s">
        <v>241</v>
      </c>
      <c r="DD361" s="4" t="s">
        <v>241</v>
      </c>
      <c r="DF361" s="4" t="s">
        <v>241</v>
      </c>
      <c r="DG361" s="6">
        <f>0</f>
        <v>0</v>
      </c>
      <c r="DI361" s="4" t="s">
        <v>241</v>
      </c>
      <c r="DJ361" s="4" t="s">
        <v>241</v>
      </c>
      <c r="DK361" s="4" t="s">
        <v>241</v>
      </c>
      <c r="DL361" s="4" t="s">
        <v>241</v>
      </c>
      <c r="DM361" s="4" t="s">
        <v>278</v>
      </c>
      <c r="DN361" s="4" t="s">
        <v>278</v>
      </c>
      <c r="DO361" s="6" t="s">
        <v>241</v>
      </c>
      <c r="DP361" s="4" t="s">
        <v>241</v>
      </c>
      <c r="DQ361" s="4" t="s">
        <v>241</v>
      </c>
      <c r="DR361" s="4" t="s">
        <v>241</v>
      </c>
      <c r="DS361" s="4" t="s">
        <v>241</v>
      </c>
      <c r="DV361" s="4" t="s">
        <v>836</v>
      </c>
      <c r="DW361" s="4" t="s">
        <v>336</v>
      </c>
      <c r="GN361" s="4" t="s">
        <v>2841</v>
      </c>
      <c r="HO361" s="4" t="s">
        <v>351</v>
      </c>
      <c r="HR361" s="4" t="s">
        <v>278</v>
      </c>
      <c r="HS361" s="4" t="s">
        <v>278</v>
      </c>
      <c r="HT361" s="4" t="s">
        <v>241</v>
      </c>
      <c r="HU361" s="4" t="s">
        <v>241</v>
      </c>
      <c r="HV361" s="4" t="s">
        <v>241</v>
      </c>
      <c r="HW361" s="4" t="s">
        <v>241</v>
      </c>
      <c r="HX361" s="4" t="s">
        <v>241</v>
      </c>
      <c r="HY361" s="4" t="s">
        <v>241</v>
      </c>
      <c r="HZ361" s="4" t="s">
        <v>241</v>
      </c>
      <c r="IA361" s="4" t="s">
        <v>241</v>
      </c>
      <c r="IB361" s="4" t="s">
        <v>241</v>
      </c>
      <c r="IC361" s="4" t="s">
        <v>241</v>
      </c>
      <c r="ID361" s="4" t="s">
        <v>241</v>
      </c>
      <c r="IE361" s="4" t="s">
        <v>241</v>
      </c>
      <c r="IF361" s="4" t="s">
        <v>241</v>
      </c>
    </row>
    <row r="362" spans="1:240" x14ac:dyDescent="0.4">
      <c r="A362" s="4">
        <v>2</v>
      </c>
      <c r="B362" s="4" t="s">
        <v>239</v>
      </c>
      <c r="C362" s="4">
        <v>393</v>
      </c>
      <c r="D362" s="4">
        <v>1</v>
      </c>
      <c r="E362" s="4">
        <v>3</v>
      </c>
      <c r="F362" s="4" t="s">
        <v>326</v>
      </c>
      <c r="G362" s="4" t="s">
        <v>241</v>
      </c>
      <c r="H362" s="4" t="s">
        <v>241</v>
      </c>
      <c r="I362" s="4" t="s">
        <v>834</v>
      </c>
      <c r="J362" s="4" t="s">
        <v>653</v>
      </c>
      <c r="K362" s="4" t="s">
        <v>256</v>
      </c>
      <c r="L362" s="4" t="s">
        <v>241</v>
      </c>
      <c r="M362" s="5" t="s">
        <v>588</v>
      </c>
      <c r="N362" s="4" t="s">
        <v>2747</v>
      </c>
      <c r="O362" s="6">
        <f>0</f>
        <v>0</v>
      </c>
      <c r="P362" s="4" t="s">
        <v>276</v>
      </c>
      <c r="Q362" s="6">
        <f>39264858</f>
        <v>39264858</v>
      </c>
      <c r="R362" s="6">
        <f>46412360</f>
        <v>46412360</v>
      </c>
      <c r="S362" s="5" t="s">
        <v>1104</v>
      </c>
      <c r="T362" s="4" t="s">
        <v>322</v>
      </c>
      <c r="U362" s="4" t="s">
        <v>277</v>
      </c>
      <c r="V362" s="6">
        <f>3573751</f>
        <v>3573751</v>
      </c>
      <c r="W362" s="6">
        <f>7147502</f>
        <v>7147502</v>
      </c>
      <c r="X362" s="4" t="s">
        <v>243</v>
      </c>
      <c r="Y362" s="4" t="s">
        <v>244</v>
      </c>
      <c r="Z362" s="4" t="s">
        <v>241</v>
      </c>
      <c r="AA362" s="4" t="s">
        <v>241</v>
      </c>
      <c r="AD362" s="4" t="s">
        <v>241</v>
      </c>
      <c r="AE362" s="5" t="s">
        <v>241</v>
      </c>
      <c r="AF362" s="5" t="s">
        <v>241</v>
      </c>
      <c r="AH362" s="5" t="s">
        <v>241</v>
      </c>
      <c r="AI362" s="5" t="s">
        <v>249</v>
      </c>
      <c r="AJ362" s="4" t="s">
        <v>251</v>
      </c>
      <c r="AK362" s="4" t="s">
        <v>252</v>
      </c>
      <c r="AQ362" s="4" t="s">
        <v>241</v>
      </c>
      <c r="AR362" s="4" t="s">
        <v>241</v>
      </c>
      <c r="AS362" s="4" t="s">
        <v>241</v>
      </c>
      <c r="AT362" s="5" t="s">
        <v>241</v>
      </c>
      <c r="AU362" s="5" t="s">
        <v>241</v>
      </c>
      <c r="AV362" s="5" t="s">
        <v>241</v>
      </c>
      <c r="AY362" s="4" t="s">
        <v>286</v>
      </c>
      <c r="AZ362" s="4" t="s">
        <v>286</v>
      </c>
      <c r="BA362" s="4" t="s">
        <v>254</v>
      </c>
      <c r="BB362" s="4" t="s">
        <v>287</v>
      </c>
      <c r="BC362" s="4" t="s">
        <v>255</v>
      </c>
      <c r="BD362" s="4" t="s">
        <v>241</v>
      </c>
      <c r="BE362" s="4" t="s">
        <v>257</v>
      </c>
      <c r="BF362" s="4" t="s">
        <v>241</v>
      </c>
      <c r="BJ362" s="4" t="s">
        <v>288</v>
      </c>
      <c r="BK362" s="5" t="s">
        <v>289</v>
      </c>
      <c r="BL362" s="4" t="s">
        <v>290</v>
      </c>
      <c r="BM362" s="4" t="s">
        <v>290</v>
      </c>
      <c r="BN362" s="4" t="s">
        <v>241</v>
      </c>
      <c r="BP362" s="6">
        <f>-3573751</f>
        <v>-3573751</v>
      </c>
      <c r="BQ362" s="4" t="s">
        <v>263</v>
      </c>
      <c r="BR362" s="4" t="s">
        <v>264</v>
      </c>
      <c r="BS362" s="4" t="s">
        <v>241</v>
      </c>
      <c r="BT362" s="4" t="s">
        <v>241</v>
      </c>
      <c r="BU362" s="4" t="s">
        <v>241</v>
      </c>
      <c r="BV362" s="4" t="s">
        <v>241</v>
      </c>
      <c r="CE362" s="4" t="s">
        <v>264</v>
      </c>
      <c r="CF362" s="4" t="s">
        <v>241</v>
      </c>
      <c r="CG362" s="4" t="s">
        <v>241</v>
      </c>
      <c r="CK362" s="4" t="s">
        <v>291</v>
      </c>
      <c r="CL362" s="4" t="s">
        <v>266</v>
      </c>
      <c r="CM362" s="4" t="s">
        <v>241</v>
      </c>
      <c r="CO362" s="4" t="s">
        <v>331</v>
      </c>
      <c r="CP362" s="5" t="s">
        <v>268</v>
      </c>
      <c r="CQ362" s="4" t="s">
        <v>269</v>
      </c>
      <c r="CR362" s="4" t="s">
        <v>270</v>
      </c>
      <c r="CS362" s="4" t="s">
        <v>293</v>
      </c>
      <c r="CT362" s="4" t="s">
        <v>241</v>
      </c>
      <c r="CU362" s="4">
        <v>7.6999999999999999E-2</v>
      </c>
      <c r="CV362" s="4" t="s">
        <v>271</v>
      </c>
      <c r="CW362" s="4" t="s">
        <v>415</v>
      </c>
      <c r="CX362" s="4" t="s">
        <v>428</v>
      </c>
      <c r="CY362" s="6">
        <f>0</f>
        <v>0</v>
      </c>
      <c r="CZ362" s="6">
        <f>46412360</f>
        <v>46412360</v>
      </c>
      <c r="DA362" s="6">
        <f>39264858</f>
        <v>39264858</v>
      </c>
      <c r="DC362" s="4" t="s">
        <v>241</v>
      </c>
      <c r="DD362" s="4" t="s">
        <v>241</v>
      </c>
      <c r="DF362" s="4" t="s">
        <v>241</v>
      </c>
      <c r="DG362" s="6">
        <f>0</f>
        <v>0</v>
      </c>
      <c r="DI362" s="4" t="s">
        <v>241</v>
      </c>
      <c r="DJ362" s="4" t="s">
        <v>241</v>
      </c>
      <c r="DK362" s="4" t="s">
        <v>241</v>
      </c>
      <c r="DL362" s="4" t="s">
        <v>241</v>
      </c>
      <c r="DM362" s="4" t="s">
        <v>278</v>
      </c>
      <c r="DN362" s="4" t="s">
        <v>278</v>
      </c>
      <c r="DO362" s="6" t="s">
        <v>241</v>
      </c>
      <c r="DP362" s="4" t="s">
        <v>241</v>
      </c>
      <c r="DQ362" s="4" t="s">
        <v>241</v>
      </c>
      <c r="DR362" s="4" t="s">
        <v>241</v>
      </c>
      <c r="DS362" s="4" t="s">
        <v>241</v>
      </c>
      <c r="DV362" s="4" t="s">
        <v>836</v>
      </c>
      <c r="DW362" s="4" t="s">
        <v>351</v>
      </c>
      <c r="GN362" s="4" t="s">
        <v>2838</v>
      </c>
      <c r="HO362" s="4" t="s">
        <v>297</v>
      </c>
      <c r="HR362" s="4" t="s">
        <v>278</v>
      </c>
      <c r="HS362" s="4" t="s">
        <v>278</v>
      </c>
      <c r="HT362" s="4" t="s">
        <v>241</v>
      </c>
      <c r="HU362" s="4" t="s">
        <v>241</v>
      </c>
      <c r="HV362" s="4" t="s">
        <v>241</v>
      </c>
      <c r="HW362" s="4" t="s">
        <v>241</v>
      </c>
      <c r="HX362" s="4" t="s">
        <v>241</v>
      </c>
      <c r="HY362" s="4" t="s">
        <v>241</v>
      </c>
      <c r="HZ362" s="4" t="s">
        <v>241</v>
      </c>
      <c r="IA362" s="4" t="s">
        <v>241</v>
      </c>
      <c r="IB362" s="4" t="s">
        <v>241</v>
      </c>
      <c r="IC362" s="4" t="s">
        <v>241</v>
      </c>
      <c r="ID362" s="4" t="s">
        <v>241</v>
      </c>
      <c r="IE362" s="4" t="s">
        <v>241</v>
      </c>
      <c r="IF362" s="4" t="s">
        <v>241</v>
      </c>
    </row>
    <row r="363" spans="1:240" x14ac:dyDescent="0.4">
      <c r="A363" s="4">
        <v>2</v>
      </c>
      <c r="B363" s="4" t="s">
        <v>239</v>
      </c>
      <c r="C363" s="4">
        <v>394</v>
      </c>
      <c r="D363" s="4">
        <v>1</v>
      </c>
      <c r="E363" s="4">
        <v>3</v>
      </c>
      <c r="F363" s="4" t="s">
        <v>326</v>
      </c>
      <c r="G363" s="4" t="s">
        <v>241</v>
      </c>
      <c r="H363" s="4" t="s">
        <v>241</v>
      </c>
      <c r="I363" s="4" t="s">
        <v>834</v>
      </c>
      <c r="J363" s="4" t="s">
        <v>653</v>
      </c>
      <c r="K363" s="4" t="s">
        <v>256</v>
      </c>
      <c r="L363" s="4" t="s">
        <v>241</v>
      </c>
      <c r="M363" s="5" t="s">
        <v>588</v>
      </c>
      <c r="N363" s="4" t="s">
        <v>1143</v>
      </c>
      <c r="O363" s="6">
        <f>0</f>
        <v>0</v>
      </c>
      <c r="P363" s="4" t="s">
        <v>276</v>
      </c>
      <c r="Q363" s="6">
        <f>20628465</f>
        <v>20628465</v>
      </c>
      <c r="R363" s="6">
        <f>21092500</f>
        <v>21092500</v>
      </c>
      <c r="S363" s="5" t="s">
        <v>1144</v>
      </c>
      <c r="T363" s="4" t="s">
        <v>668</v>
      </c>
      <c r="U363" s="4" t="s">
        <v>278</v>
      </c>
      <c r="V363" s="6">
        <f>21092499</f>
        <v>21092499</v>
      </c>
      <c r="W363" s="6">
        <f>464035</f>
        <v>464035</v>
      </c>
      <c r="X363" s="4" t="s">
        <v>243</v>
      </c>
      <c r="Y363" s="4" t="s">
        <v>244</v>
      </c>
      <c r="Z363" s="4" t="s">
        <v>241</v>
      </c>
      <c r="AA363" s="4" t="s">
        <v>241</v>
      </c>
      <c r="AD363" s="4" t="s">
        <v>241</v>
      </c>
      <c r="AE363" s="5" t="s">
        <v>241</v>
      </c>
      <c r="AF363" s="5" t="s">
        <v>241</v>
      </c>
      <c r="AH363" s="5" t="s">
        <v>241</v>
      </c>
      <c r="AI363" s="5" t="s">
        <v>249</v>
      </c>
      <c r="AJ363" s="4" t="s">
        <v>251</v>
      </c>
      <c r="AK363" s="4" t="s">
        <v>252</v>
      </c>
      <c r="AQ363" s="4" t="s">
        <v>241</v>
      </c>
      <c r="AR363" s="4" t="s">
        <v>241</v>
      </c>
      <c r="AS363" s="4" t="s">
        <v>241</v>
      </c>
      <c r="AT363" s="5" t="s">
        <v>241</v>
      </c>
      <c r="AU363" s="5" t="s">
        <v>241</v>
      </c>
      <c r="AV363" s="5" t="s">
        <v>241</v>
      </c>
      <c r="AY363" s="4" t="s">
        <v>286</v>
      </c>
      <c r="AZ363" s="4" t="s">
        <v>286</v>
      </c>
      <c r="BA363" s="4" t="s">
        <v>254</v>
      </c>
      <c r="BB363" s="4" t="s">
        <v>287</v>
      </c>
      <c r="BC363" s="4" t="s">
        <v>255</v>
      </c>
      <c r="BD363" s="4" t="s">
        <v>241</v>
      </c>
      <c r="BE363" s="4" t="s">
        <v>257</v>
      </c>
      <c r="BF363" s="4" t="s">
        <v>241</v>
      </c>
      <c r="BJ363" s="4" t="s">
        <v>288</v>
      </c>
      <c r="BK363" s="5" t="s">
        <v>289</v>
      </c>
      <c r="BL363" s="4" t="s">
        <v>290</v>
      </c>
      <c r="BM363" s="4" t="s">
        <v>290</v>
      </c>
      <c r="BN363" s="4" t="s">
        <v>241</v>
      </c>
      <c r="BP363" s="6">
        <f>-464035</f>
        <v>-464035</v>
      </c>
      <c r="BQ363" s="4" t="s">
        <v>263</v>
      </c>
      <c r="BR363" s="4" t="s">
        <v>264</v>
      </c>
      <c r="BS363" s="4" t="s">
        <v>241</v>
      </c>
      <c r="BT363" s="4" t="s">
        <v>241</v>
      </c>
      <c r="BU363" s="4" t="s">
        <v>241</v>
      </c>
      <c r="BV363" s="4" t="s">
        <v>241</v>
      </c>
      <c r="CE363" s="4" t="s">
        <v>264</v>
      </c>
      <c r="CF363" s="4" t="s">
        <v>241</v>
      </c>
      <c r="CG363" s="4" t="s">
        <v>241</v>
      </c>
      <c r="CK363" s="4" t="s">
        <v>291</v>
      </c>
      <c r="CL363" s="4" t="s">
        <v>266</v>
      </c>
      <c r="CM363" s="4" t="s">
        <v>241</v>
      </c>
      <c r="CO363" s="4" t="s">
        <v>426</v>
      </c>
      <c r="CP363" s="5" t="s">
        <v>268</v>
      </c>
      <c r="CQ363" s="4" t="s">
        <v>269</v>
      </c>
      <c r="CR363" s="4" t="s">
        <v>270</v>
      </c>
      <c r="CS363" s="4" t="s">
        <v>293</v>
      </c>
      <c r="CT363" s="4" t="s">
        <v>241</v>
      </c>
      <c r="CU363" s="4">
        <v>2.1999999999999999E-2</v>
      </c>
      <c r="CV363" s="4" t="s">
        <v>271</v>
      </c>
      <c r="CW363" s="4" t="s">
        <v>1006</v>
      </c>
      <c r="CX363" s="4" t="s">
        <v>295</v>
      </c>
      <c r="CY363" s="6">
        <f>0</f>
        <v>0</v>
      </c>
      <c r="CZ363" s="6">
        <f>21092500</f>
        <v>21092500</v>
      </c>
      <c r="DA363" s="6">
        <f>1</f>
        <v>1</v>
      </c>
      <c r="DC363" s="4" t="s">
        <v>241</v>
      </c>
      <c r="DD363" s="4" t="s">
        <v>241</v>
      </c>
      <c r="DF363" s="4" t="s">
        <v>241</v>
      </c>
      <c r="DG363" s="6">
        <f>0</f>
        <v>0</v>
      </c>
      <c r="DI363" s="4" t="s">
        <v>241</v>
      </c>
      <c r="DJ363" s="4" t="s">
        <v>241</v>
      </c>
      <c r="DK363" s="4" t="s">
        <v>241</v>
      </c>
      <c r="DL363" s="4" t="s">
        <v>241</v>
      </c>
      <c r="DM363" s="4" t="s">
        <v>278</v>
      </c>
      <c r="DN363" s="4" t="s">
        <v>278</v>
      </c>
      <c r="DO363" s="6" t="s">
        <v>241</v>
      </c>
      <c r="DP363" s="4" t="s">
        <v>241</v>
      </c>
      <c r="DQ363" s="4" t="s">
        <v>241</v>
      </c>
      <c r="DR363" s="4" t="s">
        <v>241</v>
      </c>
      <c r="DS363" s="4" t="s">
        <v>241</v>
      </c>
      <c r="DV363" s="4" t="s">
        <v>836</v>
      </c>
      <c r="DW363" s="4" t="s">
        <v>300</v>
      </c>
      <c r="GN363" s="4" t="s">
        <v>1145</v>
      </c>
      <c r="HO363" s="4" t="s">
        <v>323</v>
      </c>
      <c r="HR363" s="4" t="s">
        <v>278</v>
      </c>
      <c r="HS363" s="4" t="s">
        <v>278</v>
      </c>
      <c r="HT363" s="4" t="s">
        <v>241</v>
      </c>
      <c r="HU363" s="4" t="s">
        <v>241</v>
      </c>
      <c r="HV363" s="4" t="s">
        <v>241</v>
      </c>
      <c r="HW363" s="4" t="s">
        <v>241</v>
      </c>
      <c r="HX363" s="4" t="s">
        <v>241</v>
      </c>
      <c r="HY363" s="4" t="s">
        <v>241</v>
      </c>
      <c r="HZ363" s="4" t="s">
        <v>241</v>
      </c>
      <c r="IA363" s="4" t="s">
        <v>241</v>
      </c>
      <c r="IB363" s="4" t="s">
        <v>241</v>
      </c>
      <c r="IC363" s="4" t="s">
        <v>241</v>
      </c>
      <c r="ID363" s="4" t="s">
        <v>241</v>
      </c>
      <c r="IE363" s="4" t="s">
        <v>241</v>
      </c>
      <c r="IF363" s="4" t="s">
        <v>241</v>
      </c>
    </row>
    <row r="364" spans="1:240" x14ac:dyDescent="0.4">
      <c r="A364" s="4">
        <v>2</v>
      </c>
      <c r="B364" s="4" t="s">
        <v>239</v>
      </c>
      <c r="C364" s="4">
        <v>395</v>
      </c>
      <c r="D364" s="4">
        <v>1</v>
      </c>
      <c r="E364" s="4">
        <v>1</v>
      </c>
      <c r="F364" s="4" t="s">
        <v>240</v>
      </c>
      <c r="G364" s="4" t="s">
        <v>241</v>
      </c>
      <c r="H364" s="4" t="s">
        <v>241</v>
      </c>
      <c r="I364" s="4" t="s">
        <v>747</v>
      </c>
      <c r="J364" s="4" t="s">
        <v>653</v>
      </c>
      <c r="K364" s="4" t="s">
        <v>256</v>
      </c>
      <c r="L364" s="4" t="s">
        <v>651</v>
      </c>
      <c r="M364" s="5" t="s">
        <v>749</v>
      </c>
      <c r="N364" s="4" t="s">
        <v>651</v>
      </c>
      <c r="O364" s="6">
        <f>2634</f>
        <v>2634</v>
      </c>
      <c r="P364" s="4" t="s">
        <v>276</v>
      </c>
      <c r="Q364" s="6">
        <f>1</f>
        <v>1</v>
      </c>
      <c r="R364" s="6">
        <f>355590000</f>
        <v>355590000</v>
      </c>
      <c r="S364" s="5" t="s">
        <v>748</v>
      </c>
      <c r="T364" s="4" t="s">
        <v>668</v>
      </c>
      <c r="U364" s="4" t="s">
        <v>668</v>
      </c>
      <c r="W364" s="6">
        <f>355589999</f>
        <v>355589999</v>
      </c>
      <c r="X364" s="4" t="s">
        <v>243</v>
      </c>
      <c r="Y364" s="4" t="s">
        <v>244</v>
      </c>
      <c r="Z364" s="4" t="s">
        <v>465</v>
      </c>
      <c r="AA364" s="4" t="s">
        <v>241</v>
      </c>
      <c r="AD364" s="4" t="s">
        <v>241</v>
      </c>
      <c r="AF364" s="5" t="s">
        <v>241</v>
      </c>
      <c r="AI364" s="5" t="s">
        <v>249</v>
      </c>
      <c r="AJ364" s="4" t="s">
        <v>251</v>
      </c>
      <c r="AK364" s="4" t="s">
        <v>252</v>
      </c>
      <c r="BA364" s="4" t="s">
        <v>254</v>
      </c>
      <c r="BB364" s="4" t="s">
        <v>241</v>
      </c>
      <c r="BC364" s="4" t="s">
        <v>255</v>
      </c>
      <c r="BD364" s="4" t="s">
        <v>241</v>
      </c>
      <c r="BE364" s="4" t="s">
        <v>257</v>
      </c>
      <c r="BF364" s="4" t="s">
        <v>241</v>
      </c>
      <c r="BH364" s="4" t="s">
        <v>750</v>
      </c>
      <c r="BJ364" s="4" t="s">
        <v>367</v>
      </c>
      <c r="BK364" s="5" t="s">
        <v>249</v>
      </c>
      <c r="BL364" s="4" t="s">
        <v>261</v>
      </c>
      <c r="BM364" s="4" t="s">
        <v>290</v>
      </c>
      <c r="BN364" s="4" t="s">
        <v>241</v>
      </c>
      <c r="BO364" s="6">
        <f>0</f>
        <v>0</v>
      </c>
      <c r="BP364" s="6">
        <f>0</f>
        <v>0</v>
      </c>
      <c r="BQ364" s="4" t="s">
        <v>263</v>
      </c>
      <c r="BR364" s="4" t="s">
        <v>264</v>
      </c>
      <c r="CF364" s="4" t="s">
        <v>241</v>
      </c>
      <c r="CG364" s="4" t="s">
        <v>241</v>
      </c>
      <c r="CK364" s="4" t="s">
        <v>265</v>
      </c>
      <c r="CL364" s="4" t="s">
        <v>266</v>
      </c>
      <c r="CM364" s="4" t="s">
        <v>241</v>
      </c>
      <c r="CO364" s="4" t="s">
        <v>513</v>
      </c>
      <c r="CP364" s="5" t="s">
        <v>268</v>
      </c>
      <c r="CQ364" s="4" t="s">
        <v>269</v>
      </c>
      <c r="CR364" s="4" t="s">
        <v>270</v>
      </c>
      <c r="CS364" s="4" t="s">
        <v>241</v>
      </c>
      <c r="CT364" s="4" t="s">
        <v>241</v>
      </c>
      <c r="CU364" s="4">
        <v>0</v>
      </c>
      <c r="CV364" s="4" t="s">
        <v>271</v>
      </c>
      <c r="CW364" s="4" t="s">
        <v>655</v>
      </c>
      <c r="CX364" s="4" t="s">
        <v>295</v>
      </c>
      <c r="CZ364" s="6">
        <f>355590000</f>
        <v>355590000</v>
      </c>
      <c r="DA364" s="6">
        <f>0</f>
        <v>0</v>
      </c>
      <c r="DC364" s="4" t="s">
        <v>241</v>
      </c>
      <c r="DD364" s="4" t="s">
        <v>241</v>
      </c>
      <c r="DF364" s="4" t="s">
        <v>241</v>
      </c>
      <c r="DI364" s="4" t="s">
        <v>241</v>
      </c>
      <c r="DJ364" s="4" t="s">
        <v>241</v>
      </c>
      <c r="DK364" s="4" t="s">
        <v>241</v>
      </c>
      <c r="DL364" s="4" t="s">
        <v>241</v>
      </c>
      <c r="DM364" s="4" t="s">
        <v>297</v>
      </c>
      <c r="DN364" s="4" t="s">
        <v>278</v>
      </c>
      <c r="DO364" s="6">
        <f>2634</f>
        <v>2634</v>
      </c>
      <c r="DP364" s="4" t="s">
        <v>241</v>
      </c>
      <c r="DQ364" s="4" t="s">
        <v>241</v>
      </c>
      <c r="DR364" s="4" t="s">
        <v>241</v>
      </c>
      <c r="DS364" s="4" t="s">
        <v>241</v>
      </c>
      <c r="DV364" s="4" t="s">
        <v>751</v>
      </c>
      <c r="DW364" s="4" t="s">
        <v>277</v>
      </c>
      <c r="HO364" s="4" t="s">
        <v>351</v>
      </c>
      <c r="HR364" s="4" t="s">
        <v>278</v>
      </c>
      <c r="HS364" s="4" t="s">
        <v>278</v>
      </c>
    </row>
    <row r="365" spans="1:240" x14ac:dyDescent="0.4">
      <c r="A365" s="4">
        <v>2</v>
      </c>
      <c r="B365" s="4" t="s">
        <v>239</v>
      </c>
      <c r="C365" s="4">
        <v>396</v>
      </c>
      <c r="D365" s="4">
        <v>1</v>
      </c>
      <c r="E365" s="4">
        <v>3</v>
      </c>
      <c r="F365" s="4" t="s">
        <v>240</v>
      </c>
      <c r="G365" s="4" t="s">
        <v>241</v>
      </c>
      <c r="H365" s="4" t="s">
        <v>241</v>
      </c>
      <c r="I365" s="4" t="s">
        <v>747</v>
      </c>
      <c r="J365" s="4" t="s">
        <v>653</v>
      </c>
      <c r="K365" s="4" t="s">
        <v>256</v>
      </c>
      <c r="L365" s="4" t="s">
        <v>1003</v>
      </c>
      <c r="M365" s="5" t="s">
        <v>749</v>
      </c>
      <c r="N365" s="4" t="s">
        <v>1003</v>
      </c>
      <c r="O365" s="6">
        <f>902</f>
        <v>902</v>
      </c>
      <c r="P365" s="4" t="s">
        <v>276</v>
      </c>
      <c r="Q365" s="6">
        <f>75100520</f>
        <v>75100520</v>
      </c>
      <c r="R365" s="6">
        <f>207460000</f>
        <v>207460000</v>
      </c>
      <c r="S365" s="5" t="s">
        <v>1146</v>
      </c>
      <c r="T365" s="4" t="s">
        <v>668</v>
      </c>
      <c r="U365" s="4" t="s">
        <v>391</v>
      </c>
      <c r="V365" s="6">
        <f>4564120</f>
        <v>4564120</v>
      </c>
      <c r="W365" s="6">
        <f>132359480</f>
        <v>132359480</v>
      </c>
      <c r="X365" s="4" t="s">
        <v>243</v>
      </c>
      <c r="Y365" s="4" t="s">
        <v>244</v>
      </c>
      <c r="Z365" s="4" t="s">
        <v>465</v>
      </c>
      <c r="AA365" s="4" t="s">
        <v>241</v>
      </c>
      <c r="AD365" s="4" t="s">
        <v>241</v>
      </c>
      <c r="AE365" s="5" t="s">
        <v>241</v>
      </c>
      <c r="AF365" s="5" t="s">
        <v>241</v>
      </c>
      <c r="AH365" s="5" t="s">
        <v>241</v>
      </c>
      <c r="AI365" s="5" t="s">
        <v>249</v>
      </c>
      <c r="AJ365" s="4" t="s">
        <v>251</v>
      </c>
      <c r="AK365" s="4" t="s">
        <v>252</v>
      </c>
      <c r="AQ365" s="4" t="s">
        <v>241</v>
      </c>
      <c r="AR365" s="4" t="s">
        <v>241</v>
      </c>
      <c r="AS365" s="4" t="s">
        <v>241</v>
      </c>
      <c r="AT365" s="5" t="s">
        <v>241</v>
      </c>
      <c r="AU365" s="5" t="s">
        <v>241</v>
      </c>
      <c r="AV365" s="5" t="s">
        <v>241</v>
      </c>
      <c r="AY365" s="4" t="s">
        <v>286</v>
      </c>
      <c r="AZ365" s="4" t="s">
        <v>286</v>
      </c>
      <c r="BA365" s="4" t="s">
        <v>254</v>
      </c>
      <c r="BB365" s="4" t="s">
        <v>287</v>
      </c>
      <c r="BC365" s="4" t="s">
        <v>255</v>
      </c>
      <c r="BD365" s="4" t="s">
        <v>241</v>
      </c>
      <c r="BE365" s="4" t="s">
        <v>257</v>
      </c>
      <c r="BF365" s="4" t="s">
        <v>241</v>
      </c>
      <c r="BJ365" s="4" t="s">
        <v>288</v>
      </c>
      <c r="BK365" s="5" t="s">
        <v>289</v>
      </c>
      <c r="BL365" s="4" t="s">
        <v>290</v>
      </c>
      <c r="BM365" s="4" t="s">
        <v>290</v>
      </c>
      <c r="BN365" s="4" t="s">
        <v>241</v>
      </c>
      <c r="BO365" s="6">
        <f>0</f>
        <v>0</v>
      </c>
      <c r="BP365" s="6">
        <f>-4564120</f>
        <v>-4564120</v>
      </c>
      <c r="BQ365" s="4" t="s">
        <v>263</v>
      </c>
      <c r="BR365" s="4" t="s">
        <v>264</v>
      </c>
      <c r="BS365" s="4" t="s">
        <v>241</v>
      </c>
      <c r="BT365" s="4" t="s">
        <v>241</v>
      </c>
      <c r="BU365" s="4" t="s">
        <v>241</v>
      </c>
      <c r="BV365" s="4" t="s">
        <v>241</v>
      </c>
      <c r="CE365" s="4" t="s">
        <v>264</v>
      </c>
      <c r="CF365" s="4" t="s">
        <v>241</v>
      </c>
      <c r="CG365" s="4" t="s">
        <v>241</v>
      </c>
      <c r="CK365" s="4" t="s">
        <v>291</v>
      </c>
      <c r="CL365" s="4" t="s">
        <v>266</v>
      </c>
      <c r="CM365" s="4" t="s">
        <v>241</v>
      </c>
      <c r="CO365" s="4" t="s">
        <v>452</v>
      </c>
      <c r="CP365" s="5" t="s">
        <v>268</v>
      </c>
      <c r="CQ365" s="4" t="s">
        <v>269</v>
      </c>
      <c r="CR365" s="4" t="s">
        <v>270</v>
      </c>
      <c r="CS365" s="4" t="s">
        <v>293</v>
      </c>
      <c r="CT365" s="4" t="s">
        <v>241</v>
      </c>
      <c r="CU365" s="4">
        <v>2.1999999999999999E-2</v>
      </c>
      <c r="CV365" s="4" t="s">
        <v>271</v>
      </c>
      <c r="CW365" s="4" t="s">
        <v>1006</v>
      </c>
      <c r="CX365" s="4" t="s">
        <v>295</v>
      </c>
      <c r="CY365" s="6">
        <f>0</f>
        <v>0</v>
      </c>
      <c r="CZ365" s="6">
        <f>207460000</f>
        <v>207460000</v>
      </c>
      <c r="DA365" s="6">
        <f>75100520</f>
        <v>75100520</v>
      </c>
      <c r="DC365" s="4" t="s">
        <v>241</v>
      </c>
      <c r="DD365" s="4" t="s">
        <v>241</v>
      </c>
      <c r="DF365" s="4" t="s">
        <v>241</v>
      </c>
      <c r="DG365" s="6">
        <f>0</f>
        <v>0</v>
      </c>
      <c r="DI365" s="4" t="s">
        <v>241</v>
      </c>
      <c r="DJ365" s="4" t="s">
        <v>241</v>
      </c>
      <c r="DK365" s="4" t="s">
        <v>241</v>
      </c>
      <c r="DL365" s="4" t="s">
        <v>241</v>
      </c>
      <c r="DM365" s="4" t="s">
        <v>277</v>
      </c>
      <c r="DN365" s="4" t="s">
        <v>278</v>
      </c>
      <c r="DO365" s="6">
        <f>902</f>
        <v>902</v>
      </c>
      <c r="DP365" s="4" t="s">
        <v>241</v>
      </c>
      <c r="DQ365" s="4" t="s">
        <v>241</v>
      </c>
      <c r="DR365" s="4" t="s">
        <v>241</v>
      </c>
      <c r="DS365" s="4" t="s">
        <v>241</v>
      </c>
      <c r="DV365" s="4" t="s">
        <v>751</v>
      </c>
      <c r="DW365" s="4" t="s">
        <v>323</v>
      </c>
      <c r="GN365" s="4" t="s">
        <v>1147</v>
      </c>
      <c r="HO365" s="4" t="s">
        <v>300</v>
      </c>
      <c r="HR365" s="4" t="s">
        <v>278</v>
      </c>
      <c r="HS365" s="4" t="s">
        <v>278</v>
      </c>
      <c r="HT365" s="4" t="s">
        <v>241</v>
      </c>
      <c r="HU365" s="4" t="s">
        <v>241</v>
      </c>
      <c r="HV365" s="4" t="s">
        <v>241</v>
      </c>
      <c r="HW365" s="4" t="s">
        <v>241</v>
      </c>
      <c r="HX365" s="4" t="s">
        <v>241</v>
      </c>
      <c r="HY365" s="4" t="s">
        <v>241</v>
      </c>
      <c r="HZ365" s="4" t="s">
        <v>241</v>
      </c>
      <c r="IA365" s="4" t="s">
        <v>241</v>
      </c>
      <c r="IB365" s="4" t="s">
        <v>241</v>
      </c>
      <c r="IC365" s="4" t="s">
        <v>241</v>
      </c>
      <c r="ID365" s="4" t="s">
        <v>241</v>
      </c>
      <c r="IE365" s="4" t="s">
        <v>241</v>
      </c>
      <c r="IF365" s="4" t="s">
        <v>241</v>
      </c>
    </row>
    <row r="366" spans="1:240" x14ac:dyDescent="0.4">
      <c r="A366" s="4">
        <v>2</v>
      </c>
      <c r="B366" s="4" t="s">
        <v>239</v>
      </c>
      <c r="C366" s="4">
        <v>397</v>
      </c>
      <c r="D366" s="4">
        <v>1</v>
      </c>
      <c r="E366" s="4">
        <v>1</v>
      </c>
      <c r="F366" s="4" t="s">
        <v>240</v>
      </c>
      <c r="G366" s="4" t="s">
        <v>241</v>
      </c>
      <c r="H366" s="4" t="s">
        <v>241</v>
      </c>
      <c r="I366" s="4" t="s">
        <v>747</v>
      </c>
      <c r="J366" s="4" t="s">
        <v>653</v>
      </c>
      <c r="K366" s="4" t="s">
        <v>256</v>
      </c>
      <c r="L366" s="4" t="s">
        <v>2529</v>
      </c>
      <c r="M366" s="5" t="s">
        <v>749</v>
      </c>
      <c r="N366" s="4" t="s">
        <v>2529</v>
      </c>
      <c r="O366" s="6">
        <f>35</f>
        <v>35</v>
      </c>
      <c r="P366" s="4" t="s">
        <v>276</v>
      </c>
      <c r="Q366" s="6">
        <f>1</f>
        <v>1</v>
      </c>
      <c r="R366" s="6">
        <f>5705000</f>
        <v>5705000</v>
      </c>
      <c r="S366" s="5" t="s">
        <v>2001</v>
      </c>
      <c r="T366" s="4" t="s">
        <v>348</v>
      </c>
      <c r="U366" s="4" t="s">
        <v>358</v>
      </c>
      <c r="W366" s="6">
        <f>5704999</f>
        <v>5704999</v>
      </c>
      <c r="X366" s="4" t="s">
        <v>243</v>
      </c>
      <c r="Y366" s="4" t="s">
        <v>244</v>
      </c>
      <c r="Z366" s="4" t="s">
        <v>465</v>
      </c>
      <c r="AA366" s="4" t="s">
        <v>241</v>
      </c>
      <c r="AD366" s="4" t="s">
        <v>241</v>
      </c>
      <c r="AF366" s="5" t="s">
        <v>241</v>
      </c>
      <c r="AI366" s="5" t="s">
        <v>249</v>
      </c>
      <c r="AJ366" s="4" t="s">
        <v>251</v>
      </c>
      <c r="AK366" s="4" t="s">
        <v>252</v>
      </c>
      <c r="BA366" s="4" t="s">
        <v>254</v>
      </c>
      <c r="BB366" s="4" t="s">
        <v>241</v>
      </c>
      <c r="BC366" s="4" t="s">
        <v>255</v>
      </c>
      <c r="BD366" s="4" t="s">
        <v>241</v>
      </c>
      <c r="BE366" s="4" t="s">
        <v>257</v>
      </c>
      <c r="BF366" s="4" t="s">
        <v>241</v>
      </c>
      <c r="BJ366" s="4" t="s">
        <v>367</v>
      </c>
      <c r="BK366" s="5" t="s">
        <v>249</v>
      </c>
      <c r="BL366" s="4" t="s">
        <v>261</v>
      </c>
      <c r="BM366" s="4" t="s">
        <v>262</v>
      </c>
      <c r="BN366" s="4" t="s">
        <v>241</v>
      </c>
      <c r="BO366" s="6">
        <f>0</f>
        <v>0</v>
      </c>
      <c r="BP366" s="6">
        <f>0</f>
        <v>0</v>
      </c>
      <c r="BQ366" s="4" t="s">
        <v>263</v>
      </c>
      <c r="BR366" s="4" t="s">
        <v>264</v>
      </c>
      <c r="CF366" s="4" t="s">
        <v>241</v>
      </c>
      <c r="CG366" s="4" t="s">
        <v>241</v>
      </c>
      <c r="CK366" s="4" t="s">
        <v>291</v>
      </c>
      <c r="CL366" s="4" t="s">
        <v>266</v>
      </c>
      <c r="CM366" s="4" t="s">
        <v>241</v>
      </c>
      <c r="CO366" s="4" t="s">
        <v>551</v>
      </c>
      <c r="CP366" s="5" t="s">
        <v>268</v>
      </c>
      <c r="CQ366" s="4" t="s">
        <v>269</v>
      </c>
      <c r="CR366" s="4" t="s">
        <v>270</v>
      </c>
      <c r="CS366" s="4" t="s">
        <v>241</v>
      </c>
      <c r="CT366" s="4" t="s">
        <v>241</v>
      </c>
      <c r="CU366" s="4">
        <v>0</v>
      </c>
      <c r="CV366" s="4" t="s">
        <v>271</v>
      </c>
      <c r="CW366" s="4" t="s">
        <v>415</v>
      </c>
      <c r="CX366" s="4" t="s">
        <v>416</v>
      </c>
      <c r="CZ366" s="6">
        <f>5705000</f>
        <v>5705000</v>
      </c>
      <c r="DA366" s="6">
        <f>0</f>
        <v>0</v>
      </c>
      <c r="DC366" s="4" t="s">
        <v>241</v>
      </c>
      <c r="DD366" s="4" t="s">
        <v>241</v>
      </c>
      <c r="DF366" s="4" t="s">
        <v>241</v>
      </c>
      <c r="DI366" s="4" t="s">
        <v>241</v>
      </c>
      <c r="DJ366" s="4" t="s">
        <v>241</v>
      </c>
      <c r="DK366" s="4" t="s">
        <v>241</v>
      </c>
      <c r="DL366" s="4" t="s">
        <v>241</v>
      </c>
      <c r="DM366" s="4" t="s">
        <v>277</v>
      </c>
      <c r="DN366" s="4" t="s">
        <v>278</v>
      </c>
      <c r="DO366" s="6">
        <f>35</f>
        <v>35</v>
      </c>
      <c r="DP366" s="4" t="s">
        <v>241</v>
      </c>
      <c r="DQ366" s="4" t="s">
        <v>241</v>
      </c>
      <c r="DR366" s="4" t="s">
        <v>241</v>
      </c>
      <c r="DS366" s="4" t="s">
        <v>241</v>
      </c>
      <c r="DV366" s="4" t="s">
        <v>751</v>
      </c>
      <c r="DW366" s="4" t="s">
        <v>297</v>
      </c>
      <c r="HO366" s="4" t="s">
        <v>277</v>
      </c>
      <c r="HR366" s="4" t="s">
        <v>278</v>
      </c>
      <c r="HS366" s="4" t="s">
        <v>278</v>
      </c>
    </row>
    <row r="367" spans="1:240" x14ac:dyDescent="0.4">
      <c r="A367" s="4">
        <v>2</v>
      </c>
      <c r="B367" s="4" t="s">
        <v>239</v>
      </c>
      <c r="C367" s="4">
        <v>398</v>
      </c>
      <c r="D367" s="4">
        <v>1</v>
      </c>
      <c r="E367" s="4">
        <v>1</v>
      </c>
      <c r="F367" s="4" t="s">
        <v>240</v>
      </c>
      <c r="G367" s="4" t="s">
        <v>241</v>
      </c>
      <c r="H367" s="4" t="s">
        <v>241</v>
      </c>
      <c r="I367" s="4" t="s">
        <v>747</v>
      </c>
      <c r="J367" s="4" t="s">
        <v>653</v>
      </c>
      <c r="K367" s="4" t="s">
        <v>256</v>
      </c>
      <c r="L367" s="4" t="s">
        <v>2000</v>
      </c>
      <c r="M367" s="5" t="s">
        <v>749</v>
      </c>
      <c r="N367" s="4" t="s">
        <v>2000</v>
      </c>
      <c r="O367" s="6">
        <f>12</f>
        <v>12</v>
      </c>
      <c r="P367" s="4" t="s">
        <v>276</v>
      </c>
      <c r="Q367" s="6">
        <f>1</f>
        <v>1</v>
      </c>
      <c r="R367" s="6">
        <f>1092000</f>
        <v>1092000</v>
      </c>
      <c r="S367" s="5" t="s">
        <v>2001</v>
      </c>
      <c r="T367" s="4" t="s">
        <v>348</v>
      </c>
      <c r="U367" s="4" t="s">
        <v>358</v>
      </c>
      <c r="W367" s="6">
        <f>1091999</f>
        <v>1091999</v>
      </c>
      <c r="X367" s="4" t="s">
        <v>243</v>
      </c>
      <c r="Y367" s="4" t="s">
        <v>244</v>
      </c>
      <c r="Z367" s="4" t="s">
        <v>465</v>
      </c>
      <c r="AA367" s="4" t="s">
        <v>241</v>
      </c>
      <c r="AD367" s="4" t="s">
        <v>241</v>
      </c>
      <c r="AF367" s="5" t="s">
        <v>241</v>
      </c>
      <c r="AI367" s="5" t="s">
        <v>249</v>
      </c>
      <c r="AJ367" s="4" t="s">
        <v>251</v>
      </c>
      <c r="AK367" s="4" t="s">
        <v>252</v>
      </c>
      <c r="BA367" s="4" t="s">
        <v>254</v>
      </c>
      <c r="BB367" s="4" t="s">
        <v>241</v>
      </c>
      <c r="BC367" s="4" t="s">
        <v>255</v>
      </c>
      <c r="BD367" s="4" t="s">
        <v>241</v>
      </c>
      <c r="BE367" s="4" t="s">
        <v>257</v>
      </c>
      <c r="BF367" s="4" t="s">
        <v>241</v>
      </c>
      <c r="BJ367" s="4" t="s">
        <v>367</v>
      </c>
      <c r="BK367" s="5" t="s">
        <v>249</v>
      </c>
      <c r="BL367" s="4" t="s">
        <v>261</v>
      </c>
      <c r="BM367" s="4" t="s">
        <v>262</v>
      </c>
      <c r="BN367" s="4" t="s">
        <v>241</v>
      </c>
      <c r="BO367" s="6">
        <f>0</f>
        <v>0</v>
      </c>
      <c r="BP367" s="6">
        <f>0</f>
        <v>0</v>
      </c>
      <c r="BQ367" s="4" t="s">
        <v>263</v>
      </c>
      <c r="BR367" s="4" t="s">
        <v>264</v>
      </c>
      <c r="CF367" s="4" t="s">
        <v>241</v>
      </c>
      <c r="CG367" s="4" t="s">
        <v>241</v>
      </c>
      <c r="CK367" s="4" t="s">
        <v>291</v>
      </c>
      <c r="CL367" s="4" t="s">
        <v>266</v>
      </c>
      <c r="CM367" s="4" t="s">
        <v>241</v>
      </c>
      <c r="CO367" s="4" t="s">
        <v>551</v>
      </c>
      <c r="CP367" s="5" t="s">
        <v>268</v>
      </c>
      <c r="CQ367" s="4" t="s">
        <v>269</v>
      </c>
      <c r="CR367" s="4" t="s">
        <v>270</v>
      </c>
      <c r="CS367" s="4" t="s">
        <v>241</v>
      </c>
      <c r="CT367" s="4" t="s">
        <v>241</v>
      </c>
      <c r="CU367" s="4">
        <v>0</v>
      </c>
      <c r="CV367" s="4" t="s">
        <v>271</v>
      </c>
      <c r="CW367" s="4" t="s">
        <v>1986</v>
      </c>
      <c r="CX367" s="4" t="s">
        <v>347</v>
      </c>
      <c r="CZ367" s="6">
        <f>1092000</f>
        <v>1092000</v>
      </c>
      <c r="DA367" s="6">
        <f>0</f>
        <v>0</v>
      </c>
      <c r="DC367" s="4" t="s">
        <v>241</v>
      </c>
      <c r="DD367" s="4" t="s">
        <v>241</v>
      </c>
      <c r="DF367" s="4" t="s">
        <v>241</v>
      </c>
      <c r="DI367" s="4" t="s">
        <v>241</v>
      </c>
      <c r="DJ367" s="4" t="s">
        <v>241</v>
      </c>
      <c r="DK367" s="4" t="s">
        <v>241</v>
      </c>
      <c r="DL367" s="4" t="s">
        <v>241</v>
      </c>
      <c r="DM367" s="4" t="s">
        <v>277</v>
      </c>
      <c r="DN367" s="4" t="s">
        <v>278</v>
      </c>
      <c r="DO367" s="6">
        <f>12</f>
        <v>12</v>
      </c>
      <c r="DP367" s="4" t="s">
        <v>241</v>
      </c>
      <c r="DQ367" s="4" t="s">
        <v>241</v>
      </c>
      <c r="DR367" s="4" t="s">
        <v>241</v>
      </c>
      <c r="DS367" s="4" t="s">
        <v>241</v>
      </c>
      <c r="DV367" s="4" t="s">
        <v>751</v>
      </c>
      <c r="DW367" s="4" t="s">
        <v>336</v>
      </c>
      <c r="HO367" s="4" t="s">
        <v>277</v>
      </c>
      <c r="HR367" s="4" t="s">
        <v>278</v>
      </c>
      <c r="HS367" s="4" t="s">
        <v>278</v>
      </c>
    </row>
    <row r="368" spans="1:240" x14ac:dyDescent="0.4">
      <c r="A368" s="4">
        <v>2</v>
      </c>
      <c r="B368" s="4" t="s">
        <v>239</v>
      </c>
      <c r="C368" s="4">
        <v>399</v>
      </c>
      <c r="D368" s="4">
        <v>1</v>
      </c>
      <c r="E368" s="4">
        <v>1</v>
      </c>
      <c r="F368" s="4" t="s">
        <v>240</v>
      </c>
      <c r="G368" s="4" t="s">
        <v>241</v>
      </c>
      <c r="H368" s="4" t="s">
        <v>241</v>
      </c>
      <c r="I368" s="4" t="s">
        <v>747</v>
      </c>
      <c r="J368" s="4" t="s">
        <v>653</v>
      </c>
      <c r="K368" s="4" t="s">
        <v>256</v>
      </c>
      <c r="L368" s="4" t="s">
        <v>340</v>
      </c>
      <c r="M368" s="5" t="s">
        <v>749</v>
      </c>
      <c r="N368" s="4" t="s">
        <v>340</v>
      </c>
      <c r="O368" s="6">
        <f>2</f>
        <v>2</v>
      </c>
      <c r="P368" s="4" t="s">
        <v>276</v>
      </c>
      <c r="Q368" s="6">
        <f>1</f>
        <v>1</v>
      </c>
      <c r="R368" s="6">
        <f>180000</f>
        <v>180000</v>
      </c>
      <c r="S368" s="5" t="s">
        <v>1819</v>
      </c>
      <c r="T368" s="4" t="s">
        <v>348</v>
      </c>
      <c r="U368" s="4" t="s">
        <v>373</v>
      </c>
      <c r="W368" s="6">
        <f>179999</f>
        <v>179999</v>
      </c>
      <c r="X368" s="4" t="s">
        <v>243</v>
      </c>
      <c r="Y368" s="4" t="s">
        <v>244</v>
      </c>
      <c r="Z368" s="4" t="s">
        <v>465</v>
      </c>
      <c r="AA368" s="4" t="s">
        <v>241</v>
      </c>
      <c r="AD368" s="4" t="s">
        <v>241</v>
      </c>
      <c r="AF368" s="5" t="s">
        <v>241</v>
      </c>
      <c r="AI368" s="5" t="s">
        <v>249</v>
      </c>
      <c r="AJ368" s="4" t="s">
        <v>251</v>
      </c>
      <c r="AK368" s="4" t="s">
        <v>252</v>
      </c>
      <c r="BA368" s="4" t="s">
        <v>254</v>
      </c>
      <c r="BB368" s="4" t="s">
        <v>241</v>
      </c>
      <c r="BC368" s="4" t="s">
        <v>255</v>
      </c>
      <c r="BD368" s="4" t="s">
        <v>241</v>
      </c>
      <c r="BE368" s="4" t="s">
        <v>257</v>
      </c>
      <c r="BF368" s="4" t="s">
        <v>241</v>
      </c>
      <c r="BJ368" s="4" t="s">
        <v>374</v>
      </c>
      <c r="BK368" s="5" t="s">
        <v>375</v>
      </c>
      <c r="BL368" s="4" t="s">
        <v>261</v>
      </c>
      <c r="BM368" s="4" t="s">
        <v>262</v>
      </c>
      <c r="BN368" s="4" t="s">
        <v>241</v>
      </c>
      <c r="BO368" s="6">
        <f>0</f>
        <v>0</v>
      </c>
      <c r="BP368" s="6">
        <f>0</f>
        <v>0</v>
      </c>
      <c r="BQ368" s="4" t="s">
        <v>263</v>
      </c>
      <c r="BR368" s="4" t="s">
        <v>264</v>
      </c>
      <c r="CF368" s="4" t="s">
        <v>241</v>
      </c>
      <c r="CG368" s="4" t="s">
        <v>241</v>
      </c>
      <c r="CK368" s="4" t="s">
        <v>265</v>
      </c>
      <c r="CL368" s="4" t="s">
        <v>266</v>
      </c>
      <c r="CM368" s="4" t="s">
        <v>241</v>
      </c>
      <c r="CO368" s="4" t="s">
        <v>305</v>
      </c>
      <c r="CP368" s="5" t="s">
        <v>268</v>
      </c>
      <c r="CQ368" s="4" t="s">
        <v>269</v>
      </c>
      <c r="CR368" s="4" t="s">
        <v>270</v>
      </c>
      <c r="CS368" s="4" t="s">
        <v>241</v>
      </c>
      <c r="CT368" s="4" t="s">
        <v>241</v>
      </c>
      <c r="CU368" s="4">
        <v>0</v>
      </c>
      <c r="CV368" s="4" t="s">
        <v>271</v>
      </c>
      <c r="CW368" s="4" t="s">
        <v>332</v>
      </c>
      <c r="CX368" s="4" t="s">
        <v>347</v>
      </c>
      <c r="CZ368" s="6">
        <f>180000</f>
        <v>180000</v>
      </c>
      <c r="DA368" s="6">
        <f>0</f>
        <v>0</v>
      </c>
      <c r="DC368" s="4" t="s">
        <v>241</v>
      </c>
      <c r="DD368" s="4" t="s">
        <v>241</v>
      </c>
      <c r="DF368" s="4" t="s">
        <v>241</v>
      </c>
      <c r="DI368" s="4" t="s">
        <v>241</v>
      </c>
      <c r="DJ368" s="4" t="s">
        <v>241</v>
      </c>
      <c r="DK368" s="4" t="s">
        <v>241</v>
      </c>
      <c r="DL368" s="4" t="s">
        <v>241</v>
      </c>
      <c r="DM368" s="4" t="s">
        <v>277</v>
      </c>
      <c r="DN368" s="4" t="s">
        <v>278</v>
      </c>
      <c r="DO368" s="6">
        <f>2</f>
        <v>2</v>
      </c>
      <c r="DP368" s="4" t="s">
        <v>241</v>
      </c>
      <c r="DQ368" s="4" t="s">
        <v>241</v>
      </c>
      <c r="DR368" s="4" t="s">
        <v>241</v>
      </c>
      <c r="DS368" s="4" t="s">
        <v>241</v>
      </c>
      <c r="DV368" s="4" t="s">
        <v>751</v>
      </c>
      <c r="DW368" s="4" t="s">
        <v>351</v>
      </c>
      <c r="HO368" s="4" t="s">
        <v>277</v>
      </c>
      <c r="HR368" s="4" t="s">
        <v>278</v>
      </c>
      <c r="HS368" s="4" t="s">
        <v>278</v>
      </c>
    </row>
    <row r="369" spans="1:240" x14ac:dyDescent="0.4">
      <c r="A369" s="4">
        <v>2</v>
      </c>
      <c r="B369" s="4" t="s">
        <v>239</v>
      </c>
      <c r="C369" s="4">
        <v>400</v>
      </c>
      <c r="D369" s="4">
        <v>1</v>
      </c>
      <c r="E369" s="4">
        <v>1</v>
      </c>
      <c r="F369" s="4" t="s">
        <v>240</v>
      </c>
      <c r="G369" s="4" t="s">
        <v>241</v>
      </c>
      <c r="H369" s="4" t="s">
        <v>241</v>
      </c>
      <c r="I369" s="4" t="s">
        <v>747</v>
      </c>
      <c r="J369" s="4" t="s">
        <v>653</v>
      </c>
      <c r="K369" s="4" t="s">
        <v>256</v>
      </c>
      <c r="L369" s="4" t="s">
        <v>429</v>
      </c>
      <c r="M369" s="5" t="s">
        <v>749</v>
      </c>
      <c r="N369" s="4" t="s">
        <v>429</v>
      </c>
      <c r="O369" s="6">
        <f>18</f>
        <v>18</v>
      </c>
      <c r="P369" s="4" t="s">
        <v>276</v>
      </c>
      <c r="Q369" s="6">
        <f>1</f>
        <v>1</v>
      </c>
      <c r="R369" s="6">
        <f>2196000</f>
        <v>2196000</v>
      </c>
      <c r="S369" s="5" t="s">
        <v>2001</v>
      </c>
      <c r="T369" s="4" t="s">
        <v>274</v>
      </c>
      <c r="U369" s="4" t="s">
        <v>358</v>
      </c>
      <c r="W369" s="6">
        <f>2195999</f>
        <v>2195999</v>
      </c>
      <c r="X369" s="4" t="s">
        <v>243</v>
      </c>
      <c r="Y369" s="4" t="s">
        <v>244</v>
      </c>
      <c r="Z369" s="4" t="s">
        <v>465</v>
      </c>
      <c r="AA369" s="4" t="s">
        <v>241</v>
      </c>
      <c r="AD369" s="4" t="s">
        <v>241</v>
      </c>
      <c r="AF369" s="5" t="s">
        <v>241</v>
      </c>
      <c r="AI369" s="5" t="s">
        <v>249</v>
      </c>
      <c r="AJ369" s="4" t="s">
        <v>251</v>
      </c>
      <c r="AK369" s="4" t="s">
        <v>252</v>
      </c>
      <c r="BA369" s="4" t="s">
        <v>254</v>
      </c>
      <c r="BB369" s="4" t="s">
        <v>241</v>
      </c>
      <c r="BC369" s="4" t="s">
        <v>255</v>
      </c>
      <c r="BD369" s="4" t="s">
        <v>241</v>
      </c>
      <c r="BE369" s="4" t="s">
        <v>257</v>
      </c>
      <c r="BF369" s="4" t="s">
        <v>241</v>
      </c>
      <c r="BJ369" s="4" t="s">
        <v>377</v>
      </c>
      <c r="BK369" s="5" t="s">
        <v>378</v>
      </c>
      <c r="BL369" s="4" t="s">
        <v>261</v>
      </c>
      <c r="BM369" s="4" t="s">
        <v>262</v>
      </c>
      <c r="BN369" s="4" t="s">
        <v>241</v>
      </c>
      <c r="BO369" s="6">
        <f>0</f>
        <v>0</v>
      </c>
      <c r="BP369" s="6">
        <f>0</f>
        <v>0</v>
      </c>
      <c r="BQ369" s="4" t="s">
        <v>263</v>
      </c>
      <c r="BR369" s="4" t="s">
        <v>264</v>
      </c>
      <c r="CF369" s="4" t="s">
        <v>241</v>
      </c>
      <c r="CG369" s="4" t="s">
        <v>241</v>
      </c>
      <c r="CK369" s="4" t="s">
        <v>291</v>
      </c>
      <c r="CL369" s="4" t="s">
        <v>266</v>
      </c>
      <c r="CM369" s="4" t="s">
        <v>241</v>
      </c>
      <c r="CO369" s="4" t="s">
        <v>551</v>
      </c>
      <c r="CP369" s="5" t="s">
        <v>268</v>
      </c>
      <c r="CQ369" s="4" t="s">
        <v>269</v>
      </c>
      <c r="CR369" s="4" t="s">
        <v>270</v>
      </c>
      <c r="CS369" s="4" t="s">
        <v>241</v>
      </c>
      <c r="CT369" s="4" t="s">
        <v>241</v>
      </c>
      <c r="CU369" s="4">
        <v>0</v>
      </c>
      <c r="CV369" s="4" t="s">
        <v>271</v>
      </c>
      <c r="CW369" s="4" t="s">
        <v>272</v>
      </c>
      <c r="CX369" s="4" t="s">
        <v>273</v>
      </c>
      <c r="CZ369" s="6">
        <f>2196000</f>
        <v>2196000</v>
      </c>
      <c r="DA369" s="6">
        <f>0</f>
        <v>0</v>
      </c>
      <c r="DC369" s="4" t="s">
        <v>241</v>
      </c>
      <c r="DD369" s="4" t="s">
        <v>241</v>
      </c>
      <c r="DF369" s="4" t="s">
        <v>241</v>
      </c>
      <c r="DI369" s="4" t="s">
        <v>241</v>
      </c>
      <c r="DJ369" s="4" t="s">
        <v>241</v>
      </c>
      <c r="DK369" s="4" t="s">
        <v>241</v>
      </c>
      <c r="DL369" s="4" t="s">
        <v>241</v>
      </c>
      <c r="DM369" s="4" t="s">
        <v>277</v>
      </c>
      <c r="DN369" s="4" t="s">
        <v>278</v>
      </c>
      <c r="DO369" s="6">
        <f>18</f>
        <v>18</v>
      </c>
      <c r="DP369" s="4" t="s">
        <v>241</v>
      </c>
      <c r="DQ369" s="4" t="s">
        <v>241</v>
      </c>
      <c r="DR369" s="4" t="s">
        <v>241</v>
      </c>
      <c r="DS369" s="4" t="s">
        <v>241</v>
      </c>
      <c r="DV369" s="4" t="s">
        <v>751</v>
      </c>
      <c r="DW369" s="4" t="s">
        <v>300</v>
      </c>
      <c r="HO369" s="4" t="s">
        <v>277</v>
      </c>
      <c r="HR369" s="4" t="s">
        <v>278</v>
      </c>
      <c r="HS369" s="4" t="s">
        <v>278</v>
      </c>
    </row>
    <row r="370" spans="1:240" x14ac:dyDescent="0.4">
      <c r="A370" s="4">
        <v>2</v>
      </c>
      <c r="B370" s="4" t="s">
        <v>239</v>
      </c>
      <c r="C370" s="4">
        <v>401</v>
      </c>
      <c r="D370" s="4">
        <v>1</v>
      </c>
      <c r="E370" s="4">
        <v>1</v>
      </c>
      <c r="F370" s="4" t="s">
        <v>240</v>
      </c>
      <c r="G370" s="4" t="s">
        <v>241</v>
      </c>
      <c r="H370" s="4" t="s">
        <v>241</v>
      </c>
      <c r="I370" s="4" t="s">
        <v>747</v>
      </c>
      <c r="J370" s="4" t="s">
        <v>653</v>
      </c>
      <c r="K370" s="4" t="s">
        <v>256</v>
      </c>
      <c r="L370" s="4" t="s">
        <v>429</v>
      </c>
      <c r="M370" s="5" t="s">
        <v>749</v>
      </c>
      <c r="N370" s="4" t="s">
        <v>429</v>
      </c>
      <c r="O370" s="6">
        <f>19</f>
        <v>19</v>
      </c>
      <c r="P370" s="4" t="s">
        <v>276</v>
      </c>
      <c r="Q370" s="6">
        <f>1</f>
        <v>1</v>
      </c>
      <c r="R370" s="6">
        <f>1729000</f>
        <v>1729000</v>
      </c>
      <c r="S370" s="5" t="s">
        <v>665</v>
      </c>
      <c r="T370" s="4" t="s">
        <v>348</v>
      </c>
      <c r="U370" s="4" t="s">
        <v>408</v>
      </c>
      <c r="W370" s="6">
        <f>1728999</f>
        <v>1728999</v>
      </c>
      <c r="X370" s="4" t="s">
        <v>243</v>
      </c>
      <c r="Y370" s="4" t="s">
        <v>244</v>
      </c>
      <c r="Z370" s="4" t="s">
        <v>465</v>
      </c>
      <c r="AA370" s="4" t="s">
        <v>241</v>
      </c>
      <c r="AD370" s="4" t="s">
        <v>241</v>
      </c>
      <c r="AF370" s="5" t="s">
        <v>241</v>
      </c>
      <c r="AI370" s="5" t="s">
        <v>249</v>
      </c>
      <c r="AJ370" s="4" t="s">
        <v>251</v>
      </c>
      <c r="AK370" s="4" t="s">
        <v>252</v>
      </c>
      <c r="BA370" s="4" t="s">
        <v>254</v>
      </c>
      <c r="BB370" s="4" t="s">
        <v>241</v>
      </c>
      <c r="BC370" s="4" t="s">
        <v>255</v>
      </c>
      <c r="BD370" s="4" t="s">
        <v>241</v>
      </c>
      <c r="BE370" s="4" t="s">
        <v>257</v>
      </c>
      <c r="BF370" s="4" t="s">
        <v>241</v>
      </c>
      <c r="BJ370" s="4" t="s">
        <v>259</v>
      </c>
      <c r="BK370" s="5" t="s">
        <v>260</v>
      </c>
      <c r="BL370" s="4" t="s">
        <v>261</v>
      </c>
      <c r="BM370" s="4" t="s">
        <v>262</v>
      </c>
      <c r="BN370" s="4" t="s">
        <v>241</v>
      </c>
      <c r="BO370" s="6">
        <f>0</f>
        <v>0</v>
      </c>
      <c r="BP370" s="6">
        <f>0</f>
        <v>0</v>
      </c>
      <c r="BQ370" s="4" t="s">
        <v>263</v>
      </c>
      <c r="BR370" s="4" t="s">
        <v>264</v>
      </c>
      <c r="CF370" s="4" t="s">
        <v>241</v>
      </c>
      <c r="CG370" s="4" t="s">
        <v>241</v>
      </c>
      <c r="CK370" s="4" t="s">
        <v>291</v>
      </c>
      <c r="CL370" s="4" t="s">
        <v>266</v>
      </c>
      <c r="CM370" s="4" t="s">
        <v>241</v>
      </c>
      <c r="CO370" s="4" t="s">
        <v>667</v>
      </c>
      <c r="CP370" s="5" t="s">
        <v>268</v>
      </c>
      <c r="CQ370" s="4" t="s">
        <v>269</v>
      </c>
      <c r="CR370" s="4" t="s">
        <v>270</v>
      </c>
      <c r="CS370" s="4" t="s">
        <v>241</v>
      </c>
      <c r="CT370" s="4" t="s">
        <v>241</v>
      </c>
      <c r="CU370" s="4">
        <v>0</v>
      </c>
      <c r="CV370" s="4" t="s">
        <v>271</v>
      </c>
      <c r="CW370" s="4" t="s">
        <v>272</v>
      </c>
      <c r="CX370" s="4" t="s">
        <v>347</v>
      </c>
      <c r="CZ370" s="6">
        <f>1729000</f>
        <v>1729000</v>
      </c>
      <c r="DA370" s="6">
        <f>0</f>
        <v>0</v>
      </c>
      <c r="DC370" s="4" t="s">
        <v>241</v>
      </c>
      <c r="DD370" s="4" t="s">
        <v>241</v>
      </c>
      <c r="DF370" s="4" t="s">
        <v>241</v>
      </c>
      <c r="DI370" s="4" t="s">
        <v>241</v>
      </c>
      <c r="DJ370" s="4" t="s">
        <v>241</v>
      </c>
      <c r="DK370" s="4" t="s">
        <v>241</v>
      </c>
      <c r="DL370" s="4" t="s">
        <v>241</v>
      </c>
      <c r="DM370" s="4" t="s">
        <v>277</v>
      </c>
      <c r="DN370" s="4" t="s">
        <v>278</v>
      </c>
      <c r="DO370" s="6">
        <f>19</f>
        <v>19</v>
      </c>
      <c r="DP370" s="4" t="s">
        <v>241</v>
      </c>
      <c r="DQ370" s="4" t="s">
        <v>241</v>
      </c>
      <c r="DR370" s="4" t="s">
        <v>241</v>
      </c>
      <c r="DS370" s="4" t="s">
        <v>241</v>
      </c>
      <c r="DV370" s="4" t="s">
        <v>751</v>
      </c>
      <c r="DW370" s="4" t="s">
        <v>341</v>
      </c>
      <c r="HO370" s="4" t="s">
        <v>277</v>
      </c>
      <c r="HR370" s="4" t="s">
        <v>278</v>
      </c>
      <c r="HS370" s="4" t="s">
        <v>278</v>
      </c>
    </row>
    <row r="371" spans="1:240" x14ac:dyDescent="0.4">
      <c r="A371" s="4">
        <v>2</v>
      </c>
      <c r="B371" s="4" t="s">
        <v>239</v>
      </c>
      <c r="C371" s="4">
        <v>402</v>
      </c>
      <c r="D371" s="4">
        <v>1</v>
      </c>
      <c r="E371" s="4">
        <v>3</v>
      </c>
      <c r="F371" s="4" t="s">
        <v>326</v>
      </c>
      <c r="G371" s="4" t="s">
        <v>241</v>
      </c>
      <c r="H371" s="4" t="s">
        <v>241</v>
      </c>
      <c r="I371" s="4" t="s">
        <v>747</v>
      </c>
      <c r="J371" s="4" t="s">
        <v>653</v>
      </c>
      <c r="K371" s="4" t="s">
        <v>256</v>
      </c>
      <c r="L371" s="4" t="s">
        <v>241</v>
      </c>
      <c r="M371" s="5" t="s">
        <v>749</v>
      </c>
      <c r="N371" s="4" t="s">
        <v>2749</v>
      </c>
      <c r="O371" s="6">
        <f>0</f>
        <v>0</v>
      </c>
      <c r="P371" s="4" t="s">
        <v>276</v>
      </c>
      <c r="Q371" s="6">
        <f>549618</f>
        <v>549618</v>
      </c>
      <c r="R371" s="6">
        <f>687882</f>
        <v>687882</v>
      </c>
      <c r="S371" s="5" t="s">
        <v>1209</v>
      </c>
      <c r="T371" s="4" t="s">
        <v>348</v>
      </c>
      <c r="U371" s="4" t="s">
        <v>323</v>
      </c>
      <c r="V371" s="6">
        <f>46088</f>
        <v>46088</v>
      </c>
      <c r="W371" s="6">
        <f>138264</f>
        <v>138264</v>
      </c>
      <c r="X371" s="4" t="s">
        <v>243</v>
      </c>
      <c r="Y371" s="4" t="s">
        <v>244</v>
      </c>
      <c r="Z371" s="4" t="s">
        <v>241</v>
      </c>
      <c r="AA371" s="4" t="s">
        <v>241</v>
      </c>
      <c r="AD371" s="4" t="s">
        <v>241</v>
      </c>
      <c r="AE371" s="5" t="s">
        <v>241</v>
      </c>
      <c r="AF371" s="5" t="s">
        <v>241</v>
      </c>
      <c r="AH371" s="5" t="s">
        <v>241</v>
      </c>
      <c r="AI371" s="5" t="s">
        <v>249</v>
      </c>
      <c r="AJ371" s="4" t="s">
        <v>251</v>
      </c>
      <c r="AK371" s="4" t="s">
        <v>252</v>
      </c>
      <c r="AQ371" s="4" t="s">
        <v>241</v>
      </c>
      <c r="AR371" s="4" t="s">
        <v>241</v>
      </c>
      <c r="AS371" s="4" t="s">
        <v>241</v>
      </c>
      <c r="AT371" s="5" t="s">
        <v>241</v>
      </c>
      <c r="AU371" s="5" t="s">
        <v>241</v>
      </c>
      <c r="AV371" s="5" t="s">
        <v>241</v>
      </c>
      <c r="AY371" s="4" t="s">
        <v>286</v>
      </c>
      <c r="AZ371" s="4" t="s">
        <v>286</v>
      </c>
      <c r="BA371" s="4" t="s">
        <v>254</v>
      </c>
      <c r="BB371" s="4" t="s">
        <v>287</v>
      </c>
      <c r="BC371" s="4" t="s">
        <v>255</v>
      </c>
      <c r="BD371" s="4" t="s">
        <v>241</v>
      </c>
      <c r="BE371" s="4" t="s">
        <v>257</v>
      </c>
      <c r="BF371" s="4" t="s">
        <v>241</v>
      </c>
      <c r="BJ371" s="4" t="s">
        <v>288</v>
      </c>
      <c r="BK371" s="5" t="s">
        <v>289</v>
      </c>
      <c r="BL371" s="4" t="s">
        <v>290</v>
      </c>
      <c r="BM371" s="4" t="s">
        <v>290</v>
      </c>
      <c r="BN371" s="4" t="s">
        <v>241</v>
      </c>
      <c r="BP371" s="6">
        <f>-46088</f>
        <v>-46088</v>
      </c>
      <c r="BQ371" s="4" t="s">
        <v>263</v>
      </c>
      <c r="BR371" s="4" t="s">
        <v>264</v>
      </c>
      <c r="BS371" s="4" t="s">
        <v>241</v>
      </c>
      <c r="BT371" s="4" t="s">
        <v>241</v>
      </c>
      <c r="BU371" s="4" t="s">
        <v>241</v>
      </c>
      <c r="BV371" s="4" t="s">
        <v>241</v>
      </c>
      <c r="CE371" s="4" t="s">
        <v>264</v>
      </c>
      <c r="CF371" s="4" t="s">
        <v>241</v>
      </c>
      <c r="CG371" s="4" t="s">
        <v>241</v>
      </c>
      <c r="CK371" s="4" t="s">
        <v>291</v>
      </c>
      <c r="CL371" s="4" t="s">
        <v>266</v>
      </c>
      <c r="CM371" s="4" t="s">
        <v>241</v>
      </c>
      <c r="CO371" s="4" t="s">
        <v>421</v>
      </c>
      <c r="CP371" s="5" t="s">
        <v>268</v>
      </c>
      <c r="CQ371" s="4" t="s">
        <v>269</v>
      </c>
      <c r="CR371" s="4" t="s">
        <v>270</v>
      </c>
      <c r="CS371" s="4" t="s">
        <v>293</v>
      </c>
      <c r="CT371" s="4" t="s">
        <v>241</v>
      </c>
      <c r="CU371" s="4">
        <v>6.7000000000000004E-2</v>
      </c>
      <c r="CV371" s="4" t="s">
        <v>271</v>
      </c>
      <c r="CW371" s="4" t="s">
        <v>415</v>
      </c>
      <c r="CX371" s="4" t="s">
        <v>422</v>
      </c>
      <c r="CY371" s="6">
        <f>0</f>
        <v>0</v>
      </c>
      <c r="CZ371" s="6">
        <f>687882</f>
        <v>687882</v>
      </c>
      <c r="DA371" s="6">
        <f>549618</f>
        <v>549618</v>
      </c>
      <c r="DC371" s="4" t="s">
        <v>241</v>
      </c>
      <c r="DD371" s="4" t="s">
        <v>241</v>
      </c>
      <c r="DF371" s="4" t="s">
        <v>241</v>
      </c>
      <c r="DG371" s="6">
        <f>0</f>
        <v>0</v>
      </c>
      <c r="DI371" s="4" t="s">
        <v>241</v>
      </c>
      <c r="DJ371" s="4" t="s">
        <v>241</v>
      </c>
      <c r="DK371" s="4" t="s">
        <v>241</v>
      </c>
      <c r="DL371" s="4" t="s">
        <v>241</v>
      </c>
      <c r="DM371" s="4" t="s">
        <v>278</v>
      </c>
      <c r="DN371" s="4" t="s">
        <v>278</v>
      </c>
      <c r="DO371" s="6" t="s">
        <v>241</v>
      </c>
      <c r="DP371" s="4" t="s">
        <v>241</v>
      </c>
      <c r="DQ371" s="4" t="s">
        <v>241</v>
      </c>
      <c r="DR371" s="4" t="s">
        <v>241</v>
      </c>
      <c r="DS371" s="4" t="s">
        <v>241</v>
      </c>
      <c r="DV371" s="4" t="s">
        <v>751</v>
      </c>
      <c r="DW371" s="4" t="s">
        <v>343</v>
      </c>
      <c r="GN371" s="4" t="s">
        <v>2837</v>
      </c>
      <c r="HO371" s="4" t="s">
        <v>336</v>
      </c>
      <c r="HR371" s="4" t="s">
        <v>278</v>
      </c>
      <c r="HS371" s="4" t="s">
        <v>278</v>
      </c>
      <c r="HT371" s="4" t="s">
        <v>241</v>
      </c>
      <c r="HU371" s="4" t="s">
        <v>241</v>
      </c>
      <c r="HV371" s="4" t="s">
        <v>241</v>
      </c>
      <c r="HW371" s="4" t="s">
        <v>241</v>
      </c>
      <c r="HX371" s="4" t="s">
        <v>241</v>
      </c>
      <c r="HY371" s="4" t="s">
        <v>241</v>
      </c>
      <c r="HZ371" s="4" t="s">
        <v>241</v>
      </c>
      <c r="IA371" s="4" t="s">
        <v>241</v>
      </c>
      <c r="IB371" s="4" t="s">
        <v>241</v>
      </c>
      <c r="IC371" s="4" t="s">
        <v>241</v>
      </c>
      <c r="ID371" s="4" t="s">
        <v>241</v>
      </c>
      <c r="IE371" s="4" t="s">
        <v>241</v>
      </c>
      <c r="IF371" s="4" t="s">
        <v>241</v>
      </c>
    </row>
    <row r="372" spans="1:240" x14ac:dyDescent="0.4">
      <c r="A372" s="4">
        <v>2</v>
      </c>
      <c r="B372" s="4" t="s">
        <v>239</v>
      </c>
      <c r="C372" s="4">
        <v>403</v>
      </c>
      <c r="D372" s="4">
        <v>1</v>
      </c>
      <c r="E372" s="4">
        <v>3</v>
      </c>
      <c r="F372" s="4" t="s">
        <v>326</v>
      </c>
      <c r="G372" s="4" t="s">
        <v>241</v>
      </c>
      <c r="H372" s="4" t="s">
        <v>241</v>
      </c>
      <c r="I372" s="4" t="s">
        <v>747</v>
      </c>
      <c r="J372" s="4" t="s">
        <v>653</v>
      </c>
      <c r="K372" s="4" t="s">
        <v>256</v>
      </c>
      <c r="L372" s="4" t="s">
        <v>241</v>
      </c>
      <c r="M372" s="5" t="s">
        <v>749</v>
      </c>
      <c r="N372" s="4" t="s">
        <v>2747</v>
      </c>
      <c r="O372" s="6">
        <f>0</f>
        <v>0</v>
      </c>
      <c r="P372" s="4" t="s">
        <v>276</v>
      </c>
      <c r="Q372" s="6">
        <f>28061340</f>
        <v>28061340</v>
      </c>
      <c r="R372" s="6">
        <f>33169432</f>
        <v>33169432</v>
      </c>
      <c r="S372" s="5" t="s">
        <v>1104</v>
      </c>
      <c r="T372" s="4" t="s">
        <v>322</v>
      </c>
      <c r="U372" s="4" t="s">
        <v>277</v>
      </c>
      <c r="V372" s="6">
        <f>2554046</f>
        <v>2554046</v>
      </c>
      <c r="W372" s="6">
        <f>5108092</f>
        <v>5108092</v>
      </c>
      <c r="X372" s="4" t="s">
        <v>243</v>
      </c>
      <c r="Y372" s="4" t="s">
        <v>244</v>
      </c>
      <c r="Z372" s="4" t="s">
        <v>241</v>
      </c>
      <c r="AA372" s="4" t="s">
        <v>241</v>
      </c>
      <c r="AD372" s="4" t="s">
        <v>241</v>
      </c>
      <c r="AE372" s="5" t="s">
        <v>241</v>
      </c>
      <c r="AF372" s="5" t="s">
        <v>241</v>
      </c>
      <c r="AH372" s="5" t="s">
        <v>241</v>
      </c>
      <c r="AI372" s="5" t="s">
        <v>249</v>
      </c>
      <c r="AJ372" s="4" t="s">
        <v>251</v>
      </c>
      <c r="AK372" s="4" t="s">
        <v>252</v>
      </c>
      <c r="AQ372" s="4" t="s">
        <v>241</v>
      </c>
      <c r="AR372" s="4" t="s">
        <v>241</v>
      </c>
      <c r="AS372" s="4" t="s">
        <v>241</v>
      </c>
      <c r="AT372" s="5" t="s">
        <v>241</v>
      </c>
      <c r="AU372" s="5" t="s">
        <v>241</v>
      </c>
      <c r="AV372" s="5" t="s">
        <v>241</v>
      </c>
      <c r="AY372" s="4" t="s">
        <v>286</v>
      </c>
      <c r="AZ372" s="4" t="s">
        <v>286</v>
      </c>
      <c r="BA372" s="4" t="s">
        <v>254</v>
      </c>
      <c r="BB372" s="4" t="s">
        <v>287</v>
      </c>
      <c r="BC372" s="4" t="s">
        <v>255</v>
      </c>
      <c r="BD372" s="4" t="s">
        <v>241</v>
      </c>
      <c r="BE372" s="4" t="s">
        <v>257</v>
      </c>
      <c r="BF372" s="4" t="s">
        <v>241</v>
      </c>
      <c r="BJ372" s="4" t="s">
        <v>288</v>
      </c>
      <c r="BK372" s="5" t="s">
        <v>289</v>
      </c>
      <c r="BL372" s="4" t="s">
        <v>290</v>
      </c>
      <c r="BM372" s="4" t="s">
        <v>290</v>
      </c>
      <c r="BN372" s="4" t="s">
        <v>241</v>
      </c>
      <c r="BP372" s="6">
        <f>-2554046</f>
        <v>-2554046</v>
      </c>
      <c r="BQ372" s="4" t="s">
        <v>263</v>
      </c>
      <c r="BR372" s="4" t="s">
        <v>264</v>
      </c>
      <c r="BS372" s="4" t="s">
        <v>241</v>
      </c>
      <c r="BT372" s="4" t="s">
        <v>241</v>
      </c>
      <c r="BU372" s="4" t="s">
        <v>241</v>
      </c>
      <c r="BV372" s="4" t="s">
        <v>241</v>
      </c>
      <c r="CE372" s="4" t="s">
        <v>264</v>
      </c>
      <c r="CF372" s="4" t="s">
        <v>241</v>
      </c>
      <c r="CG372" s="4" t="s">
        <v>241</v>
      </c>
      <c r="CK372" s="4" t="s">
        <v>291</v>
      </c>
      <c r="CL372" s="4" t="s">
        <v>266</v>
      </c>
      <c r="CM372" s="4" t="s">
        <v>241</v>
      </c>
      <c r="CO372" s="4" t="s">
        <v>331</v>
      </c>
      <c r="CP372" s="5" t="s">
        <v>268</v>
      </c>
      <c r="CQ372" s="4" t="s">
        <v>269</v>
      </c>
      <c r="CR372" s="4" t="s">
        <v>270</v>
      </c>
      <c r="CS372" s="4" t="s">
        <v>293</v>
      </c>
      <c r="CT372" s="4" t="s">
        <v>241</v>
      </c>
      <c r="CU372" s="4">
        <v>7.6999999999999999E-2</v>
      </c>
      <c r="CV372" s="4" t="s">
        <v>271</v>
      </c>
      <c r="CW372" s="4" t="s">
        <v>415</v>
      </c>
      <c r="CX372" s="4" t="s">
        <v>428</v>
      </c>
      <c r="CY372" s="6">
        <f>0</f>
        <v>0</v>
      </c>
      <c r="CZ372" s="6">
        <f>33169432</f>
        <v>33169432</v>
      </c>
      <c r="DA372" s="6">
        <f>28061340</f>
        <v>28061340</v>
      </c>
      <c r="DC372" s="4" t="s">
        <v>241</v>
      </c>
      <c r="DD372" s="4" t="s">
        <v>241</v>
      </c>
      <c r="DF372" s="4" t="s">
        <v>241</v>
      </c>
      <c r="DG372" s="6">
        <f>0</f>
        <v>0</v>
      </c>
      <c r="DI372" s="4" t="s">
        <v>241</v>
      </c>
      <c r="DJ372" s="4" t="s">
        <v>241</v>
      </c>
      <c r="DK372" s="4" t="s">
        <v>241</v>
      </c>
      <c r="DL372" s="4" t="s">
        <v>241</v>
      </c>
      <c r="DM372" s="4" t="s">
        <v>278</v>
      </c>
      <c r="DN372" s="4" t="s">
        <v>278</v>
      </c>
      <c r="DO372" s="6" t="s">
        <v>241</v>
      </c>
      <c r="DP372" s="4" t="s">
        <v>241</v>
      </c>
      <c r="DQ372" s="4" t="s">
        <v>241</v>
      </c>
      <c r="DR372" s="4" t="s">
        <v>241</v>
      </c>
      <c r="DS372" s="4" t="s">
        <v>241</v>
      </c>
      <c r="DV372" s="4" t="s">
        <v>751</v>
      </c>
      <c r="DW372" s="4" t="s">
        <v>417</v>
      </c>
      <c r="GN372" s="4" t="s">
        <v>2836</v>
      </c>
      <c r="HO372" s="4" t="s">
        <v>297</v>
      </c>
      <c r="HR372" s="4" t="s">
        <v>278</v>
      </c>
      <c r="HS372" s="4" t="s">
        <v>278</v>
      </c>
      <c r="HT372" s="4" t="s">
        <v>241</v>
      </c>
      <c r="HU372" s="4" t="s">
        <v>241</v>
      </c>
      <c r="HV372" s="4" t="s">
        <v>241</v>
      </c>
      <c r="HW372" s="4" t="s">
        <v>241</v>
      </c>
      <c r="HX372" s="4" t="s">
        <v>241</v>
      </c>
      <c r="HY372" s="4" t="s">
        <v>241</v>
      </c>
      <c r="HZ372" s="4" t="s">
        <v>241</v>
      </c>
      <c r="IA372" s="4" t="s">
        <v>241</v>
      </c>
      <c r="IB372" s="4" t="s">
        <v>241</v>
      </c>
      <c r="IC372" s="4" t="s">
        <v>241</v>
      </c>
      <c r="ID372" s="4" t="s">
        <v>241</v>
      </c>
      <c r="IE372" s="4" t="s">
        <v>241</v>
      </c>
      <c r="IF372" s="4" t="s">
        <v>241</v>
      </c>
    </row>
    <row r="373" spans="1:240" x14ac:dyDescent="0.4">
      <c r="A373" s="4">
        <v>2</v>
      </c>
      <c r="B373" s="4" t="s">
        <v>239</v>
      </c>
      <c r="C373" s="4">
        <v>404</v>
      </c>
      <c r="D373" s="4">
        <v>1</v>
      </c>
      <c r="E373" s="4">
        <v>1</v>
      </c>
      <c r="F373" s="4" t="s">
        <v>240</v>
      </c>
      <c r="G373" s="4" t="s">
        <v>241</v>
      </c>
      <c r="H373" s="4" t="s">
        <v>241</v>
      </c>
      <c r="I373" s="4" t="s">
        <v>867</v>
      </c>
      <c r="J373" s="4" t="s">
        <v>653</v>
      </c>
      <c r="K373" s="4" t="s">
        <v>256</v>
      </c>
      <c r="L373" s="4" t="s">
        <v>651</v>
      </c>
      <c r="M373" s="5" t="s">
        <v>869</v>
      </c>
      <c r="N373" s="4" t="s">
        <v>651</v>
      </c>
      <c r="O373" s="6">
        <f>1622</f>
        <v>1622</v>
      </c>
      <c r="P373" s="4" t="s">
        <v>276</v>
      </c>
      <c r="Q373" s="6">
        <f>1</f>
        <v>1</v>
      </c>
      <c r="R373" s="6">
        <f>327644000</f>
        <v>327644000</v>
      </c>
      <c r="S373" s="5" t="s">
        <v>868</v>
      </c>
      <c r="T373" s="4" t="s">
        <v>314</v>
      </c>
      <c r="U373" s="4" t="s">
        <v>404</v>
      </c>
      <c r="W373" s="6">
        <f>327643999</f>
        <v>327643999</v>
      </c>
      <c r="X373" s="4" t="s">
        <v>243</v>
      </c>
      <c r="Y373" s="4" t="s">
        <v>244</v>
      </c>
      <c r="Z373" s="4" t="s">
        <v>465</v>
      </c>
      <c r="AA373" s="4" t="s">
        <v>241</v>
      </c>
      <c r="AD373" s="4" t="s">
        <v>241</v>
      </c>
      <c r="AF373" s="5" t="s">
        <v>241</v>
      </c>
      <c r="AI373" s="5" t="s">
        <v>249</v>
      </c>
      <c r="AJ373" s="4" t="s">
        <v>251</v>
      </c>
      <c r="AK373" s="4" t="s">
        <v>252</v>
      </c>
      <c r="BA373" s="4" t="s">
        <v>254</v>
      </c>
      <c r="BB373" s="4" t="s">
        <v>241</v>
      </c>
      <c r="BC373" s="4" t="s">
        <v>255</v>
      </c>
      <c r="BD373" s="4" t="s">
        <v>241</v>
      </c>
      <c r="BE373" s="4" t="s">
        <v>257</v>
      </c>
      <c r="BF373" s="4" t="s">
        <v>241</v>
      </c>
      <c r="BH373" s="4" t="s">
        <v>750</v>
      </c>
      <c r="BJ373" s="4" t="s">
        <v>367</v>
      </c>
      <c r="BK373" s="5" t="s">
        <v>249</v>
      </c>
      <c r="BL373" s="4" t="s">
        <v>261</v>
      </c>
      <c r="BM373" s="4" t="s">
        <v>262</v>
      </c>
      <c r="BN373" s="4" t="s">
        <v>241</v>
      </c>
      <c r="BO373" s="6">
        <f>0</f>
        <v>0</v>
      </c>
      <c r="BP373" s="6">
        <f>0</f>
        <v>0</v>
      </c>
      <c r="BQ373" s="4" t="s">
        <v>263</v>
      </c>
      <c r="BR373" s="4" t="s">
        <v>264</v>
      </c>
      <c r="CF373" s="4" t="s">
        <v>241</v>
      </c>
      <c r="CG373" s="4" t="s">
        <v>241</v>
      </c>
      <c r="CK373" s="4" t="s">
        <v>291</v>
      </c>
      <c r="CL373" s="4" t="s">
        <v>266</v>
      </c>
      <c r="CM373" s="4" t="s">
        <v>241</v>
      </c>
      <c r="CO373" s="4" t="s">
        <v>468</v>
      </c>
      <c r="CP373" s="5" t="s">
        <v>268</v>
      </c>
      <c r="CQ373" s="4" t="s">
        <v>269</v>
      </c>
      <c r="CR373" s="4" t="s">
        <v>270</v>
      </c>
      <c r="CS373" s="4" t="s">
        <v>241</v>
      </c>
      <c r="CT373" s="4" t="s">
        <v>241</v>
      </c>
      <c r="CU373" s="4">
        <v>0</v>
      </c>
      <c r="CV373" s="4" t="s">
        <v>271</v>
      </c>
      <c r="CW373" s="4" t="s">
        <v>655</v>
      </c>
      <c r="CX373" s="4" t="s">
        <v>347</v>
      </c>
      <c r="CZ373" s="6">
        <f>327644000</f>
        <v>327644000</v>
      </c>
      <c r="DA373" s="6">
        <f>0</f>
        <v>0</v>
      </c>
      <c r="DC373" s="4" t="s">
        <v>241</v>
      </c>
      <c r="DD373" s="4" t="s">
        <v>241</v>
      </c>
      <c r="DF373" s="4" t="s">
        <v>241</v>
      </c>
      <c r="DI373" s="4" t="s">
        <v>241</v>
      </c>
      <c r="DJ373" s="4" t="s">
        <v>241</v>
      </c>
      <c r="DK373" s="4" t="s">
        <v>241</v>
      </c>
      <c r="DL373" s="4" t="s">
        <v>241</v>
      </c>
      <c r="DM373" s="4" t="s">
        <v>323</v>
      </c>
      <c r="DN373" s="4" t="s">
        <v>278</v>
      </c>
      <c r="DO373" s="6">
        <f>1622</f>
        <v>1622</v>
      </c>
      <c r="DP373" s="4" t="s">
        <v>241</v>
      </c>
      <c r="DQ373" s="4" t="s">
        <v>241</v>
      </c>
      <c r="DR373" s="4" t="s">
        <v>241</v>
      </c>
      <c r="DS373" s="4" t="s">
        <v>241</v>
      </c>
      <c r="DV373" s="4" t="s">
        <v>870</v>
      </c>
      <c r="DW373" s="4" t="s">
        <v>277</v>
      </c>
      <c r="HO373" s="4" t="s">
        <v>277</v>
      </c>
      <c r="HR373" s="4" t="s">
        <v>278</v>
      </c>
      <c r="HS373" s="4" t="s">
        <v>278</v>
      </c>
    </row>
    <row r="374" spans="1:240" x14ac:dyDescent="0.4">
      <c r="A374" s="4">
        <v>2</v>
      </c>
      <c r="B374" s="4" t="s">
        <v>239</v>
      </c>
      <c r="C374" s="4">
        <v>405</v>
      </c>
      <c r="D374" s="4">
        <v>1</v>
      </c>
      <c r="E374" s="4">
        <v>3</v>
      </c>
      <c r="F374" s="4" t="s">
        <v>240</v>
      </c>
      <c r="G374" s="4" t="s">
        <v>241</v>
      </c>
      <c r="H374" s="4" t="s">
        <v>241</v>
      </c>
      <c r="I374" s="4" t="s">
        <v>867</v>
      </c>
      <c r="J374" s="4" t="s">
        <v>653</v>
      </c>
      <c r="K374" s="4" t="s">
        <v>256</v>
      </c>
      <c r="L374" s="4" t="s">
        <v>651</v>
      </c>
      <c r="M374" s="5" t="s">
        <v>869</v>
      </c>
      <c r="N374" s="4" t="s">
        <v>651</v>
      </c>
      <c r="O374" s="6">
        <f>147</f>
        <v>147</v>
      </c>
      <c r="P374" s="4" t="s">
        <v>276</v>
      </c>
      <c r="Q374" s="6">
        <f>9442692</f>
        <v>9442692</v>
      </c>
      <c r="R374" s="6">
        <f>29694000</f>
        <v>29694000</v>
      </c>
      <c r="S374" s="5" t="s">
        <v>868</v>
      </c>
      <c r="T374" s="4" t="s">
        <v>668</v>
      </c>
      <c r="U374" s="4" t="s">
        <v>408</v>
      </c>
      <c r="V374" s="6">
        <f>653268</f>
        <v>653268</v>
      </c>
      <c r="W374" s="6">
        <f>20251308</f>
        <v>20251308</v>
      </c>
      <c r="X374" s="4" t="s">
        <v>243</v>
      </c>
      <c r="Y374" s="4" t="s">
        <v>244</v>
      </c>
      <c r="Z374" s="4" t="s">
        <v>465</v>
      </c>
      <c r="AA374" s="4" t="s">
        <v>241</v>
      </c>
      <c r="AD374" s="4" t="s">
        <v>241</v>
      </c>
      <c r="AE374" s="5" t="s">
        <v>241</v>
      </c>
      <c r="AF374" s="5" t="s">
        <v>241</v>
      </c>
      <c r="AH374" s="5" t="s">
        <v>241</v>
      </c>
      <c r="AI374" s="5" t="s">
        <v>249</v>
      </c>
      <c r="AJ374" s="4" t="s">
        <v>251</v>
      </c>
      <c r="AK374" s="4" t="s">
        <v>252</v>
      </c>
      <c r="AQ374" s="4" t="s">
        <v>241</v>
      </c>
      <c r="AR374" s="4" t="s">
        <v>241</v>
      </c>
      <c r="AS374" s="4" t="s">
        <v>241</v>
      </c>
      <c r="AT374" s="5" t="s">
        <v>241</v>
      </c>
      <c r="AU374" s="5" t="s">
        <v>241</v>
      </c>
      <c r="AV374" s="5" t="s">
        <v>241</v>
      </c>
      <c r="AY374" s="4" t="s">
        <v>286</v>
      </c>
      <c r="AZ374" s="4" t="s">
        <v>286</v>
      </c>
      <c r="BA374" s="4" t="s">
        <v>254</v>
      </c>
      <c r="BB374" s="4" t="s">
        <v>287</v>
      </c>
      <c r="BC374" s="4" t="s">
        <v>255</v>
      </c>
      <c r="BD374" s="4" t="s">
        <v>241</v>
      </c>
      <c r="BE374" s="4" t="s">
        <v>257</v>
      </c>
      <c r="BF374" s="4" t="s">
        <v>241</v>
      </c>
      <c r="BJ374" s="4" t="s">
        <v>288</v>
      </c>
      <c r="BK374" s="5" t="s">
        <v>289</v>
      </c>
      <c r="BL374" s="4" t="s">
        <v>290</v>
      </c>
      <c r="BM374" s="4" t="s">
        <v>290</v>
      </c>
      <c r="BN374" s="4" t="s">
        <v>241</v>
      </c>
      <c r="BO374" s="6">
        <f>0</f>
        <v>0</v>
      </c>
      <c r="BP374" s="6">
        <f>-653268</f>
        <v>-653268</v>
      </c>
      <c r="BQ374" s="4" t="s">
        <v>263</v>
      </c>
      <c r="BR374" s="4" t="s">
        <v>264</v>
      </c>
      <c r="BS374" s="4" t="s">
        <v>241</v>
      </c>
      <c r="BT374" s="4" t="s">
        <v>241</v>
      </c>
      <c r="BU374" s="4" t="s">
        <v>241</v>
      </c>
      <c r="BV374" s="4" t="s">
        <v>241</v>
      </c>
      <c r="CE374" s="4" t="s">
        <v>264</v>
      </c>
      <c r="CF374" s="4" t="s">
        <v>241</v>
      </c>
      <c r="CG374" s="4" t="s">
        <v>241</v>
      </c>
      <c r="CK374" s="4" t="s">
        <v>291</v>
      </c>
      <c r="CL374" s="4" t="s">
        <v>266</v>
      </c>
      <c r="CM374" s="4" t="s">
        <v>241</v>
      </c>
      <c r="CO374" s="4" t="s">
        <v>468</v>
      </c>
      <c r="CP374" s="5" t="s">
        <v>268</v>
      </c>
      <c r="CQ374" s="4" t="s">
        <v>269</v>
      </c>
      <c r="CR374" s="4" t="s">
        <v>270</v>
      </c>
      <c r="CS374" s="4" t="s">
        <v>293</v>
      </c>
      <c r="CT374" s="4" t="s">
        <v>241</v>
      </c>
      <c r="CU374" s="4">
        <v>2.1999999999999999E-2</v>
      </c>
      <c r="CV374" s="4" t="s">
        <v>271</v>
      </c>
      <c r="CW374" s="4" t="s">
        <v>655</v>
      </c>
      <c r="CX374" s="4" t="s">
        <v>295</v>
      </c>
      <c r="CY374" s="6">
        <f>0</f>
        <v>0</v>
      </c>
      <c r="CZ374" s="6">
        <f>29694000</f>
        <v>29694000</v>
      </c>
      <c r="DA374" s="6">
        <f>9442692</f>
        <v>9442692</v>
      </c>
      <c r="DC374" s="4" t="s">
        <v>241</v>
      </c>
      <c r="DD374" s="4" t="s">
        <v>241</v>
      </c>
      <c r="DF374" s="4" t="s">
        <v>241</v>
      </c>
      <c r="DG374" s="6">
        <f>0</f>
        <v>0</v>
      </c>
      <c r="DI374" s="4" t="s">
        <v>241</v>
      </c>
      <c r="DJ374" s="4" t="s">
        <v>241</v>
      </c>
      <c r="DK374" s="4" t="s">
        <v>241</v>
      </c>
      <c r="DL374" s="4" t="s">
        <v>241</v>
      </c>
      <c r="DM374" s="4" t="s">
        <v>277</v>
      </c>
      <c r="DN374" s="4" t="s">
        <v>278</v>
      </c>
      <c r="DO374" s="6">
        <f>147</f>
        <v>147</v>
      </c>
      <c r="DP374" s="4" t="s">
        <v>241</v>
      </c>
      <c r="DQ374" s="4" t="s">
        <v>241</v>
      </c>
      <c r="DR374" s="4" t="s">
        <v>241</v>
      </c>
      <c r="DS374" s="4" t="s">
        <v>241</v>
      </c>
      <c r="DV374" s="4" t="s">
        <v>870</v>
      </c>
      <c r="DW374" s="4" t="s">
        <v>323</v>
      </c>
      <c r="GN374" s="4" t="s">
        <v>871</v>
      </c>
      <c r="HO374" s="4" t="s">
        <v>300</v>
      </c>
      <c r="HR374" s="4" t="s">
        <v>278</v>
      </c>
      <c r="HS374" s="4" t="s">
        <v>278</v>
      </c>
      <c r="HT374" s="4" t="s">
        <v>241</v>
      </c>
      <c r="HU374" s="4" t="s">
        <v>241</v>
      </c>
      <c r="HV374" s="4" t="s">
        <v>241</v>
      </c>
      <c r="HW374" s="4" t="s">
        <v>241</v>
      </c>
      <c r="HX374" s="4" t="s">
        <v>241</v>
      </c>
      <c r="HY374" s="4" t="s">
        <v>241</v>
      </c>
      <c r="HZ374" s="4" t="s">
        <v>241</v>
      </c>
      <c r="IA374" s="4" t="s">
        <v>241</v>
      </c>
      <c r="IB374" s="4" t="s">
        <v>241</v>
      </c>
      <c r="IC374" s="4" t="s">
        <v>241</v>
      </c>
      <c r="ID374" s="4" t="s">
        <v>241</v>
      </c>
      <c r="IE374" s="4" t="s">
        <v>241</v>
      </c>
      <c r="IF374" s="4" t="s">
        <v>241</v>
      </c>
    </row>
    <row r="375" spans="1:240" x14ac:dyDescent="0.4">
      <c r="A375" s="4">
        <v>2</v>
      </c>
      <c r="B375" s="4" t="s">
        <v>239</v>
      </c>
      <c r="C375" s="4">
        <v>406</v>
      </c>
      <c r="D375" s="4">
        <v>1</v>
      </c>
      <c r="E375" s="4">
        <v>1</v>
      </c>
      <c r="F375" s="4" t="s">
        <v>240</v>
      </c>
      <c r="G375" s="4" t="s">
        <v>241</v>
      </c>
      <c r="H375" s="4" t="s">
        <v>241</v>
      </c>
      <c r="I375" s="4" t="s">
        <v>867</v>
      </c>
      <c r="J375" s="4" t="s">
        <v>653</v>
      </c>
      <c r="K375" s="4" t="s">
        <v>256</v>
      </c>
      <c r="L375" s="4" t="s">
        <v>2529</v>
      </c>
      <c r="M375" s="5" t="s">
        <v>869</v>
      </c>
      <c r="N375" s="4" t="s">
        <v>2529</v>
      </c>
      <c r="O375" s="6">
        <f>16</f>
        <v>16</v>
      </c>
      <c r="P375" s="4" t="s">
        <v>276</v>
      </c>
      <c r="Q375" s="6">
        <f>1</f>
        <v>1</v>
      </c>
      <c r="R375" s="6">
        <f>960000</f>
        <v>960000</v>
      </c>
      <c r="S375" s="5" t="s">
        <v>2945</v>
      </c>
      <c r="T375" s="4" t="s">
        <v>348</v>
      </c>
      <c r="U375" s="4" t="s">
        <v>1071</v>
      </c>
      <c r="W375" s="6">
        <f>959999</f>
        <v>959999</v>
      </c>
      <c r="X375" s="4" t="s">
        <v>243</v>
      </c>
      <c r="Y375" s="4" t="s">
        <v>244</v>
      </c>
      <c r="Z375" s="4" t="s">
        <v>465</v>
      </c>
      <c r="AA375" s="4" t="s">
        <v>241</v>
      </c>
      <c r="AD375" s="4" t="s">
        <v>241</v>
      </c>
      <c r="AF375" s="5" t="s">
        <v>241</v>
      </c>
      <c r="AI375" s="5" t="s">
        <v>249</v>
      </c>
      <c r="AJ375" s="4" t="s">
        <v>251</v>
      </c>
      <c r="AK375" s="4" t="s">
        <v>252</v>
      </c>
      <c r="BA375" s="4" t="s">
        <v>254</v>
      </c>
      <c r="BB375" s="4" t="s">
        <v>241</v>
      </c>
      <c r="BC375" s="4" t="s">
        <v>255</v>
      </c>
      <c r="BD375" s="4" t="s">
        <v>241</v>
      </c>
      <c r="BE375" s="4" t="s">
        <v>257</v>
      </c>
      <c r="BF375" s="4" t="s">
        <v>241</v>
      </c>
      <c r="BJ375" s="4" t="s">
        <v>367</v>
      </c>
      <c r="BK375" s="5" t="s">
        <v>249</v>
      </c>
      <c r="BL375" s="4" t="s">
        <v>261</v>
      </c>
      <c r="BM375" s="4" t="s">
        <v>262</v>
      </c>
      <c r="BN375" s="4" t="s">
        <v>241</v>
      </c>
      <c r="BO375" s="6">
        <f>0</f>
        <v>0</v>
      </c>
      <c r="BP375" s="6">
        <f>0</f>
        <v>0</v>
      </c>
      <c r="BQ375" s="4" t="s">
        <v>263</v>
      </c>
      <c r="BR375" s="4" t="s">
        <v>264</v>
      </c>
      <c r="CF375" s="4" t="s">
        <v>241</v>
      </c>
      <c r="CG375" s="4" t="s">
        <v>241</v>
      </c>
      <c r="CK375" s="4" t="s">
        <v>265</v>
      </c>
      <c r="CL375" s="4" t="s">
        <v>266</v>
      </c>
      <c r="CM375" s="4" t="s">
        <v>241</v>
      </c>
      <c r="CO375" s="4" t="s">
        <v>741</v>
      </c>
      <c r="CP375" s="5" t="s">
        <v>268</v>
      </c>
      <c r="CQ375" s="4" t="s">
        <v>269</v>
      </c>
      <c r="CR375" s="4" t="s">
        <v>270</v>
      </c>
      <c r="CS375" s="4" t="s">
        <v>241</v>
      </c>
      <c r="CT375" s="4" t="s">
        <v>241</v>
      </c>
      <c r="CU375" s="4">
        <v>0</v>
      </c>
      <c r="CV375" s="4" t="s">
        <v>271</v>
      </c>
      <c r="CW375" s="4" t="s">
        <v>415</v>
      </c>
      <c r="CX375" s="4" t="s">
        <v>416</v>
      </c>
      <c r="CZ375" s="6">
        <f>960000</f>
        <v>960000</v>
      </c>
      <c r="DA375" s="6">
        <f>0</f>
        <v>0</v>
      </c>
      <c r="DC375" s="4" t="s">
        <v>241</v>
      </c>
      <c r="DD375" s="4" t="s">
        <v>241</v>
      </c>
      <c r="DF375" s="4" t="s">
        <v>241</v>
      </c>
      <c r="DI375" s="4" t="s">
        <v>241</v>
      </c>
      <c r="DJ375" s="4" t="s">
        <v>241</v>
      </c>
      <c r="DK375" s="4" t="s">
        <v>241</v>
      </c>
      <c r="DL375" s="4" t="s">
        <v>241</v>
      </c>
      <c r="DM375" s="4" t="s">
        <v>277</v>
      </c>
      <c r="DN375" s="4" t="s">
        <v>278</v>
      </c>
      <c r="DO375" s="6">
        <f>16</f>
        <v>16</v>
      </c>
      <c r="DP375" s="4" t="s">
        <v>241</v>
      </c>
      <c r="DQ375" s="4" t="s">
        <v>241</v>
      </c>
      <c r="DR375" s="4" t="s">
        <v>241</v>
      </c>
      <c r="DS375" s="4" t="s">
        <v>241</v>
      </c>
      <c r="DV375" s="4" t="s">
        <v>870</v>
      </c>
      <c r="DW375" s="4" t="s">
        <v>297</v>
      </c>
      <c r="HO375" s="4" t="s">
        <v>277</v>
      </c>
      <c r="HR375" s="4" t="s">
        <v>278</v>
      </c>
      <c r="HS375" s="4" t="s">
        <v>278</v>
      </c>
    </row>
    <row r="376" spans="1:240" x14ac:dyDescent="0.4">
      <c r="A376" s="4">
        <v>2</v>
      </c>
      <c r="B376" s="4" t="s">
        <v>239</v>
      </c>
      <c r="C376" s="4">
        <v>407</v>
      </c>
      <c r="D376" s="4">
        <v>1</v>
      </c>
      <c r="E376" s="4">
        <v>1</v>
      </c>
      <c r="F376" s="4" t="s">
        <v>240</v>
      </c>
      <c r="G376" s="4" t="s">
        <v>241</v>
      </c>
      <c r="H376" s="4" t="s">
        <v>241</v>
      </c>
      <c r="I376" s="4" t="s">
        <v>867</v>
      </c>
      <c r="J376" s="4" t="s">
        <v>653</v>
      </c>
      <c r="K376" s="4" t="s">
        <v>256</v>
      </c>
      <c r="L376" s="4" t="s">
        <v>2000</v>
      </c>
      <c r="M376" s="5" t="s">
        <v>869</v>
      </c>
      <c r="N376" s="4" t="s">
        <v>2000</v>
      </c>
      <c r="O376" s="6">
        <f>12</f>
        <v>12</v>
      </c>
      <c r="P376" s="4" t="s">
        <v>276</v>
      </c>
      <c r="Q376" s="6">
        <f>1</f>
        <v>1</v>
      </c>
      <c r="R376" s="6">
        <f>1092000</f>
        <v>1092000</v>
      </c>
      <c r="S376" s="5" t="s">
        <v>2050</v>
      </c>
      <c r="T376" s="4" t="s">
        <v>348</v>
      </c>
      <c r="U376" s="4" t="s">
        <v>391</v>
      </c>
      <c r="W376" s="6">
        <f>1091999</f>
        <v>1091999</v>
      </c>
      <c r="X376" s="4" t="s">
        <v>243</v>
      </c>
      <c r="Y376" s="4" t="s">
        <v>244</v>
      </c>
      <c r="Z376" s="4" t="s">
        <v>465</v>
      </c>
      <c r="AA376" s="4" t="s">
        <v>241</v>
      </c>
      <c r="AD376" s="4" t="s">
        <v>241</v>
      </c>
      <c r="AF376" s="5" t="s">
        <v>241</v>
      </c>
      <c r="AI376" s="5" t="s">
        <v>249</v>
      </c>
      <c r="AJ376" s="4" t="s">
        <v>251</v>
      </c>
      <c r="AK376" s="4" t="s">
        <v>252</v>
      </c>
      <c r="BA376" s="4" t="s">
        <v>254</v>
      </c>
      <c r="BB376" s="4" t="s">
        <v>241</v>
      </c>
      <c r="BC376" s="4" t="s">
        <v>255</v>
      </c>
      <c r="BD376" s="4" t="s">
        <v>241</v>
      </c>
      <c r="BE376" s="4" t="s">
        <v>257</v>
      </c>
      <c r="BF376" s="4" t="s">
        <v>241</v>
      </c>
      <c r="BJ376" s="4" t="s">
        <v>367</v>
      </c>
      <c r="BK376" s="5" t="s">
        <v>249</v>
      </c>
      <c r="BL376" s="4" t="s">
        <v>261</v>
      </c>
      <c r="BM376" s="4" t="s">
        <v>262</v>
      </c>
      <c r="BN376" s="4" t="s">
        <v>241</v>
      </c>
      <c r="BO376" s="6">
        <f>0</f>
        <v>0</v>
      </c>
      <c r="BP376" s="6">
        <f>0</f>
        <v>0</v>
      </c>
      <c r="BQ376" s="4" t="s">
        <v>263</v>
      </c>
      <c r="BR376" s="4" t="s">
        <v>264</v>
      </c>
      <c r="CF376" s="4" t="s">
        <v>241</v>
      </c>
      <c r="CG376" s="4" t="s">
        <v>241</v>
      </c>
      <c r="CK376" s="4" t="s">
        <v>291</v>
      </c>
      <c r="CL376" s="4" t="s">
        <v>266</v>
      </c>
      <c r="CM376" s="4" t="s">
        <v>241</v>
      </c>
      <c r="CO376" s="4" t="s">
        <v>390</v>
      </c>
      <c r="CP376" s="5" t="s">
        <v>268</v>
      </c>
      <c r="CQ376" s="4" t="s">
        <v>269</v>
      </c>
      <c r="CR376" s="4" t="s">
        <v>270</v>
      </c>
      <c r="CS376" s="4" t="s">
        <v>241</v>
      </c>
      <c r="CT376" s="4" t="s">
        <v>241</v>
      </c>
      <c r="CU376" s="4">
        <v>0</v>
      </c>
      <c r="CV376" s="4" t="s">
        <v>271</v>
      </c>
      <c r="CW376" s="4" t="s">
        <v>1986</v>
      </c>
      <c r="CX376" s="4" t="s">
        <v>347</v>
      </c>
      <c r="CZ376" s="6">
        <f>1092000</f>
        <v>1092000</v>
      </c>
      <c r="DA376" s="6">
        <f>0</f>
        <v>0</v>
      </c>
      <c r="DC376" s="4" t="s">
        <v>241</v>
      </c>
      <c r="DD376" s="4" t="s">
        <v>241</v>
      </c>
      <c r="DF376" s="4" t="s">
        <v>241</v>
      </c>
      <c r="DI376" s="4" t="s">
        <v>241</v>
      </c>
      <c r="DJ376" s="4" t="s">
        <v>241</v>
      </c>
      <c r="DK376" s="4" t="s">
        <v>241</v>
      </c>
      <c r="DL376" s="4" t="s">
        <v>241</v>
      </c>
      <c r="DM376" s="4" t="s">
        <v>277</v>
      </c>
      <c r="DN376" s="4" t="s">
        <v>278</v>
      </c>
      <c r="DO376" s="6">
        <f>12</f>
        <v>12</v>
      </c>
      <c r="DP376" s="4" t="s">
        <v>241</v>
      </c>
      <c r="DQ376" s="4" t="s">
        <v>241</v>
      </c>
      <c r="DR376" s="4" t="s">
        <v>241</v>
      </c>
      <c r="DS376" s="4" t="s">
        <v>241</v>
      </c>
      <c r="DV376" s="4" t="s">
        <v>870</v>
      </c>
      <c r="DW376" s="4" t="s">
        <v>336</v>
      </c>
      <c r="HO376" s="4" t="s">
        <v>277</v>
      </c>
      <c r="HR376" s="4" t="s">
        <v>278</v>
      </c>
      <c r="HS376" s="4" t="s">
        <v>278</v>
      </c>
    </row>
    <row r="377" spans="1:240" x14ac:dyDescent="0.4">
      <c r="A377" s="4">
        <v>2</v>
      </c>
      <c r="B377" s="4" t="s">
        <v>239</v>
      </c>
      <c r="C377" s="4">
        <v>408</v>
      </c>
      <c r="D377" s="4">
        <v>1</v>
      </c>
      <c r="E377" s="4">
        <v>1</v>
      </c>
      <c r="F377" s="4" t="s">
        <v>240</v>
      </c>
      <c r="G377" s="4" t="s">
        <v>241</v>
      </c>
      <c r="H377" s="4" t="s">
        <v>241</v>
      </c>
      <c r="I377" s="4" t="s">
        <v>867</v>
      </c>
      <c r="J377" s="4" t="s">
        <v>653</v>
      </c>
      <c r="K377" s="4" t="s">
        <v>256</v>
      </c>
      <c r="L377" s="4" t="s">
        <v>429</v>
      </c>
      <c r="M377" s="5" t="s">
        <v>869</v>
      </c>
      <c r="N377" s="4" t="s">
        <v>429</v>
      </c>
      <c r="O377" s="6">
        <f>20</f>
        <v>20</v>
      </c>
      <c r="P377" s="4" t="s">
        <v>276</v>
      </c>
      <c r="Q377" s="6">
        <f>1</f>
        <v>1</v>
      </c>
      <c r="R377" s="6">
        <f>1200000</f>
        <v>1200000</v>
      </c>
      <c r="S377" s="5" t="s">
        <v>3722</v>
      </c>
      <c r="T377" s="4" t="s">
        <v>274</v>
      </c>
      <c r="U377" s="4" t="s">
        <v>1042</v>
      </c>
      <c r="W377" s="6">
        <f>1199999</f>
        <v>1199999</v>
      </c>
      <c r="X377" s="4" t="s">
        <v>243</v>
      </c>
      <c r="Y377" s="4" t="s">
        <v>244</v>
      </c>
      <c r="Z377" s="4" t="s">
        <v>465</v>
      </c>
      <c r="AA377" s="4" t="s">
        <v>241</v>
      </c>
      <c r="AD377" s="4" t="s">
        <v>241</v>
      </c>
      <c r="AF377" s="5" t="s">
        <v>241</v>
      </c>
      <c r="AI377" s="5" t="s">
        <v>249</v>
      </c>
      <c r="AJ377" s="4" t="s">
        <v>251</v>
      </c>
      <c r="AK377" s="4" t="s">
        <v>252</v>
      </c>
      <c r="BA377" s="4" t="s">
        <v>254</v>
      </c>
      <c r="BB377" s="4" t="s">
        <v>241</v>
      </c>
      <c r="BC377" s="4" t="s">
        <v>255</v>
      </c>
      <c r="BD377" s="4" t="s">
        <v>241</v>
      </c>
      <c r="BE377" s="4" t="s">
        <v>257</v>
      </c>
      <c r="BF377" s="4" t="s">
        <v>241</v>
      </c>
      <c r="BJ377" s="4" t="s">
        <v>367</v>
      </c>
      <c r="BK377" s="5" t="s">
        <v>249</v>
      </c>
      <c r="BL377" s="4" t="s">
        <v>261</v>
      </c>
      <c r="BM377" s="4" t="s">
        <v>262</v>
      </c>
      <c r="BN377" s="4" t="s">
        <v>241</v>
      </c>
      <c r="BO377" s="6">
        <f>0</f>
        <v>0</v>
      </c>
      <c r="BP377" s="6">
        <f>0</f>
        <v>0</v>
      </c>
      <c r="BQ377" s="4" t="s">
        <v>263</v>
      </c>
      <c r="BR377" s="4" t="s">
        <v>264</v>
      </c>
      <c r="CF377" s="4" t="s">
        <v>241</v>
      </c>
      <c r="CG377" s="4" t="s">
        <v>241</v>
      </c>
      <c r="CK377" s="4" t="s">
        <v>265</v>
      </c>
      <c r="CL377" s="4" t="s">
        <v>266</v>
      </c>
      <c r="CM377" s="4" t="s">
        <v>241</v>
      </c>
      <c r="CO377" s="4" t="s">
        <v>914</v>
      </c>
      <c r="CP377" s="5" t="s">
        <v>268</v>
      </c>
      <c r="CQ377" s="4" t="s">
        <v>269</v>
      </c>
      <c r="CR377" s="4" t="s">
        <v>270</v>
      </c>
      <c r="CS377" s="4" t="s">
        <v>241</v>
      </c>
      <c r="CT377" s="4" t="s">
        <v>241</v>
      </c>
      <c r="CU377" s="4">
        <v>0</v>
      </c>
      <c r="CV377" s="4" t="s">
        <v>271</v>
      </c>
      <c r="CW377" s="4" t="s">
        <v>272</v>
      </c>
      <c r="CX377" s="4" t="s">
        <v>273</v>
      </c>
      <c r="CZ377" s="6">
        <f>1200000</f>
        <v>1200000</v>
      </c>
      <c r="DA377" s="6">
        <f>0</f>
        <v>0</v>
      </c>
      <c r="DC377" s="4" t="s">
        <v>241</v>
      </c>
      <c r="DD377" s="4" t="s">
        <v>241</v>
      </c>
      <c r="DF377" s="4" t="s">
        <v>241</v>
      </c>
      <c r="DI377" s="4" t="s">
        <v>241</v>
      </c>
      <c r="DJ377" s="4" t="s">
        <v>241</v>
      </c>
      <c r="DK377" s="4" t="s">
        <v>241</v>
      </c>
      <c r="DL377" s="4" t="s">
        <v>241</v>
      </c>
      <c r="DM377" s="4" t="s">
        <v>277</v>
      </c>
      <c r="DN377" s="4" t="s">
        <v>278</v>
      </c>
      <c r="DO377" s="6">
        <f>20</f>
        <v>20</v>
      </c>
      <c r="DP377" s="4" t="s">
        <v>241</v>
      </c>
      <c r="DQ377" s="4" t="s">
        <v>241</v>
      </c>
      <c r="DR377" s="4" t="s">
        <v>241</v>
      </c>
      <c r="DS377" s="4" t="s">
        <v>241</v>
      </c>
      <c r="DV377" s="4" t="s">
        <v>870</v>
      </c>
      <c r="DW377" s="4" t="s">
        <v>351</v>
      </c>
      <c r="HO377" s="4" t="s">
        <v>277</v>
      </c>
      <c r="HR377" s="4" t="s">
        <v>278</v>
      </c>
      <c r="HS377" s="4" t="s">
        <v>278</v>
      </c>
    </row>
    <row r="378" spans="1:240" x14ac:dyDescent="0.4">
      <c r="A378" s="4">
        <v>2</v>
      </c>
      <c r="B378" s="4" t="s">
        <v>239</v>
      </c>
      <c r="C378" s="4">
        <v>409</v>
      </c>
      <c r="D378" s="4">
        <v>1</v>
      </c>
      <c r="E378" s="4">
        <v>1</v>
      </c>
      <c r="F378" s="4" t="s">
        <v>240</v>
      </c>
      <c r="G378" s="4" t="s">
        <v>241</v>
      </c>
      <c r="H378" s="4" t="s">
        <v>241</v>
      </c>
      <c r="I378" s="4" t="s">
        <v>867</v>
      </c>
      <c r="J378" s="4" t="s">
        <v>653</v>
      </c>
      <c r="K378" s="4" t="s">
        <v>256</v>
      </c>
      <c r="L378" s="4" t="s">
        <v>429</v>
      </c>
      <c r="M378" s="5" t="s">
        <v>869</v>
      </c>
      <c r="N378" s="4" t="s">
        <v>429</v>
      </c>
      <c r="O378" s="6">
        <f>26</f>
        <v>26</v>
      </c>
      <c r="P378" s="4" t="s">
        <v>276</v>
      </c>
      <c r="Q378" s="6">
        <f>1</f>
        <v>1</v>
      </c>
      <c r="R378" s="6">
        <f>3172000</f>
        <v>3172000</v>
      </c>
      <c r="S378" s="5" t="s">
        <v>3723</v>
      </c>
      <c r="T378" s="4" t="s">
        <v>274</v>
      </c>
      <c r="U378" s="4" t="s">
        <v>274</v>
      </c>
      <c r="W378" s="6">
        <f>3171999</f>
        <v>3171999</v>
      </c>
      <c r="X378" s="4" t="s">
        <v>243</v>
      </c>
      <c r="Y378" s="4" t="s">
        <v>244</v>
      </c>
      <c r="Z378" s="4" t="s">
        <v>465</v>
      </c>
      <c r="AA378" s="4" t="s">
        <v>241</v>
      </c>
      <c r="AD378" s="4" t="s">
        <v>241</v>
      </c>
      <c r="AF378" s="5" t="s">
        <v>241</v>
      </c>
      <c r="AI378" s="5" t="s">
        <v>249</v>
      </c>
      <c r="AJ378" s="4" t="s">
        <v>251</v>
      </c>
      <c r="AK378" s="4" t="s">
        <v>252</v>
      </c>
      <c r="BA378" s="4" t="s">
        <v>254</v>
      </c>
      <c r="BB378" s="4" t="s">
        <v>241</v>
      </c>
      <c r="BC378" s="4" t="s">
        <v>255</v>
      </c>
      <c r="BD378" s="4" t="s">
        <v>241</v>
      </c>
      <c r="BE378" s="4" t="s">
        <v>257</v>
      </c>
      <c r="BF378" s="4" t="s">
        <v>241</v>
      </c>
      <c r="BJ378" s="4" t="s">
        <v>367</v>
      </c>
      <c r="BK378" s="5" t="s">
        <v>249</v>
      </c>
      <c r="BL378" s="4" t="s">
        <v>261</v>
      </c>
      <c r="BM378" s="4" t="s">
        <v>262</v>
      </c>
      <c r="BN378" s="4" t="s">
        <v>241</v>
      </c>
      <c r="BO378" s="6">
        <f>0</f>
        <v>0</v>
      </c>
      <c r="BP378" s="6">
        <f>0</f>
        <v>0</v>
      </c>
      <c r="BQ378" s="4" t="s">
        <v>263</v>
      </c>
      <c r="BR378" s="4" t="s">
        <v>264</v>
      </c>
      <c r="CF378" s="4" t="s">
        <v>241</v>
      </c>
      <c r="CG378" s="4" t="s">
        <v>241</v>
      </c>
      <c r="CK378" s="4" t="s">
        <v>291</v>
      </c>
      <c r="CL378" s="4" t="s">
        <v>266</v>
      </c>
      <c r="CM378" s="4" t="s">
        <v>241</v>
      </c>
      <c r="CO378" s="4" t="s">
        <v>439</v>
      </c>
      <c r="CP378" s="5" t="s">
        <v>268</v>
      </c>
      <c r="CQ378" s="4" t="s">
        <v>269</v>
      </c>
      <c r="CR378" s="4" t="s">
        <v>270</v>
      </c>
      <c r="CS378" s="4" t="s">
        <v>241</v>
      </c>
      <c r="CT378" s="4" t="s">
        <v>241</v>
      </c>
      <c r="CU378" s="4">
        <v>0</v>
      </c>
      <c r="CV378" s="4" t="s">
        <v>271</v>
      </c>
      <c r="CW378" s="4" t="s">
        <v>272</v>
      </c>
      <c r="CX378" s="4" t="s">
        <v>273</v>
      </c>
      <c r="CZ378" s="6">
        <f>3172000</f>
        <v>3172000</v>
      </c>
      <c r="DA378" s="6">
        <f>0</f>
        <v>0</v>
      </c>
      <c r="DC378" s="4" t="s">
        <v>241</v>
      </c>
      <c r="DD378" s="4" t="s">
        <v>241</v>
      </c>
      <c r="DF378" s="4" t="s">
        <v>241</v>
      </c>
      <c r="DI378" s="4" t="s">
        <v>241</v>
      </c>
      <c r="DJ378" s="4" t="s">
        <v>241</v>
      </c>
      <c r="DK378" s="4" t="s">
        <v>241</v>
      </c>
      <c r="DL378" s="4" t="s">
        <v>241</v>
      </c>
      <c r="DM378" s="4" t="s">
        <v>277</v>
      </c>
      <c r="DN378" s="4" t="s">
        <v>278</v>
      </c>
      <c r="DO378" s="6">
        <f>26</f>
        <v>26</v>
      </c>
      <c r="DP378" s="4" t="s">
        <v>241</v>
      </c>
      <c r="DQ378" s="4" t="s">
        <v>241</v>
      </c>
      <c r="DR378" s="4" t="s">
        <v>241</v>
      </c>
      <c r="DS378" s="4" t="s">
        <v>241</v>
      </c>
      <c r="DV378" s="4" t="s">
        <v>870</v>
      </c>
      <c r="DW378" s="4" t="s">
        <v>300</v>
      </c>
      <c r="HO378" s="4" t="s">
        <v>277</v>
      </c>
      <c r="HR378" s="4" t="s">
        <v>278</v>
      </c>
      <c r="HS378" s="4" t="s">
        <v>278</v>
      </c>
    </row>
    <row r="379" spans="1:240" x14ac:dyDescent="0.4">
      <c r="A379" s="4">
        <v>2</v>
      </c>
      <c r="B379" s="4" t="s">
        <v>239</v>
      </c>
      <c r="C379" s="4">
        <v>410</v>
      </c>
      <c r="D379" s="4">
        <v>1</v>
      </c>
      <c r="E379" s="4">
        <v>1</v>
      </c>
      <c r="F379" s="4" t="s">
        <v>240</v>
      </c>
      <c r="G379" s="4" t="s">
        <v>241</v>
      </c>
      <c r="H379" s="4" t="s">
        <v>241</v>
      </c>
      <c r="I379" s="4" t="s">
        <v>867</v>
      </c>
      <c r="J379" s="4" t="s">
        <v>653</v>
      </c>
      <c r="K379" s="4" t="s">
        <v>256</v>
      </c>
      <c r="L379" s="4" t="s">
        <v>340</v>
      </c>
      <c r="M379" s="5" t="s">
        <v>869</v>
      </c>
      <c r="N379" s="4" t="s">
        <v>340</v>
      </c>
      <c r="O379" s="6">
        <f>2</f>
        <v>2</v>
      </c>
      <c r="P379" s="4" t="s">
        <v>276</v>
      </c>
      <c r="Q379" s="6">
        <f>1</f>
        <v>1</v>
      </c>
      <c r="R379" s="6">
        <f>244000</f>
        <v>244000</v>
      </c>
      <c r="S379" s="5" t="s">
        <v>1790</v>
      </c>
      <c r="T379" s="4" t="s">
        <v>274</v>
      </c>
      <c r="U379" s="4" t="s">
        <v>274</v>
      </c>
      <c r="W379" s="6">
        <f>243999</f>
        <v>243999</v>
      </c>
      <c r="X379" s="4" t="s">
        <v>243</v>
      </c>
      <c r="Y379" s="4" t="s">
        <v>244</v>
      </c>
      <c r="Z379" s="4" t="s">
        <v>465</v>
      </c>
      <c r="AA379" s="4" t="s">
        <v>241</v>
      </c>
      <c r="AD379" s="4" t="s">
        <v>241</v>
      </c>
      <c r="AF379" s="5" t="s">
        <v>241</v>
      </c>
      <c r="AI379" s="5" t="s">
        <v>249</v>
      </c>
      <c r="AJ379" s="4" t="s">
        <v>251</v>
      </c>
      <c r="AK379" s="4" t="s">
        <v>252</v>
      </c>
      <c r="BA379" s="4" t="s">
        <v>254</v>
      </c>
      <c r="BB379" s="4" t="s">
        <v>241</v>
      </c>
      <c r="BC379" s="4" t="s">
        <v>255</v>
      </c>
      <c r="BD379" s="4" t="s">
        <v>241</v>
      </c>
      <c r="BE379" s="4" t="s">
        <v>257</v>
      </c>
      <c r="BF379" s="4" t="s">
        <v>241</v>
      </c>
      <c r="BJ379" s="4" t="s">
        <v>367</v>
      </c>
      <c r="BK379" s="5" t="s">
        <v>249</v>
      </c>
      <c r="BL379" s="4" t="s">
        <v>261</v>
      </c>
      <c r="BM379" s="4" t="s">
        <v>290</v>
      </c>
      <c r="BN379" s="4" t="s">
        <v>241</v>
      </c>
      <c r="BO379" s="6">
        <f>0</f>
        <v>0</v>
      </c>
      <c r="BP379" s="6">
        <f>0</f>
        <v>0</v>
      </c>
      <c r="BQ379" s="4" t="s">
        <v>263</v>
      </c>
      <c r="BR379" s="4" t="s">
        <v>264</v>
      </c>
      <c r="CF379" s="4" t="s">
        <v>241</v>
      </c>
      <c r="CG379" s="4" t="s">
        <v>241</v>
      </c>
      <c r="CK379" s="4" t="s">
        <v>291</v>
      </c>
      <c r="CL379" s="4" t="s">
        <v>266</v>
      </c>
      <c r="CM379" s="4" t="s">
        <v>241</v>
      </c>
      <c r="CO379" s="4" t="s">
        <v>452</v>
      </c>
      <c r="CP379" s="5" t="s">
        <v>268</v>
      </c>
      <c r="CQ379" s="4" t="s">
        <v>269</v>
      </c>
      <c r="CR379" s="4" t="s">
        <v>270</v>
      </c>
      <c r="CS379" s="4" t="s">
        <v>241</v>
      </c>
      <c r="CT379" s="4" t="s">
        <v>241</v>
      </c>
      <c r="CU379" s="4">
        <v>0</v>
      </c>
      <c r="CV379" s="4" t="s">
        <v>271</v>
      </c>
      <c r="CW379" s="4" t="s">
        <v>332</v>
      </c>
      <c r="CX379" s="4" t="s">
        <v>273</v>
      </c>
      <c r="CZ379" s="6">
        <f>244000</f>
        <v>244000</v>
      </c>
      <c r="DA379" s="6">
        <f>0</f>
        <v>0</v>
      </c>
      <c r="DC379" s="4" t="s">
        <v>241</v>
      </c>
      <c r="DD379" s="4" t="s">
        <v>241</v>
      </c>
      <c r="DF379" s="4" t="s">
        <v>241</v>
      </c>
      <c r="DI379" s="4" t="s">
        <v>241</v>
      </c>
      <c r="DJ379" s="4" t="s">
        <v>241</v>
      </c>
      <c r="DK379" s="4" t="s">
        <v>241</v>
      </c>
      <c r="DL379" s="4" t="s">
        <v>241</v>
      </c>
      <c r="DM379" s="4" t="s">
        <v>277</v>
      </c>
      <c r="DN379" s="4" t="s">
        <v>278</v>
      </c>
      <c r="DO379" s="6">
        <f>2</f>
        <v>2</v>
      </c>
      <c r="DP379" s="4" t="s">
        <v>241</v>
      </c>
      <c r="DQ379" s="4" t="s">
        <v>241</v>
      </c>
      <c r="DR379" s="4" t="s">
        <v>241</v>
      </c>
      <c r="DS379" s="4" t="s">
        <v>241</v>
      </c>
      <c r="DV379" s="4" t="s">
        <v>870</v>
      </c>
      <c r="DW379" s="4" t="s">
        <v>341</v>
      </c>
      <c r="HO379" s="4" t="s">
        <v>323</v>
      </c>
      <c r="HR379" s="4" t="s">
        <v>278</v>
      </c>
      <c r="HS379" s="4" t="s">
        <v>278</v>
      </c>
    </row>
    <row r="380" spans="1:240" x14ac:dyDescent="0.4">
      <c r="A380" s="4">
        <v>2</v>
      </c>
      <c r="B380" s="4" t="s">
        <v>239</v>
      </c>
      <c r="C380" s="4">
        <v>411</v>
      </c>
      <c r="D380" s="4">
        <v>1</v>
      </c>
      <c r="E380" s="4">
        <v>3</v>
      </c>
      <c r="F380" s="4" t="s">
        <v>240</v>
      </c>
      <c r="G380" s="4" t="s">
        <v>241</v>
      </c>
      <c r="H380" s="4" t="s">
        <v>241</v>
      </c>
      <c r="I380" s="4" t="s">
        <v>867</v>
      </c>
      <c r="J380" s="4" t="s">
        <v>653</v>
      </c>
      <c r="K380" s="4" t="s">
        <v>256</v>
      </c>
      <c r="L380" s="4" t="s">
        <v>1003</v>
      </c>
      <c r="M380" s="5" t="s">
        <v>869</v>
      </c>
      <c r="N380" s="4" t="s">
        <v>1003</v>
      </c>
      <c r="O380" s="6">
        <f>779</f>
        <v>779</v>
      </c>
      <c r="P380" s="4" t="s">
        <v>276</v>
      </c>
      <c r="Q380" s="6">
        <f>100335200</f>
        <v>100335200</v>
      </c>
      <c r="R380" s="6">
        <f>179170000</f>
        <v>179170000</v>
      </c>
      <c r="S380" s="5" t="s">
        <v>1155</v>
      </c>
      <c r="T380" s="4" t="s">
        <v>668</v>
      </c>
      <c r="U380" s="4" t="s">
        <v>379</v>
      </c>
      <c r="V380" s="6">
        <f>3941740</f>
        <v>3941740</v>
      </c>
      <c r="W380" s="6">
        <f>78834800</f>
        <v>78834800</v>
      </c>
      <c r="X380" s="4" t="s">
        <v>243</v>
      </c>
      <c r="Y380" s="4" t="s">
        <v>244</v>
      </c>
      <c r="Z380" s="4" t="s">
        <v>465</v>
      </c>
      <c r="AA380" s="4" t="s">
        <v>241</v>
      </c>
      <c r="AD380" s="4" t="s">
        <v>241</v>
      </c>
      <c r="AE380" s="5" t="s">
        <v>241</v>
      </c>
      <c r="AF380" s="5" t="s">
        <v>241</v>
      </c>
      <c r="AH380" s="5" t="s">
        <v>241</v>
      </c>
      <c r="AI380" s="5" t="s">
        <v>249</v>
      </c>
      <c r="AJ380" s="4" t="s">
        <v>251</v>
      </c>
      <c r="AK380" s="4" t="s">
        <v>252</v>
      </c>
      <c r="AQ380" s="4" t="s">
        <v>241</v>
      </c>
      <c r="AR380" s="4" t="s">
        <v>241</v>
      </c>
      <c r="AS380" s="4" t="s">
        <v>241</v>
      </c>
      <c r="AT380" s="5" t="s">
        <v>241</v>
      </c>
      <c r="AU380" s="5" t="s">
        <v>241</v>
      </c>
      <c r="AV380" s="5" t="s">
        <v>241</v>
      </c>
      <c r="AY380" s="4" t="s">
        <v>286</v>
      </c>
      <c r="AZ380" s="4" t="s">
        <v>286</v>
      </c>
      <c r="BA380" s="4" t="s">
        <v>254</v>
      </c>
      <c r="BB380" s="4" t="s">
        <v>287</v>
      </c>
      <c r="BC380" s="4" t="s">
        <v>255</v>
      </c>
      <c r="BD380" s="4" t="s">
        <v>241</v>
      </c>
      <c r="BE380" s="4" t="s">
        <v>257</v>
      </c>
      <c r="BF380" s="4" t="s">
        <v>241</v>
      </c>
      <c r="BJ380" s="4" t="s">
        <v>288</v>
      </c>
      <c r="BK380" s="5" t="s">
        <v>289</v>
      </c>
      <c r="BL380" s="4" t="s">
        <v>290</v>
      </c>
      <c r="BM380" s="4" t="s">
        <v>290</v>
      </c>
      <c r="BN380" s="4" t="s">
        <v>241</v>
      </c>
      <c r="BO380" s="6">
        <f>0</f>
        <v>0</v>
      </c>
      <c r="BP380" s="6">
        <f>-3941740</f>
        <v>-3941740</v>
      </c>
      <c r="BQ380" s="4" t="s">
        <v>263</v>
      </c>
      <c r="BR380" s="4" t="s">
        <v>264</v>
      </c>
      <c r="BS380" s="4" t="s">
        <v>241</v>
      </c>
      <c r="BT380" s="4" t="s">
        <v>241</v>
      </c>
      <c r="BU380" s="4" t="s">
        <v>241</v>
      </c>
      <c r="BV380" s="4" t="s">
        <v>241</v>
      </c>
      <c r="CE380" s="4" t="s">
        <v>264</v>
      </c>
      <c r="CF380" s="4" t="s">
        <v>241</v>
      </c>
      <c r="CG380" s="4" t="s">
        <v>241</v>
      </c>
      <c r="CK380" s="4" t="s">
        <v>291</v>
      </c>
      <c r="CL380" s="4" t="s">
        <v>266</v>
      </c>
      <c r="CM380" s="4" t="s">
        <v>241</v>
      </c>
      <c r="CO380" s="4" t="s">
        <v>1127</v>
      </c>
      <c r="CP380" s="5" t="s">
        <v>268</v>
      </c>
      <c r="CQ380" s="4" t="s">
        <v>269</v>
      </c>
      <c r="CR380" s="4" t="s">
        <v>270</v>
      </c>
      <c r="CS380" s="4" t="s">
        <v>293</v>
      </c>
      <c r="CT380" s="4" t="s">
        <v>241</v>
      </c>
      <c r="CU380" s="4">
        <v>2.1999999999999999E-2</v>
      </c>
      <c r="CV380" s="4" t="s">
        <v>271</v>
      </c>
      <c r="CW380" s="4" t="s">
        <v>1006</v>
      </c>
      <c r="CX380" s="4" t="s">
        <v>295</v>
      </c>
      <c r="CY380" s="6">
        <f>0</f>
        <v>0</v>
      </c>
      <c r="CZ380" s="6">
        <f>179170000</f>
        <v>179170000</v>
      </c>
      <c r="DA380" s="6">
        <f>100335200</f>
        <v>100335200</v>
      </c>
      <c r="DC380" s="4" t="s">
        <v>241</v>
      </c>
      <c r="DD380" s="4" t="s">
        <v>241</v>
      </c>
      <c r="DF380" s="4" t="s">
        <v>241</v>
      </c>
      <c r="DG380" s="6">
        <f>0</f>
        <v>0</v>
      </c>
      <c r="DI380" s="4" t="s">
        <v>241</v>
      </c>
      <c r="DJ380" s="4" t="s">
        <v>241</v>
      </c>
      <c r="DK380" s="4" t="s">
        <v>241</v>
      </c>
      <c r="DL380" s="4" t="s">
        <v>241</v>
      </c>
      <c r="DM380" s="4" t="s">
        <v>277</v>
      </c>
      <c r="DN380" s="4" t="s">
        <v>278</v>
      </c>
      <c r="DO380" s="6">
        <f>779</f>
        <v>779</v>
      </c>
      <c r="DP380" s="4" t="s">
        <v>241</v>
      </c>
      <c r="DQ380" s="4" t="s">
        <v>241</v>
      </c>
      <c r="DR380" s="4" t="s">
        <v>241</v>
      </c>
      <c r="DS380" s="4" t="s">
        <v>241</v>
      </c>
      <c r="DV380" s="4" t="s">
        <v>870</v>
      </c>
      <c r="DW380" s="4" t="s">
        <v>343</v>
      </c>
      <c r="GN380" s="4" t="s">
        <v>1156</v>
      </c>
      <c r="HO380" s="4" t="s">
        <v>300</v>
      </c>
      <c r="HR380" s="4" t="s">
        <v>278</v>
      </c>
      <c r="HS380" s="4" t="s">
        <v>278</v>
      </c>
      <c r="HT380" s="4" t="s">
        <v>241</v>
      </c>
      <c r="HU380" s="4" t="s">
        <v>241</v>
      </c>
      <c r="HV380" s="4" t="s">
        <v>241</v>
      </c>
      <c r="HW380" s="4" t="s">
        <v>241</v>
      </c>
      <c r="HX380" s="4" t="s">
        <v>241</v>
      </c>
      <c r="HY380" s="4" t="s">
        <v>241</v>
      </c>
      <c r="HZ380" s="4" t="s">
        <v>241</v>
      </c>
      <c r="IA380" s="4" t="s">
        <v>241</v>
      </c>
      <c r="IB380" s="4" t="s">
        <v>241</v>
      </c>
      <c r="IC380" s="4" t="s">
        <v>241</v>
      </c>
      <c r="ID380" s="4" t="s">
        <v>241</v>
      </c>
      <c r="IE380" s="4" t="s">
        <v>241</v>
      </c>
      <c r="IF380" s="4" t="s">
        <v>241</v>
      </c>
    </row>
    <row r="381" spans="1:240" x14ac:dyDescent="0.4">
      <c r="A381" s="4">
        <v>2</v>
      </c>
      <c r="B381" s="4" t="s">
        <v>239</v>
      </c>
      <c r="C381" s="4">
        <v>412</v>
      </c>
      <c r="D381" s="4">
        <v>1</v>
      </c>
      <c r="E381" s="4">
        <v>3</v>
      </c>
      <c r="F381" s="4" t="s">
        <v>326</v>
      </c>
      <c r="G381" s="4" t="s">
        <v>241</v>
      </c>
      <c r="H381" s="4" t="s">
        <v>241</v>
      </c>
      <c r="I381" s="4" t="s">
        <v>867</v>
      </c>
      <c r="J381" s="4" t="s">
        <v>653</v>
      </c>
      <c r="K381" s="4" t="s">
        <v>256</v>
      </c>
      <c r="L381" s="4" t="s">
        <v>241</v>
      </c>
      <c r="M381" s="5" t="s">
        <v>869</v>
      </c>
      <c r="N381" s="4" t="s">
        <v>883</v>
      </c>
      <c r="O381" s="6">
        <f>9.99</f>
        <v>9.99</v>
      </c>
      <c r="P381" s="4" t="s">
        <v>276</v>
      </c>
      <c r="Q381" s="6">
        <f>3480084</f>
        <v>3480084</v>
      </c>
      <c r="R381" s="6">
        <f>3726000</f>
        <v>3726000</v>
      </c>
      <c r="S381" s="5" t="s">
        <v>884</v>
      </c>
      <c r="T381" s="4" t="s">
        <v>668</v>
      </c>
      <c r="U381" s="4" t="s">
        <v>323</v>
      </c>
      <c r="V381" s="6">
        <f>81972</f>
        <v>81972</v>
      </c>
      <c r="W381" s="6">
        <f>245916</f>
        <v>245916</v>
      </c>
      <c r="X381" s="4" t="s">
        <v>243</v>
      </c>
      <c r="Y381" s="4" t="s">
        <v>244</v>
      </c>
      <c r="Z381" s="4" t="s">
        <v>241</v>
      </c>
      <c r="AA381" s="4" t="s">
        <v>241</v>
      </c>
      <c r="AD381" s="4" t="s">
        <v>241</v>
      </c>
      <c r="AE381" s="5" t="s">
        <v>241</v>
      </c>
      <c r="AF381" s="5" t="s">
        <v>241</v>
      </c>
      <c r="AH381" s="5" t="s">
        <v>241</v>
      </c>
      <c r="AI381" s="5" t="s">
        <v>249</v>
      </c>
      <c r="AJ381" s="4" t="s">
        <v>251</v>
      </c>
      <c r="AK381" s="4" t="s">
        <v>252</v>
      </c>
      <c r="AQ381" s="4" t="s">
        <v>241</v>
      </c>
      <c r="AR381" s="4" t="s">
        <v>241</v>
      </c>
      <c r="AS381" s="4" t="s">
        <v>241</v>
      </c>
      <c r="AT381" s="5" t="s">
        <v>241</v>
      </c>
      <c r="AU381" s="5" t="s">
        <v>241</v>
      </c>
      <c r="AV381" s="5" t="s">
        <v>241</v>
      </c>
      <c r="AY381" s="4" t="s">
        <v>286</v>
      </c>
      <c r="AZ381" s="4" t="s">
        <v>286</v>
      </c>
      <c r="BA381" s="4" t="s">
        <v>254</v>
      </c>
      <c r="BB381" s="4" t="s">
        <v>287</v>
      </c>
      <c r="BC381" s="4" t="s">
        <v>255</v>
      </c>
      <c r="BD381" s="4" t="s">
        <v>241</v>
      </c>
      <c r="BE381" s="4" t="s">
        <v>257</v>
      </c>
      <c r="BF381" s="4" t="s">
        <v>241</v>
      </c>
      <c r="BJ381" s="4" t="s">
        <v>288</v>
      </c>
      <c r="BK381" s="5" t="s">
        <v>289</v>
      </c>
      <c r="BL381" s="4" t="s">
        <v>290</v>
      </c>
      <c r="BM381" s="4" t="s">
        <v>290</v>
      </c>
      <c r="BN381" s="4" t="s">
        <v>241</v>
      </c>
      <c r="BO381" s="6">
        <f>0</f>
        <v>0</v>
      </c>
      <c r="BP381" s="6">
        <f>-81972</f>
        <v>-81972</v>
      </c>
      <c r="BQ381" s="4" t="s">
        <v>263</v>
      </c>
      <c r="BR381" s="4" t="s">
        <v>264</v>
      </c>
      <c r="BS381" s="4" t="s">
        <v>241</v>
      </c>
      <c r="BT381" s="4" t="s">
        <v>241</v>
      </c>
      <c r="BU381" s="4" t="s">
        <v>241</v>
      </c>
      <c r="BV381" s="4" t="s">
        <v>241</v>
      </c>
      <c r="CE381" s="4" t="s">
        <v>264</v>
      </c>
      <c r="CF381" s="4" t="s">
        <v>241</v>
      </c>
      <c r="CG381" s="4" t="s">
        <v>241</v>
      </c>
      <c r="CK381" s="4" t="s">
        <v>291</v>
      </c>
      <c r="CL381" s="4" t="s">
        <v>266</v>
      </c>
      <c r="CM381" s="4" t="s">
        <v>241</v>
      </c>
      <c r="CO381" s="4" t="s">
        <v>421</v>
      </c>
      <c r="CP381" s="5" t="s">
        <v>268</v>
      </c>
      <c r="CQ381" s="4" t="s">
        <v>269</v>
      </c>
      <c r="CR381" s="4" t="s">
        <v>270</v>
      </c>
      <c r="CS381" s="4" t="s">
        <v>293</v>
      </c>
      <c r="CT381" s="4" t="s">
        <v>241</v>
      </c>
      <c r="CU381" s="4">
        <v>2.1999999999999999E-2</v>
      </c>
      <c r="CV381" s="4" t="s">
        <v>271</v>
      </c>
      <c r="CW381" s="4" t="s">
        <v>655</v>
      </c>
      <c r="CX381" s="4" t="s">
        <v>885</v>
      </c>
      <c r="CY381" s="6">
        <f>0</f>
        <v>0</v>
      </c>
      <c r="CZ381" s="6">
        <f>3726000</f>
        <v>3726000</v>
      </c>
      <c r="DA381" s="6">
        <f>3480084</f>
        <v>3480084</v>
      </c>
      <c r="DC381" s="4" t="s">
        <v>241</v>
      </c>
      <c r="DD381" s="4" t="s">
        <v>241</v>
      </c>
      <c r="DF381" s="4" t="s">
        <v>241</v>
      </c>
      <c r="DG381" s="6">
        <f>0</f>
        <v>0</v>
      </c>
      <c r="DI381" s="4" t="s">
        <v>241</v>
      </c>
      <c r="DJ381" s="4" t="s">
        <v>241</v>
      </c>
      <c r="DK381" s="4" t="s">
        <v>241</v>
      </c>
      <c r="DL381" s="4" t="s">
        <v>241</v>
      </c>
      <c r="DM381" s="4" t="s">
        <v>278</v>
      </c>
      <c r="DN381" s="4" t="s">
        <v>278</v>
      </c>
      <c r="DO381" s="6">
        <f>9.99</f>
        <v>9.99</v>
      </c>
      <c r="DP381" s="4" t="s">
        <v>241</v>
      </c>
      <c r="DQ381" s="4" t="s">
        <v>241</v>
      </c>
      <c r="DR381" s="4" t="s">
        <v>241</v>
      </c>
      <c r="DS381" s="4" t="s">
        <v>241</v>
      </c>
      <c r="DV381" s="4" t="s">
        <v>870</v>
      </c>
      <c r="DW381" s="4" t="s">
        <v>417</v>
      </c>
      <c r="GN381" s="4" t="s">
        <v>886</v>
      </c>
      <c r="HO381" s="4" t="s">
        <v>336</v>
      </c>
      <c r="HR381" s="4" t="s">
        <v>278</v>
      </c>
      <c r="HS381" s="4" t="s">
        <v>278</v>
      </c>
      <c r="HT381" s="4" t="s">
        <v>241</v>
      </c>
      <c r="HU381" s="4" t="s">
        <v>241</v>
      </c>
      <c r="HV381" s="4" t="s">
        <v>241</v>
      </c>
      <c r="HW381" s="4" t="s">
        <v>241</v>
      </c>
      <c r="HX381" s="4" t="s">
        <v>241</v>
      </c>
      <c r="HY381" s="4" t="s">
        <v>241</v>
      </c>
      <c r="HZ381" s="4" t="s">
        <v>241</v>
      </c>
      <c r="IA381" s="4" t="s">
        <v>241</v>
      </c>
      <c r="IB381" s="4" t="s">
        <v>241</v>
      </c>
      <c r="IC381" s="4" t="s">
        <v>241</v>
      </c>
      <c r="ID381" s="4" t="s">
        <v>241</v>
      </c>
      <c r="IE381" s="4" t="s">
        <v>241</v>
      </c>
      <c r="IF381" s="4" t="s">
        <v>241</v>
      </c>
    </row>
    <row r="382" spans="1:240" x14ac:dyDescent="0.4">
      <c r="A382" s="4">
        <v>2</v>
      </c>
      <c r="B382" s="4" t="s">
        <v>239</v>
      </c>
      <c r="C382" s="4">
        <v>413</v>
      </c>
      <c r="D382" s="4">
        <v>1</v>
      </c>
      <c r="E382" s="4">
        <v>3</v>
      </c>
      <c r="F382" s="4" t="s">
        <v>326</v>
      </c>
      <c r="G382" s="4" t="s">
        <v>241</v>
      </c>
      <c r="H382" s="4" t="s">
        <v>241</v>
      </c>
      <c r="I382" s="4" t="s">
        <v>867</v>
      </c>
      <c r="J382" s="4" t="s">
        <v>653</v>
      </c>
      <c r="K382" s="4" t="s">
        <v>256</v>
      </c>
      <c r="L382" s="4" t="s">
        <v>241</v>
      </c>
      <c r="M382" s="5" t="s">
        <v>869</v>
      </c>
      <c r="N382" s="4" t="s">
        <v>887</v>
      </c>
      <c r="O382" s="6">
        <f>0</f>
        <v>0</v>
      </c>
      <c r="P382" s="4" t="s">
        <v>276</v>
      </c>
      <c r="Q382" s="6">
        <f>3525764</f>
        <v>3525764</v>
      </c>
      <c r="R382" s="6">
        <f>3883000</f>
        <v>3883000</v>
      </c>
      <c r="S382" s="5" t="s">
        <v>888</v>
      </c>
      <c r="T382" s="4" t="s">
        <v>314</v>
      </c>
      <c r="U382" s="4" t="s">
        <v>277</v>
      </c>
      <c r="V382" s="6">
        <f>178618</f>
        <v>178618</v>
      </c>
      <c r="W382" s="6">
        <f>357236</f>
        <v>357236</v>
      </c>
      <c r="X382" s="4" t="s">
        <v>243</v>
      </c>
      <c r="Y382" s="4" t="s">
        <v>244</v>
      </c>
      <c r="Z382" s="4" t="s">
        <v>241</v>
      </c>
      <c r="AA382" s="4" t="s">
        <v>241</v>
      </c>
      <c r="AD382" s="4" t="s">
        <v>241</v>
      </c>
      <c r="AE382" s="5" t="s">
        <v>241</v>
      </c>
      <c r="AF382" s="5" t="s">
        <v>241</v>
      </c>
      <c r="AH382" s="5" t="s">
        <v>241</v>
      </c>
      <c r="AI382" s="5" t="s">
        <v>249</v>
      </c>
      <c r="AJ382" s="4" t="s">
        <v>251</v>
      </c>
      <c r="AK382" s="4" t="s">
        <v>252</v>
      </c>
      <c r="AQ382" s="4" t="s">
        <v>241</v>
      </c>
      <c r="AR382" s="4" t="s">
        <v>241</v>
      </c>
      <c r="AS382" s="4" t="s">
        <v>241</v>
      </c>
      <c r="AT382" s="5" t="s">
        <v>241</v>
      </c>
      <c r="AU382" s="5" t="s">
        <v>241</v>
      </c>
      <c r="AV382" s="5" t="s">
        <v>241</v>
      </c>
      <c r="AY382" s="4" t="s">
        <v>286</v>
      </c>
      <c r="AZ382" s="4" t="s">
        <v>286</v>
      </c>
      <c r="BA382" s="4" t="s">
        <v>254</v>
      </c>
      <c r="BB382" s="4" t="s">
        <v>287</v>
      </c>
      <c r="BC382" s="4" t="s">
        <v>255</v>
      </c>
      <c r="BD382" s="4" t="s">
        <v>241</v>
      </c>
      <c r="BE382" s="4" t="s">
        <v>257</v>
      </c>
      <c r="BF382" s="4" t="s">
        <v>241</v>
      </c>
      <c r="BJ382" s="4" t="s">
        <v>288</v>
      </c>
      <c r="BK382" s="5" t="s">
        <v>289</v>
      </c>
      <c r="BL382" s="4" t="s">
        <v>290</v>
      </c>
      <c r="BM382" s="4" t="s">
        <v>290</v>
      </c>
      <c r="BN382" s="4" t="s">
        <v>241</v>
      </c>
      <c r="BP382" s="6">
        <f>-178618</f>
        <v>-178618</v>
      </c>
      <c r="BQ382" s="4" t="s">
        <v>263</v>
      </c>
      <c r="BR382" s="4" t="s">
        <v>264</v>
      </c>
      <c r="BS382" s="4" t="s">
        <v>241</v>
      </c>
      <c r="BT382" s="4" t="s">
        <v>241</v>
      </c>
      <c r="BU382" s="4" t="s">
        <v>241</v>
      </c>
      <c r="BV382" s="4" t="s">
        <v>241</v>
      </c>
      <c r="CE382" s="4" t="s">
        <v>264</v>
      </c>
      <c r="CF382" s="4" t="s">
        <v>241</v>
      </c>
      <c r="CG382" s="4" t="s">
        <v>241</v>
      </c>
      <c r="CK382" s="4" t="s">
        <v>291</v>
      </c>
      <c r="CL382" s="4" t="s">
        <v>266</v>
      </c>
      <c r="CM382" s="4" t="s">
        <v>241</v>
      </c>
      <c r="CO382" s="4" t="s">
        <v>331</v>
      </c>
      <c r="CP382" s="5" t="s">
        <v>268</v>
      </c>
      <c r="CQ382" s="4" t="s">
        <v>269</v>
      </c>
      <c r="CR382" s="4" t="s">
        <v>270</v>
      </c>
      <c r="CS382" s="4" t="s">
        <v>293</v>
      </c>
      <c r="CT382" s="4" t="s">
        <v>241</v>
      </c>
      <c r="CU382" s="4">
        <v>4.5999999999999999E-2</v>
      </c>
      <c r="CV382" s="4" t="s">
        <v>271</v>
      </c>
      <c r="CW382" s="4" t="s">
        <v>655</v>
      </c>
      <c r="CX382" s="4" t="s">
        <v>347</v>
      </c>
      <c r="CY382" s="6">
        <f>0</f>
        <v>0</v>
      </c>
      <c r="CZ382" s="6">
        <f>3883000</f>
        <v>3883000</v>
      </c>
      <c r="DA382" s="6">
        <f>3525764</f>
        <v>3525764</v>
      </c>
      <c r="DC382" s="4" t="s">
        <v>241</v>
      </c>
      <c r="DD382" s="4" t="s">
        <v>241</v>
      </c>
      <c r="DF382" s="4" t="s">
        <v>241</v>
      </c>
      <c r="DG382" s="6">
        <f>0</f>
        <v>0</v>
      </c>
      <c r="DI382" s="4" t="s">
        <v>241</v>
      </c>
      <c r="DJ382" s="4" t="s">
        <v>241</v>
      </c>
      <c r="DK382" s="4" t="s">
        <v>241</v>
      </c>
      <c r="DL382" s="4" t="s">
        <v>241</v>
      </c>
      <c r="DM382" s="4" t="s">
        <v>278</v>
      </c>
      <c r="DN382" s="4" t="s">
        <v>278</v>
      </c>
      <c r="DO382" s="6" t="s">
        <v>241</v>
      </c>
      <c r="DP382" s="4" t="s">
        <v>241</v>
      </c>
      <c r="DQ382" s="4" t="s">
        <v>241</v>
      </c>
      <c r="DR382" s="4" t="s">
        <v>241</v>
      </c>
      <c r="DS382" s="4" t="s">
        <v>241</v>
      </c>
      <c r="DV382" s="4" t="s">
        <v>870</v>
      </c>
      <c r="DW382" s="4" t="s">
        <v>427</v>
      </c>
      <c r="GN382" s="4" t="s">
        <v>889</v>
      </c>
      <c r="HO382" s="4" t="s">
        <v>297</v>
      </c>
      <c r="HR382" s="4" t="s">
        <v>278</v>
      </c>
      <c r="HS382" s="4" t="s">
        <v>278</v>
      </c>
      <c r="HT382" s="4" t="s">
        <v>241</v>
      </c>
      <c r="HU382" s="4" t="s">
        <v>241</v>
      </c>
      <c r="HV382" s="4" t="s">
        <v>241</v>
      </c>
      <c r="HW382" s="4" t="s">
        <v>241</v>
      </c>
      <c r="HX382" s="4" t="s">
        <v>241</v>
      </c>
      <c r="HY382" s="4" t="s">
        <v>241</v>
      </c>
      <c r="HZ382" s="4" t="s">
        <v>241</v>
      </c>
      <c r="IA382" s="4" t="s">
        <v>241</v>
      </c>
      <c r="IB382" s="4" t="s">
        <v>241</v>
      </c>
      <c r="IC382" s="4" t="s">
        <v>241</v>
      </c>
      <c r="ID382" s="4" t="s">
        <v>241</v>
      </c>
      <c r="IE382" s="4" t="s">
        <v>241</v>
      </c>
      <c r="IF382" s="4" t="s">
        <v>241</v>
      </c>
    </row>
    <row r="383" spans="1:240" x14ac:dyDescent="0.4">
      <c r="A383" s="4">
        <v>2</v>
      </c>
      <c r="B383" s="4" t="s">
        <v>239</v>
      </c>
      <c r="C383" s="4">
        <v>414</v>
      </c>
      <c r="D383" s="4">
        <v>1</v>
      </c>
      <c r="E383" s="4">
        <v>3</v>
      </c>
      <c r="F383" s="4" t="s">
        <v>326</v>
      </c>
      <c r="G383" s="4" t="s">
        <v>241</v>
      </c>
      <c r="H383" s="4" t="s">
        <v>241</v>
      </c>
      <c r="I383" s="4" t="s">
        <v>867</v>
      </c>
      <c r="J383" s="4" t="s">
        <v>653</v>
      </c>
      <c r="K383" s="4" t="s">
        <v>256</v>
      </c>
      <c r="L383" s="4" t="s">
        <v>241</v>
      </c>
      <c r="M383" s="5" t="s">
        <v>869</v>
      </c>
      <c r="N383" s="4" t="s">
        <v>2747</v>
      </c>
      <c r="O383" s="6">
        <f>0</f>
        <v>0</v>
      </c>
      <c r="P383" s="4" t="s">
        <v>276</v>
      </c>
      <c r="Q383" s="6">
        <f>23256494</f>
        <v>23256494</v>
      </c>
      <c r="R383" s="6">
        <f>27489944</f>
        <v>27489944</v>
      </c>
      <c r="S383" s="5" t="s">
        <v>1104</v>
      </c>
      <c r="T383" s="4" t="s">
        <v>322</v>
      </c>
      <c r="U383" s="4" t="s">
        <v>277</v>
      </c>
      <c r="V383" s="6">
        <f>2116725</f>
        <v>2116725</v>
      </c>
      <c r="W383" s="6">
        <f>4233450</f>
        <v>4233450</v>
      </c>
      <c r="X383" s="4" t="s">
        <v>243</v>
      </c>
      <c r="Y383" s="4" t="s">
        <v>244</v>
      </c>
      <c r="Z383" s="4" t="s">
        <v>241</v>
      </c>
      <c r="AA383" s="4" t="s">
        <v>241</v>
      </c>
      <c r="AD383" s="4" t="s">
        <v>241</v>
      </c>
      <c r="AE383" s="5" t="s">
        <v>241</v>
      </c>
      <c r="AF383" s="5" t="s">
        <v>241</v>
      </c>
      <c r="AH383" s="5" t="s">
        <v>241</v>
      </c>
      <c r="AI383" s="5" t="s">
        <v>249</v>
      </c>
      <c r="AJ383" s="4" t="s">
        <v>251</v>
      </c>
      <c r="AK383" s="4" t="s">
        <v>252</v>
      </c>
      <c r="AQ383" s="4" t="s">
        <v>241</v>
      </c>
      <c r="AR383" s="4" t="s">
        <v>241</v>
      </c>
      <c r="AS383" s="4" t="s">
        <v>241</v>
      </c>
      <c r="AT383" s="5" t="s">
        <v>241</v>
      </c>
      <c r="AU383" s="5" t="s">
        <v>241</v>
      </c>
      <c r="AV383" s="5" t="s">
        <v>241</v>
      </c>
      <c r="AY383" s="4" t="s">
        <v>286</v>
      </c>
      <c r="AZ383" s="4" t="s">
        <v>286</v>
      </c>
      <c r="BA383" s="4" t="s">
        <v>254</v>
      </c>
      <c r="BB383" s="4" t="s">
        <v>287</v>
      </c>
      <c r="BC383" s="4" t="s">
        <v>255</v>
      </c>
      <c r="BD383" s="4" t="s">
        <v>241</v>
      </c>
      <c r="BE383" s="4" t="s">
        <v>257</v>
      </c>
      <c r="BF383" s="4" t="s">
        <v>241</v>
      </c>
      <c r="BJ383" s="4" t="s">
        <v>288</v>
      </c>
      <c r="BK383" s="5" t="s">
        <v>289</v>
      </c>
      <c r="BL383" s="4" t="s">
        <v>290</v>
      </c>
      <c r="BM383" s="4" t="s">
        <v>290</v>
      </c>
      <c r="BN383" s="4" t="s">
        <v>241</v>
      </c>
      <c r="BP383" s="6">
        <f>-2116725</f>
        <v>-2116725</v>
      </c>
      <c r="BQ383" s="4" t="s">
        <v>263</v>
      </c>
      <c r="BR383" s="4" t="s">
        <v>264</v>
      </c>
      <c r="BS383" s="4" t="s">
        <v>241</v>
      </c>
      <c r="BT383" s="4" t="s">
        <v>241</v>
      </c>
      <c r="BU383" s="4" t="s">
        <v>241</v>
      </c>
      <c r="BV383" s="4" t="s">
        <v>241</v>
      </c>
      <c r="CE383" s="4" t="s">
        <v>264</v>
      </c>
      <c r="CF383" s="4" t="s">
        <v>241</v>
      </c>
      <c r="CG383" s="4" t="s">
        <v>241</v>
      </c>
      <c r="CK383" s="4" t="s">
        <v>291</v>
      </c>
      <c r="CL383" s="4" t="s">
        <v>266</v>
      </c>
      <c r="CM383" s="4" t="s">
        <v>241</v>
      </c>
      <c r="CO383" s="4" t="s">
        <v>331</v>
      </c>
      <c r="CP383" s="5" t="s">
        <v>268</v>
      </c>
      <c r="CQ383" s="4" t="s">
        <v>269</v>
      </c>
      <c r="CR383" s="4" t="s">
        <v>270</v>
      </c>
      <c r="CS383" s="4" t="s">
        <v>293</v>
      </c>
      <c r="CT383" s="4" t="s">
        <v>241</v>
      </c>
      <c r="CU383" s="4">
        <v>7.6999999999999999E-2</v>
      </c>
      <c r="CV383" s="4" t="s">
        <v>271</v>
      </c>
      <c r="CW383" s="4" t="s">
        <v>415</v>
      </c>
      <c r="CX383" s="4" t="s">
        <v>428</v>
      </c>
      <c r="CY383" s="6">
        <f>0</f>
        <v>0</v>
      </c>
      <c r="CZ383" s="6">
        <f>27489944</f>
        <v>27489944</v>
      </c>
      <c r="DA383" s="6">
        <f>23256494</f>
        <v>23256494</v>
      </c>
      <c r="DC383" s="4" t="s">
        <v>241</v>
      </c>
      <c r="DD383" s="4" t="s">
        <v>241</v>
      </c>
      <c r="DF383" s="4" t="s">
        <v>241</v>
      </c>
      <c r="DG383" s="6">
        <f>0</f>
        <v>0</v>
      </c>
      <c r="DI383" s="4" t="s">
        <v>241</v>
      </c>
      <c r="DJ383" s="4" t="s">
        <v>241</v>
      </c>
      <c r="DK383" s="4" t="s">
        <v>241</v>
      </c>
      <c r="DL383" s="4" t="s">
        <v>241</v>
      </c>
      <c r="DM383" s="4" t="s">
        <v>278</v>
      </c>
      <c r="DN383" s="4" t="s">
        <v>278</v>
      </c>
      <c r="DO383" s="6" t="s">
        <v>241</v>
      </c>
      <c r="DP383" s="4" t="s">
        <v>241</v>
      </c>
      <c r="DQ383" s="4" t="s">
        <v>241</v>
      </c>
      <c r="DR383" s="4" t="s">
        <v>241</v>
      </c>
      <c r="DS383" s="4" t="s">
        <v>241</v>
      </c>
      <c r="DV383" s="4" t="s">
        <v>870</v>
      </c>
      <c r="DW383" s="4" t="s">
        <v>353</v>
      </c>
      <c r="GN383" s="4" t="s">
        <v>2835</v>
      </c>
      <c r="HO383" s="4" t="s">
        <v>297</v>
      </c>
      <c r="HR383" s="4" t="s">
        <v>278</v>
      </c>
      <c r="HS383" s="4" t="s">
        <v>278</v>
      </c>
      <c r="HT383" s="4" t="s">
        <v>241</v>
      </c>
      <c r="HU383" s="4" t="s">
        <v>241</v>
      </c>
      <c r="HV383" s="4" t="s">
        <v>241</v>
      </c>
      <c r="HW383" s="4" t="s">
        <v>241</v>
      </c>
      <c r="HX383" s="4" t="s">
        <v>241</v>
      </c>
      <c r="HY383" s="4" t="s">
        <v>241</v>
      </c>
      <c r="HZ383" s="4" t="s">
        <v>241</v>
      </c>
      <c r="IA383" s="4" t="s">
        <v>241</v>
      </c>
      <c r="IB383" s="4" t="s">
        <v>241</v>
      </c>
      <c r="IC383" s="4" t="s">
        <v>241</v>
      </c>
      <c r="ID383" s="4" t="s">
        <v>241</v>
      </c>
      <c r="IE383" s="4" t="s">
        <v>241</v>
      </c>
      <c r="IF383" s="4" t="s">
        <v>241</v>
      </c>
    </row>
    <row r="384" spans="1:240" x14ac:dyDescent="0.4">
      <c r="A384" s="4">
        <v>2</v>
      </c>
      <c r="B384" s="4" t="s">
        <v>239</v>
      </c>
      <c r="C384" s="4">
        <v>415</v>
      </c>
      <c r="D384" s="4">
        <v>1</v>
      </c>
      <c r="E384" s="4">
        <v>1</v>
      </c>
      <c r="F384" s="4" t="s">
        <v>240</v>
      </c>
      <c r="G384" s="4" t="s">
        <v>241</v>
      </c>
      <c r="H384" s="4" t="s">
        <v>241</v>
      </c>
      <c r="I384" s="4" t="s">
        <v>743</v>
      </c>
      <c r="J384" s="4" t="s">
        <v>653</v>
      </c>
      <c r="K384" s="4" t="s">
        <v>256</v>
      </c>
      <c r="L384" s="4" t="s">
        <v>651</v>
      </c>
      <c r="M384" s="5" t="s">
        <v>745</v>
      </c>
      <c r="N384" s="4" t="s">
        <v>742</v>
      </c>
      <c r="O384" s="6">
        <f>2350</f>
        <v>2350</v>
      </c>
      <c r="P384" s="4" t="s">
        <v>276</v>
      </c>
      <c r="Q384" s="6">
        <f>1</f>
        <v>1</v>
      </c>
      <c r="R384" s="6">
        <f>317250000</f>
        <v>317250000</v>
      </c>
      <c r="S384" s="5" t="s">
        <v>744</v>
      </c>
      <c r="T384" s="4" t="s">
        <v>668</v>
      </c>
      <c r="U384" s="4" t="s">
        <v>668</v>
      </c>
      <c r="W384" s="6">
        <f>317249999</f>
        <v>317249999</v>
      </c>
      <c r="X384" s="4" t="s">
        <v>243</v>
      </c>
      <c r="Y384" s="4" t="s">
        <v>244</v>
      </c>
      <c r="Z384" s="4" t="s">
        <v>465</v>
      </c>
      <c r="AA384" s="4" t="s">
        <v>241</v>
      </c>
      <c r="AD384" s="4" t="s">
        <v>241</v>
      </c>
      <c r="AF384" s="5" t="s">
        <v>241</v>
      </c>
      <c r="AI384" s="5" t="s">
        <v>249</v>
      </c>
      <c r="AJ384" s="4" t="s">
        <v>251</v>
      </c>
      <c r="AK384" s="4" t="s">
        <v>252</v>
      </c>
      <c r="BA384" s="4" t="s">
        <v>254</v>
      </c>
      <c r="BB384" s="4" t="s">
        <v>241</v>
      </c>
      <c r="BC384" s="4" t="s">
        <v>255</v>
      </c>
      <c r="BD384" s="4" t="s">
        <v>241</v>
      </c>
      <c r="BE384" s="4" t="s">
        <v>257</v>
      </c>
      <c r="BF384" s="4" t="s">
        <v>241</v>
      </c>
      <c r="BJ384" s="4" t="s">
        <v>367</v>
      </c>
      <c r="BK384" s="5" t="s">
        <v>249</v>
      </c>
      <c r="BL384" s="4" t="s">
        <v>261</v>
      </c>
      <c r="BM384" s="4" t="s">
        <v>290</v>
      </c>
      <c r="BN384" s="4" t="s">
        <v>241</v>
      </c>
      <c r="BO384" s="6">
        <f>0</f>
        <v>0</v>
      </c>
      <c r="BP384" s="6">
        <f>0</f>
        <v>0</v>
      </c>
      <c r="BQ384" s="4" t="s">
        <v>263</v>
      </c>
      <c r="BR384" s="4" t="s">
        <v>264</v>
      </c>
      <c r="CF384" s="4" t="s">
        <v>241</v>
      </c>
      <c r="CG384" s="4" t="s">
        <v>241</v>
      </c>
      <c r="CK384" s="4" t="s">
        <v>265</v>
      </c>
      <c r="CL384" s="4" t="s">
        <v>266</v>
      </c>
      <c r="CM384" s="4" t="s">
        <v>241</v>
      </c>
      <c r="CO384" s="4" t="s">
        <v>511</v>
      </c>
      <c r="CP384" s="5" t="s">
        <v>268</v>
      </c>
      <c r="CQ384" s="4" t="s">
        <v>269</v>
      </c>
      <c r="CR384" s="4" t="s">
        <v>270</v>
      </c>
      <c r="CS384" s="4" t="s">
        <v>241</v>
      </c>
      <c r="CT384" s="4" t="s">
        <v>241</v>
      </c>
      <c r="CU384" s="4">
        <v>0</v>
      </c>
      <c r="CV384" s="4" t="s">
        <v>271</v>
      </c>
      <c r="CW384" s="4" t="s">
        <v>655</v>
      </c>
      <c r="CX384" s="4" t="s">
        <v>295</v>
      </c>
      <c r="CZ384" s="6">
        <f>317250000</f>
        <v>317250000</v>
      </c>
      <c r="DA384" s="6">
        <f>0</f>
        <v>0</v>
      </c>
      <c r="DC384" s="4" t="s">
        <v>241</v>
      </c>
      <c r="DD384" s="4" t="s">
        <v>241</v>
      </c>
      <c r="DF384" s="4" t="s">
        <v>241</v>
      </c>
      <c r="DI384" s="4" t="s">
        <v>241</v>
      </c>
      <c r="DJ384" s="4" t="s">
        <v>241</v>
      </c>
      <c r="DK384" s="4" t="s">
        <v>241</v>
      </c>
      <c r="DL384" s="4" t="s">
        <v>241</v>
      </c>
      <c r="DM384" s="4" t="s">
        <v>297</v>
      </c>
      <c r="DN384" s="4" t="s">
        <v>278</v>
      </c>
      <c r="DO384" s="6">
        <f>2350</f>
        <v>2350</v>
      </c>
      <c r="DP384" s="4" t="s">
        <v>241</v>
      </c>
      <c r="DQ384" s="4" t="s">
        <v>241</v>
      </c>
      <c r="DR384" s="4" t="s">
        <v>241</v>
      </c>
      <c r="DS384" s="4" t="s">
        <v>241</v>
      </c>
      <c r="DV384" s="4" t="s">
        <v>746</v>
      </c>
      <c r="DW384" s="4" t="s">
        <v>277</v>
      </c>
      <c r="HO384" s="4" t="s">
        <v>336</v>
      </c>
      <c r="HR384" s="4" t="s">
        <v>278</v>
      </c>
      <c r="HS384" s="4" t="s">
        <v>278</v>
      </c>
    </row>
    <row r="385" spans="1:240" x14ac:dyDescent="0.4">
      <c r="A385" s="4">
        <v>2</v>
      </c>
      <c r="B385" s="4" t="s">
        <v>239</v>
      </c>
      <c r="C385" s="4">
        <v>416</v>
      </c>
      <c r="D385" s="4">
        <v>1</v>
      </c>
      <c r="E385" s="4">
        <v>3</v>
      </c>
      <c r="F385" s="4" t="s">
        <v>240</v>
      </c>
      <c r="G385" s="4" t="s">
        <v>241</v>
      </c>
      <c r="H385" s="4" t="s">
        <v>241</v>
      </c>
      <c r="I385" s="4" t="s">
        <v>743</v>
      </c>
      <c r="J385" s="4" t="s">
        <v>653</v>
      </c>
      <c r="K385" s="4" t="s">
        <v>256</v>
      </c>
      <c r="L385" s="4" t="s">
        <v>1003</v>
      </c>
      <c r="M385" s="5" t="s">
        <v>745</v>
      </c>
      <c r="N385" s="4" t="s">
        <v>1003</v>
      </c>
      <c r="O385" s="6">
        <f>780</f>
        <v>780</v>
      </c>
      <c r="P385" s="4" t="s">
        <v>276</v>
      </c>
      <c r="Q385" s="6">
        <f>14952600</f>
        <v>14952600</v>
      </c>
      <c r="R385" s="6">
        <f>105300000</f>
        <v>105300000</v>
      </c>
      <c r="S385" s="5" t="s">
        <v>1010</v>
      </c>
      <c r="T385" s="4" t="s">
        <v>668</v>
      </c>
      <c r="U385" s="4" t="s">
        <v>333</v>
      </c>
      <c r="V385" s="6">
        <f>2316600</f>
        <v>2316600</v>
      </c>
      <c r="W385" s="6">
        <f>90347400</f>
        <v>90347400</v>
      </c>
      <c r="X385" s="4" t="s">
        <v>243</v>
      </c>
      <c r="Y385" s="4" t="s">
        <v>244</v>
      </c>
      <c r="Z385" s="4" t="s">
        <v>465</v>
      </c>
      <c r="AA385" s="4" t="s">
        <v>241</v>
      </c>
      <c r="AD385" s="4" t="s">
        <v>241</v>
      </c>
      <c r="AE385" s="5" t="s">
        <v>241</v>
      </c>
      <c r="AF385" s="5" t="s">
        <v>241</v>
      </c>
      <c r="AH385" s="5" t="s">
        <v>241</v>
      </c>
      <c r="AI385" s="5" t="s">
        <v>249</v>
      </c>
      <c r="AJ385" s="4" t="s">
        <v>251</v>
      </c>
      <c r="AK385" s="4" t="s">
        <v>252</v>
      </c>
      <c r="AQ385" s="4" t="s">
        <v>241</v>
      </c>
      <c r="AR385" s="4" t="s">
        <v>241</v>
      </c>
      <c r="AS385" s="4" t="s">
        <v>241</v>
      </c>
      <c r="AT385" s="5" t="s">
        <v>241</v>
      </c>
      <c r="AU385" s="5" t="s">
        <v>241</v>
      </c>
      <c r="AV385" s="5" t="s">
        <v>241</v>
      </c>
      <c r="AY385" s="4" t="s">
        <v>286</v>
      </c>
      <c r="AZ385" s="4" t="s">
        <v>286</v>
      </c>
      <c r="BA385" s="4" t="s">
        <v>254</v>
      </c>
      <c r="BB385" s="4" t="s">
        <v>287</v>
      </c>
      <c r="BC385" s="4" t="s">
        <v>255</v>
      </c>
      <c r="BD385" s="4" t="s">
        <v>241</v>
      </c>
      <c r="BE385" s="4" t="s">
        <v>257</v>
      </c>
      <c r="BF385" s="4" t="s">
        <v>241</v>
      </c>
      <c r="BJ385" s="4" t="s">
        <v>288</v>
      </c>
      <c r="BK385" s="5" t="s">
        <v>289</v>
      </c>
      <c r="BL385" s="4" t="s">
        <v>290</v>
      </c>
      <c r="BM385" s="4" t="s">
        <v>290</v>
      </c>
      <c r="BN385" s="4" t="s">
        <v>241</v>
      </c>
      <c r="BO385" s="6">
        <f>0</f>
        <v>0</v>
      </c>
      <c r="BP385" s="6">
        <f>-2316600</f>
        <v>-2316600</v>
      </c>
      <c r="BQ385" s="4" t="s">
        <v>263</v>
      </c>
      <c r="BR385" s="4" t="s">
        <v>264</v>
      </c>
      <c r="BS385" s="4" t="s">
        <v>241</v>
      </c>
      <c r="BT385" s="4" t="s">
        <v>241</v>
      </c>
      <c r="BU385" s="4" t="s">
        <v>241</v>
      </c>
      <c r="BV385" s="4" t="s">
        <v>241</v>
      </c>
      <c r="CE385" s="4" t="s">
        <v>264</v>
      </c>
      <c r="CF385" s="4" t="s">
        <v>241</v>
      </c>
      <c r="CG385" s="4" t="s">
        <v>241</v>
      </c>
      <c r="CK385" s="4" t="s">
        <v>265</v>
      </c>
      <c r="CL385" s="4" t="s">
        <v>266</v>
      </c>
      <c r="CM385" s="4" t="s">
        <v>241</v>
      </c>
      <c r="CO385" s="4" t="s">
        <v>710</v>
      </c>
      <c r="CP385" s="5" t="s">
        <v>268</v>
      </c>
      <c r="CQ385" s="4" t="s">
        <v>269</v>
      </c>
      <c r="CR385" s="4" t="s">
        <v>270</v>
      </c>
      <c r="CS385" s="4" t="s">
        <v>293</v>
      </c>
      <c r="CT385" s="4" t="s">
        <v>241</v>
      </c>
      <c r="CU385" s="4">
        <v>2.1999999999999999E-2</v>
      </c>
      <c r="CV385" s="4" t="s">
        <v>271</v>
      </c>
      <c r="CW385" s="4" t="s">
        <v>1006</v>
      </c>
      <c r="CX385" s="4" t="s">
        <v>295</v>
      </c>
      <c r="CY385" s="6">
        <f>0</f>
        <v>0</v>
      </c>
      <c r="CZ385" s="6">
        <f>105300000</f>
        <v>105300000</v>
      </c>
      <c r="DA385" s="6">
        <f>14952600</f>
        <v>14952600</v>
      </c>
      <c r="DC385" s="4" t="s">
        <v>241</v>
      </c>
      <c r="DD385" s="4" t="s">
        <v>241</v>
      </c>
      <c r="DF385" s="4" t="s">
        <v>241</v>
      </c>
      <c r="DG385" s="6">
        <f>0</f>
        <v>0</v>
      </c>
      <c r="DI385" s="4" t="s">
        <v>241</v>
      </c>
      <c r="DJ385" s="4" t="s">
        <v>241</v>
      </c>
      <c r="DK385" s="4" t="s">
        <v>241</v>
      </c>
      <c r="DL385" s="4" t="s">
        <v>241</v>
      </c>
      <c r="DM385" s="4" t="s">
        <v>323</v>
      </c>
      <c r="DN385" s="4" t="s">
        <v>278</v>
      </c>
      <c r="DO385" s="6">
        <f>780</f>
        <v>780</v>
      </c>
      <c r="DP385" s="4" t="s">
        <v>241</v>
      </c>
      <c r="DQ385" s="4" t="s">
        <v>241</v>
      </c>
      <c r="DR385" s="4" t="s">
        <v>241</v>
      </c>
      <c r="DS385" s="4" t="s">
        <v>241</v>
      </c>
      <c r="DV385" s="4" t="s">
        <v>746</v>
      </c>
      <c r="DW385" s="4" t="s">
        <v>323</v>
      </c>
      <c r="GN385" s="4" t="s">
        <v>1011</v>
      </c>
      <c r="HO385" s="4" t="s">
        <v>300</v>
      </c>
      <c r="HR385" s="4" t="s">
        <v>278</v>
      </c>
      <c r="HS385" s="4" t="s">
        <v>278</v>
      </c>
      <c r="HT385" s="4" t="s">
        <v>241</v>
      </c>
      <c r="HU385" s="4" t="s">
        <v>241</v>
      </c>
      <c r="HV385" s="4" t="s">
        <v>241</v>
      </c>
      <c r="HW385" s="4" t="s">
        <v>241</v>
      </c>
      <c r="HX385" s="4" t="s">
        <v>241</v>
      </c>
      <c r="HY385" s="4" t="s">
        <v>241</v>
      </c>
      <c r="HZ385" s="4" t="s">
        <v>241</v>
      </c>
      <c r="IA385" s="4" t="s">
        <v>241</v>
      </c>
      <c r="IB385" s="4" t="s">
        <v>241</v>
      </c>
      <c r="IC385" s="4" t="s">
        <v>241</v>
      </c>
      <c r="ID385" s="4" t="s">
        <v>241</v>
      </c>
      <c r="IE385" s="4" t="s">
        <v>241</v>
      </c>
      <c r="IF385" s="4" t="s">
        <v>241</v>
      </c>
    </row>
    <row r="386" spans="1:240" x14ac:dyDescent="0.4">
      <c r="A386" s="4">
        <v>2</v>
      </c>
      <c r="B386" s="4" t="s">
        <v>239</v>
      </c>
      <c r="C386" s="4">
        <v>417</v>
      </c>
      <c r="D386" s="4">
        <v>1</v>
      </c>
      <c r="E386" s="4">
        <v>1</v>
      </c>
      <c r="F386" s="4" t="s">
        <v>240</v>
      </c>
      <c r="G386" s="4" t="s">
        <v>241</v>
      </c>
      <c r="H386" s="4" t="s">
        <v>241</v>
      </c>
      <c r="I386" s="4" t="s">
        <v>743</v>
      </c>
      <c r="J386" s="4" t="s">
        <v>653</v>
      </c>
      <c r="K386" s="4" t="s">
        <v>256</v>
      </c>
      <c r="L386" s="4" t="s">
        <v>2529</v>
      </c>
      <c r="M386" s="5" t="s">
        <v>745</v>
      </c>
      <c r="N386" s="4" t="s">
        <v>2529</v>
      </c>
      <c r="O386" s="6">
        <f>16</f>
        <v>16</v>
      </c>
      <c r="P386" s="4" t="s">
        <v>276</v>
      </c>
      <c r="Q386" s="6">
        <f>1</f>
        <v>1</v>
      </c>
      <c r="R386" s="6">
        <f>960000</f>
        <v>960000</v>
      </c>
      <c r="S386" s="5" t="s">
        <v>753</v>
      </c>
      <c r="T386" s="4" t="s">
        <v>348</v>
      </c>
      <c r="U386" s="4" t="s">
        <v>683</v>
      </c>
      <c r="W386" s="6">
        <f>959999</f>
        <v>959999</v>
      </c>
      <c r="X386" s="4" t="s">
        <v>243</v>
      </c>
      <c r="Y386" s="4" t="s">
        <v>244</v>
      </c>
      <c r="Z386" s="4" t="s">
        <v>465</v>
      </c>
      <c r="AA386" s="4" t="s">
        <v>241</v>
      </c>
      <c r="AD386" s="4" t="s">
        <v>241</v>
      </c>
      <c r="AF386" s="5" t="s">
        <v>241</v>
      </c>
      <c r="AI386" s="5" t="s">
        <v>249</v>
      </c>
      <c r="AJ386" s="4" t="s">
        <v>251</v>
      </c>
      <c r="AK386" s="4" t="s">
        <v>252</v>
      </c>
      <c r="BA386" s="4" t="s">
        <v>254</v>
      </c>
      <c r="BB386" s="4" t="s">
        <v>241</v>
      </c>
      <c r="BC386" s="4" t="s">
        <v>255</v>
      </c>
      <c r="BD386" s="4" t="s">
        <v>241</v>
      </c>
      <c r="BE386" s="4" t="s">
        <v>257</v>
      </c>
      <c r="BF386" s="4" t="s">
        <v>241</v>
      </c>
      <c r="BJ386" s="4" t="s">
        <v>367</v>
      </c>
      <c r="BK386" s="5" t="s">
        <v>249</v>
      </c>
      <c r="BL386" s="4" t="s">
        <v>261</v>
      </c>
      <c r="BM386" s="4" t="s">
        <v>262</v>
      </c>
      <c r="BN386" s="4" t="s">
        <v>241</v>
      </c>
      <c r="BO386" s="6">
        <f>0</f>
        <v>0</v>
      </c>
      <c r="BP386" s="6">
        <f>0</f>
        <v>0</v>
      </c>
      <c r="BQ386" s="4" t="s">
        <v>263</v>
      </c>
      <c r="BR386" s="4" t="s">
        <v>264</v>
      </c>
      <c r="CF386" s="4" t="s">
        <v>241</v>
      </c>
      <c r="CG386" s="4" t="s">
        <v>241</v>
      </c>
      <c r="CK386" s="4" t="s">
        <v>265</v>
      </c>
      <c r="CL386" s="4" t="s">
        <v>266</v>
      </c>
      <c r="CM386" s="4" t="s">
        <v>241</v>
      </c>
      <c r="CO386" s="4" t="s">
        <v>511</v>
      </c>
      <c r="CP386" s="5" t="s">
        <v>268</v>
      </c>
      <c r="CQ386" s="4" t="s">
        <v>269</v>
      </c>
      <c r="CR386" s="4" t="s">
        <v>270</v>
      </c>
      <c r="CS386" s="4" t="s">
        <v>241</v>
      </c>
      <c r="CT386" s="4" t="s">
        <v>241</v>
      </c>
      <c r="CU386" s="4">
        <v>0</v>
      </c>
      <c r="CV386" s="4" t="s">
        <v>271</v>
      </c>
      <c r="CW386" s="4" t="s">
        <v>415</v>
      </c>
      <c r="CX386" s="4" t="s">
        <v>416</v>
      </c>
      <c r="CZ386" s="6">
        <f>960000</f>
        <v>960000</v>
      </c>
      <c r="DA386" s="6">
        <f>0</f>
        <v>0</v>
      </c>
      <c r="DC386" s="4" t="s">
        <v>241</v>
      </c>
      <c r="DD386" s="4" t="s">
        <v>241</v>
      </c>
      <c r="DF386" s="4" t="s">
        <v>241</v>
      </c>
      <c r="DI386" s="4" t="s">
        <v>241</v>
      </c>
      <c r="DJ386" s="4" t="s">
        <v>241</v>
      </c>
      <c r="DK386" s="4" t="s">
        <v>241</v>
      </c>
      <c r="DL386" s="4" t="s">
        <v>241</v>
      </c>
      <c r="DM386" s="4" t="s">
        <v>277</v>
      </c>
      <c r="DN386" s="4" t="s">
        <v>278</v>
      </c>
      <c r="DO386" s="6">
        <f>16</f>
        <v>16</v>
      </c>
      <c r="DP386" s="4" t="s">
        <v>241</v>
      </c>
      <c r="DQ386" s="4" t="s">
        <v>241</v>
      </c>
      <c r="DR386" s="4" t="s">
        <v>241</v>
      </c>
      <c r="DS386" s="4" t="s">
        <v>241</v>
      </c>
      <c r="DV386" s="4" t="s">
        <v>746</v>
      </c>
      <c r="DW386" s="4" t="s">
        <v>297</v>
      </c>
      <c r="HO386" s="4" t="s">
        <v>277</v>
      </c>
      <c r="HR386" s="4" t="s">
        <v>278</v>
      </c>
      <c r="HS386" s="4" t="s">
        <v>278</v>
      </c>
    </row>
    <row r="387" spans="1:240" x14ac:dyDescent="0.4">
      <c r="A387" s="4">
        <v>2</v>
      </c>
      <c r="B387" s="4" t="s">
        <v>239</v>
      </c>
      <c r="C387" s="4">
        <v>418</v>
      </c>
      <c r="D387" s="4">
        <v>1</v>
      </c>
      <c r="E387" s="4">
        <v>3</v>
      </c>
      <c r="F387" s="4" t="s">
        <v>326</v>
      </c>
      <c r="G387" s="4" t="s">
        <v>241</v>
      </c>
      <c r="H387" s="4" t="s">
        <v>241</v>
      </c>
      <c r="I387" s="4" t="s">
        <v>743</v>
      </c>
      <c r="J387" s="4" t="s">
        <v>653</v>
      </c>
      <c r="K387" s="4" t="s">
        <v>256</v>
      </c>
      <c r="L387" s="4" t="s">
        <v>2724</v>
      </c>
      <c r="M387" s="5" t="s">
        <v>745</v>
      </c>
      <c r="N387" s="4" t="s">
        <v>2761</v>
      </c>
      <c r="O387" s="6">
        <f>0</f>
        <v>0</v>
      </c>
      <c r="P387" s="4" t="s">
        <v>276</v>
      </c>
      <c r="Q387" s="6">
        <f>1741603</f>
        <v>1741603</v>
      </c>
      <c r="R387" s="6">
        <f>2379239</f>
        <v>2379239</v>
      </c>
      <c r="S387" s="5" t="s">
        <v>380</v>
      </c>
      <c r="T387" s="4" t="s">
        <v>348</v>
      </c>
      <c r="U387" s="4" t="s">
        <v>297</v>
      </c>
      <c r="V387" s="6">
        <f>159409</f>
        <v>159409</v>
      </c>
      <c r="W387" s="6">
        <f>637636</f>
        <v>637636</v>
      </c>
      <c r="X387" s="4" t="s">
        <v>243</v>
      </c>
      <c r="Y387" s="4" t="s">
        <v>244</v>
      </c>
      <c r="Z387" s="4" t="s">
        <v>465</v>
      </c>
      <c r="AA387" s="4" t="s">
        <v>241</v>
      </c>
      <c r="AD387" s="4" t="s">
        <v>241</v>
      </c>
      <c r="AE387" s="5" t="s">
        <v>241</v>
      </c>
      <c r="AF387" s="5" t="s">
        <v>241</v>
      </c>
      <c r="AH387" s="5" t="s">
        <v>241</v>
      </c>
      <c r="AI387" s="5" t="s">
        <v>249</v>
      </c>
      <c r="AJ387" s="4" t="s">
        <v>251</v>
      </c>
      <c r="AK387" s="4" t="s">
        <v>252</v>
      </c>
      <c r="AQ387" s="4" t="s">
        <v>241</v>
      </c>
      <c r="AR387" s="4" t="s">
        <v>241</v>
      </c>
      <c r="AS387" s="4" t="s">
        <v>241</v>
      </c>
      <c r="AT387" s="5" t="s">
        <v>241</v>
      </c>
      <c r="AU387" s="5" t="s">
        <v>241</v>
      </c>
      <c r="AV387" s="5" t="s">
        <v>241</v>
      </c>
      <c r="AY387" s="4" t="s">
        <v>286</v>
      </c>
      <c r="AZ387" s="4" t="s">
        <v>286</v>
      </c>
      <c r="BA387" s="4" t="s">
        <v>254</v>
      </c>
      <c r="BB387" s="4" t="s">
        <v>287</v>
      </c>
      <c r="BC387" s="4" t="s">
        <v>255</v>
      </c>
      <c r="BD387" s="4" t="s">
        <v>241</v>
      </c>
      <c r="BE387" s="4" t="s">
        <v>257</v>
      </c>
      <c r="BF387" s="4" t="s">
        <v>241</v>
      </c>
      <c r="BJ387" s="4" t="s">
        <v>288</v>
      </c>
      <c r="BK387" s="5" t="s">
        <v>289</v>
      </c>
      <c r="BL387" s="4" t="s">
        <v>290</v>
      </c>
      <c r="BM387" s="4" t="s">
        <v>290</v>
      </c>
      <c r="BN387" s="4" t="s">
        <v>241</v>
      </c>
      <c r="BP387" s="6">
        <f>-159409</f>
        <v>-159409</v>
      </c>
      <c r="BQ387" s="4" t="s">
        <v>263</v>
      </c>
      <c r="BR387" s="4" t="s">
        <v>264</v>
      </c>
      <c r="BS387" s="4" t="s">
        <v>241</v>
      </c>
      <c r="BT387" s="4" t="s">
        <v>241</v>
      </c>
      <c r="BU387" s="4" t="s">
        <v>241</v>
      </c>
      <c r="BV387" s="4" t="s">
        <v>241</v>
      </c>
      <c r="CE387" s="4" t="s">
        <v>264</v>
      </c>
      <c r="CF387" s="4" t="s">
        <v>241</v>
      </c>
      <c r="CG387" s="4" t="s">
        <v>241</v>
      </c>
      <c r="CK387" s="4" t="s">
        <v>291</v>
      </c>
      <c r="CL387" s="4" t="s">
        <v>266</v>
      </c>
      <c r="CM387" s="4" t="s">
        <v>241</v>
      </c>
      <c r="CO387" s="4" t="s">
        <v>413</v>
      </c>
      <c r="CP387" s="5" t="s">
        <v>268</v>
      </c>
      <c r="CQ387" s="4" t="s">
        <v>269</v>
      </c>
      <c r="CR387" s="4" t="s">
        <v>270</v>
      </c>
      <c r="CS387" s="4" t="s">
        <v>293</v>
      </c>
      <c r="CT387" s="4" t="s">
        <v>241</v>
      </c>
      <c r="CU387" s="4">
        <v>6.7000000000000004E-2</v>
      </c>
      <c r="CV387" s="4" t="s">
        <v>271</v>
      </c>
      <c r="CW387" s="4" t="s">
        <v>415</v>
      </c>
      <c r="CX387" s="4" t="s">
        <v>422</v>
      </c>
      <c r="CY387" s="6">
        <f>0</f>
        <v>0</v>
      </c>
      <c r="CZ387" s="6">
        <f>2379239</f>
        <v>2379239</v>
      </c>
      <c r="DA387" s="6">
        <f>1741603</f>
        <v>1741603</v>
      </c>
      <c r="DC387" s="4" t="s">
        <v>241</v>
      </c>
      <c r="DD387" s="4" t="s">
        <v>241</v>
      </c>
      <c r="DF387" s="4" t="s">
        <v>241</v>
      </c>
      <c r="DG387" s="6">
        <f>0</f>
        <v>0</v>
      </c>
      <c r="DI387" s="4" t="s">
        <v>241</v>
      </c>
      <c r="DJ387" s="4" t="s">
        <v>241</v>
      </c>
      <c r="DK387" s="4" t="s">
        <v>241</v>
      </c>
      <c r="DL387" s="4" t="s">
        <v>241</v>
      </c>
      <c r="DM387" s="4" t="s">
        <v>278</v>
      </c>
      <c r="DN387" s="4" t="s">
        <v>278</v>
      </c>
      <c r="DO387" s="6" t="s">
        <v>241</v>
      </c>
      <c r="DP387" s="4" t="s">
        <v>241</v>
      </c>
      <c r="DQ387" s="4" t="s">
        <v>241</v>
      </c>
      <c r="DR387" s="4" t="s">
        <v>241</v>
      </c>
      <c r="DS387" s="4" t="s">
        <v>241</v>
      </c>
      <c r="DV387" s="4" t="s">
        <v>746</v>
      </c>
      <c r="DW387" s="4" t="s">
        <v>336</v>
      </c>
      <c r="GN387" s="4" t="s">
        <v>2834</v>
      </c>
      <c r="HO387" s="4" t="s">
        <v>351</v>
      </c>
      <c r="HR387" s="4" t="s">
        <v>278</v>
      </c>
      <c r="HS387" s="4" t="s">
        <v>278</v>
      </c>
      <c r="HT387" s="4" t="s">
        <v>241</v>
      </c>
      <c r="HU387" s="4" t="s">
        <v>241</v>
      </c>
      <c r="HV387" s="4" t="s">
        <v>241</v>
      </c>
      <c r="HW387" s="4" t="s">
        <v>241</v>
      </c>
      <c r="HX387" s="4" t="s">
        <v>241</v>
      </c>
      <c r="HY387" s="4" t="s">
        <v>241</v>
      </c>
      <c r="HZ387" s="4" t="s">
        <v>241</v>
      </c>
      <c r="IA387" s="4" t="s">
        <v>241</v>
      </c>
      <c r="IB387" s="4" t="s">
        <v>241</v>
      </c>
      <c r="IC387" s="4" t="s">
        <v>241</v>
      </c>
      <c r="ID387" s="4" t="s">
        <v>241</v>
      </c>
      <c r="IE387" s="4" t="s">
        <v>241</v>
      </c>
      <c r="IF387" s="4" t="s">
        <v>241</v>
      </c>
    </row>
    <row r="388" spans="1:240" x14ac:dyDescent="0.4">
      <c r="A388" s="4">
        <v>2</v>
      </c>
      <c r="B388" s="4" t="s">
        <v>239</v>
      </c>
      <c r="C388" s="4">
        <v>419</v>
      </c>
      <c r="D388" s="4">
        <v>1</v>
      </c>
      <c r="E388" s="4">
        <v>3</v>
      </c>
      <c r="F388" s="4" t="s">
        <v>326</v>
      </c>
      <c r="G388" s="4" t="s">
        <v>241</v>
      </c>
      <c r="H388" s="4" t="s">
        <v>241</v>
      </c>
      <c r="I388" s="4" t="s">
        <v>743</v>
      </c>
      <c r="J388" s="4" t="s">
        <v>653</v>
      </c>
      <c r="K388" s="4" t="s">
        <v>256</v>
      </c>
      <c r="L388" s="4" t="s">
        <v>241</v>
      </c>
      <c r="M388" s="5" t="s">
        <v>745</v>
      </c>
      <c r="N388" s="4" t="s">
        <v>2747</v>
      </c>
      <c r="O388" s="6">
        <f>0</f>
        <v>0</v>
      </c>
      <c r="P388" s="4" t="s">
        <v>276</v>
      </c>
      <c r="Q388" s="6">
        <f>28319850</f>
        <v>28319850</v>
      </c>
      <c r="R388" s="6">
        <f>33475000</f>
        <v>33475000</v>
      </c>
      <c r="S388" s="5" t="s">
        <v>1104</v>
      </c>
      <c r="T388" s="4" t="s">
        <v>322</v>
      </c>
      <c r="U388" s="4" t="s">
        <v>277</v>
      </c>
      <c r="V388" s="6">
        <f>2577575</f>
        <v>2577575</v>
      </c>
      <c r="W388" s="6">
        <f>5155150</f>
        <v>5155150</v>
      </c>
      <c r="X388" s="4" t="s">
        <v>243</v>
      </c>
      <c r="Y388" s="4" t="s">
        <v>244</v>
      </c>
      <c r="Z388" s="4" t="s">
        <v>241</v>
      </c>
      <c r="AA388" s="4" t="s">
        <v>241</v>
      </c>
      <c r="AD388" s="4" t="s">
        <v>241</v>
      </c>
      <c r="AE388" s="5" t="s">
        <v>241</v>
      </c>
      <c r="AF388" s="5" t="s">
        <v>241</v>
      </c>
      <c r="AH388" s="5" t="s">
        <v>241</v>
      </c>
      <c r="AI388" s="5" t="s">
        <v>249</v>
      </c>
      <c r="AJ388" s="4" t="s">
        <v>251</v>
      </c>
      <c r="AK388" s="4" t="s">
        <v>252</v>
      </c>
      <c r="AQ388" s="4" t="s">
        <v>241</v>
      </c>
      <c r="AR388" s="4" t="s">
        <v>241</v>
      </c>
      <c r="AS388" s="4" t="s">
        <v>241</v>
      </c>
      <c r="AT388" s="5" t="s">
        <v>241</v>
      </c>
      <c r="AU388" s="5" t="s">
        <v>241</v>
      </c>
      <c r="AV388" s="5" t="s">
        <v>241</v>
      </c>
      <c r="AY388" s="4" t="s">
        <v>286</v>
      </c>
      <c r="AZ388" s="4" t="s">
        <v>286</v>
      </c>
      <c r="BA388" s="4" t="s">
        <v>254</v>
      </c>
      <c r="BB388" s="4" t="s">
        <v>287</v>
      </c>
      <c r="BC388" s="4" t="s">
        <v>255</v>
      </c>
      <c r="BD388" s="4" t="s">
        <v>241</v>
      </c>
      <c r="BE388" s="4" t="s">
        <v>257</v>
      </c>
      <c r="BF388" s="4" t="s">
        <v>241</v>
      </c>
      <c r="BJ388" s="4" t="s">
        <v>288</v>
      </c>
      <c r="BK388" s="5" t="s">
        <v>289</v>
      </c>
      <c r="BL388" s="4" t="s">
        <v>290</v>
      </c>
      <c r="BM388" s="4" t="s">
        <v>290</v>
      </c>
      <c r="BN388" s="4" t="s">
        <v>241</v>
      </c>
      <c r="BP388" s="6">
        <f>-2577575</f>
        <v>-2577575</v>
      </c>
      <c r="BQ388" s="4" t="s">
        <v>263</v>
      </c>
      <c r="BR388" s="4" t="s">
        <v>264</v>
      </c>
      <c r="BS388" s="4" t="s">
        <v>241</v>
      </c>
      <c r="BT388" s="4" t="s">
        <v>241</v>
      </c>
      <c r="BU388" s="4" t="s">
        <v>241</v>
      </c>
      <c r="BV388" s="4" t="s">
        <v>241</v>
      </c>
      <c r="CE388" s="4" t="s">
        <v>264</v>
      </c>
      <c r="CF388" s="4" t="s">
        <v>241</v>
      </c>
      <c r="CG388" s="4" t="s">
        <v>241</v>
      </c>
      <c r="CK388" s="4" t="s">
        <v>291</v>
      </c>
      <c r="CL388" s="4" t="s">
        <v>266</v>
      </c>
      <c r="CM388" s="4" t="s">
        <v>241</v>
      </c>
      <c r="CO388" s="4" t="s">
        <v>331</v>
      </c>
      <c r="CP388" s="5" t="s">
        <v>268</v>
      </c>
      <c r="CQ388" s="4" t="s">
        <v>269</v>
      </c>
      <c r="CR388" s="4" t="s">
        <v>270</v>
      </c>
      <c r="CS388" s="4" t="s">
        <v>293</v>
      </c>
      <c r="CT388" s="4" t="s">
        <v>241</v>
      </c>
      <c r="CU388" s="4">
        <v>7.6999999999999999E-2</v>
      </c>
      <c r="CV388" s="4" t="s">
        <v>271</v>
      </c>
      <c r="CW388" s="4" t="s">
        <v>415</v>
      </c>
      <c r="CX388" s="4" t="s">
        <v>428</v>
      </c>
      <c r="CY388" s="6">
        <f>0</f>
        <v>0</v>
      </c>
      <c r="CZ388" s="6">
        <f>33475000</f>
        <v>33475000</v>
      </c>
      <c r="DA388" s="6">
        <f>28319850</f>
        <v>28319850</v>
      </c>
      <c r="DC388" s="4" t="s">
        <v>241</v>
      </c>
      <c r="DD388" s="4" t="s">
        <v>241</v>
      </c>
      <c r="DF388" s="4" t="s">
        <v>241</v>
      </c>
      <c r="DG388" s="6">
        <f>0</f>
        <v>0</v>
      </c>
      <c r="DI388" s="4" t="s">
        <v>241</v>
      </c>
      <c r="DJ388" s="4" t="s">
        <v>241</v>
      </c>
      <c r="DK388" s="4" t="s">
        <v>241</v>
      </c>
      <c r="DL388" s="4" t="s">
        <v>241</v>
      </c>
      <c r="DM388" s="4" t="s">
        <v>278</v>
      </c>
      <c r="DN388" s="4" t="s">
        <v>278</v>
      </c>
      <c r="DO388" s="6" t="s">
        <v>241</v>
      </c>
      <c r="DP388" s="4" t="s">
        <v>241</v>
      </c>
      <c r="DQ388" s="4" t="s">
        <v>241</v>
      </c>
      <c r="DR388" s="4" t="s">
        <v>241</v>
      </c>
      <c r="DS388" s="4" t="s">
        <v>241</v>
      </c>
      <c r="DV388" s="4" t="s">
        <v>746</v>
      </c>
      <c r="DW388" s="4" t="s">
        <v>351</v>
      </c>
      <c r="GN388" s="4" t="s">
        <v>2833</v>
      </c>
      <c r="HO388" s="4" t="s">
        <v>297</v>
      </c>
      <c r="HR388" s="4" t="s">
        <v>278</v>
      </c>
      <c r="HS388" s="4" t="s">
        <v>278</v>
      </c>
      <c r="HT388" s="4" t="s">
        <v>241</v>
      </c>
      <c r="HU388" s="4" t="s">
        <v>241</v>
      </c>
      <c r="HV388" s="4" t="s">
        <v>241</v>
      </c>
      <c r="HW388" s="4" t="s">
        <v>241</v>
      </c>
      <c r="HX388" s="4" t="s">
        <v>241</v>
      </c>
      <c r="HY388" s="4" t="s">
        <v>241</v>
      </c>
      <c r="HZ388" s="4" t="s">
        <v>241</v>
      </c>
      <c r="IA388" s="4" t="s">
        <v>241</v>
      </c>
      <c r="IB388" s="4" t="s">
        <v>241</v>
      </c>
      <c r="IC388" s="4" t="s">
        <v>241</v>
      </c>
      <c r="ID388" s="4" t="s">
        <v>241</v>
      </c>
      <c r="IE388" s="4" t="s">
        <v>241</v>
      </c>
      <c r="IF388" s="4" t="s">
        <v>241</v>
      </c>
    </row>
    <row r="389" spans="1:240" x14ac:dyDescent="0.4">
      <c r="A389" s="4">
        <v>2</v>
      </c>
      <c r="B389" s="4" t="s">
        <v>239</v>
      </c>
      <c r="C389" s="4">
        <v>420</v>
      </c>
      <c r="D389" s="4">
        <v>1</v>
      </c>
      <c r="E389" s="4">
        <v>3</v>
      </c>
      <c r="F389" s="4" t="s">
        <v>326</v>
      </c>
      <c r="G389" s="4" t="s">
        <v>241</v>
      </c>
      <c r="H389" s="4" t="s">
        <v>241</v>
      </c>
      <c r="I389" s="4" t="s">
        <v>743</v>
      </c>
      <c r="J389" s="4" t="s">
        <v>653</v>
      </c>
      <c r="K389" s="4" t="s">
        <v>256</v>
      </c>
      <c r="L389" s="4" t="s">
        <v>241</v>
      </c>
      <c r="M389" s="5" t="s">
        <v>745</v>
      </c>
      <c r="N389" s="4" t="s">
        <v>2744</v>
      </c>
      <c r="O389" s="6">
        <f>0</f>
        <v>0</v>
      </c>
      <c r="P389" s="4" t="s">
        <v>276</v>
      </c>
      <c r="Q389" s="6">
        <f>948291</f>
        <v>948291</v>
      </c>
      <c r="R389" s="6">
        <f>1027400</f>
        <v>1027400</v>
      </c>
      <c r="S389" s="5" t="s">
        <v>2831</v>
      </c>
      <c r="T389" s="4" t="s">
        <v>322</v>
      </c>
      <c r="U389" s="4" t="s">
        <v>278</v>
      </c>
      <c r="V389" s="6">
        <f>1027399</f>
        <v>1027399</v>
      </c>
      <c r="W389" s="6">
        <f>79109</f>
        <v>79109</v>
      </c>
      <c r="X389" s="4" t="s">
        <v>243</v>
      </c>
      <c r="Y389" s="4" t="s">
        <v>244</v>
      </c>
      <c r="Z389" s="4" t="s">
        <v>241</v>
      </c>
      <c r="AA389" s="4" t="s">
        <v>241</v>
      </c>
      <c r="AD389" s="4" t="s">
        <v>241</v>
      </c>
      <c r="AE389" s="5" t="s">
        <v>241</v>
      </c>
      <c r="AF389" s="5" t="s">
        <v>241</v>
      </c>
      <c r="AH389" s="5" t="s">
        <v>241</v>
      </c>
      <c r="AI389" s="5" t="s">
        <v>249</v>
      </c>
      <c r="AJ389" s="4" t="s">
        <v>251</v>
      </c>
      <c r="AK389" s="4" t="s">
        <v>252</v>
      </c>
      <c r="AQ389" s="4" t="s">
        <v>241</v>
      </c>
      <c r="AR389" s="4" t="s">
        <v>241</v>
      </c>
      <c r="AS389" s="4" t="s">
        <v>241</v>
      </c>
      <c r="AT389" s="5" t="s">
        <v>241</v>
      </c>
      <c r="AU389" s="5" t="s">
        <v>241</v>
      </c>
      <c r="AV389" s="5" t="s">
        <v>241</v>
      </c>
      <c r="AY389" s="4" t="s">
        <v>286</v>
      </c>
      <c r="AZ389" s="4" t="s">
        <v>286</v>
      </c>
      <c r="BA389" s="4" t="s">
        <v>254</v>
      </c>
      <c r="BB389" s="4" t="s">
        <v>287</v>
      </c>
      <c r="BC389" s="4" t="s">
        <v>255</v>
      </c>
      <c r="BD389" s="4" t="s">
        <v>241</v>
      </c>
      <c r="BE389" s="4" t="s">
        <v>257</v>
      </c>
      <c r="BF389" s="4" t="s">
        <v>241</v>
      </c>
      <c r="BJ389" s="4" t="s">
        <v>288</v>
      </c>
      <c r="BK389" s="5" t="s">
        <v>289</v>
      </c>
      <c r="BL389" s="4" t="s">
        <v>290</v>
      </c>
      <c r="BM389" s="4" t="s">
        <v>290</v>
      </c>
      <c r="BN389" s="4" t="s">
        <v>241</v>
      </c>
      <c r="BP389" s="6">
        <f>-79109</f>
        <v>-79109</v>
      </c>
      <c r="BQ389" s="4" t="s">
        <v>263</v>
      </c>
      <c r="BR389" s="4" t="s">
        <v>264</v>
      </c>
      <c r="BS389" s="4" t="s">
        <v>241</v>
      </c>
      <c r="BT389" s="4" t="s">
        <v>241</v>
      </c>
      <c r="BU389" s="4" t="s">
        <v>241</v>
      </c>
      <c r="BV389" s="4" t="s">
        <v>241</v>
      </c>
      <c r="CE389" s="4" t="s">
        <v>264</v>
      </c>
      <c r="CF389" s="4" t="s">
        <v>241</v>
      </c>
      <c r="CG389" s="4" t="s">
        <v>241</v>
      </c>
      <c r="CK389" s="4" t="s">
        <v>291</v>
      </c>
      <c r="CL389" s="4" t="s">
        <v>266</v>
      </c>
      <c r="CM389" s="4" t="s">
        <v>241</v>
      </c>
      <c r="CO389" s="4" t="s">
        <v>426</v>
      </c>
      <c r="CP389" s="5" t="s">
        <v>268</v>
      </c>
      <c r="CQ389" s="4" t="s">
        <v>269</v>
      </c>
      <c r="CR389" s="4" t="s">
        <v>270</v>
      </c>
      <c r="CS389" s="4" t="s">
        <v>293</v>
      </c>
      <c r="CT389" s="4" t="s">
        <v>241</v>
      </c>
      <c r="CU389" s="4">
        <v>7.6999999999999999E-2</v>
      </c>
      <c r="CV389" s="4" t="s">
        <v>271</v>
      </c>
      <c r="CW389" s="4" t="s">
        <v>415</v>
      </c>
      <c r="CX389" s="4" t="s">
        <v>428</v>
      </c>
      <c r="CY389" s="6">
        <f>0</f>
        <v>0</v>
      </c>
      <c r="CZ389" s="6">
        <f>1027400</f>
        <v>1027400</v>
      </c>
      <c r="DA389" s="6">
        <f>1</f>
        <v>1</v>
      </c>
      <c r="DC389" s="4" t="s">
        <v>241</v>
      </c>
      <c r="DD389" s="4" t="s">
        <v>241</v>
      </c>
      <c r="DF389" s="4" t="s">
        <v>241</v>
      </c>
      <c r="DG389" s="6">
        <f>0</f>
        <v>0</v>
      </c>
      <c r="DI389" s="4" t="s">
        <v>241</v>
      </c>
      <c r="DJ389" s="4" t="s">
        <v>241</v>
      </c>
      <c r="DK389" s="4" t="s">
        <v>241</v>
      </c>
      <c r="DL389" s="4" t="s">
        <v>241</v>
      </c>
      <c r="DM389" s="4" t="s">
        <v>278</v>
      </c>
      <c r="DN389" s="4" t="s">
        <v>278</v>
      </c>
      <c r="DO389" s="6" t="s">
        <v>241</v>
      </c>
      <c r="DP389" s="4" t="s">
        <v>241</v>
      </c>
      <c r="DQ389" s="4" t="s">
        <v>241</v>
      </c>
      <c r="DR389" s="4" t="s">
        <v>241</v>
      </c>
      <c r="DS389" s="4" t="s">
        <v>241</v>
      </c>
      <c r="DV389" s="4" t="s">
        <v>746</v>
      </c>
      <c r="DW389" s="4" t="s">
        <v>300</v>
      </c>
      <c r="GN389" s="4" t="s">
        <v>2832</v>
      </c>
      <c r="HO389" s="4" t="s">
        <v>323</v>
      </c>
      <c r="HR389" s="4" t="s">
        <v>278</v>
      </c>
      <c r="HS389" s="4" t="s">
        <v>278</v>
      </c>
      <c r="HT389" s="4" t="s">
        <v>241</v>
      </c>
      <c r="HU389" s="4" t="s">
        <v>241</v>
      </c>
      <c r="HV389" s="4" t="s">
        <v>241</v>
      </c>
      <c r="HW389" s="4" t="s">
        <v>241</v>
      </c>
      <c r="HX389" s="4" t="s">
        <v>241</v>
      </c>
      <c r="HY389" s="4" t="s">
        <v>241</v>
      </c>
      <c r="HZ389" s="4" t="s">
        <v>241</v>
      </c>
      <c r="IA389" s="4" t="s">
        <v>241</v>
      </c>
      <c r="IB389" s="4" t="s">
        <v>241</v>
      </c>
      <c r="IC389" s="4" t="s">
        <v>241</v>
      </c>
      <c r="ID389" s="4" t="s">
        <v>241</v>
      </c>
      <c r="IE389" s="4" t="s">
        <v>241</v>
      </c>
      <c r="IF389" s="4" t="s">
        <v>241</v>
      </c>
    </row>
    <row r="390" spans="1:240" x14ac:dyDescent="0.4">
      <c r="A390" s="4">
        <v>2</v>
      </c>
      <c r="B390" s="4" t="s">
        <v>239</v>
      </c>
      <c r="C390" s="4">
        <v>421</v>
      </c>
      <c r="D390" s="4">
        <v>1</v>
      </c>
      <c r="E390" s="4">
        <v>3</v>
      </c>
      <c r="F390" s="4" t="s">
        <v>240</v>
      </c>
      <c r="G390" s="4" t="s">
        <v>241</v>
      </c>
      <c r="H390" s="4" t="s">
        <v>241</v>
      </c>
      <c r="I390" s="4" t="s">
        <v>899</v>
      </c>
      <c r="J390" s="4" t="s">
        <v>653</v>
      </c>
      <c r="K390" s="4" t="s">
        <v>256</v>
      </c>
      <c r="L390" s="4" t="s">
        <v>651</v>
      </c>
      <c r="M390" s="5" t="s">
        <v>901</v>
      </c>
      <c r="N390" s="4" t="s">
        <v>651</v>
      </c>
      <c r="O390" s="6">
        <f>3103</f>
        <v>3103</v>
      </c>
      <c r="P390" s="4" t="s">
        <v>276</v>
      </c>
      <c r="Q390" s="6">
        <f>168120540</f>
        <v>168120540</v>
      </c>
      <c r="R390" s="6">
        <f>667145000</f>
        <v>667145000</v>
      </c>
      <c r="S390" s="5" t="s">
        <v>900</v>
      </c>
      <c r="T390" s="4" t="s">
        <v>668</v>
      </c>
      <c r="U390" s="4" t="s">
        <v>473</v>
      </c>
      <c r="V390" s="6">
        <f>14677190</f>
        <v>14677190</v>
      </c>
      <c r="W390" s="6">
        <f>499024460</f>
        <v>499024460</v>
      </c>
      <c r="X390" s="4" t="s">
        <v>243</v>
      </c>
      <c r="Y390" s="4" t="s">
        <v>244</v>
      </c>
      <c r="Z390" s="4" t="s">
        <v>465</v>
      </c>
      <c r="AA390" s="4" t="s">
        <v>241</v>
      </c>
      <c r="AD390" s="4" t="s">
        <v>241</v>
      </c>
      <c r="AE390" s="5" t="s">
        <v>241</v>
      </c>
      <c r="AF390" s="5" t="s">
        <v>241</v>
      </c>
      <c r="AH390" s="5" t="s">
        <v>241</v>
      </c>
      <c r="AI390" s="5" t="s">
        <v>249</v>
      </c>
      <c r="AJ390" s="4" t="s">
        <v>251</v>
      </c>
      <c r="AK390" s="4" t="s">
        <v>252</v>
      </c>
      <c r="AQ390" s="4" t="s">
        <v>241</v>
      </c>
      <c r="AR390" s="4" t="s">
        <v>241</v>
      </c>
      <c r="AS390" s="4" t="s">
        <v>241</v>
      </c>
      <c r="AT390" s="5" t="s">
        <v>241</v>
      </c>
      <c r="AU390" s="5" t="s">
        <v>241</v>
      </c>
      <c r="AV390" s="5" t="s">
        <v>241</v>
      </c>
      <c r="AY390" s="4" t="s">
        <v>286</v>
      </c>
      <c r="AZ390" s="4" t="s">
        <v>286</v>
      </c>
      <c r="BA390" s="4" t="s">
        <v>254</v>
      </c>
      <c r="BB390" s="4" t="s">
        <v>287</v>
      </c>
      <c r="BC390" s="4" t="s">
        <v>255</v>
      </c>
      <c r="BD390" s="4" t="s">
        <v>241</v>
      </c>
      <c r="BE390" s="4" t="s">
        <v>257</v>
      </c>
      <c r="BF390" s="4" t="s">
        <v>241</v>
      </c>
      <c r="BJ390" s="4" t="s">
        <v>288</v>
      </c>
      <c r="BK390" s="5" t="s">
        <v>289</v>
      </c>
      <c r="BL390" s="4" t="s">
        <v>290</v>
      </c>
      <c r="BM390" s="4" t="s">
        <v>290</v>
      </c>
      <c r="BN390" s="4" t="s">
        <v>241</v>
      </c>
      <c r="BO390" s="6">
        <f>0</f>
        <v>0</v>
      </c>
      <c r="BP390" s="6">
        <f>-14677190</f>
        <v>-14677190</v>
      </c>
      <c r="BQ390" s="4" t="s">
        <v>263</v>
      </c>
      <c r="BR390" s="4" t="s">
        <v>264</v>
      </c>
      <c r="BS390" s="4" t="s">
        <v>241</v>
      </c>
      <c r="BT390" s="4" t="s">
        <v>241</v>
      </c>
      <c r="BU390" s="4" t="s">
        <v>241</v>
      </c>
      <c r="BV390" s="4" t="s">
        <v>241</v>
      </c>
      <c r="CE390" s="4" t="s">
        <v>264</v>
      </c>
      <c r="CF390" s="4" t="s">
        <v>241</v>
      </c>
      <c r="CG390" s="4" t="s">
        <v>241</v>
      </c>
      <c r="CK390" s="4" t="s">
        <v>291</v>
      </c>
      <c r="CL390" s="4" t="s">
        <v>266</v>
      </c>
      <c r="CM390" s="4" t="s">
        <v>241</v>
      </c>
      <c r="CO390" s="4" t="s">
        <v>390</v>
      </c>
      <c r="CP390" s="5" t="s">
        <v>268</v>
      </c>
      <c r="CQ390" s="4" t="s">
        <v>269</v>
      </c>
      <c r="CR390" s="4" t="s">
        <v>270</v>
      </c>
      <c r="CS390" s="4" t="s">
        <v>293</v>
      </c>
      <c r="CT390" s="4" t="s">
        <v>241</v>
      </c>
      <c r="CU390" s="4">
        <v>2.1999999999999999E-2</v>
      </c>
      <c r="CV390" s="4" t="s">
        <v>271</v>
      </c>
      <c r="CW390" s="4" t="s">
        <v>655</v>
      </c>
      <c r="CX390" s="4" t="s">
        <v>295</v>
      </c>
      <c r="CY390" s="6">
        <f>0</f>
        <v>0</v>
      </c>
      <c r="CZ390" s="6">
        <f>667145000</f>
        <v>667145000</v>
      </c>
      <c r="DA390" s="6">
        <f>168120540</f>
        <v>168120540</v>
      </c>
      <c r="DC390" s="4" t="s">
        <v>241</v>
      </c>
      <c r="DD390" s="4" t="s">
        <v>241</v>
      </c>
      <c r="DF390" s="4" t="s">
        <v>241</v>
      </c>
      <c r="DG390" s="6">
        <f>0</f>
        <v>0</v>
      </c>
      <c r="DI390" s="4" t="s">
        <v>241</v>
      </c>
      <c r="DJ390" s="4" t="s">
        <v>241</v>
      </c>
      <c r="DK390" s="4" t="s">
        <v>241</v>
      </c>
      <c r="DL390" s="4" t="s">
        <v>241</v>
      </c>
      <c r="DM390" s="4" t="s">
        <v>297</v>
      </c>
      <c r="DN390" s="4" t="s">
        <v>278</v>
      </c>
      <c r="DO390" s="6">
        <f>3103</f>
        <v>3103</v>
      </c>
      <c r="DP390" s="4" t="s">
        <v>241</v>
      </c>
      <c r="DQ390" s="4" t="s">
        <v>241</v>
      </c>
      <c r="DR390" s="4" t="s">
        <v>241</v>
      </c>
      <c r="DS390" s="4" t="s">
        <v>241</v>
      </c>
      <c r="DV390" s="4" t="s">
        <v>902</v>
      </c>
      <c r="DW390" s="4" t="s">
        <v>277</v>
      </c>
      <c r="GN390" s="4" t="s">
        <v>903</v>
      </c>
      <c r="HO390" s="4" t="s">
        <v>300</v>
      </c>
      <c r="HR390" s="4" t="s">
        <v>278</v>
      </c>
      <c r="HS390" s="4" t="s">
        <v>278</v>
      </c>
      <c r="HT390" s="4" t="s">
        <v>241</v>
      </c>
      <c r="HU390" s="4" t="s">
        <v>241</v>
      </c>
      <c r="HV390" s="4" t="s">
        <v>241</v>
      </c>
      <c r="HW390" s="4" t="s">
        <v>241</v>
      </c>
      <c r="HX390" s="4" t="s">
        <v>241</v>
      </c>
      <c r="HY390" s="4" t="s">
        <v>241</v>
      </c>
      <c r="HZ390" s="4" t="s">
        <v>241</v>
      </c>
      <c r="IA390" s="4" t="s">
        <v>241</v>
      </c>
      <c r="IB390" s="4" t="s">
        <v>241</v>
      </c>
      <c r="IC390" s="4" t="s">
        <v>241</v>
      </c>
      <c r="ID390" s="4" t="s">
        <v>241</v>
      </c>
      <c r="IE390" s="4" t="s">
        <v>241</v>
      </c>
      <c r="IF390" s="4" t="s">
        <v>241</v>
      </c>
    </row>
    <row r="391" spans="1:240" x14ac:dyDescent="0.4">
      <c r="A391" s="4">
        <v>2</v>
      </c>
      <c r="B391" s="4" t="s">
        <v>239</v>
      </c>
      <c r="C391" s="4">
        <v>422</v>
      </c>
      <c r="D391" s="4">
        <v>1</v>
      </c>
      <c r="E391" s="4">
        <v>3</v>
      </c>
      <c r="F391" s="4" t="s">
        <v>240</v>
      </c>
      <c r="G391" s="4" t="s">
        <v>241</v>
      </c>
      <c r="H391" s="4" t="s">
        <v>241</v>
      </c>
      <c r="I391" s="4" t="s">
        <v>899</v>
      </c>
      <c r="J391" s="4" t="s">
        <v>653</v>
      </c>
      <c r="K391" s="4" t="s">
        <v>256</v>
      </c>
      <c r="L391" s="4" t="s">
        <v>1003</v>
      </c>
      <c r="M391" s="5" t="s">
        <v>901</v>
      </c>
      <c r="N391" s="4" t="s">
        <v>1003</v>
      </c>
      <c r="O391" s="6">
        <f>791</f>
        <v>791</v>
      </c>
      <c r="P391" s="4" t="s">
        <v>276</v>
      </c>
      <c r="Q391" s="6">
        <f>1</f>
        <v>1</v>
      </c>
      <c r="R391" s="6">
        <f>152663000</f>
        <v>152663000</v>
      </c>
      <c r="S391" s="5" t="s">
        <v>900</v>
      </c>
      <c r="T391" s="4" t="s">
        <v>357</v>
      </c>
      <c r="U391" s="4" t="s">
        <v>473</v>
      </c>
      <c r="V391" s="6">
        <f>1526629</f>
        <v>1526629</v>
      </c>
      <c r="W391" s="6">
        <f>152662999</f>
        <v>152662999</v>
      </c>
      <c r="X391" s="4" t="s">
        <v>243</v>
      </c>
      <c r="Y391" s="4" t="s">
        <v>244</v>
      </c>
      <c r="Z391" s="4" t="s">
        <v>465</v>
      </c>
      <c r="AA391" s="4" t="s">
        <v>241</v>
      </c>
      <c r="AD391" s="4" t="s">
        <v>241</v>
      </c>
      <c r="AE391" s="5" t="s">
        <v>241</v>
      </c>
      <c r="AF391" s="5" t="s">
        <v>241</v>
      </c>
      <c r="AH391" s="5" t="s">
        <v>241</v>
      </c>
      <c r="AI391" s="5" t="s">
        <v>249</v>
      </c>
      <c r="AJ391" s="4" t="s">
        <v>251</v>
      </c>
      <c r="AK391" s="4" t="s">
        <v>252</v>
      </c>
      <c r="AQ391" s="4" t="s">
        <v>241</v>
      </c>
      <c r="AR391" s="4" t="s">
        <v>241</v>
      </c>
      <c r="AS391" s="4" t="s">
        <v>241</v>
      </c>
      <c r="AT391" s="5" t="s">
        <v>241</v>
      </c>
      <c r="AU391" s="5" t="s">
        <v>241</v>
      </c>
      <c r="AV391" s="5" t="s">
        <v>241</v>
      </c>
      <c r="AY391" s="4" t="s">
        <v>286</v>
      </c>
      <c r="AZ391" s="4" t="s">
        <v>286</v>
      </c>
      <c r="BA391" s="4" t="s">
        <v>254</v>
      </c>
      <c r="BB391" s="4" t="s">
        <v>287</v>
      </c>
      <c r="BC391" s="4" t="s">
        <v>255</v>
      </c>
      <c r="BD391" s="4" t="s">
        <v>241</v>
      </c>
      <c r="BE391" s="4" t="s">
        <v>257</v>
      </c>
      <c r="BF391" s="4" t="s">
        <v>241</v>
      </c>
      <c r="BJ391" s="4" t="s">
        <v>288</v>
      </c>
      <c r="BK391" s="5" t="s">
        <v>289</v>
      </c>
      <c r="BL391" s="4" t="s">
        <v>290</v>
      </c>
      <c r="BM391" s="4" t="s">
        <v>290</v>
      </c>
      <c r="BN391" s="4" t="s">
        <v>241</v>
      </c>
      <c r="BO391" s="6">
        <f>0</f>
        <v>0</v>
      </c>
      <c r="BP391" s="6">
        <f>-1526629</f>
        <v>-1526629</v>
      </c>
      <c r="BQ391" s="4" t="s">
        <v>263</v>
      </c>
      <c r="BR391" s="4" t="s">
        <v>264</v>
      </c>
      <c r="BS391" s="4" t="s">
        <v>241</v>
      </c>
      <c r="BT391" s="4" t="s">
        <v>241</v>
      </c>
      <c r="BU391" s="4" t="s">
        <v>241</v>
      </c>
      <c r="BV391" s="4" t="s">
        <v>241</v>
      </c>
      <c r="CE391" s="4" t="s">
        <v>264</v>
      </c>
      <c r="CF391" s="4" t="s">
        <v>241</v>
      </c>
      <c r="CG391" s="4" t="s">
        <v>241</v>
      </c>
      <c r="CK391" s="4" t="s">
        <v>291</v>
      </c>
      <c r="CL391" s="4" t="s">
        <v>266</v>
      </c>
      <c r="CM391" s="4" t="s">
        <v>241</v>
      </c>
      <c r="CO391" s="4" t="s">
        <v>390</v>
      </c>
      <c r="CP391" s="5" t="s">
        <v>268</v>
      </c>
      <c r="CQ391" s="4" t="s">
        <v>269</v>
      </c>
      <c r="CR391" s="4" t="s">
        <v>270</v>
      </c>
      <c r="CS391" s="4" t="s">
        <v>293</v>
      </c>
      <c r="CT391" s="4" t="s">
        <v>241</v>
      </c>
      <c r="CU391" s="4">
        <v>0.03</v>
      </c>
      <c r="CV391" s="4" t="s">
        <v>271</v>
      </c>
      <c r="CW391" s="4" t="s">
        <v>1006</v>
      </c>
      <c r="CX391" s="4" t="s">
        <v>487</v>
      </c>
      <c r="CY391" s="6">
        <f>0</f>
        <v>0</v>
      </c>
      <c r="CZ391" s="6">
        <f>152663000</f>
        <v>152663000</v>
      </c>
      <c r="DA391" s="6">
        <f>1</f>
        <v>1</v>
      </c>
      <c r="DC391" s="4" t="s">
        <v>241</v>
      </c>
      <c r="DD391" s="4" t="s">
        <v>241</v>
      </c>
      <c r="DF391" s="4" t="s">
        <v>241</v>
      </c>
      <c r="DG391" s="6">
        <f>0</f>
        <v>0</v>
      </c>
      <c r="DI391" s="4" t="s">
        <v>241</v>
      </c>
      <c r="DJ391" s="4" t="s">
        <v>241</v>
      </c>
      <c r="DK391" s="4" t="s">
        <v>241</v>
      </c>
      <c r="DL391" s="4" t="s">
        <v>241</v>
      </c>
      <c r="DM391" s="4" t="s">
        <v>323</v>
      </c>
      <c r="DN391" s="4" t="s">
        <v>278</v>
      </c>
      <c r="DO391" s="6">
        <f>791</f>
        <v>791</v>
      </c>
      <c r="DP391" s="4" t="s">
        <v>241</v>
      </c>
      <c r="DQ391" s="4" t="s">
        <v>241</v>
      </c>
      <c r="DR391" s="4" t="s">
        <v>241</v>
      </c>
      <c r="DS391" s="4" t="s">
        <v>241</v>
      </c>
      <c r="DV391" s="4" t="s">
        <v>902</v>
      </c>
      <c r="DW391" s="4" t="s">
        <v>323</v>
      </c>
      <c r="GN391" s="4" t="s">
        <v>1019</v>
      </c>
      <c r="HO391" s="4" t="s">
        <v>300</v>
      </c>
      <c r="HR391" s="4" t="s">
        <v>278</v>
      </c>
      <c r="HS391" s="4" t="s">
        <v>278</v>
      </c>
      <c r="HT391" s="4" t="s">
        <v>241</v>
      </c>
      <c r="HU391" s="4" t="s">
        <v>241</v>
      </c>
      <c r="HV391" s="4" t="s">
        <v>241</v>
      </c>
      <c r="HW391" s="4" t="s">
        <v>241</v>
      </c>
      <c r="HX391" s="4" t="s">
        <v>241</v>
      </c>
      <c r="HY391" s="4" t="s">
        <v>241</v>
      </c>
      <c r="HZ391" s="4" t="s">
        <v>241</v>
      </c>
      <c r="IA391" s="4" t="s">
        <v>241</v>
      </c>
      <c r="IB391" s="4" t="s">
        <v>241</v>
      </c>
      <c r="IC391" s="4" t="s">
        <v>241</v>
      </c>
      <c r="ID391" s="4" t="s">
        <v>241</v>
      </c>
      <c r="IE391" s="4" t="s">
        <v>241</v>
      </c>
      <c r="IF391" s="4" t="s">
        <v>241</v>
      </c>
    </row>
    <row r="392" spans="1:240" x14ac:dyDescent="0.4">
      <c r="A392" s="4">
        <v>2</v>
      </c>
      <c r="B392" s="4" t="s">
        <v>239</v>
      </c>
      <c r="C392" s="4">
        <v>423</v>
      </c>
      <c r="D392" s="4">
        <v>1</v>
      </c>
      <c r="E392" s="4">
        <v>1</v>
      </c>
      <c r="F392" s="4" t="s">
        <v>240</v>
      </c>
      <c r="G392" s="4" t="s">
        <v>241</v>
      </c>
      <c r="H392" s="4" t="s">
        <v>241</v>
      </c>
      <c r="I392" s="4" t="s">
        <v>899</v>
      </c>
      <c r="J392" s="4" t="s">
        <v>653</v>
      </c>
      <c r="K392" s="4" t="s">
        <v>256</v>
      </c>
      <c r="L392" s="4" t="s">
        <v>429</v>
      </c>
      <c r="M392" s="5" t="s">
        <v>901</v>
      </c>
      <c r="N392" s="4" t="s">
        <v>429</v>
      </c>
      <c r="O392" s="6">
        <f>26</f>
        <v>26</v>
      </c>
      <c r="P392" s="4" t="s">
        <v>276</v>
      </c>
      <c r="Q392" s="6">
        <f>1</f>
        <v>1</v>
      </c>
      <c r="R392" s="6">
        <f>2366000</f>
        <v>2366000</v>
      </c>
      <c r="S392" s="5" t="s">
        <v>3724</v>
      </c>
      <c r="T392" s="4" t="s">
        <v>348</v>
      </c>
      <c r="U392" s="4" t="s">
        <v>384</v>
      </c>
      <c r="W392" s="6">
        <f>2365999</f>
        <v>2365999</v>
      </c>
      <c r="X392" s="4" t="s">
        <v>243</v>
      </c>
      <c r="Y392" s="4" t="s">
        <v>244</v>
      </c>
      <c r="Z392" s="4" t="s">
        <v>465</v>
      </c>
      <c r="AA392" s="4" t="s">
        <v>241</v>
      </c>
      <c r="AD392" s="4" t="s">
        <v>241</v>
      </c>
      <c r="AF392" s="5" t="s">
        <v>241</v>
      </c>
      <c r="AI392" s="5" t="s">
        <v>249</v>
      </c>
      <c r="AJ392" s="4" t="s">
        <v>251</v>
      </c>
      <c r="AK392" s="4" t="s">
        <v>252</v>
      </c>
      <c r="BA392" s="4" t="s">
        <v>254</v>
      </c>
      <c r="BB392" s="4" t="s">
        <v>241</v>
      </c>
      <c r="BC392" s="4" t="s">
        <v>255</v>
      </c>
      <c r="BD392" s="4" t="s">
        <v>241</v>
      </c>
      <c r="BE392" s="4" t="s">
        <v>257</v>
      </c>
      <c r="BF392" s="4" t="s">
        <v>241</v>
      </c>
      <c r="BJ392" s="4" t="s">
        <v>367</v>
      </c>
      <c r="BK392" s="5" t="s">
        <v>249</v>
      </c>
      <c r="BL392" s="4" t="s">
        <v>261</v>
      </c>
      <c r="BM392" s="4" t="s">
        <v>262</v>
      </c>
      <c r="BN392" s="4" t="s">
        <v>241</v>
      </c>
      <c r="BO392" s="6">
        <f>0</f>
        <v>0</v>
      </c>
      <c r="BP392" s="6">
        <f>0</f>
        <v>0</v>
      </c>
      <c r="BQ392" s="4" t="s">
        <v>263</v>
      </c>
      <c r="BR392" s="4" t="s">
        <v>264</v>
      </c>
      <c r="CF392" s="4" t="s">
        <v>241</v>
      </c>
      <c r="CG392" s="4" t="s">
        <v>241</v>
      </c>
      <c r="CK392" s="4" t="s">
        <v>291</v>
      </c>
      <c r="CL392" s="4" t="s">
        <v>266</v>
      </c>
      <c r="CM392" s="4" t="s">
        <v>241</v>
      </c>
      <c r="CO392" s="4" t="s">
        <v>383</v>
      </c>
      <c r="CP392" s="5" t="s">
        <v>268</v>
      </c>
      <c r="CQ392" s="4" t="s">
        <v>269</v>
      </c>
      <c r="CR392" s="4" t="s">
        <v>270</v>
      </c>
      <c r="CS392" s="4" t="s">
        <v>241</v>
      </c>
      <c r="CT392" s="4" t="s">
        <v>241</v>
      </c>
      <c r="CU392" s="4">
        <v>0</v>
      </c>
      <c r="CV392" s="4" t="s">
        <v>271</v>
      </c>
      <c r="CW392" s="4" t="s">
        <v>272</v>
      </c>
      <c r="CX392" s="4" t="s">
        <v>347</v>
      </c>
      <c r="CZ392" s="6">
        <f>2366000</f>
        <v>2366000</v>
      </c>
      <c r="DA392" s="6">
        <f>0</f>
        <v>0</v>
      </c>
      <c r="DC392" s="4" t="s">
        <v>241</v>
      </c>
      <c r="DD392" s="4" t="s">
        <v>241</v>
      </c>
      <c r="DF392" s="4" t="s">
        <v>241</v>
      </c>
      <c r="DI392" s="4" t="s">
        <v>241</v>
      </c>
      <c r="DJ392" s="4" t="s">
        <v>241</v>
      </c>
      <c r="DK392" s="4" t="s">
        <v>241</v>
      </c>
      <c r="DL392" s="4" t="s">
        <v>241</v>
      </c>
      <c r="DM392" s="4" t="s">
        <v>277</v>
      </c>
      <c r="DN392" s="4" t="s">
        <v>278</v>
      </c>
      <c r="DO392" s="6">
        <f>26</f>
        <v>26</v>
      </c>
      <c r="DP392" s="4" t="s">
        <v>241</v>
      </c>
      <c r="DQ392" s="4" t="s">
        <v>241</v>
      </c>
      <c r="DR392" s="4" t="s">
        <v>241</v>
      </c>
      <c r="DS392" s="4" t="s">
        <v>241</v>
      </c>
      <c r="DV392" s="4" t="s">
        <v>902</v>
      </c>
      <c r="DW392" s="4" t="s">
        <v>297</v>
      </c>
      <c r="HO392" s="4" t="s">
        <v>277</v>
      </c>
      <c r="HR392" s="4" t="s">
        <v>278</v>
      </c>
      <c r="HS392" s="4" t="s">
        <v>278</v>
      </c>
    </row>
    <row r="393" spans="1:240" x14ac:dyDescent="0.4">
      <c r="A393" s="4">
        <v>2</v>
      </c>
      <c r="B393" s="4" t="s">
        <v>239</v>
      </c>
      <c r="C393" s="4">
        <v>424</v>
      </c>
      <c r="D393" s="4">
        <v>1</v>
      </c>
      <c r="E393" s="4">
        <v>1</v>
      </c>
      <c r="F393" s="4" t="s">
        <v>240</v>
      </c>
      <c r="G393" s="4" t="s">
        <v>241</v>
      </c>
      <c r="H393" s="4" t="s">
        <v>241</v>
      </c>
      <c r="I393" s="4" t="s">
        <v>899</v>
      </c>
      <c r="J393" s="4" t="s">
        <v>653</v>
      </c>
      <c r="K393" s="4" t="s">
        <v>256</v>
      </c>
      <c r="L393" s="4" t="s">
        <v>340</v>
      </c>
      <c r="M393" s="5" t="s">
        <v>901</v>
      </c>
      <c r="N393" s="4" t="s">
        <v>340</v>
      </c>
      <c r="O393" s="6">
        <f>10</f>
        <v>10</v>
      </c>
      <c r="P393" s="4" t="s">
        <v>276</v>
      </c>
      <c r="Q393" s="6">
        <f>1</f>
        <v>1</v>
      </c>
      <c r="R393" s="6">
        <f>3570000</f>
        <v>3570000</v>
      </c>
      <c r="S393" s="5" t="s">
        <v>1146</v>
      </c>
      <c r="T393" s="4" t="s">
        <v>348</v>
      </c>
      <c r="U393" s="4" t="s">
        <v>453</v>
      </c>
      <c r="W393" s="6">
        <f>3569999</f>
        <v>3569999</v>
      </c>
      <c r="X393" s="4" t="s">
        <v>243</v>
      </c>
      <c r="Y393" s="4" t="s">
        <v>244</v>
      </c>
      <c r="Z393" s="4" t="s">
        <v>465</v>
      </c>
      <c r="AA393" s="4" t="s">
        <v>241</v>
      </c>
      <c r="AD393" s="4" t="s">
        <v>241</v>
      </c>
      <c r="AF393" s="5" t="s">
        <v>241</v>
      </c>
      <c r="AI393" s="5" t="s">
        <v>249</v>
      </c>
      <c r="AJ393" s="4" t="s">
        <v>251</v>
      </c>
      <c r="AK393" s="4" t="s">
        <v>252</v>
      </c>
      <c r="BA393" s="4" t="s">
        <v>254</v>
      </c>
      <c r="BB393" s="4" t="s">
        <v>241</v>
      </c>
      <c r="BC393" s="4" t="s">
        <v>255</v>
      </c>
      <c r="BD393" s="4" t="s">
        <v>241</v>
      </c>
      <c r="BE393" s="4" t="s">
        <v>257</v>
      </c>
      <c r="BF393" s="4" t="s">
        <v>241</v>
      </c>
      <c r="BJ393" s="4" t="s">
        <v>367</v>
      </c>
      <c r="BK393" s="5" t="s">
        <v>249</v>
      </c>
      <c r="BL393" s="4" t="s">
        <v>261</v>
      </c>
      <c r="BM393" s="4" t="s">
        <v>262</v>
      </c>
      <c r="BN393" s="4" t="s">
        <v>241</v>
      </c>
      <c r="BO393" s="6">
        <f>0</f>
        <v>0</v>
      </c>
      <c r="BP393" s="6">
        <f>0</f>
        <v>0</v>
      </c>
      <c r="BQ393" s="4" t="s">
        <v>263</v>
      </c>
      <c r="BR393" s="4" t="s">
        <v>264</v>
      </c>
      <c r="CF393" s="4" t="s">
        <v>241</v>
      </c>
      <c r="CG393" s="4" t="s">
        <v>241</v>
      </c>
      <c r="CK393" s="4" t="s">
        <v>291</v>
      </c>
      <c r="CL393" s="4" t="s">
        <v>266</v>
      </c>
      <c r="CM393" s="4" t="s">
        <v>241</v>
      </c>
      <c r="CO393" s="4" t="s">
        <v>452</v>
      </c>
      <c r="CP393" s="5" t="s">
        <v>268</v>
      </c>
      <c r="CQ393" s="4" t="s">
        <v>269</v>
      </c>
      <c r="CR393" s="4" t="s">
        <v>270</v>
      </c>
      <c r="CS393" s="4" t="s">
        <v>241</v>
      </c>
      <c r="CT393" s="4" t="s">
        <v>241</v>
      </c>
      <c r="CU393" s="4">
        <v>0</v>
      </c>
      <c r="CV393" s="4" t="s">
        <v>271</v>
      </c>
      <c r="CW393" s="4" t="s">
        <v>332</v>
      </c>
      <c r="CX393" s="4" t="s">
        <v>347</v>
      </c>
      <c r="CZ393" s="6">
        <f>3570000</f>
        <v>3570000</v>
      </c>
      <c r="DA393" s="6">
        <f>0</f>
        <v>0</v>
      </c>
      <c r="DC393" s="4" t="s">
        <v>241</v>
      </c>
      <c r="DD393" s="4" t="s">
        <v>241</v>
      </c>
      <c r="DF393" s="4" t="s">
        <v>241</v>
      </c>
      <c r="DI393" s="4" t="s">
        <v>241</v>
      </c>
      <c r="DJ393" s="4" t="s">
        <v>241</v>
      </c>
      <c r="DK393" s="4" t="s">
        <v>241</v>
      </c>
      <c r="DL393" s="4" t="s">
        <v>241</v>
      </c>
      <c r="DM393" s="4" t="s">
        <v>277</v>
      </c>
      <c r="DN393" s="4" t="s">
        <v>278</v>
      </c>
      <c r="DO393" s="6">
        <f>10</f>
        <v>10</v>
      </c>
      <c r="DP393" s="4" t="s">
        <v>241</v>
      </c>
      <c r="DQ393" s="4" t="s">
        <v>241</v>
      </c>
      <c r="DR393" s="4" t="s">
        <v>241</v>
      </c>
      <c r="DS393" s="4" t="s">
        <v>241</v>
      </c>
      <c r="DV393" s="4" t="s">
        <v>902</v>
      </c>
      <c r="DW393" s="4" t="s">
        <v>336</v>
      </c>
      <c r="HO393" s="4" t="s">
        <v>277</v>
      </c>
      <c r="HR393" s="4" t="s">
        <v>278</v>
      </c>
      <c r="HS393" s="4" t="s">
        <v>278</v>
      </c>
    </row>
    <row r="394" spans="1:240" x14ac:dyDescent="0.4">
      <c r="A394" s="4">
        <v>2</v>
      </c>
      <c r="B394" s="4" t="s">
        <v>239</v>
      </c>
      <c r="C394" s="4">
        <v>425</v>
      </c>
      <c r="D394" s="4">
        <v>1</v>
      </c>
      <c r="E394" s="4">
        <v>1</v>
      </c>
      <c r="F394" s="4" t="s">
        <v>240</v>
      </c>
      <c r="G394" s="4" t="s">
        <v>241</v>
      </c>
      <c r="H394" s="4" t="s">
        <v>241</v>
      </c>
      <c r="I394" s="4" t="s">
        <v>899</v>
      </c>
      <c r="J394" s="4" t="s">
        <v>653</v>
      </c>
      <c r="K394" s="4" t="s">
        <v>256</v>
      </c>
      <c r="L394" s="4" t="s">
        <v>2529</v>
      </c>
      <c r="M394" s="5" t="s">
        <v>901</v>
      </c>
      <c r="N394" s="4" t="s">
        <v>2529</v>
      </c>
      <c r="O394" s="6">
        <f>49</f>
        <v>49</v>
      </c>
      <c r="P394" s="4" t="s">
        <v>276</v>
      </c>
      <c r="Q394" s="6">
        <f>1</f>
        <v>1</v>
      </c>
      <c r="R394" s="6">
        <f>4459000</f>
        <v>4459000</v>
      </c>
      <c r="S394" s="5" t="s">
        <v>2944</v>
      </c>
      <c r="T394" s="4" t="s">
        <v>348</v>
      </c>
      <c r="U394" s="4" t="s">
        <v>384</v>
      </c>
      <c r="W394" s="6">
        <f>4458999</f>
        <v>4458999</v>
      </c>
      <c r="X394" s="4" t="s">
        <v>243</v>
      </c>
      <c r="Y394" s="4" t="s">
        <v>244</v>
      </c>
      <c r="Z394" s="4" t="s">
        <v>465</v>
      </c>
      <c r="AA394" s="4" t="s">
        <v>241</v>
      </c>
      <c r="AD394" s="4" t="s">
        <v>241</v>
      </c>
      <c r="AF394" s="5" t="s">
        <v>241</v>
      </c>
      <c r="AI394" s="5" t="s">
        <v>249</v>
      </c>
      <c r="AJ394" s="4" t="s">
        <v>251</v>
      </c>
      <c r="AK394" s="4" t="s">
        <v>252</v>
      </c>
      <c r="BA394" s="4" t="s">
        <v>254</v>
      </c>
      <c r="BB394" s="4" t="s">
        <v>241</v>
      </c>
      <c r="BC394" s="4" t="s">
        <v>255</v>
      </c>
      <c r="BD394" s="4" t="s">
        <v>241</v>
      </c>
      <c r="BE394" s="4" t="s">
        <v>257</v>
      </c>
      <c r="BF394" s="4" t="s">
        <v>241</v>
      </c>
      <c r="BJ394" s="4" t="s">
        <v>367</v>
      </c>
      <c r="BK394" s="5" t="s">
        <v>249</v>
      </c>
      <c r="BL394" s="4" t="s">
        <v>261</v>
      </c>
      <c r="BM394" s="4" t="s">
        <v>262</v>
      </c>
      <c r="BN394" s="4" t="s">
        <v>241</v>
      </c>
      <c r="BO394" s="6">
        <f>0</f>
        <v>0</v>
      </c>
      <c r="BP394" s="6">
        <f>0</f>
        <v>0</v>
      </c>
      <c r="BQ394" s="4" t="s">
        <v>263</v>
      </c>
      <c r="BR394" s="4" t="s">
        <v>264</v>
      </c>
      <c r="CF394" s="4" t="s">
        <v>241</v>
      </c>
      <c r="CG394" s="4" t="s">
        <v>241</v>
      </c>
      <c r="CK394" s="4" t="s">
        <v>291</v>
      </c>
      <c r="CL394" s="4" t="s">
        <v>266</v>
      </c>
      <c r="CM394" s="4" t="s">
        <v>241</v>
      </c>
      <c r="CO394" s="4" t="s">
        <v>383</v>
      </c>
      <c r="CP394" s="5" t="s">
        <v>268</v>
      </c>
      <c r="CQ394" s="4" t="s">
        <v>269</v>
      </c>
      <c r="CR394" s="4" t="s">
        <v>270</v>
      </c>
      <c r="CS394" s="4" t="s">
        <v>241</v>
      </c>
      <c r="CT394" s="4" t="s">
        <v>241</v>
      </c>
      <c r="CU394" s="4">
        <v>0</v>
      </c>
      <c r="CV394" s="4" t="s">
        <v>271</v>
      </c>
      <c r="CW394" s="4" t="s">
        <v>415</v>
      </c>
      <c r="CX394" s="4" t="s">
        <v>416</v>
      </c>
      <c r="CZ394" s="6">
        <f>4459000</f>
        <v>4459000</v>
      </c>
      <c r="DA394" s="6">
        <f>0</f>
        <v>0</v>
      </c>
      <c r="DC394" s="4" t="s">
        <v>241</v>
      </c>
      <c r="DD394" s="4" t="s">
        <v>241</v>
      </c>
      <c r="DF394" s="4" t="s">
        <v>241</v>
      </c>
      <c r="DI394" s="4" t="s">
        <v>241</v>
      </c>
      <c r="DJ394" s="4" t="s">
        <v>241</v>
      </c>
      <c r="DK394" s="4" t="s">
        <v>241</v>
      </c>
      <c r="DL394" s="4" t="s">
        <v>241</v>
      </c>
      <c r="DM394" s="4" t="s">
        <v>277</v>
      </c>
      <c r="DN394" s="4" t="s">
        <v>278</v>
      </c>
      <c r="DO394" s="6">
        <f>49</f>
        <v>49</v>
      </c>
      <c r="DP394" s="4" t="s">
        <v>241</v>
      </c>
      <c r="DQ394" s="4" t="s">
        <v>241</v>
      </c>
      <c r="DR394" s="4" t="s">
        <v>241</v>
      </c>
      <c r="DS394" s="4" t="s">
        <v>241</v>
      </c>
      <c r="DV394" s="4" t="s">
        <v>902</v>
      </c>
      <c r="DW394" s="4" t="s">
        <v>351</v>
      </c>
      <c r="HO394" s="4" t="s">
        <v>277</v>
      </c>
      <c r="HR394" s="4" t="s">
        <v>278</v>
      </c>
      <c r="HS394" s="4" t="s">
        <v>278</v>
      </c>
    </row>
    <row r="395" spans="1:240" x14ac:dyDescent="0.4">
      <c r="A395" s="4">
        <v>2</v>
      </c>
      <c r="B395" s="4" t="s">
        <v>239</v>
      </c>
      <c r="C395" s="4">
        <v>426</v>
      </c>
      <c r="D395" s="4">
        <v>1</v>
      </c>
      <c r="E395" s="4">
        <v>3</v>
      </c>
      <c r="F395" s="4" t="s">
        <v>326</v>
      </c>
      <c r="G395" s="4" t="s">
        <v>241</v>
      </c>
      <c r="H395" s="4" t="s">
        <v>241</v>
      </c>
      <c r="I395" s="4" t="s">
        <v>899</v>
      </c>
      <c r="J395" s="4" t="s">
        <v>653</v>
      </c>
      <c r="K395" s="4" t="s">
        <v>256</v>
      </c>
      <c r="L395" s="4" t="s">
        <v>241</v>
      </c>
      <c r="M395" s="5" t="s">
        <v>901</v>
      </c>
      <c r="N395" s="4" t="s">
        <v>2747</v>
      </c>
      <c r="O395" s="6">
        <f>0</f>
        <v>0</v>
      </c>
      <c r="P395" s="4" t="s">
        <v>276</v>
      </c>
      <c r="Q395" s="6">
        <f>28160742</f>
        <v>28160742</v>
      </c>
      <c r="R395" s="6">
        <f>33286928</f>
        <v>33286928</v>
      </c>
      <c r="S395" s="5" t="s">
        <v>1104</v>
      </c>
      <c r="T395" s="4" t="s">
        <v>322</v>
      </c>
      <c r="U395" s="4" t="s">
        <v>277</v>
      </c>
      <c r="V395" s="6">
        <f>2563093</f>
        <v>2563093</v>
      </c>
      <c r="W395" s="6">
        <f>5126186</f>
        <v>5126186</v>
      </c>
      <c r="X395" s="4" t="s">
        <v>243</v>
      </c>
      <c r="Y395" s="4" t="s">
        <v>244</v>
      </c>
      <c r="Z395" s="4" t="s">
        <v>241</v>
      </c>
      <c r="AA395" s="4" t="s">
        <v>241</v>
      </c>
      <c r="AD395" s="4" t="s">
        <v>241</v>
      </c>
      <c r="AE395" s="5" t="s">
        <v>241</v>
      </c>
      <c r="AF395" s="5" t="s">
        <v>241</v>
      </c>
      <c r="AH395" s="5" t="s">
        <v>241</v>
      </c>
      <c r="AI395" s="5" t="s">
        <v>249</v>
      </c>
      <c r="AJ395" s="4" t="s">
        <v>251</v>
      </c>
      <c r="AK395" s="4" t="s">
        <v>252</v>
      </c>
      <c r="AQ395" s="4" t="s">
        <v>241</v>
      </c>
      <c r="AR395" s="4" t="s">
        <v>241</v>
      </c>
      <c r="AS395" s="4" t="s">
        <v>241</v>
      </c>
      <c r="AT395" s="5" t="s">
        <v>241</v>
      </c>
      <c r="AU395" s="5" t="s">
        <v>241</v>
      </c>
      <c r="AV395" s="5" t="s">
        <v>241</v>
      </c>
      <c r="AY395" s="4" t="s">
        <v>286</v>
      </c>
      <c r="AZ395" s="4" t="s">
        <v>286</v>
      </c>
      <c r="BA395" s="4" t="s">
        <v>254</v>
      </c>
      <c r="BB395" s="4" t="s">
        <v>287</v>
      </c>
      <c r="BC395" s="4" t="s">
        <v>255</v>
      </c>
      <c r="BD395" s="4" t="s">
        <v>241</v>
      </c>
      <c r="BE395" s="4" t="s">
        <v>257</v>
      </c>
      <c r="BF395" s="4" t="s">
        <v>241</v>
      </c>
      <c r="BJ395" s="4" t="s">
        <v>288</v>
      </c>
      <c r="BK395" s="5" t="s">
        <v>289</v>
      </c>
      <c r="BL395" s="4" t="s">
        <v>290</v>
      </c>
      <c r="BM395" s="4" t="s">
        <v>290</v>
      </c>
      <c r="BN395" s="4" t="s">
        <v>241</v>
      </c>
      <c r="BP395" s="6">
        <f>-2563093</f>
        <v>-2563093</v>
      </c>
      <c r="BQ395" s="4" t="s">
        <v>263</v>
      </c>
      <c r="BR395" s="4" t="s">
        <v>264</v>
      </c>
      <c r="BS395" s="4" t="s">
        <v>241</v>
      </c>
      <c r="BT395" s="4" t="s">
        <v>241</v>
      </c>
      <c r="BU395" s="4" t="s">
        <v>241</v>
      </c>
      <c r="BV395" s="4" t="s">
        <v>241</v>
      </c>
      <c r="CE395" s="4" t="s">
        <v>264</v>
      </c>
      <c r="CF395" s="4" t="s">
        <v>241</v>
      </c>
      <c r="CG395" s="4" t="s">
        <v>241</v>
      </c>
      <c r="CK395" s="4" t="s">
        <v>291</v>
      </c>
      <c r="CL395" s="4" t="s">
        <v>266</v>
      </c>
      <c r="CM395" s="4" t="s">
        <v>241</v>
      </c>
      <c r="CO395" s="4" t="s">
        <v>331</v>
      </c>
      <c r="CP395" s="5" t="s">
        <v>268</v>
      </c>
      <c r="CQ395" s="4" t="s">
        <v>269</v>
      </c>
      <c r="CR395" s="4" t="s">
        <v>270</v>
      </c>
      <c r="CS395" s="4" t="s">
        <v>293</v>
      </c>
      <c r="CT395" s="4" t="s">
        <v>241</v>
      </c>
      <c r="CU395" s="4">
        <v>7.6999999999999999E-2</v>
      </c>
      <c r="CV395" s="4" t="s">
        <v>271</v>
      </c>
      <c r="CW395" s="4" t="s">
        <v>415</v>
      </c>
      <c r="CX395" s="4" t="s">
        <v>428</v>
      </c>
      <c r="CY395" s="6">
        <f>0</f>
        <v>0</v>
      </c>
      <c r="CZ395" s="6">
        <f>33286928</f>
        <v>33286928</v>
      </c>
      <c r="DA395" s="6">
        <f>28160742</f>
        <v>28160742</v>
      </c>
      <c r="DC395" s="4" t="s">
        <v>241</v>
      </c>
      <c r="DD395" s="4" t="s">
        <v>241</v>
      </c>
      <c r="DF395" s="4" t="s">
        <v>241</v>
      </c>
      <c r="DG395" s="6">
        <f>0</f>
        <v>0</v>
      </c>
      <c r="DI395" s="4" t="s">
        <v>241</v>
      </c>
      <c r="DJ395" s="4" t="s">
        <v>241</v>
      </c>
      <c r="DK395" s="4" t="s">
        <v>241</v>
      </c>
      <c r="DL395" s="4" t="s">
        <v>241</v>
      </c>
      <c r="DM395" s="4" t="s">
        <v>278</v>
      </c>
      <c r="DN395" s="4" t="s">
        <v>278</v>
      </c>
      <c r="DO395" s="6" t="s">
        <v>241</v>
      </c>
      <c r="DP395" s="4" t="s">
        <v>241</v>
      </c>
      <c r="DQ395" s="4" t="s">
        <v>241</v>
      </c>
      <c r="DR395" s="4" t="s">
        <v>241</v>
      </c>
      <c r="DS395" s="4" t="s">
        <v>241</v>
      </c>
      <c r="DV395" s="4" t="s">
        <v>902</v>
      </c>
      <c r="DW395" s="4" t="s">
        <v>300</v>
      </c>
      <c r="GN395" s="4" t="s">
        <v>2830</v>
      </c>
      <c r="HO395" s="4" t="s">
        <v>297</v>
      </c>
      <c r="HR395" s="4" t="s">
        <v>278</v>
      </c>
      <c r="HS395" s="4" t="s">
        <v>278</v>
      </c>
      <c r="HT395" s="4" t="s">
        <v>241</v>
      </c>
      <c r="HU395" s="4" t="s">
        <v>241</v>
      </c>
      <c r="HV395" s="4" t="s">
        <v>241</v>
      </c>
      <c r="HW395" s="4" t="s">
        <v>241</v>
      </c>
      <c r="HX395" s="4" t="s">
        <v>241</v>
      </c>
      <c r="HY395" s="4" t="s">
        <v>241</v>
      </c>
      <c r="HZ395" s="4" t="s">
        <v>241</v>
      </c>
      <c r="IA395" s="4" t="s">
        <v>241</v>
      </c>
      <c r="IB395" s="4" t="s">
        <v>241</v>
      </c>
      <c r="IC395" s="4" t="s">
        <v>241</v>
      </c>
      <c r="ID395" s="4" t="s">
        <v>241</v>
      </c>
      <c r="IE395" s="4" t="s">
        <v>241</v>
      </c>
      <c r="IF395" s="4" t="s">
        <v>241</v>
      </c>
    </row>
    <row r="396" spans="1:240" x14ac:dyDescent="0.4">
      <c r="A396" s="4">
        <v>2</v>
      </c>
      <c r="B396" s="4" t="s">
        <v>239</v>
      </c>
      <c r="C396" s="4">
        <v>427</v>
      </c>
      <c r="D396" s="4">
        <v>1</v>
      </c>
      <c r="E396" s="4">
        <v>3</v>
      </c>
      <c r="F396" s="4" t="s">
        <v>240</v>
      </c>
      <c r="G396" s="4" t="s">
        <v>241</v>
      </c>
      <c r="H396" s="4" t="s">
        <v>241</v>
      </c>
      <c r="I396" s="4" t="s">
        <v>904</v>
      </c>
      <c r="J396" s="4" t="s">
        <v>653</v>
      </c>
      <c r="K396" s="4" t="s">
        <v>256</v>
      </c>
      <c r="L396" s="4" t="s">
        <v>651</v>
      </c>
      <c r="M396" s="5" t="s">
        <v>906</v>
      </c>
      <c r="N396" s="4" t="s">
        <v>651</v>
      </c>
      <c r="O396" s="6">
        <f>2416</f>
        <v>2416</v>
      </c>
      <c r="P396" s="4" t="s">
        <v>276</v>
      </c>
      <c r="Q396" s="6">
        <f>46314720</f>
        <v>46314720</v>
      </c>
      <c r="R396" s="6">
        <f>326160000</f>
        <v>326160000</v>
      </c>
      <c r="S396" s="5" t="s">
        <v>905</v>
      </c>
      <c r="T396" s="4" t="s">
        <v>668</v>
      </c>
      <c r="U396" s="4" t="s">
        <v>333</v>
      </c>
      <c r="V396" s="6">
        <f>7175520</f>
        <v>7175520</v>
      </c>
      <c r="W396" s="6">
        <f>279845280</f>
        <v>279845280</v>
      </c>
      <c r="X396" s="4" t="s">
        <v>243</v>
      </c>
      <c r="Y396" s="4" t="s">
        <v>244</v>
      </c>
      <c r="Z396" s="4" t="s">
        <v>465</v>
      </c>
      <c r="AA396" s="4" t="s">
        <v>241</v>
      </c>
      <c r="AD396" s="4" t="s">
        <v>241</v>
      </c>
      <c r="AE396" s="5" t="s">
        <v>241</v>
      </c>
      <c r="AF396" s="5" t="s">
        <v>241</v>
      </c>
      <c r="AH396" s="5" t="s">
        <v>241</v>
      </c>
      <c r="AI396" s="5" t="s">
        <v>249</v>
      </c>
      <c r="AJ396" s="4" t="s">
        <v>251</v>
      </c>
      <c r="AK396" s="4" t="s">
        <v>252</v>
      </c>
      <c r="AQ396" s="4" t="s">
        <v>241</v>
      </c>
      <c r="AR396" s="4" t="s">
        <v>241</v>
      </c>
      <c r="AS396" s="4" t="s">
        <v>241</v>
      </c>
      <c r="AT396" s="5" t="s">
        <v>241</v>
      </c>
      <c r="AU396" s="5" t="s">
        <v>241</v>
      </c>
      <c r="AV396" s="5" t="s">
        <v>241</v>
      </c>
      <c r="AY396" s="4" t="s">
        <v>286</v>
      </c>
      <c r="AZ396" s="4" t="s">
        <v>286</v>
      </c>
      <c r="BA396" s="4" t="s">
        <v>254</v>
      </c>
      <c r="BB396" s="4" t="s">
        <v>287</v>
      </c>
      <c r="BC396" s="4" t="s">
        <v>255</v>
      </c>
      <c r="BD396" s="4" t="s">
        <v>241</v>
      </c>
      <c r="BE396" s="4" t="s">
        <v>257</v>
      </c>
      <c r="BF396" s="4" t="s">
        <v>241</v>
      </c>
      <c r="BJ396" s="4" t="s">
        <v>288</v>
      </c>
      <c r="BK396" s="5" t="s">
        <v>289</v>
      </c>
      <c r="BL396" s="4" t="s">
        <v>290</v>
      </c>
      <c r="BM396" s="4" t="s">
        <v>290</v>
      </c>
      <c r="BN396" s="4" t="s">
        <v>241</v>
      </c>
      <c r="BO396" s="6">
        <f>0</f>
        <v>0</v>
      </c>
      <c r="BP396" s="6">
        <f>-7175520</f>
        <v>-7175520</v>
      </c>
      <c r="BQ396" s="4" t="s">
        <v>263</v>
      </c>
      <c r="BR396" s="4" t="s">
        <v>264</v>
      </c>
      <c r="BS396" s="4" t="s">
        <v>241</v>
      </c>
      <c r="BT396" s="4" t="s">
        <v>241</v>
      </c>
      <c r="BU396" s="4" t="s">
        <v>241</v>
      </c>
      <c r="BV396" s="4" t="s">
        <v>241</v>
      </c>
      <c r="CE396" s="4" t="s">
        <v>264</v>
      </c>
      <c r="CF396" s="4" t="s">
        <v>241</v>
      </c>
      <c r="CG396" s="4" t="s">
        <v>241</v>
      </c>
      <c r="CK396" s="4" t="s">
        <v>265</v>
      </c>
      <c r="CL396" s="4" t="s">
        <v>266</v>
      </c>
      <c r="CM396" s="4" t="s">
        <v>241</v>
      </c>
      <c r="CO396" s="4" t="s">
        <v>710</v>
      </c>
      <c r="CP396" s="5" t="s">
        <v>268</v>
      </c>
      <c r="CQ396" s="4" t="s">
        <v>269</v>
      </c>
      <c r="CR396" s="4" t="s">
        <v>270</v>
      </c>
      <c r="CS396" s="4" t="s">
        <v>293</v>
      </c>
      <c r="CT396" s="4" t="s">
        <v>241</v>
      </c>
      <c r="CU396" s="4">
        <v>2.1999999999999999E-2</v>
      </c>
      <c r="CV396" s="4" t="s">
        <v>271</v>
      </c>
      <c r="CW396" s="4" t="s">
        <v>655</v>
      </c>
      <c r="CX396" s="4" t="s">
        <v>295</v>
      </c>
      <c r="CY396" s="6">
        <f>0</f>
        <v>0</v>
      </c>
      <c r="CZ396" s="6">
        <f>326160000</f>
        <v>326160000</v>
      </c>
      <c r="DA396" s="6">
        <f>46314720</f>
        <v>46314720</v>
      </c>
      <c r="DC396" s="4" t="s">
        <v>241</v>
      </c>
      <c r="DD396" s="4" t="s">
        <v>241</v>
      </c>
      <c r="DF396" s="4" t="s">
        <v>241</v>
      </c>
      <c r="DG396" s="6">
        <f>0</f>
        <v>0</v>
      </c>
      <c r="DI396" s="4" t="s">
        <v>241</v>
      </c>
      <c r="DJ396" s="4" t="s">
        <v>241</v>
      </c>
      <c r="DK396" s="4" t="s">
        <v>241</v>
      </c>
      <c r="DL396" s="4" t="s">
        <v>241</v>
      </c>
      <c r="DM396" s="4" t="s">
        <v>323</v>
      </c>
      <c r="DN396" s="4" t="s">
        <v>278</v>
      </c>
      <c r="DO396" s="6">
        <f>2416</f>
        <v>2416</v>
      </c>
      <c r="DP396" s="4" t="s">
        <v>241</v>
      </c>
      <c r="DQ396" s="4" t="s">
        <v>241</v>
      </c>
      <c r="DR396" s="4" t="s">
        <v>241</v>
      </c>
      <c r="DS396" s="4" t="s">
        <v>241</v>
      </c>
      <c r="DV396" s="4" t="s">
        <v>907</v>
      </c>
      <c r="DW396" s="4" t="s">
        <v>277</v>
      </c>
      <c r="GN396" s="4" t="s">
        <v>908</v>
      </c>
      <c r="HO396" s="4" t="s">
        <v>300</v>
      </c>
      <c r="HR396" s="4" t="s">
        <v>278</v>
      </c>
      <c r="HS396" s="4" t="s">
        <v>278</v>
      </c>
      <c r="HT396" s="4" t="s">
        <v>241</v>
      </c>
      <c r="HU396" s="4" t="s">
        <v>241</v>
      </c>
      <c r="HV396" s="4" t="s">
        <v>241</v>
      </c>
      <c r="HW396" s="4" t="s">
        <v>241</v>
      </c>
      <c r="HX396" s="4" t="s">
        <v>241</v>
      </c>
      <c r="HY396" s="4" t="s">
        <v>241</v>
      </c>
      <c r="HZ396" s="4" t="s">
        <v>241</v>
      </c>
      <c r="IA396" s="4" t="s">
        <v>241</v>
      </c>
      <c r="IB396" s="4" t="s">
        <v>241</v>
      </c>
      <c r="IC396" s="4" t="s">
        <v>241</v>
      </c>
      <c r="ID396" s="4" t="s">
        <v>241</v>
      </c>
      <c r="IE396" s="4" t="s">
        <v>241</v>
      </c>
      <c r="IF396" s="4" t="s">
        <v>241</v>
      </c>
    </row>
    <row r="397" spans="1:240" x14ac:dyDescent="0.4">
      <c r="A397" s="4">
        <v>2</v>
      </c>
      <c r="B397" s="4" t="s">
        <v>239</v>
      </c>
      <c r="C397" s="4">
        <v>428</v>
      </c>
      <c r="D397" s="4">
        <v>1</v>
      </c>
      <c r="E397" s="4">
        <v>3</v>
      </c>
      <c r="F397" s="4" t="s">
        <v>240</v>
      </c>
      <c r="G397" s="4" t="s">
        <v>241</v>
      </c>
      <c r="H397" s="4" t="s">
        <v>241</v>
      </c>
      <c r="I397" s="4" t="s">
        <v>904</v>
      </c>
      <c r="J397" s="4" t="s">
        <v>653</v>
      </c>
      <c r="K397" s="4" t="s">
        <v>256</v>
      </c>
      <c r="L397" s="4" t="s">
        <v>651</v>
      </c>
      <c r="M397" s="5" t="s">
        <v>906</v>
      </c>
      <c r="N397" s="4" t="s">
        <v>651</v>
      </c>
      <c r="O397" s="6">
        <f>834</f>
        <v>834</v>
      </c>
      <c r="P397" s="4" t="s">
        <v>276</v>
      </c>
      <c r="Q397" s="6">
        <f>109520880</f>
        <v>109520880</v>
      </c>
      <c r="R397" s="6">
        <f>163464000</f>
        <v>163464000</v>
      </c>
      <c r="S397" s="5" t="s">
        <v>345</v>
      </c>
      <c r="T397" s="4" t="s">
        <v>668</v>
      </c>
      <c r="U397" s="4" t="s">
        <v>349</v>
      </c>
      <c r="V397" s="6">
        <f>3596208</f>
        <v>3596208</v>
      </c>
      <c r="W397" s="6">
        <f>53943120</f>
        <v>53943120</v>
      </c>
      <c r="X397" s="4" t="s">
        <v>243</v>
      </c>
      <c r="Y397" s="4" t="s">
        <v>244</v>
      </c>
      <c r="Z397" s="4" t="s">
        <v>465</v>
      </c>
      <c r="AA397" s="4" t="s">
        <v>241</v>
      </c>
      <c r="AD397" s="4" t="s">
        <v>241</v>
      </c>
      <c r="AE397" s="5" t="s">
        <v>241</v>
      </c>
      <c r="AF397" s="5" t="s">
        <v>241</v>
      </c>
      <c r="AH397" s="5" t="s">
        <v>241</v>
      </c>
      <c r="AI397" s="5" t="s">
        <v>249</v>
      </c>
      <c r="AJ397" s="4" t="s">
        <v>251</v>
      </c>
      <c r="AK397" s="4" t="s">
        <v>252</v>
      </c>
      <c r="AQ397" s="4" t="s">
        <v>241</v>
      </c>
      <c r="AR397" s="4" t="s">
        <v>241</v>
      </c>
      <c r="AS397" s="4" t="s">
        <v>241</v>
      </c>
      <c r="AT397" s="5" t="s">
        <v>241</v>
      </c>
      <c r="AU397" s="5" t="s">
        <v>241</v>
      </c>
      <c r="AV397" s="5" t="s">
        <v>241</v>
      </c>
      <c r="AY397" s="4" t="s">
        <v>286</v>
      </c>
      <c r="AZ397" s="4" t="s">
        <v>286</v>
      </c>
      <c r="BA397" s="4" t="s">
        <v>254</v>
      </c>
      <c r="BB397" s="4" t="s">
        <v>287</v>
      </c>
      <c r="BC397" s="4" t="s">
        <v>255</v>
      </c>
      <c r="BD397" s="4" t="s">
        <v>241</v>
      </c>
      <c r="BE397" s="4" t="s">
        <v>257</v>
      </c>
      <c r="BF397" s="4" t="s">
        <v>241</v>
      </c>
      <c r="BJ397" s="4" t="s">
        <v>288</v>
      </c>
      <c r="BK397" s="5" t="s">
        <v>289</v>
      </c>
      <c r="BL397" s="4" t="s">
        <v>290</v>
      </c>
      <c r="BM397" s="4" t="s">
        <v>290</v>
      </c>
      <c r="BN397" s="4" t="s">
        <v>241</v>
      </c>
      <c r="BO397" s="6">
        <f>0</f>
        <v>0</v>
      </c>
      <c r="BP397" s="6">
        <f>-3596208</f>
        <v>-3596208</v>
      </c>
      <c r="BQ397" s="4" t="s">
        <v>263</v>
      </c>
      <c r="BR397" s="4" t="s">
        <v>264</v>
      </c>
      <c r="BS397" s="4" t="s">
        <v>241</v>
      </c>
      <c r="BT397" s="4" t="s">
        <v>241</v>
      </c>
      <c r="BU397" s="4" t="s">
        <v>241</v>
      </c>
      <c r="BV397" s="4" t="s">
        <v>241</v>
      </c>
      <c r="CE397" s="4" t="s">
        <v>264</v>
      </c>
      <c r="CF397" s="4" t="s">
        <v>241</v>
      </c>
      <c r="CG397" s="4" t="s">
        <v>241</v>
      </c>
      <c r="CK397" s="4" t="s">
        <v>291</v>
      </c>
      <c r="CL397" s="4" t="s">
        <v>266</v>
      </c>
      <c r="CM397" s="4" t="s">
        <v>241</v>
      </c>
      <c r="CO397" s="4" t="s">
        <v>346</v>
      </c>
      <c r="CP397" s="5" t="s">
        <v>268</v>
      </c>
      <c r="CQ397" s="4" t="s">
        <v>269</v>
      </c>
      <c r="CR397" s="4" t="s">
        <v>270</v>
      </c>
      <c r="CS397" s="4" t="s">
        <v>293</v>
      </c>
      <c r="CT397" s="4" t="s">
        <v>241</v>
      </c>
      <c r="CU397" s="4">
        <v>2.1999999999999999E-2</v>
      </c>
      <c r="CV397" s="4" t="s">
        <v>271</v>
      </c>
      <c r="CW397" s="4" t="s">
        <v>655</v>
      </c>
      <c r="CX397" s="4" t="s">
        <v>295</v>
      </c>
      <c r="CY397" s="6">
        <f>0</f>
        <v>0</v>
      </c>
      <c r="CZ397" s="6">
        <f>163464000</f>
        <v>163464000</v>
      </c>
      <c r="DA397" s="6">
        <f>109520880</f>
        <v>109520880</v>
      </c>
      <c r="DC397" s="4" t="s">
        <v>241</v>
      </c>
      <c r="DD397" s="4" t="s">
        <v>241</v>
      </c>
      <c r="DF397" s="4" t="s">
        <v>241</v>
      </c>
      <c r="DG397" s="6">
        <f>0</f>
        <v>0</v>
      </c>
      <c r="DI397" s="4" t="s">
        <v>241</v>
      </c>
      <c r="DJ397" s="4" t="s">
        <v>241</v>
      </c>
      <c r="DK397" s="4" t="s">
        <v>241</v>
      </c>
      <c r="DL397" s="4" t="s">
        <v>241</v>
      </c>
      <c r="DM397" s="4" t="s">
        <v>323</v>
      </c>
      <c r="DN397" s="4" t="s">
        <v>278</v>
      </c>
      <c r="DO397" s="6">
        <f>834</f>
        <v>834</v>
      </c>
      <c r="DP397" s="4" t="s">
        <v>241</v>
      </c>
      <c r="DQ397" s="4" t="s">
        <v>241</v>
      </c>
      <c r="DR397" s="4" t="s">
        <v>241</v>
      </c>
      <c r="DS397" s="4" t="s">
        <v>241</v>
      </c>
      <c r="DV397" s="4" t="s">
        <v>907</v>
      </c>
      <c r="DW397" s="4" t="s">
        <v>323</v>
      </c>
      <c r="GN397" s="4" t="s">
        <v>909</v>
      </c>
      <c r="HO397" s="4" t="s">
        <v>300</v>
      </c>
      <c r="HR397" s="4" t="s">
        <v>278</v>
      </c>
      <c r="HS397" s="4" t="s">
        <v>278</v>
      </c>
      <c r="HT397" s="4" t="s">
        <v>241</v>
      </c>
      <c r="HU397" s="4" t="s">
        <v>241</v>
      </c>
      <c r="HV397" s="4" t="s">
        <v>241</v>
      </c>
      <c r="HW397" s="4" t="s">
        <v>241</v>
      </c>
      <c r="HX397" s="4" t="s">
        <v>241</v>
      </c>
      <c r="HY397" s="4" t="s">
        <v>241</v>
      </c>
      <c r="HZ397" s="4" t="s">
        <v>241</v>
      </c>
      <c r="IA397" s="4" t="s">
        <v>241</v>
      </c>
      <c r="IB397" s="4" t="s">
        <v>241</v>
      </c>
      <c r="IC397" s="4" t="s">
        <v>241</v>
      </c>
      <c r="ID397" s="4" t="s">
        <v>241</v>
      </c>
      <c r="IE397" s="4" t="s">
        <v>241</v>
      </c>
      <c r="IF397" s="4" t="s">
        <v>241</v>
      </c>
    </row>
    <row r="398" spans="1:240" x14ac:dyDescent="0.4">
      <c r="A398" s="4">
        <v>2</v>
      </c>
      <c r="B398" s="4" t="s">
        <v>239</v>
      </c>
      <c r="C398" s="4">
        <v>429</v>
      </c>
      <c r="D398" s="4">
        <v>1</v>
      </c>
      <c r="E398" s="4">
        <v>3</v>
      </c>
      <c r="F398" s="4" t="s">
        <v>240</v>
      </c>
      <c r="G398" s="4" t="s">
        <v>241</v>
      </c>
      <c r="H398" s="4" t="s">
        <v>241</v>
      </c>
      <c r="I398" s="4" t="s">
        <v>904</v>
      </c>
      <c r="J398" s="4" t="s">
        <v>653</v>
      </c>
      <c r="K398" s="4" t="s">
        <v>256</v>
      </c>
      <c r="L398" s="4" t="s">
        <v>1003</v>
      </c>
      <c r="M398" s="5" t="s">
        <v>906</v>
      </c>
      <c r="N398" s="4" t="s">
        <v>1003</v>
      </c>
      <c r="O398" s="6">
        <f>746</f>
        <v>746</v>
      </c>
      <c r="P398" s="4" t="s">
        <v>276</v>
      </c>
      <c r="Q398" s="6">
        <f>16516440</f>
        <v>16516440</v>
      </c>
      <c r="R398" s="6">
        <f>100710000</f>
        <v>100710000</v>
      </c>
      <c r="S398" s="5" t="s">
        <v>774</v>
      </c>
      <c r="T398" s="4" t="s">
        <v>668</v>
      </c>
      <c r="U398" s="4" t="s">
        <v>777</v>
      </c>
      <c r="V398" s="6">
        <f>2215620</f>
        <v>2215620</v>
      </c>
      <c r="W398" s="6">
        <f>84193560</f>
        <v>84193560</v>
      </c>
      <c r="X398" s="4" t="s">
        <v>243</v>
      </c>
      <c r="Y398" s="4" t="s">
        <v>244</v>
      </c>
      <c r="Z398" s="4" t="s">
        <v>465</v>
      </c>
      <c r="AA398" s="4" t="s">
        <v>241</v>
      </c>
      <c r="AD398" s="4" t="s">
        <v>241</v>
      </c>
      <c r="AE398" s="5" t="s">
        <v>241</v>
      </c>
      <c r="AF398" s="5" t="s">
        <v>241</v>
      </c>
      <c r="AH398" s="5" t="s">
        <v>241</v>
      </c>
      <c r="AI398" s="5" t="s">
        <v>249</v>
      </c>
      <c r="AJ398" s="4" t="s">
        <v>251</v>
      </c>
      <c r="AK398" s="4" t="s">
        <v>252</v>
      </c>
      <c r="AQ398" s="4" t="s">
        <v>241</v>
      </c>
      <c r="AR398" s="4" t="s">
        <v>241</v>
      </c>
      <c r="AS398" s="4" t="s">
        <v>241</v>
      </c>
      <c r="AT398" s="5" t="s">
        <v>241</v>
      </c>
      <c r="AU398" s="5" t="s">
        <v>241</v>
      </c>
      <c r="AV398" s="5" t="s">
        <v>241</v>
      </c>
      <c r="AY398" s="4" t="s">
        <v>286</v>
      </c>
      <c r="AZ398" s="4" t="s">
        <v>286</v>
      </c>
      <c r="BA398" s="4" t="s">
        <v>254</v>
      </c>
      <c r="BB398" s="4" t="s">
        <v>287</v>
      </c>
      <c r="BC398" s="4" t="s">
        <v>255</v>
      </c>
      <c r="BD398" s="4" t="s">
        <v>241</v>
      </c>
      <c r="BE398" s="4" t="s">
        <v>257</v>
      </c>
      <c r="BF398" s="4" t="s">
        <v>241</v>
      </c>
      <c r="BJ398" s="4" t="s">
        <v>288</v>
      </c>
      <c r="BK398" s="5" t="s">
        <v>289</v>
      </c>
      <c r="BL398" s="4" t="s">
        <v>290</v>
      </c>
      <c r="BM398" s="4" t="s">
        <v>290</v>
      </c>
      <c r="BN398" s="4" t="s">
        <v>241</v>
      </c>
      <c r="BO398" s="6">
        <f>0</f>
        <v>0</v>
      </c>
      <c r="BP398" s="6">
        <f>-2215620</f>
        <v>-2215620</v>
      </c>
      <c r="BQ398" s="4" t="s">
        <v>263</v>
      </c>
      <c r="BR398" s="4" t="s">
        <v>264</v>
      </c>
      <c r="BS398" s="4" t="s">
        <v>241</v>
      </c>
      <c r="BT398" s="4" t="s">
        <v>241</v>
      </c>
      <c r="BU398" s="4" t="s">
        <v>241</v>
      </c>
      <c r="BV398" s="4" t="s">
        <v>241</v>
      </c>
      <c r="CE398" s="4" t="s">
        <v>264</v>
      </c>
      <c r="CF398" s="4" t="s">
        <v>241</v>
      </c>
      <c r="CG398" s="4" t="s">
        <v>241</v>
      </c>
      <c r="CK398" s="4" t="s">
        <v>265</v>
      </c>
      <c r="CL398" s="4" t="s">
        <v>266</v>
      </c>
      <c r="CM398" s="4" t="s">
        <v>241</v>
      </c>
      <c r="CO398" s="4" t="s">
        <v>662</v>
      </c>
      <c r="CP398" s="5" t="s">
        <v>268</v>
      </c>
      <c r="CQ398" s="4" t="s">
        <v>269</v>
      </c>
      <c r="CR398" s="4" t="s">
        <v>270</v>
      </c>
      <c r="CS398" s="4" t="s">
        <v>293</v>
      </c>
      <c r="CT398" s="4" t="s">
        <v>241</v>
      </c>
      <c r="CU398" s="4">
        <v>2.1999999999999999E-2</v>
      </c>
      <c r="CV398" s="4" t="s">
        <v>271</v>
      </c>
      <c r="CW398" s="4" t="s">
        <v>1006</v>
      </c>
      <c r="CX398" s="4" t="s">
        <v>295</v>
      </c>
      <c r="CY398" s="6">
        <f>0</f>
        <v>0</v>
      </c>
      <c r="CZ398" s="6">
        <f>100710000</f>
        <v>100710000</v>
      </c>
      <c r="DA398" s="6">
        <f>16516440</f>
        <v>16516440</v>
      </c>
      <c r="DC398" s="4" t="s">
        <v>241</v>
      </c>
      <c r="DD398" s="4" t="s">
        <v>241</v>
      </c>
      <c r="DF398" s="4" t="s">
        <v>241</v>
      </c>
      <c r="DG398" s="6">
        <f>0</f>
        <v>0</v>
      </c>
      <c r="DI398" s="4" t="s">
        <v>241</v>
      </c>
      <c r="DJ398" s="4" t="s">
        <v>241</v>
      </c>
      <c r="DK398" s="4" t="s">
        <v>241</v>
      </c>
      <c r="DL398" s="4" t="s">
        <v>241</v>
      </c>
      <c r="DM398" s="4" t="s">
        <v>277</v>
      </c>
      <c r="DN398" s="4" t="s">
        <v>278</v>
      </c>
      <c r="DO398" s="6">
        <f>746</f>
        <v>746</v>
      </c>
      <c r="DP398" s="4" t="s">
        <v>241</v>
      </c>
      <c r="DQ398" s="4" t="s">
        <v>241</v>
      </c>
      <c r="DR398" s="4" t="s">
        <v>241</v>
      </c>
      <c r="DS398" s="4" t="s">
        <v>241</v>
      </c>
      <c r="DV398" s="4" t="s">
        <v>907</v>
      </c>
      <c r="DW398" s="4" t="s">
        <v>297</v>
      </c>
      <c r="GN398" s="4" t="s">
        <v>1049</v>
      </c>
      <c r="HO398" s="4" t="s">
        <v>300</v>
      </c>
      <c r="HR398" s="4" t="s">
        <v>278</v>
      </c>
      <c r="HS398" s="4" t="s">
        <v>278</v>
      </c>
      <c r="HT398" s="4" t="s">
        <v>241</v>
      </c>
      <c r="HU398" s="4" t="s">
        <v>241</v>
      </c>
      <c r="HV398" s="4" t="s">
        <v>241</v>
      </c>
      <c r="HW398" s="4" t="s">
        <v>241</v>
      </c>
      <c r="HX398" s="4" t="s">
        <v>241</v>
      </c>
      <c r="HY398" s="4" t="s">
        <v>241</v>
      </c>
      <c r="HZ398" s="4" t="s">
        <v>241</v>
      </c>
      <c r="IA398" s="4" t="s">
        <v>241</v>
      </c>
      <c r="IB398" s="4" t="s">
        <v>241</v>
      </c>
      <c r="IC398" s="4" t="s">
        <v>241</v>
      </c>
      <c r="ID398" s="4" t="s">
        <v>241</v>
      </c>
      <c r="IE398" s="4" t="s">
        <v>241</v>
      </c>
      <c r="IF398" s="4" t="s">
        <v>241</v>
      </c>
    </row>
    <row r="399" spans="1:240" x14ac:dyDescent="0.4">
      <c r="A399" s="4">
        <v>2</v>
      </c>
      <c r="B399" s="4" t="s">
        <v>239</v>
      </c>
      <c r="C399" s="4">
        <v>430</v>
      </c>
      <c r="D399" s="4">
        <v>1</v>
      </c>
      <c r="E399" s="4">
        <v>1</v>
      </c>
      <c r="F399" s="4" t="s">
        <v>240</v>
      </c>
      <c r="G399" s="4" t="s">
        <v>241</v>
      </c>
      <c r="H399" s="4" t="s">
        <v>241</v>
      </c>
      <c r="I399" s="4" t="s">
        <v>904</v>
      </c>
      <c r="J399" s="4" t="s">
        <v>653</v>
      </c>
      <c r="K399" s="4" t="s">
        <v>256</v>
      </c>
      <c r="L399" s="4" t="s">
        <v>429</v>
      </c>
      <c r="M399" s="5" t="s">
        <v>906</v>
      </c>
      <c r="N399" s="4" t="s">
        <v>429</v>
      </c>
      <c r="O399" s="6">
        <f>69</f>
        <v>69</v>
      </c>
      <c r="P399" s="4" t="s">
        <v>276</v>
      </c>
      <c r="Q399" s="6">
        <f>1</f>
        <v>1</v>
      </c>
      <c r="R399" s="6">
        <f>4140000</f>
        <v>4140000</v>
      </c>
      <c r="S399" s="5" t="s">
        <v>905</v>
      </c>
      <c r="T399" s="4" t="s">
        <v>441</v>
      </c>
      <c r="U399" s="4" t="s">
        <v>473</v>
      </c>
      <c r="W399" s="6">
        <f>4139999</f>
        <v>4139999</v>
      </c>
      <c r="X399" s="4" t="s">
        <v>243</v>
      </c>
      <c r="Y399" s="4" t="s">
        <v>244</v>
      </c>
      <c r="Z399" s="4" t="s">
        <v>465</v>
      </c>
      <c r="AA399" s="4" t="s">
        <v>241</v>
      </c>
      <c r="AD399" s="4" t="s">
        <v>241</v>
      </c>
      <c r="AF399" s="5" t="s">
        <v>241</v>
      </c>
      <c r="AI399" s="5" t="s">
        <v>249</v>
      </c>
      <c r="AJ399" s="4" t="s">
        <v>251</v>
      </c>
      <c r="AK399" s="4" t="s">
        <v>252</v>
      </c>
      <c r="BA399" s="4" t="s">
        <v>254</v>
      </c>
      <c r="BB399" s="4" t="s">
        <v>241</v>
      </c>
      <c r="BC399" s="4" t="s">
        <v>255</v>
      </c>
      <c r="BD399" s="4" t="s">
        <v>241</v>
      </c>
      <c r="BE399" s="4" t="s">
        <v>257</v>
      </c>
      <c r="BF399" s="4" t="s">
        <v>241</v>
      </c>
      <c r="BJ399" s="4" t="s">
        <v>259</v>
      </c>
      <c r="BK399" s="5" t="s">
        <v>260</v>
      </c>
      <c r="BL399" s="4" t="s">
        <v>261</v>
      </c>
      <c r="BM399" s="4" t="s">
        <v>262</v>
      </c>
      <c r="BN399" s="4" t="s">
        <v>241</v>
      </c>
      <c r="BO399" s="6">
        <f>0</f>
        <v>0</v>
      </c>
      <c r="BP399" s="6">
        <f>0</f>
        <v>0</v>
      </c>
      <c r="BQ399" s="4" t="s">
        <v>263</v>
      </c>
      <c r="BR399" s="4" t="s">
        <v>264</v>
      </c>
      <c r="CF399" s="4" t="s">
        <v>241</v>
      </c>
      <c r="CG399" s="4" t="s">
        <v>241</v>
      </c>
      <c r="CK399" s="4" t="s">
        <v>265</v>
      </c>
      <c r="CL399" s="4" t="s">
        <v>266</v>
      </c>
      <c r="CM399" s="4" t="s">
        <v>241</v>
      </c>
      <c r="CO399" s="4" t="s">
        <v>710</v>
      </c>
      <c r="CP399" s="5" t="s">
        <v>268</v>
      </c>
      <c r="CQ399" s="4" t="s">
        <v>269</v>
      </c>
      <c r="CR399" s="4" t="s">
        <v>270</v>
      </c>
      <c r="CS399" s="4" t="s">
        <v>241</v>
      </c>
      <c r="CT399" s="4" t="s">
        <v>241</v>
      </c>
      <c r="CU399" s="4">
        <v>0</v>
      </c>
      <c r="CV399" s="4" t="s">
        <v>271</v>
      </c>
      <c r="CW399" s="4" t="s">
        <v>272</v>
      </c>
      <c r="CX399" s="4" t="s">
        <v>487</v>
      </c>
      <c r="CZ399" s="6">
        <f>4140000</f>
        <v>4140000</v>
      </c>
      <c r="DA399" s="6">
        <f>0</f>
        <v>0</v>
      </c>
      <c r="DC399" s="4" t="s">
        <v>241</v>
      </c>
      <c r="DD399" s="4" t="s">
        <v>241</v>
      </c>
      <c r="DF399" s="4" t="s">
        <v>241</v>
      </c>
      <c r="DI399" s="4" t="s">
        <v>241</v>
      </c>
      <c r="DJ399" s="4" t="s">
        <v>241</v>
      </c>
      <c r="DK399" s="4" t="s">
        <v>241</v>
      </c>
      <c r="DL399" s="4" t="s">
        <v>241</v>
      </c>
      <c r="DM399" s="4" t="s">
        <v>277</v>
      </c>
      <c r="DN399" s="4" t="s">
        <v>278</v>
      </c>
      <c r="DO399" s="6">
        <f>69</f>
        <v>69</v>
      </c>
      <c r="DP399" s="4" t="s">
        <v>241</v>
      </c>
      <c r="DQ399" s="4" t="s">
        <v>241</v>
      </c>
      <c r="DR399" s="4" t="s">
        <v>241</v>
      </c>
      <c r="DS399" s="4" t="s">
        <v>241</v>
      </c>
      <c r="DV399" s="4" t="s">
        <v>907</v>
      </c>
      <c r="DW399" s="4" t="s">
        <v>336</v>
      </c>
      <c r="HO399" s="4" t="s">
        <v>277</v>
      </c>
      <c r="HR399" s="4" t="s">
        <v>278</v>
      </c>
      <c r="HS399" s="4" t="s">
        <v>278</v>
      </c>
    </row>
    <row r="400" spans="1:240" x14ac:dyDescent="0.4">
      <c r="A400" s="4">
        <v>2</v>
      </c>
      <c r="B400" s="4" t="s">
        <v>239</v>
      </c>
      <c r="C400" s="4">
        <v>431</v>
      </c>
      <c r="D400" s="4">
        <v>1</v>
      </c>
      <c r="E400" s="4">
        <v>1</v>
      </c>
      <c r="F400" s="4" t="s">
        <v>240</v>
      </c>
      <c r="G400" s="4" t="s">
        <v>241</v>
      </c>
      <c r="H400" s="4" t="s">
        <v>241</v>
      </c>
      <c r="I400" s="4" t="s">
        <v>904</v>
      </c>
      <c r="J400" s="4" t="s">
        <v>653</v>
      </c>
      <c r="K400" s="4" t="s">
        <v>256</v>
      </c>
      <c r="L400" s="4" t="s">
        <v>2529</v>
      </c>
      <c r="M400" s="5" t="s">
        <v>906</v>
      </c>
      <c r="N400" s="4" t="s">
        <v>2529</v>
      </c>
      <c r="O400" s="6">
        <f>70</f>
        <v>70</v>
      </c>
      <c r="P400" s="4" t="s">
        <v>276</v>
      </c>
      <c r="Q400" s="6">
        <f>1</f>
        <v>1</v>
      </c>
      <c r="R400" s="6">
        <f>4200000</f>
        <v>4200000</v>
      </c>
      <c r="S400" s="5" t="s">
        <v>774</v>
      </c>
      <c r="T400" s="4" t="s">
        <v>348</v>
      </c>
      <c r="U400" s="4" t="s">
        <v>552</v>
      </c>
      <c r="W400" s="6">
        <f>4199999</f>
        <v>4199999</v>
      </c>
      <c r="X400" s="4" t="s">
        <v>243</v>
      </c>
      <c r="Y400" s="4" t="s">
        <v>244</v>
      </c>
      <c r="Z400" s="4" t="s">
        <v>465</v>
      </c>
      <c r="AA400" s="4" t="s">
        <v>241</v>
      </c>
      <c r="AD400" s="4" t="s">
        <v>241</v>
      </c>
      <c r="AF400" s="5" t="s">
        <v>241</v>
      </c>
      <c r="AI400" s="5" t="s">
        <v>249</v>
      </c>
      <c r="AJ400" s="4" t="s">
        <v>251</v>
      </c>
      <c r="AK400" s="4" t="s">
        <v>252</v>
      </c>
      <c r="BA400" s="4" t="s">
        <v>254</v>
      </c>
      <c r="BB400" s="4" t="s">
        <v>241</v>
      </c>
      <c r="BC400" s="4" t="s">
        <v>255</v>
      </c>
      <c r="BD400" s="4" t="s">
        <v>241</v>
      </c>
      <c r="BE400" s="4" t="s">
        <v>257</v>
      </c>
      <c r="BF400" s="4" t="s">
        <v>241</v>
      </c>
      <c r="BJ400" s="4" t="s">
        <v>367</v>
      </c>
      <c r="BK400" s="5" t="s">
        <v>249</v>
      </c>
      <c r="BL400" s="4" t="s">
        <v>261</v>
      </c>
      <c r="BM400" s="4" t="s">
        <v>262</v>
      </c>
      <c r="BN400" s="4" t="s">
        <v>241</v>
      </c>
      <c r="BO400" s="6">
        <f>0</f>
        <v>0</v>
      </c>
      <c r="BP400" s="6">
        <f>0</f>
        <v>0</v>
      </c>
      <c r="BQ400" s="4" t="s">
        <v>263</v>
      </c>
      <c r="BR400" s="4" t="s">
        <v>264</v>
      </c>
      <c r="CF400" s="4" t="s">
        <v>241</v>
      </c>
      <c r="CG400" s="4" t="s">
        <v>241</v>
      </c>
      <c r="CK400" s="4" t="s">
        <v>265</v>
      </c>
      <c r="CL400" s="4" t="s">
        <v>266</v>
      </c>
      <c r="CM400" s="4" t="s">
        <v>241</v>
      </c>
      <c r="CO400" s="4" t="s">
        <v>662</v>
      </c>
      <c r="CP400" s="5" t="s">
        <v>268</v>
      </c>
      <c r="CQ400" s="4" t="s">
        <v>269</v>
      </c>
      <c r="CR400" s="4" t="s">
        <v>270</v>
      </c>
      <c r="CS400" s="4" t="s">
        <v>241</v>
      </c>
      <c r="CT400" s="4" t="s">
        <v>241</v>
      </c>
      <c r="CU400" s="4">
        <v>0</v>
      </c>
      <c r="CV400" s="4" t="s">
        <v>271</v>
      </c>
      <c r="CW400" s="4" t="s">
        <v>415</v>
      </c>
      <c r="CX400" s="4" t="s">
        <v>416</v>
      </c>
      <c r="CZ400" s="6">
        <f>4200000</f>
        <v>4200000</v>
      </c>
      <c r="DA400" s="6">
        <f>0</f>
        <v>0</v>
      </c>
      <c r="DC400" s="4" t="s">
        <v>241</v>
      </c>
      <c r="DD400" s="4" t="s">
        <v>241</v>
      </c>
      <c r="DF400" s="4" t="s">
        <v>241</v>
      </c>
      <c r="DI400" s="4" t="s">
        <v>241</v>
      </c>
      <c r="DJ400" s="4" t="s">
        <v>241</v>
      </c>
      <c r="DK400" s="4" t="s">
        <v>241</v>
      </c>
      <c r="DL400" s="4" t="s">
        <v>241</v>
      </c>
      <c r="DM400" s="4" t="s">
        <v>277</v>
      </c>
      <c r="DN400" s="4" t="s">
        <v>278</v>
      </c>
      <c r="DO400" s="6">
        <f>70</f>
        <v>70</v>
      </c>
      <c r="DP400" s="4" t="s">
        <v>241</v>
      </c>
      <c r="DQ400" s="4" t="s">
        <v>241</v>
      </c>
      <c r="DR400" s="4" t="s">
        <v>241</v>
      </c>
      <c r="DS400" s="4" t="s">
        <v>241</v>
      </c>
      <c r="DV400" s="4" t="s">
        <v>907</v>
      </c>
      <c r="DW400" s="4" t="s">
        <v>351</v>
      </c>
      <c r="HO400" s="4" t="s">
        <v>277</v>
      </c>
      <c r="HR400" s="4" t="s">
        <v>278</v>
      </c>
      <c r="HS400" s="4" t="s">
        <v>278</v>
      </c>
    </row>
    <row r="401" spans="1:240" x14ac:dyDescent="0.4">
      <c r="A401" s="4">
        <v>2</v>
      </c>
      <c r="B401" s="4" t="s">
        <v>239</v>
      </c>
      <c r="C401" s="4">
        <v>432</v>
      </c>
      <c r="D401" s="4">
        <v>1</v>
      </c>
      <c r="E401" s="4">
        <v>3</v>
      </c>
      <c r="F401" s="4" t="s">
        <v>240</v>
      </c>
      <c r="G401" s="4" t="s">
        <v>241</v>
      </c>
      <c r="H401" s="4" t="s">
        <v>241</v>
      </c>
      <c r="I401" s="4" t="s">
        <v>904</v>
      </c>
      <c r="J401" s="4" t="s">
        <v>653</v>
      </c>
      <c r="K401" s="4" t="s">
        <v>256</v>
      </c>
      <c r="L401" s="4" t="s">
        <v>651</v>
      </c>
      <c r="M401" s="5" t="s">
        <v>906</v>
      </c>
      <c r="N401" s="4" t="s">
        <v>651</v>
      </c>
      <c r="O401" s="6">
        <f>45</f>
        <v>45</v>
      </c>
      <c r="P401" s="4" t="s">
        <v>276</v>
      </c>
      <c r="Q401" s="6">
        <f>6600000</f>
        <v>6600000</v>
      </c>
      <c r="R401" s="6">
        <f>12000000</f>
        <v>12000000</v>
      </c>
      <c r="S401" s="5" t="s">
        <v>345</v>
      </c>
      <c r="T401" s="4" t="s">
        <v>357</v>
      </c>
      <c r="U401" s="4" t="s">
        <v>349</v>
      </c>
      <c r="V401" s="6">
        <f>360000</f>
        <v>360000</v>
      </c>
      <c r="W401" s="6">
        <f>5400000</f>
        <v>5400000</v>
      </c>
      <c r="X401" s="4" t="s">
        <v>243</v>
      </c>
      <c r="Y401" s="4" t="s">
        <v>244</v>
      </c>
      <c r="Z401" s="4" t="s">
        <v>465</v>
      </c>
      <c r="AA401" s="4" t="s">
        <v>241</v>
      </c>
      <c r="AD401" s="4" t="s">
        <v>241</v>
      </c>
      <c r="AE401" s="5" t="s">
        <v>241</v>
      </c>
      <c r="AF401" s="5" t="s">
        <v>241</v>
      </c>
      <c r="AH401" s="5" t="s">
        <v>241</v>
      </c>
      <c r="AI401" s="5" t="s">
        <v>249</v>
      </c>
      <c r="AJ401" s="4" t="s">
        <v>251</v>
      </c>
      <c r="AK401" s="4" t="s">
        <v>252</v>
      </c>
      <c r="AQ401" s="4" t="s">
        <v>241</v>
      </c>
      <c r="AR401" s="4" t="s">
        <v>241</v>
      </c>
      <c r="AS401" s="4" t="s">
        <v>241</v>
      </c>
      <c r="AT401" s="5" t="s">
        <v>241</v>
      </c>
      <c r="AU401" s="5" t="s">
        <v>241</v>
      </c>
      <c r="AV401" s="5" t="s">
        <v>241</v>
      </c>
      <c r="AY401" s="4" t="s">
        <v>286</v>
      </c>
      <c r="AZ401" s="4" t="s">
        <v>286</v>
      </c>
      <c r="BA401" s="4" t="s">
        <v>254</v>
      </c>
      <c r="BB401" s="4" t="s">
        <v>287</v>
      </c>
      <c r="BC401" s="4" t="s">
        <v>255</v>
      </c>
      <c r="BD401" s="4" t="s">
        <v>241</v>
      </c>
      <c r="BE401" s="4" t="s">
        <v>257</v>
      </c>
      <c r="BF401" s="4" t="s">
        <v>241</v>
      </c>
      <c r="BJ401" s="4" t="s">
        <v>288</v>
      </c>
      <c r="BK401" s="5" t="s">
        <v>289</v>
      </c>
      <c r="BL401" s="4" t="s">
        <v>290</v>
      </c>
      <c r="BM401" s="4" t="s">
        <v>290</v>
      </c>
      <c r="BN401" s="4" t="s">
        <v>241</v>
      </c>
      <c r="BO401" s="6">
        <f>0</f>
        <v>0</v>
      </c>
      <c r="BP401" s="6">
        <f>-360000</f>
        <v>-360000</v>
      </c>
      <c r="BQ401" s="4" t="s">
        <v>263</v>
      </c>
      <c r="BR401" s="4" t="s">
        <v>264</v>
      </c>
      <c r="BS401" s="4" t="s">
        <v>241</v>
      </c>
      <c r="BT401" s="4" t="s">
        <v>241</v>
      </c>
      <c r="BU401" s="4" t="s">
        <v>241</v>
      </c>
      <c r="BV401" s="4" t="s">
        <v>241</v>
      </c>
      <c r="CE401" s="4" t="s">
        <v>264</v>
      </c>
      <c r="CF401" s="4" t="s">
        <v>241</v>
      </c>
      <c r="CG401" s="4" t="s">
        <v>241</v>
      </c>
      <c r="CK401" s="4" t="s">
        <v>291</v>
      </c>
      <c r="CL401" s="4" t="s">
        <v>266</v>
      </c>
      <c r="CM401" s="4" t="s">
        <v>241</v>
      </c>
      <c r="CO401" s="4" t="s">
        <v>346</v>
      </c>
      <c r="CP401" s="5" t="s">
        <v>268</v>
      </c>
      <c r="CQ401" s="4" t="s">
        <v>269</v>
      </c>
      <c r="CR401" s="4" t="s">
        <v>270</v>
      </c>
      <c r="CS401" s="4" t="s">
        <v>293</v>
      </c>
      <c r="CT401" s="4" t="s">
        <v>241</v>
      </c>
      <c r="CU401" s="4">
        <v>0.03</v>
      </c>
      <c r="CV401" s="4" t="s">
        <v>271</v>
      </c>
      <c r="CW401" s="4" t="s">
        <v>655</v>
      </c>
      <c r="CX401" s="4" t="s">
        <v>487</v>
      </c>
      <c r="CY401" s="6">
        <f>0</f>
        <v>0</v>
      </c>
      <c r="CZ401" s="6">
        <f>12000000</f>
        <v>12000000</v>
      </c>
      <c r="DA401" s="6">
        <f>6600000</f>
        <v>6600000</v>
      </c>
      <c r="DC401" s="4" t="s">
        <v>241</v>
      </c>
      <c r="DD401" s="4" t="s">
        <v>241</v>
      </c>
      <c r="DF401" s="4" t="s">
        <v>241</v>
      </c>
      <c r="DG401" s="6">
        <f>0</f>
        <v>0</v>
      </c>
      <c r="DI401" s="4" t="s">
        <v>241</v>
      </c>
      <c r="DJ401" s="4" t="s">
        <v>241</v>
      </c>
      <c r="DK401" s="4" t="s">
        <v>241</v>
      </c>
      <c r="DL401" s="4" t="s">
        <v>241</v>
      </c>
      <c r="DM401" s="4" t="s">
        <v>277</v>
      </c>
      <c r="DN401" s="4" t="s">
        <v>278</v>
      </c>
      <c r="DO401" s="6">
        <f>45</f>
        <v>45</v>
      </c>
      <c r="DP401" s="4" t="s">
        <v>241</v>
      </c>
      <c r="DQ401" s="4" t="s">
        <v>241</v>
      </c>
      <c r="DR401" s="4" t="s">
        <v>241</v>
      </c>
      <c r="DS401" s="4" t="s">
        <v>241</v>
      </c>
      <c r="DV401" s="4" t="s">
        <v>907</v>
      </c>
      <c r="DW401" s="4" t="s">
        <v>300</v>
      </c>
      <c r="GN401" s="4" t="s">
        <v>910</v>
      </c>
      <c r="HO401" s="4" t="s">
        <v>300</v>
      </c>
      <c r="HR401" s="4" t="s">
        <v>278</v>
      </c>
      <c r="HS401" s="4" t="s">
        <v>278</v>
      </c>
      <c r="HT401" s="4" t="s">
        <v>241</v>
      </c>
      <c r="HU401" s="4" t="s">
        <v>241</v>
      </c>
      <c r="HV401" s="4" t="s">
        <v>241</v>
      </c>
      <c r="HW401" s="4" t="s">
        <v>241</v>
      </c>
      <c r="HX401" s="4" t="s">
        <v>241</v>
      </c>
      <c r="HY401" s="4" t="s">
        <v>241</v>
      </c>
      <c r="HZ401" s="4" t="s">
        <v>241</v>
      </c>
      <c r="IA401" s="4" t="s">
        <v>241</v>
      </c>
      <c r="IB401" s="4" t="s">
        <v>241</v>
      </c>
      <c r="IC401" s="4" t="s">
        <v>241</v>
      </c>
      <c r="ID401" s="4" t="s">
        <v>241</v>
      </c>
      <c r="IE401" s="4" t="s">
        <v>241</v>
      </c>
      <c r="IF401" s="4" t="s">
        <v>241</v>
      </c>
    </row>
    <row r="402" spans="1:240" x14ac:dyDescent="0.4">
      <c r="A402" s="4">
        <v>2</v>
      </c>
      <c r="B402" s="4" t="s">
        <v>239</v>
      </c>
      <c r="C402" s="4">
        <v>433</v>
      </c>
      <c r="D402" s="4">
        <v>1</v>
      </c>
      <c r="E402" s="4">
        <v>3</v>
      </c>
      <c r="F402" s="4" t="s">
        <v>326</v>
      </c>
      <c r="G402" s="4" t="s">
        <v>241</v>
      </c>
      <c r="H402" s="4" t="s">
        <v>241</v>
      </c>
      <c r="I402" s="4" t="s">
        <v>904</v>
      </c>
      <c r="J402" s="4" t="s">
        <v>653</v>
      </c>
      <c r="K402" s="4" t="s">
        <v>256</v>
      </c>
      <c r="L402" s="4" t="s">
        <v>241</v>
      </c>
      <c r="M402" s="5" t="s">
        <v>906</v>
      </c>
      <c r="N402" s="4" t="s">
        <v>2747</v>
      </c>
      <c r="O402" s="6">
        <f>0</f>
        <v>0</v>
      </c>
      <c r="P402" s="4" t="s">
        <v>276</v>
      </c>
      <c r="Q402" s="6">
        <f>43529740</f>
        <v>43529740</v>
      </c>
      <c r="R402" s="6">
        <f>51453592</f>
        <v>51453592</v>
      </c>
      <c r="S402" s="5" t="s">
        <v>1104</v>
      </c>
      <c r="T402" s="4" t="s">
        <v>322</v>
      </c>
      <c r="U402" s="4" t="s">
        <v>277</v>
      </c>
      <c r="V402" s="6">
        <f>3961926</f>
        <v>3961926</v>
      </c>
      <c r="W402" s="6">
        <f>7923852</f>
        <v>7923852</v>
      </c>
      <c r="X402" s="4" t="s">
        <v>243</v>
      </c>
      <c r="Y402" s="4" t="s">
        <v>244</v>
      </c>
      <c r="Z402" s="4" t="s">
        <v>241</v>
      </c>
      <c r="AA402" s="4" t="s">
        <v>241</v>
      </c>
      <c r="AD402" s="4" t="s">
        <v>241</v>
      </c>
      <c r="AE402" s="5" t="s">
        <v>241</v>
      </c>
      <c r="AF402" s="5" t="s">
        <v>241</v>
      </c>
      <c r="AH402" s="5" t="s">
        <v>241</v>
      </c>
      <c r="AI402" s="5" t="s">
        <v>249</v>
      </c>
      <c r="AJ402" s="4" t="s">
        <v>251</v>
      </c>
      <c r="AK402" s="4" t="s">
        <v>252</v>
      </c>
      <c r="AQ402" s="4" t="s">
        <v>241</v>
      </c>
      <c r="AR402" s="4" t="s">
        <v>241</v>
      </c>
      <c r="AS402" s="4" t="s">
        <v>241</v>
      </c>
      <c r="AT402" s="5" t="s">
        <v>241</v>
      </c>
      <c r="AU402" s="5" t="s">
        <v>241</v>
      </c>
      <c r="AV402" s="5" t="s">
        <v>241</v>
      </c>
      <c r="AY402" s="4" t="s">
        <v>286</v>
      </c>
      <c r="AZ402" s="4" t="s">
        <v>286</v>
      </c>
      <c r="BA402" s="4" t="s">
        <v>254</v>
      </c>
      <c r="BB402" s="4" t="s">
        <v>287</v>
      </c>
      <c r="BC402" s="4" t="s">
        <v>255</v>
      </c>
      <c r="BD402" s="4" t="s">
        <v>241</v>
      </c>
      <c r="BE402" s="4" t="s">
        <v>257</v>
      </c>
      <c r="BF402" s="4" t="s">
        <v>241</v>
      </c>
      <c r="BJ402" s="4" t="s">
        <v>288</v>
      </c>
      <c r="BK402" s="5" t="s">
        <v>289</v>
      </c>
      <c r="BL402" s="4" t="s">
        <v>290</v>
      </c>
      <c r="BM402" s="4" t="s">
        <v>290</v>
      </c>
      <c r="BN402" s="4" t="s">
        <v>241</v>
      </c>
      <c r="BP402" s="6">
        <f>-3961926</f>
        <v>-3961926</v>
      </c>
      <c r="BQ402" s="4" t="s">
        <v>263</v>
      </c>
      <c r="BR402" s="4" t="s">
        <v>264</v>
      </c>
      <c r="BS402" s="4" t="s">
        <v>241</v>
      </c>
      <c r="BT402" s="4" t="s">
        <v>241</v>
      </c>
      <c r="BU402" s="4" t="s">
        <v>241</v>
      </c>
      <c r="BV402" s="4" t="s">
        <v>241</v>
      </c>
      <c r="CE402" s="4" t="s">
        <v>264</v>
      </c>
      <c r="CF402" s="4" t="s">
        <v>241</v>
      </c>
      <c r="CG402" s="4" t="s">
        <v>241</v>
      </c>
      <c r="CK402" s="4" t="s">
        <v>291</v>
      </c>
      <c r="CL402" s="4" t="s">
        <v>266</v>
      </c>
      <c r="CM402" s="4" t="s">
        <v>241</v>
      </c>
      <c r="CO402" s="4" t="s">
        <v>331</v>
      </c>
      <c r="CP402" s="5" t="s">
        <v>268</v>
      </c>
      <c r="CQ402" s="4" t="s">
        <v>269</v>
      </c>
      <c r="CR402" s="4" t="s">
        <v>270</v>
      </c>
      <c r="CS402" s="4" t="s">
        <v>293</v>
      </c>
      <c r="CT402" s="4" t="s">
        <v>241</v>
      </c>
      <c r="CU402" s="4">
        <v>7.6999999999999999E-2</v>
      </c>
      <c r="CV402" s="4" t="s">
        <v>271</v>
      </c>
      <c r="CW402" s="4" t="s">
        <v>415</v>
      </c>
      <c r="CX402" s="4" t="s">
        <v>428</v>
      </c>
      <c r="CY402" s="6">
        <f>0</f>
        <v>0</v>
      </c>
      <c r="CZ402" s="6">
        <f>51453592</f>
        <v>51453592</v>
      </c>
      <c r="DA402" s="6">
        <f>43529740</f>
        <v>43529740</v>
      </c>
      <c r="DC402" s="4" t="s">
        <v>241</v>
      </c>
      <c r="DD402" s="4" t="s">
        <v>241</v>
      </c>
      <c r="DF402" s="4" t="s">
        <v>241</v>
      </c>
      <c r="DG402" s="6">
        <f>0</f>
        <v>0</v>
      </c>
      <c r="DI402" s="4" t="s">
        <v>241</v>
      </c>
      <c r="DJ402" s="4" t="s">
        <v>241</v>
      </c>
      <c r="DK402" s="4" t="s">
        <v>241</v>
      </c>
      <c r="DL402" s="4" t="s">
        <v>241</v>
      </c>
      <c r="DM402" s="4" t="s">
        <v>278</v>
      </c>
      <c r="DN402" s="4" t="s">
        <v>278</v>
      </c>
      <c r="DO402" s="6" t="s">
        <v>241</v>
      </c>
      <c r="DP402" s="4" t="s">
        <v>241</v>
      </c>
      <c r="DQ402" s="4" t="s">
        <v>241</v>
      </c>
      <c r="DR402" s="4" t="s">
        <v>241</v>
      </c>
      <c r="DS402" s="4" t="s">
        <v>241</v>
      </c>
      <c r="DV402" s="4" t="s">
        <v>907</v>
      </c>
      <c r="DW402" s="4" t="s">
        <v>341</v>
      </c>
      <c r="GN402" s="4" t="s">
        <v>2829</v>
      </c>
      <c r="HO402" s="4" t="s">
        <v>297</v>
      </c>
      <c r="HR402" s="4" t="s">
        <v>278</v>
      </c>
      <c r="HS402" s="4" t="s">
        <v>278</v>
      </c>
      <c r="HT402" s="4" t="s">
        <v>241</v>
      </c>
      <c r="HU402" s="4" t="s">
        <v>241</v>
      </c>
      <c r="HV402" s="4" t="s">
        <v>241</v>
      </c>
      <c r="HW402" s="4" t="s">
        <v>241</v>
      </c>
      <c r="HX402" s="4" t="s">
        <v>241</v>
      </c>
      <c r="HY402" s="4" t="s">
        <v>241</v>
      </c>
      <c r="HZ402" s="4" t="s">
        <v>241</v>
      </c>
      <c r="IA402" s="4" t="s">
        <v>241</v>
      </c>
      <c r="IB402" s="4" t="s">
        <v>241</v>
      </c>
      <c r="IC402" s="4" t="s">
        <v>241</v>
      </c>
      <c r="ID402" s="4" t="s">
        <v>241</v>
      </c>
      <c r="IE402" s="4" t="s">
        <v>241</v>
      </c>
      <c r="IF402" s="4" t="s">
        <v>241</v>
      </c>
    </row>
    <row r="403" spans="1:240" x14ac:dyDescent="0.4">
      <c r="A403" s="4">
        <v>2</v>
      </c>
      <c r="B403" s="4" t="s">
        <v>239</v>
      </c>
      <c r="C403" s="4">
        <v>434</v>
      </c>
      <c r="D403" s="4">
        <v>1</v>
      </c>
      <c r="E403" s="4">
        <v>3</v>
      </c>
      <c r="F403" s="4" t="s">
        <v>240</v>
      </c>
      <c r="G403" s="4" t="s">
        <v>241</v>
      </c>
      <c r="H403" s="4" t="s">
        <v>241</v>
      </c>
      <c r="I403" s="4" t="s">
        <v>911</v>
      </c>
      <c r="J403" s="4" t="s">
        <v>653</v>
      </c>
      <c r="K403" s="4" t="s">
        <v>256</v>
      </c>
      <c r="L403" s="4" t="s">
        <v>651</v>
      </c>
      <c r="M403" s="5" t="s">
        <v>913</v>
      </c>
      <c r="N403" s="4" t="s">
        <v>651</v>
      </c>
      <c r="O403" s="6">
        <f>2701</f>
        <v>2701</v>
      </c>
      <c r="P403" s="4" t="s">
        <v>276</v>
      </c>
      <c r="Q403" s="6">
        <f>27712260</f>
        <v>27712260</v>
      </c>
      <c r="R403" s="6">
        <f>364635000</f>
        <v>364635000</v>
      </c>
      <c r="S403" s="5" t="s">
        <v>912</v>
      </c>
      <c r="T403" s="4" t="s">
        <v>668</v>
      </c>
      <c r="U403" s="4" t="s">
        <v>373</v>
      </c>
      <c r="V403" s="6">
        <f>8021970</f>
        <v>8021970</v>
      </c>
      <c r="W403" s="6">
        <f>336922740</f>
        <v>336922740</v>
      </c>
      <c r="X403" s="4" t="s">
        <v>243</v>
      </c>
      <c r="Y403" s="4" t="s">
        <v>244</v>
      </c>
      <c r="Z403" s="4" t="s">
        <v>465</v>
      </c>
      <c r="AA403" s="4" t="s">
        <v>241</v>
      </c>
      <c r="AD403" s="4" t="s">
        <v>241</v>
      </c>
      <c r="AE403" s="5" t="s">
        <v>241</v>
      </c>
      <c r="AF403" s="5" t="s">
        <v>241</v>
      </c>
      <c r="AH403" s="5" t="s">
        <v>241</v>
      </c>
      <c r="AI403" s="5" t="s">
        <v>249</v>
      </c>
      <c r="AJ403" s="4" t="s">
        <v>251</v>
      </c>
      <c r="AK403" s="4" t="s">
        <v>252</v>
      </c>
      <c r="AQ403" s="4" t="s">
        <v>241</v>
      </c>
      <c r="AR403" s="4" t="s">
        <v>241</v>
      </c>
      <c r="AS403" s="4" t="s">
        <v>241</v>
      </c>
      <c r="AT403" s="5" t="s">
        <v>241</v>
      </c>
      <c r="AU403" s="5" t="s">
        <v>241</v>
      </c>
      <c r="AV403" s="5" t="s">
        <v>241</v>
      </c>
      <c r="AY403" s="4" t="s">
        <v>286</v>
      </c>
      <c r="AZ403" s="4" t="s">
        <v>286</v>
      </c>
      <c r="BA403" s="4" t="s">
        <v>254</v>
      </c>
      <c r="BB403" s="4" t="s">
        <v>287</v>
      </c>
      <c r="BC403" s="4" t="s">
        <v>255</v>
      </c>
      <c r="BD403" s="4" t="s">
        <v>241</v>
      </c>
      <c r="BE403" s="4" t="s">
        <v>257</v>
      </c>
      <c r="BF403" s="4" t="s">
        <v>241</v>
      </c>
      <c r="BJ403" s="4" t="s">
        <v>288</v>
      </c>
      <c r="BK403" s="5" t="s">
        <v>289</v>
      </c>
      <c r="BL403" s="4" t="s">
        <v>290</v>
      </c>
      <c r="BM403" s="4" t="s">
        <v>290</v>
      </c>
      <c r="BN403" s="4" t="s">
        <v>241</v>
      </c>
      <c r="BO403" s="6">
        <f>0</f>
        <v>0</v>
      </c>
      <c r="BP403" s="6">
        <f>-8021970</f>
        <v>-8021970</v>
      </c>
      <c r="BQ403" s="4" t="s">
        <v>263</v>
      </c>
      <c r="BR403" s="4" t="s">
        <v>264</v>
      </c>
      <c r="BS403" s="4" t="s">
        <v>241</v>
      </c>
      <c r="BT403" s="4" t="s">
        <v>241</v>
      </c>
      <c r="BU403" s="4" t="s">
        <v>241</v>
      </c>
      <c r="BV403" s="4" t="s">
        <v>241</v>
      </c>
      <c r="CE403" s="4" t="s">
        <v>264</v>
      </c>
      <c r="CF403" s="4" t="s">
        <v>241</v>
      </c>
      <c r="CG403" s="4" t="s">
        <v>241</v>
      </c>
      <c r="CK403" s="4" t="s">
        <v>265</v>
      </c>
      <c r="CL403" s="4" t="s">
        <v>266</v>
      </c>
      <c r="CM403" s="4" t="s">
        <v>241</v>
      </c>
      <c r="CO403" s="4" t="s">
        <v>914</v>
      </c>
      <c r="CP403" s="5" t="s">
        <v>268</v>
      </c>
      <c r="CQ403" s="4" t="s">
        <v>269</v>
      </c>
      <c r="CR403" s="4" t="s">
        <v>270</v>
      </c>
      <c r="CS403" s="4" t="s">
        <v>293</v>
      </c>
      <c r="CT403" s="4" t="s">
        <v>241</v>
      </c>
      <c r="CU403" s="4">
        <v>2.1999999999999999E-2</v>
      </c>
      <c r="CV403" s="4" t="s">
        <v>271</v>
      </c>
      <c r="CW403" s="4" t="s">
        <v>655</v>
      </c>
      <c r="CX403" s="4" t="s">
        <v>295</v>
      </c>
      <c r="CY403" s="6">
        <f>0</f>
        <v>0</v>
      </c>
      <c r="CZ403" s="6">
        <f>364635000</f>
        <v>364635000</v>
      </c>
      <c r="DA403" s="6">
        <f>27712260</f>
        <v>27712260</v>
      </c>
      <c r="DC403" s="4" t="s">
        <v>241</v>
      </c>
      <c r="DD403" s="4" t="s">
        <v>241</v>
      </c>
      <c r="DF403" s="4" t="s">
        <v>241</v>
      </c>
      <c r="DG403" s="6">
        <f>0</f>
        <v>0</v>
      </c>
      <c r="DI403" s="4" t="s">
        <v>241</v>
      </c>
      <c r="DJ403" s="4" t="s">
        <v>241</v>
      </c>
      <c r="DK403" s="4" t="s">
        <v>241</v>
      </c>
      <c r="DL403" s="4" t="s">
        <v>241</v>
      </c>
      <c r="DM403" s="4" t="s">
        <v>297</v>
      </c>
      <c r="DN403" s="4" t="s">
        <v>278</v>
      </c>
      <c r="DO403" s="6">
        <f>2701</f>
        <v>2701</v>
      </c>
      <c r="DP403" s="4" t="s">
        <v>241</v>
      </c>
      <c r="DQ403" s="4" t="s">
        <v>241</v>
      </c>
      <c r="DR403" s="4" t="s">
        <v>241</v>
      </c>
      <c r="DS403" s="4" t="s">
        <v>241</v>
      </c>
      <c r="DV403" s="4" t="s">
        <v>915</v>
      </c>
      <c r="DW403" s="4" t="s">
        <v>277</v>
      </c>
      <c r="GN403" s="4" t="s">
        <v>916</v>
      </c>
      <c r="HO403" s="4" t="s">
        <v>300</v>
      </c>
      <c r="HR403" s="4" t="s">
        <v>278</v>
      </c>
      <c r="HS403" s="4" t="s">
        <v>278</v>
      </c>
      <c r="HT403" s="4" t="s">
        <v>241</v>
      </c>
      <c r="HU403" s="4" t="s">
        <v>241</v>
      </c>
      <c r="HV403" s="4" t="s">
        <v>241</v>
      </c>
      <c r="HW403" s="4" t="s">
        <v>241</v>
      </c>
      <c r="HX403" s="4" t="s">
        <v>241</v>
      </c>
      <c r="HY403" s="4" t="s">
        <v>241</v>
      </c>
      <c r="HZ403" s="4" t="s">
        <v>241</v>
      </c>
      <c r="IA403" s="4" t="s">
        <v>241</v>
      </c>
      <c r="IB403" s="4" t="s">
        <v>241</v>
      </c>
      <c r="IC403" s="4" t="s">
        <v>241</v>
      </c>
      <c r="ID403" s="4" t="s">
        <v>241</v>
      </c>
      <c r="IE403" s="4" t="s">
        <v>241</v>
      </c>
      <c r="IF403" s="4" t="s">
        <v>241</v>
      </c>
    </row>
    <row r="404" spans="1:240" x14ac:dyDescent="0.4">
      <c r="A404" s="4">
        <v>2</v>
      </c>
      <c r="B404" s="4" t="s">
        <v>239</v>
      </c>
      <c r="C404" s="4">
        <v>435</v>
      </c>
      <c r="D404" s="4">
        <v>1</v>
      </c>
      <c r="E404" s="4">
        <v>1</v>
      </c>
      <c r="F404" s="4" t="s">
        <v>240</v>
      </c>
      <c r="G404" s="4" t="s">
        <v>241</v>
      </c>
      <c r="H404" s="4" t="s">
        <v>241</v>
      </c>
      <c r="I404" s="4" t="s">
        <v>911</v>
      </c>
      <c r="J404" s="4" t="s">
        <v>653</v>
      </c>
      <c r="K404" s="4" t="s">
        <v>256</v>
      </c>
      <c r="L404" s="4" t="s">
        <v>2529</v>
      </c>
      <c r="M404" s="5" t="s">
        <v>913</v>
      </c>
      <c r="N404" s="4" t="s">
        <v>2529</v>
      </c>
      <c r="O404" s="6">
        <f>43</f>
        <v>43</v>
      </c>
      <c r="P404" s="4" t="s">
        <v>276</v>
      </c>
      <c r="Q404" s="6">
        <f>1</f>
        <v>1</v>
      </c>
      <c r="R404" s="6">
        <f>2580000</f>
        <v>2580000</v>
      </c>
      <c r="S404" s="5" t="s">
        <v>2943</v>
      </c>
      <c r="T404" s="4" t="s">
        <v>348</v>
      </c>
      <c r="U404" s="4" t="s">
        <v>393</v>
      </c>
      <c r="W404" s="6">
        <f>2579999</f>
        <v>2579999</v>
      </c>
      <c r="X404" s="4" t="s">
        <v>243</v>
      </c>
      <c r="Y404" s="4" t="s">
        <v>244</v>
      </c>
      <c r="Z404" s="4" t="s">
        <v>465</v>
      </c>
      <c r="AA404" s="4" t="s">
        <v>241</v>
      </c>
      <c r="AD404" s="4" t="s">
        <v>241</v>
      </c>
      <c r="AF404" s="5" t="s">
        <v>241</v>
      </c>
      <c r="AI404" s="5" t="s">
        <v>249</v>
      </c>
      <c r="AJ404" s="4" t="s">
        <v>251</v>
      </c>
      <c r="AK404" s="4" t="s">
        <v>252</v>
      </c>
      <c r="BA404" s="4" t="s">
        <v>254</v>
      </c>
      <c r="BB404" s="4" t="s">
        <v>241</v>
      </c>
      <c r="BC404" s="4" t="s">
        <v>255</v>
      </c>
      <c r="BD404" s="4" t="s">
        <v>241</v>
      </c>
      <c r="BE404" s="4" t="s">
        <v>257</v>
      </c>
      <c r="BF404" s="4" t="s">
        <v>241</v>
      </c>
      <c r="BJ404" s="4" t="s">
        <v>367</v>
      </c>
      <c r="BK404" s="5" t="s">
        <v>249</v>
      </c>
      <c r="BL404" s="4" t="s">
        <v>261</v>
      </c>
      <c r="BM404" s="4" t="s">
        <v>262</v>
      </c>
      <c r="BN404" s="4" t="s">
        <v>241</v>
      </c>
      <c r="BO404" s="6">
        <f>0</f>
        <v>0</v>
      </c>
      <c r="BP404" s="6">
        <f>0</f>
        <v>0</v>
      </c>
      <c r="BQ404" s="4" t="s">
        <v>263</v>
      </c>
      <c r="BR404" s="4" t="s">
        <v>264</v>
      </c>
      <c r="CF404" s="4" t="s">
        <v>241</v>
      </c>
      <c r="CG404" s="4" t="s">
        <v>241</v>
      </c>
      <c r="CK404" s="4" t="s">
        <v>265</v>
      </c>
      <c r="CL404" s="4" t="s">
        <v>266</v>
      </c>
      <c r="CM404" s="4" t="s">
        <v>241</v>
      </c>
      <c r="CO404" s="4" t="s">
        <v>392</v>
      </c>
      <c r="CP404" s="5" t="s">
        <v>268</v>
      </c>
      <c r="CQ404" s="4" t="s">
        <v>269</v>
      </c>
      <c r="CR404" s="4" t="s">
        <v>270</v>
      </c>
      <c r="CS404" s="4" t="s">
        <v>241</v>
      </c>
      <c r="CT404" s="4" t="s">
        <v>241</v>
      </c>
      <c r="CU404" s="4">
        <v>0</v>
      </c>
      <c r="CV404" s="4" t="s">
        <v>271</v>
      </c>
      <c r="CW404" s="4" t="s">
        <v>415</v>
      </c>
      <c r="CX404" s="4" t="s">
        <v>416</v>
      </c>
      <c r="CZ404" s="6">
        <f>2580000</f>
        <v>2580000</v>
      </c>
      <c r="DA404" s="6">
        <f>0</f>
        <v>0</v>
      </c>
      <c r="DC404" s="4" t="s">
        <v>241</v>
      </c>
      <c r="DD404" s="4" t="s">
        <v>241</v>
      </c>
      <c r="DF404" s="4" t="s">
        <v>241</v>
      </c>
      <c r="DI404" s="4" t="s">
        <v>241</v>
      </c>
      <c r="DJ404" s="4" t="s">
        <v>241</v>
      </c>
      <c r="DK404" s="4" t="s">
        <v>241</v>
      </c>
      <c r="DL404" s="4" t="s">
        <v>241</v>
      </c>
      <c r="DM404" s="4" t="s">
        <v>277</v>
      </c>
      <c r="DN404" s="4" t="s">
        <v>278</v>
      </c>
      <c r="DO404" s="6">
        <f>43</f>
        <v>43</v>
      </c>
      <c r="DP404" s="4" t="s">
        <v>241</v>
      </c>
      <c r="DQ404" s="4" t="s">
        <v>241</v>
      </c>
      <c r="DR404" s="4" t="s">
        <v>241</v>
      </c>
      <c r="DS404" s="4" t="s">
        <v>241</v>
      </c>
      <c r="DV404" s="4" t="s">
        <v>915</v>
      </c>
      <c r="DW404" s="4" t="s">
        <v>323</v>
      </c>
      <c r="HO404" s="4" t="s">
        <v>277</v>
      </c>
      <c r="HR404" s="4" t="s">
        <v>278</v>
      </c>
      <c r="HS404" s="4" t="s">
        <v>278</v>
      </c>
    </row>
    <row r="405" spans="1:240" x14ac:dyDescent="0.4">
      <c r="A405" s="4">
        <v>2</v>
      </c>
      <c r="B405" s="4" t="s">
        <v>239</v>
      </c>
      <c r="C405" s="4">
        <v>436</v>
      </c>
      <c r="D405" s="4">
        <v>1</v>
      </c>
      <c r="E405" s="4">
        <v>1</v>
      </c>
      <c r="F405" s="4" t="s">
        <v>240</v>
      </c>
      <c r="G405" s="4" t="s">
        <v>241</v>
      </c>
      <c r="H405" s="4" t="s">
        <v>241</v>
      </c>
      <c r="I405" s="4" t="s">
        <v>911</v>
      </c>
      <c r="J405" s="4" t="s">
        <v>653</v>
      </c>
      <c r="K405" s="4" t="s">
        <v>256</v>
      </c>
      <c r="L405" s="4" t="s">
        <v>1003</v>
      </c>
      <c r="M405" s="5" t="s">
        <v>913</v>
      </c>
      <c r="N405" s="4" t="s">
        <v>1003</v>
      </c>
      <c r="O405" s="6">
        <f>731</f>
        <v>731</v>
      </c>
      <c r="P405" s="4" t="s">
        <v>276</v>
      </c>
      <c r="Q405" s="6">
        <f>1</f>
        <v>1</v>
      </c>
      <c r="R405" s="6">
        <f>58480000</f>
        <v>58480000</v>
      </c>
      <c r="S405" s="5" t="s">
        <v>1009</v>
      </c>
      <c r="T405" s="4" t="s">
        <v>357</v>
      </c>
      <c r="U405" s="4" t="s">
        <v>357</v>
      </c>
      <c r="W405" s="6">
        <f>58479999</f>
        <v>58479999</v>
      </c>
      <c r="X405" s="4" t="s">
        <v>243</v>
      </c>
      <c r="Y405" s="4" t="s">
        <v>244</v>
      </c>
      <c r="Z405" s="4" t="s">
        <v>465</v>
      </c>
      <c r="AA405" s="4" t="s">
        <v>241</v>
      </c>
      <c r="AD405" s="4" t="s">
        <v>241</v>
      </c>
      <c r="AF405" s="5" t="s">
        <v>241</v>
      </c>
      <c r="AI405" s="5" t="s">
        <v>249</v>
      </c>
      <c r="AJ405" s="4" t="s">
        <v>251</v>
      </c>
      <c r="AK405" s="4" t="s">
        <v>252</v>
      </c>
      <c r="BA405" s="4" t="s">
        <v>254</v>
      </c>
      <c r="BB405" s="4" t="s">
        <v>241</v>
      </c>
      <c r="BC405" s="4" t="s">
        <v>255</v>
      </c>
      <c r="BD405" s="4" t="s">
        <v>241</v>
      </c>
      <c r="BE405" s="4" t="s">
        <v>257</v>
      </c>
      <c r="BF405" s="4" t="s">
        <v>241</v>
      </c>
      <c r="BJ405" s="4" t="s">
        <v>374</v>
      </c>
      <c r="BK405" s="5" t="s">
        <v>375</v>
      </c>
      <c r="BL405" s="4" t="s">
        <v>261</v>
      </c>
      <c r="BM405" s="4" t="s">
        <v>290</v>
      </c>
      <c r="BN405" s="4" t="s">
        <v>241</v>
      </c>
      <c r="BO405" s="6">
        <f>0</f>
        <v>0</v>
      </c>
      <c r="BP405" s="6">
        <f>0</f>
        <v>0</v>
      </c>
      <c r="BQ405" s="4" t="s">
        <v>263</v>
      </c>
      <c r="BR405" s="4" t="s">
        <v>264</v>
      </c>
      <c r="CF405" s="4" t="s">
        <v>241</v>
      </c>
      <c r="CG405" s="4" t="s">
        <v>241</v>
      </c>
      <c r="CK405" s="4" t="s">
        <v>265</v>
      </c>
      <c r="CL405" s="4" t="s">
        <v>266</v>
      </c>
      <c r="CM405" s="4" t="s">
        <v>241</v>
      </c>
      <c r="CO405" s="4" t="s">
        <v>724</v>
      </c>
      <c r="CP405" s="5" t="s">
        <v>268</v>
      </c>
      <c r="CQ405" s="4" t="s">
        <v>269</v>
      </c>
      <c r="CR405" s="4" t="s">
        <v>270</v>
      </c>
      <c r="CS405" s="4" t="s">
        <v>241</v>
      </c>
      <c r="CT405" s="4" t="s">
        <v>241</v>
      </c>
      <c r="CU405" s="4">
        <v>0</v>
      </c>
      <c r="CV405" s="4" t="s">
        <v>271</v>
      </c>
      <c r="CW405" s="4" t="s">
        <v>1006</v>
      </c>
      <c r="CX405" s="4" t="s">
        <v>487</v>
      </c>
      <c r="CZ405" s="6">
        <f>58480000</f>
        <v>58480000</v>
      </c>
      <c r="DA405" s="6">
        <f>0</f>
        <v>0</v>
      </c>
      <c r="DC405" s="4" t="s">
        <v>241</v>
      </c>
      <c r="DD405" s="4" t="s">
        <v>241</v>
      </c>
      <c r="DF405" s="4" t="s">
        <v>241</v>
      </c>
      <c r="DI405" s="4" t="s">
        <v>241</v>
      </c>
      <c r="DJ405" s="4" t="s">
        <v>241</v>
      </c>
      <c r="DK405" s="4" t="s">
        <v>241</v>
      </c>
      <c r="DL405" s="4" t="s">
        <v>241</v>
      </c>
      <c r="DM405" s="4" t="s">
        <v>323</v>
      </c>
      <c r="DN405" s="4" t="s">
        <v>278</v>
      </c>
      <c r="DO405" s="6">
        <f>731</f>
        <v>731</v>
      </c>
      <c r="DP405" s="4" t="s">
        <v>241</v>
      </c>
      <c r="DQ405" s="4" t="s">
        <v>241</v>
      </c>
      <c r="DR405" s="4" t="s">
        <v>241</v>
      </c>
      <c r="DS405" s="4" t="s">
        <v>241</v>
      </c>
      <c r="DV405" s="4" t="s">
        <v>915</v>
      </c>
      <c r="DW405" s="4" t="s">
        <v>297</v>
      </c>
      <c r="HO405" s="4" t="s">
        <v>336</v>
      </c>
      <c r="HR405" s="4" t="s">
        <v>278</v>
      </c>
      <c r="HS405" s="4" t="s">
        <v>278</v>
      </c>
    </row>
    <row r="406" spans="1:240" x14ac:dyDescent="0.4">
      <c r="A406" s="4">
        <v>2</v>
      </c>
      <c r="B406" s="4" t="s">
        <v>239</v>
      </c>
      <c r="C406" s="4">
        <v>437</v>
      </c>
      <c r="D406" s="4">
        <v>1</v>
      </c>
      <c r="E406" s="4">
        <v>1</v>
      </c>
      <c r="F406" s="4" t="s">
        <v>240</v>
      </c>
      <c r="G406" s="4" t="s">
        <v>241</v>
      </c>
      <c r="H406" s="4" t="s">
        <v>241</v>
      </c>
      <c r="I406" s="4" t="s">
        <v>911</v>
      </c>
      <c r="J406" s="4" t="s">
        <v>653</v>
      </c>
      <c r="K406" s="4" t="s">
        <v>256</v>
      </c>
      <c r="L406" s="4" t="s">
        <v>340</v>
      </c>
      <c r="M406" s="5" t="s">
        <v>913</v>
      </c>
      <c r="N406" s="4" t="s">
        <v>340</v>
      </c>
      <c r="O406" s="6">
        <f>6</f>
        <v>6</v>
      </c>
      <c r="P406" s="4" t="s">
        <v>276</v>
      </c>
      <c r="Q406" s="6">
        <f>1</f>
        <v>1</v>
      </c>
      <c r="R406" s="6">
        <f>882000</f>
        <v>882000</v>
      </c>
      <c r="S406" s="5" t="s">
        <v>1770</v>
      </c>
      <c r="T406" s="4" t="s">
        <v>348</v>
      </c>
      <c r="U406" s="4" t="s">
        <v>314</v>
      </c>
      <c r="W406" s="6">
        <f>881999</f>
        <v>881999</v>
      </c>
      <c r="X406" s="4" t="s">
        <v>243</v>
      </c>
      <c r="Y406" s="4" t="s">
        <v>244</v>
      </c>
      <c r="Z406" s="4" t="s">
        <v>465</v>
      </c>
      <c r="AA406" s="4" t="s">
        <v>241</v>
      </c>
      <c r="AD406" s="4" t="s">
        <v>241</v>
      </c>
      <c r="AF406" s="5" t="s">
        <v>241</v>
      </c>
      <c r="AI406" s="5" t="s">
        <v>249</v>
      </c>
      <c r="AJ406" s="4" t="s">
        <v>251</v>
      </c>
      <c r="AK406" s="4" t="s">
        <v>252</v>
      </c>
      <c r="BA406" s="4" t="s">
        <v>254</v>
      </c>
      <c r="BB406" s="4" t="s">
        <v>241</v>
      </c>
      <c r="BC406" s="4" t="s">
        <v>255</v>
      </c>
      <c r="BD406" s="4" t="s">
        <v>241</v>
      </c>
      <c r="BE406" s="4" t="s">
        <v>257</v>
      </c>
      <c r="BF406" s="4" t="s">
        <v>241</v>
      </c>
      <c r="BJ406" s="4" t="s">
        <v>377</v>
      </c>
      <c r="BK406" s="5" t="s">
        <v>378</v>
      </c>
      <c r="BL406" s="4" t="s">
        <v>261</v>
      </c>
      <c r="BM406" s="4" t="s">
        <v>262</v>
      </c>
      <c r="BN406" s="4" t="s">
        <v>241</v>
      </c>
      <c r="BO406" s="6">
        <f>0</f>
        <v>0</v>
      </c>
      <c r="BP406" s="6">
        <f>0</f>
        <v>0</v>
      </c>
      <c r="BQ406" s="4" t="s">
        <v>263</v>
      </c>
      <c r="BR406" s="4" t="s">
        <v>264</v>
      </c>
      <c r="CF406" s="4" t="s">
        <v>241</v>
      </c>
      <c r="CG406" s="4" t="s">
        <v>241</v>
      </c>
      <c r="CK406" s="4" t="s">
        <v>291</v>
      </c>
      <c r="CL406" s="4" t="s">
        <v>266</v>
      </c>
      <c r="CM406" s="4" t="s">
        <v>241</v>
      </c>
      <c r="CO406" s="4" t="s">
        <v>355</v>
      </c>
      <c r="CP406" s="5" t="s">
        <v>268</v>
      </c>
      <c r="CQ406" s="4" t="s">
        <v>269</v>
      </c>
      <c r="CR406" s="4" t="s">
        <v>270</v>
      </c>
      <c r="CS406" s="4" t="s">
        <v>241</v>
      </c>
      <c r="CT406" s="4" t="s">
        <v>241</v>
      </c>
      <c r="CU406" s="4">
        <v>0</v>
      </c>
      <c r="CV406" s="4" t="s">
        <v>271</v>
      </c>
      <c r="CW406" s="4" t="s">
        <v>332</v>
      </c>
      <c r="CX406" s="4" t="s">
        <v>347</v>
      </c>
      <c r="CZ406" s="6">
        <f>882000</f>
        <v>882000</v>
      </c>
      <c r="DA406" s="6">
        <f>0</f>
        <v>0</v>
      </c>
      <c r="DC406" s="4" t="s">
        <v>241</v>
      </c>
      <c r="DD406" s="4" t="s">
        <v>241</v>
      </c>
      <c r="DF406" s="4" t="s">
        <v>241</v>
      </c>
      <c r="DI406" s="4" t="s">
        <v>241</v>
      </c>
      <c r="DJ406" s="4" t="s">
        <v>241</v>
      </c>
      <c r="DK406" s="4" t="s">
        <v>241</v>
      </c>
      <c r="DL406" s="4" t="s">
        <v>241</v>
      </c>
      <c r="DM406" s="4" t="s">
        <v>277</v>
      </c>
      <c r="DN406" s="4" t="s">
        <v>278</v>
      </c>
      <c r="DO406" s="6">
        <f>6</f>
        <v>6</v>
      </c>
      <c r="DP406" s="4" t="s">
        <v>241</v>
      </c>
      <c r="DQ406" s="4" t="s">
        <v>241</v>
      </c>
      <c r="DR406" s="4" t="s">
        <v>241</v>
      </c>
      <c r="DS406" s="4" t="s">
        <v>241</v>
      </c>
      <c r="DV406" s="4" t="s">
        <v>915</v>
      </c>
      <c r="DW406" s="4" t="s">
        <v>336</v>
      </c>
      <c r="HO406" s="4" t="s">
        <v>277</v>
      </c>
      <c r="HR406" s="4" t="s">
        <v>278</v>
      </c>
      <c r="HS406" s="4" t="s">
        <v>278</v>
      </c>
    </row>
    <row r="407" spans="1:240" x14ac:dyDescent="0.4">
      <c r="A407" s="4">
        <v>2</v>
      </c>
      <c r="B407" s="4" t="s">
        <v>239</v>
      </c>
      <c r="C407" s="4">
        <v>438</v>
      </c>
      <c r="D407" s="4">
        <v>1</v>
      </c>
      <c r="E407" s="4">
        <v>3</v>
      </c>
      <c r="F407" s="4" t="s">
        <v>240</v>
      </c>
      <c r="G407" s="4" t="s">
        <v>241</v>
      </c>
      <c r="H407" s="4" t="s">
        <v>241</v>
      </c>
      <c r="I407" s="4" t="s">
        <v>911</v>
      </c>
      <c r="J407" s="4" t="s">
        <v>653</v>
      </c>
      <c r="K407" s="4" t="s">
        <v>256</v>
      </c>
      <c r="L407" s="4" t="s">
        <v>429</v>
      </c>
      <c r="M407" s="5" t="s">
        <v>913</v>
      </c>
      <c r="N407" s="4" t="s">
        <v>429</v>
      </c>
      <c r="O407" s="6">
        <f>66</f>
        <v>66</v>
      </c>
      <c r="P407" s="4" t="s">
        <v>276</v>
      </c>
      <c r="Q407" s="6">
        <f>4251744</f>
        <v>4251744</v>
      </c>
      <c r="R407" s="6">
        <f>6048000</f>
        <v>6048000</v>
      </c>
      <c r="S407" s="5" t="s">
        <v>3586</v>
      </c>
      <c r="T407" s="4" t="s">
        <v>441</v>
      </c>
      <c r="U407" s="4" t="s">
        <v>343</v>
      </c>
      <c r="V407" s="6">
        <f>199584</f>
        <v>199584</v>
      </c>
      <c r="W407" s="6">
        <f>1796256</f>
        <v>1796256</v>
      </c>
      <c r="X407" s="4" t="s">
        <v>243</v>
      </c>
      <c r="Y407" s="4" t="s">
        <v>244</v>
      </c>
      <c r="Z407" s="4" t="s">
        <v>465</v>
      </c>
      <c r="AA407" s="4" t="s">
        <v>241</v>
      </c>
      <c r="AD407" s="4" t="s">
        <v>241</v>
      </c>
      <c r="AE407" s="5" t="s">
        <v>241</v>
      </c>
      <c r="AF407" s="5" t="s">
        <v>241</v>
      </c>
      <c r="AH407" s="5" t="s">
        <v>241</v>
      </c>
      <c r="AI407" s="5" t="s">
        <v>249</v>
      </c>
      <c r="AJ407" s="4" t="s">
        <v>251</v>
      </c>
      <c r="AK407" s="4" t="s">
        <v>252</v>
      </c>
      <c r="AQ407" s="4" t="s">
        <v>241</v>
      </c>
      <c r="AR407" s="4" t="s">
        <v>241</v>
      </c>
      <c r="AS407" s="4" t="s">
        <v>241</v>
      </c>
      <c r="AT407" s="5" t="s">
        <v>241</v>
      </c>
      <c r="AU407" s="5" t="s">
        <v>241</v>
      </c>
      <c r="AV407" s="5" t="s">
        <v>241</v>
      </c>
      <c r="AY407" s="4" t="s">
        <v>286</v>
      </c>
      <c r="AZ407" s="4" t="s">
        <v>286</v>
      </c>
      <c r="BA407" s="4" t="s">
        <v>254</v>
      </c>
      <c r="BB407" s="4" t="s">
        <v>287</v>
      </c>
      <c r="BC407" s="4" t="s">
        <v>255</v>
      </c>
      <c r="BD407" s="4" t="s">
        <v>241</v>
      </c>
      <c r="BE407" s="4" t="s">
        <v>257</v>
      </c>
      <c r="BF407" s="4" t="s">
        <v>241</v>
      </c>
      <c r="BJ407" s="4" t="s">
        <v>288</v>
      </c>
      <c r="BK407" s="5" t="s">
        <v>289</v>
      </c>
      <c r="BL407" s="4" t="s">
        <v>290</v>
      </c>
      <c r="BM407" s="4" t="s">
        <v>290</v>
      </c>
      <c r="BN407" s="4" t="s">
        <v>241</v>
      </c>
      <c r="BO407" s="6">
        <f>0</f>
        <v>0</v>
      </c>
      <c r="BP407" s="6">
        <f>-199584</f>
        <v>-199584</v>
      </c>
      <c r="BQ407" s="4" t="s">
        <v>263</v>
      </c>
      <c r="BR407" s="4" t="s">
        <v>264</v>
      </c>
      <c r="BS407" s="4" t="s">
        <v>241</v>
      </c>
      <c r="BT407" s="4" t="s">
        <v>241</v>
      </c>
      <c r="BU407" s="4" t="s">
        <v>241</v>
      </c>
      <c r="BV407" s="4" t="s">
        <v>241</v>
      </c>
      <c r="CE407" s="4" t="s">
        <v>264</v>
      </c>
      <c r="CF407" s="4" t="s">
        <v>241</v>
      </c>
      <c r="CG407" s="4" t="s">
        <v>241</v>
      </c>
      <c r="CK407" s="4" t="s">
        <v>291</v>
      </c>
      <c r="CL407" s="4" t="s">
        <v>266</v>
      </c>
      <c r="CM407" s="4" t="s">
        <v>241</v>
      </c>
      <c r="CO407" s="4" t="s">
        <v>826</v>
      </c>
      <c r="CP407" s="5" t="s">
        <v>268</v>
      </c>
      <c r="CQ407" s="4" t="s">
        <v>269</v>
      </c>
      <c r="CR407" s="4" t="s">
        <v>270</v>
      </c>
      <c r="CS407" s="4" t="s">
        <v>293</v>
      </c>
      <c r="CT407" s="4" t="s">
        <v>241</v>
      </c>
      <c r="CU407" s="4">
        <v>3.3000000000000002E-2</v>
      </c>
      <c r="CV407" s="4" t="s">
        <v>271</v>
      </c>
      <c r="CW407" s="4" t="s">
        <v>272</v>
      </c>
      <c r="CX407" s="4" t="s">
        <v>487</v>
      </c>
      <c r="CY407" s="6">
        <f>0</f>
        <v>0</v>
      </c>
      <c r="CZ407" s="6">
        <f>6048000</f>
        <v>6048000</v>
      </c>
      <c r="DA407" s="6">
        <f>4251744</f>
        <v>4251744</v>
      </c>
      <c r="DC407" s="4" t="s">
        <v>241</v>
      </c>
      <c r="DD407" s="4" t="s">
        <v>241</v>
      </c>
      <c r="DF407" s="4" t="s">
        <v>241</v>
      </c>
      <c r="DG407" s="6">
        <f>0</f>
        <v>0</v>
      </c>
      <c r="DI407" s="4" t="s">
        <v>241</v>
      </c>
      <c r="DJ407" s="4" t="s">
        <v>241</v>
      </c>
      <c r="DK407" s="4" t="s">
        <v>241</v>
      </c>
      <c r="DL407" s="4" t="s">
        <v>241</v>
      </c>
      <c r="DM407" s="4" t="s">
        <v>277</v>
      </c>
      <c r="DN407" s="4" t="s">
        <v>278</v>
      </c>
      <c r="DO407" s="6">
        <f>66</f>
        <v>66</v>
      </c>
      <c r="DP407" s="4" t="s">
        <v>241</v>
      </c>
      <c r="DQ407" s="4" t="s">
        <v>241</v>
      </c>
      <c r="DR407" s="4" t="s">
        <v>241</v>
      </c>
      <c r="DS407" s="4" t="s">
        <v>241</v>
      </c>
      <c r="DV407" s="4" t="s">
        <v>915</v>
      </c>
      <c r="DW407" s="4" t="s">
        <v>351</v>
      </c>
      <c r="GN407" s="4" t="s">
        <v>3587</v>
      </c>
      <c r="HO407" s="4" t="s">
        <v>300</v>
      </c>
      <c r="HR407" s="4" t="s">
        <v>278</v>
      </c>
      <c r="HS407" s="4" t="s">
        <v>278</v>
      </c>
      <c r="HT407" s="4" t="s">
        <v>241</v>
      </c>
      <c r="HU407" s="4" t="s">
        <v>241</v>
      </c>
      <c r="HV407" s="4" t="s">
        <v>241</v>
      </c>
      <c r="HW407" s="4" t="s">
        <v>241</v>
      </c>
      <c r="HX407" s="4" t="s">
        <v>241</v>
      </c>
      <c r="HY407" s="4" t="s">
        <v>241</v>
      </c>
      <c r="HZ407" s="4" t="s">
        <v>241</v>
      </c>
      <c r="IA407" s="4" t="s">
        <v>241</v>
      </c>
      <c r="IB407" s="4" t="s">
        <v>241</v>
      </c>
      <c r="IC407" s="4" t="s">
        <v>241</v>
      </c>
      <c r="ID407" s="4" t="s">
        <v>241</v>
      </c>
      <c r="IE407" s="4" t="s">
        <v>241</v>
      </c>
      <c r="IF407" s="4" t="s">
        <v>241</v>
      </c>
    </row>
    <row r="408" spans="1:240" x14ac:dyDescent="0.4">
      <c r="A408" s="4">
        <v>2</v>
      </c>
      <c r="B408" s="4" t="s">
        <v>239</v>
      </c>
      <c r="C408" s="4">
        <v>439</v>
      </c>
      <c r="D408" s="4">
        <v>1</v>
      </c>
      <c r="E408" s="4">
        <v>3</v>
      </c>
      <c r="F408" s="4" t="s">
        <v>326</v>
      </c>
      <c r="G408" s="4" t="s">
        <v>241</v>
      </c>
      <c r="H408" s="4" t="s">
        <v>241</v>
      </c>
      <c r="I408" s="4" t="s">
        <v>911</v>
      </c>
      <c r="J408" s="4" t="s">
        <v>653</v>
      </c>
      <c r="K408" s="4" t="s">
        <v>256</v>
      </c>
      <c r="L408" s="4" t="s">
        <v>2827</v>
      </c>
      <c r="M408" s="5" t="s">
        <v>913</v>
      </c>
      <c r="N408" s="4" t="s">
        <v>2777</v>
      </c>
      <c r="O408" s="6">
        <f>0</f>
        <v>0</v>
      </c>
      <c r="P408" s="4" t="s">
        <v>276</v>
      </c>
      <c r="Q408" s="6">
        <f>276524</f>
        <v>276524</v>
      </c>
      <c r="R408" s="6">
        <f>399600</f>
        <v>399600</v>
      </c>
      <c r="S408" s="5" t="s">
        <v>2504</v>
      </c>
      <c r="T408" s="4" t="s">
        <v>322</v>
      </c>
      <c r="U408" s="4" t="s">
        <v>297</v>
      </c>
      <c r="V408" s="6">
        <f>30769</f>
        <v>30769</v>
      </c>
      <c r="W408" s="6">
        <f>123076</f>
        <v>123076</v>
      </c>
      <c r="X408" s="4" t="s">
        <v>243</v>
      </c>
      <c r="Y408" s="4" t="s">
        <v>244</v>
      </c>
      <c r="Z408" s="4" t="s">
        <v>465</v>
      </c>
      <c r="AA408" s="4" t="s">
        <v>241</v>
      </c>
      <c r="AD408" s="4" t="s">
        <v>241</v>
      </c>
      <c r="AE408" s="5" t="s">
        <v>241</v>
      </c>
      <c r="AF408" s="5" t="s">
        <v>241</v>
      </c>
      <c r="AH408" s="5" t="s">
        <v>241</v>
      </c>
      <c r="AI408" s="5" t="s">
        <v>249</v>
      </c>
      <c r="AJ408" s="4" t="s">
        <v>251</v>
      </c>
      <c r="AK408" s="4" t="s">
        <v>252</v>
      </c>
      <c r="AQ408" s="4" t="s">
        <v>241</v>
      </c>
      <c r="AR408" s="4" t="s">
        <v>241</v>
      </c>
      <c r="AS408" s="4" t="s">
        <v>241</v>
      </c>
      <c r="AT408" s="5" t="s">
        <v>241</v>
      </c>
      <c r="AU408" s="5" t="s">
        <v>241</v>
      </c>
      <c r="AV408" s="5" t="s">
        <v>241</v>
      </c>
      <c r="AY408" s="4" t="s">
        <v>286</v>
      </c>
      <c r="AZ408" s="4" t="s">
        <v>286</v>
      </c>
      <c r="BA408" s="4" t="s">
        <v>254</v>
      </c>
      <c r="BB408" s="4" t="s">
        <v>287</v>
      </c>
      <c r="BC408" s="4" t="s">
        <v>255</v>
      </c>
      <c r="BD408" s="4" t="s">
        <v>241</v>
      </c>
      <c r="BE408" s="4" t="s">
        <v>257</v>
      </c>
      <c r="BF408" s="4" t="s">
        <v>241</v>
      </c>
      <c r="BJ408" s="4" t="s">
        <v>288</v>
      </c>
      <c r="BK408" s="5" t="s">
        <v>289</v>
      </c>
      <c r="BL408" s="4" t="s">
        <v>290</v>
      </c>
      <c r="BM408" s="4" t="s">
        <v>290</v>
      </c>
      <c r="BN408" s="4" t="s">
        <v>241</v>
      </c>
      <c r="BP408" s="6">
        <f>-30769</f>
        <v>-30769</v>
      </c>
      <c r="BQ408" s="4" t="s">
        <v>263</v>
      </c>
      <c r="BR408" s="4" t="s">
        <v>264</v>
      </c>
      <c r="BS408" s="4" t="s">
        <v>241</v>
      </c>
      <c r="BT408" s="4" t="s">
        <v>241</v>
      </c>
      <c r="BU408" s="4" t="s">
        <v>241</v>
      </c>
      <c r="BV408" s="4" t="s">
        <v>241</v>
      </c>
      <c r="CE408" s="4" t="s">
        <v>264</v>
      </c>
      <c r="CF408" s="4" t="s">
        <v>241</v>
      </c>
      <c r="CG408" s="4" t="s">
        <v>241</v>
      </c>
      <c r="CK408" s="4" t="s">
        <v>291</v>
      </c>
      <c r="CL408" s="4" t="s">
        <v>266</v>
      </c>
      <c r="CM408" s="4" t="s">
        <v>241</v>
      </c>
      <c r="CO408" s="4" t="s">
        <v>413</v>
      </c>
      <c r="CP408" s="5" t="s">
        <v>268</v>
      </c>
      <c r="CQ408" s="4" t="s">
        <v>269</v>
      </c>
      <c r="CR408" s="4" t="s">
        <v>270</v>
      </c>
      <c r="CS408" s="4" t="s">
        <v>293</v>
      </c>
      <c r="CT408" s="4" t="s">
        <v>241</v>
      </c>
      <c r="CU408" s="4">
        <v>7.6999999999999999E-2</v>
      </c>
      <c r="CV408" s="4" t="s">
        <v>271</v>
      </c>
      <c r="CW408" s="4" t="s">
        <v>415</v>
      </c>
      <c r="CX408" s="4" t="s">
        <v>428</v>
      </c>
      <c r="CY408" s="6">
        <f>0</f>
        <v>0</v>
      </c>
      <c r="CZ408" s="6">
        <f>399600</f>
        <v>399600</v>
      </c>
      <c r="DA408" s="6">
        <f>276524</f>
        <v>276524</v>
      </c>
      <c r="DC408" s="4" t="s">
        <v>241</v>
      </c>
      <c r="DD408" s="4" t="s">
        <v>241</v>
      </c>
      <c r="DF408" s="4" t="s">
        <v>241</v>
      </c>
      <c r="DG408" s="6">
        <f>0</f>
        <v>0</v>
      </c>
      <c r="DI408" s="4" t="s">
        <v>241</v>
      </c>
      <c r="DJ408" s="4" t="s">
        <v>241</v>
      </c>
      <c r="DK408" s="4" t="s">
        <v>241</v>
      </c>
      <c r="DL408" s="4" t="s">
        <v>241</v>
      </c>
      <c r="DM408" s="4" t="s">
        <v>278</v>
      </c>
      <c r="DN408" s="4" t="s">
        <v>278</v>
      </c>
      <c r="DO408" s="6" t="s">
        <v>241</v>
      </c>
      <c r="DP408" s="4" t="s">
        <v>241</v>
      </c>
      <c r="DQ408" s="4" t="s">
        <v>241</v>
      </c>
      <c r="DR408" s="4" t="s">
        <v>241</v>
      </c>
      <c r="DS408" s="4" t="s">
        <v>241</v>
      </c>
      <c r="DV408" s="4" t="s">
        <v>915</v>
      </c>
      <c r="DW408" s="4" t="s">
        <v>300</v>
      </c>
      <c r="GN408" s="4" t="s">
        <v>2828</v>
      </c>
      <c r="HO408" s="4" t="s">
        <v>351</v>
      </c>
      <c r="HR408" s="4" t="s">
        <v>278</v>
      </c>
      <c r="HS408" s="4" t="s">
        <v>278</v>
      </c>
      <c r="HT408" s="4" t="s">
        <v>241</v>
      </c>
      <c r="HU408" s="4" t="s">
        <v>241</v>
      </c>
      <c r="HV408" s="4" t="s">
        <v>241</v>
      </c>
      <c r="HW408" s="4" t="s">
        <v>241</v>
      </c>
      <c r="HX408" s="4" t="s">
        <v>241</v>
      </c>
      <c r="HY408" s="4" t="s">
        <v>241</v>
      </c>
      <c r="HZ408" s="4" t="s">
        <v>241</v>
      </c>
      <c r="IA408" s="4" t="s">
        <v>241</v>
      </c>
      <c r="IB408" s="4" t="s">
        <v>241</v>
      </c>
      <c r="IC408" s="4" t="s">
        <v>241</v>
      </c>
      <c r="ID408" s="4" t="s">
        <v>241</v>
      </c>
      <c r="IE408" s="4" t="s">
        <v>241</v>
      </c>
      <c r="IF408" s="4" t="s">
        <v>241</v>
      </c>
    </row>
    <row r="409" spans="1:240" x14ac:dyDescent="0.4">
      <c r="A409" s="4">
        <v>2</v>
      </c>
      <c r="B409" s="4" t="s">
        <v>239</v>
      </c>
      <c r="C409" s="4">
        <v>440</v>
      </c>
      <c r="D409" s="4">
        <v>1</v>
      </c>
      <c r="E409" s="4">
        <v>3</v>
      </c>
      <c r="F409" s="4" t="s">
        <v>326</v>
      </c>
      <c r="G409" s="4" t="s">
        <v>241</v>
      </c>
      <c r="H409" s="4" t="s">
        <v>241</v>
      </c>
      <c r="I409" s="4" t="s">
        <v>911</v>
      </c>
      <c r="J409" s="4" t="s">
        <v>653</v>
      </c>
      <c r="K409" s="4" t="s">
        <v>256</v>
      </c>
      <c r="L409" s="4" t="s">
        <v>241</v>
      </c>
      <c r="M409" s="5" t="s">
        <v>913</v>
      </c>
      <c r="N409" s="4" t="s">
        <v>2749</v>
      </c>
      <c r="O409" s="6">
        <f>0</f>
        <v>0</v>
      </c>
      <c r="P409" s="4" t="s">
        <v>276</v>
      </c>
      <c r="Q409" s="6">
        <f>666820</f>
        <v>666820</v>
      </c>
      <c r="R409" s="6">
        <f>770000</f>
        <v>770000</v>
      </c>
      <c r="S409" s="5" t="s">
        <v>2825</v>
      </c>
      <c r="T409" s="4" t="s">
        <v>348</v>
      </c>
      <c r="U409" s="4" t="s">
        <v>277</v>
      </c>
      <c r="V409" s="6">
        <f>51590</f>
        <v>51590</v>
      </c>
      <c r="W409" s="6">
        <f>103180</f>
        <v>103180</v>
      </c>
      <c r="X409" s="4" t="s">
        <v>243</v>
      </c>
      <c r="Y409" s="4" t="s">
        <v>244</v>
      </c>
      <c r="Z409" s="4" t="s">
        <v>241</v>
      </c>
      <c r="AA409" s="4" t="s">
        <v>241</v>
      </c>
      <c r="AD409" s="4" t="s">
        <v>241</v>
      </c>
      <c r="AE409" s="5" t="s">
        <v>241</v>
      </c>
      <c r="AF409" s="5" t="s">
        <v>241</v>
      </c>
      <c r="AH409" s="5" t="s">
        <v>241</v>
      </c>
      <c r="AI409" s="5" t="s">
        <v>249</v>
      </c>
      <c r="AJ409" s="4" t="s">
        <v>251</v>
      </c>
      <c r="AK409" s="4" t="s">
        <v>252</v>
      </c>
      <c r="AQ409" s="4" t="s">
        <v>241</v>
      </c>
      <c r="AR409" s="4" t="s">
        <v>241</v>
      </c>
      <c r="AS409" s="4" t="s">
        <v>241</v>
      </c>
      <c r="AT409" s="5" t="s">
        <v>241</v>
      </c>
      <c r="AU409" s="5" t="s">
        <v>241</v>
      </c>
      <c r="AV409" s="5" t="s">
        <v>241</v>
      </c>
      <c r="AY409" s="4" t="s">
        <v>286</v>
      </c>
      <c r="AZ409" s="4" t="s">
        <v>286</v>
      </c>
      <c r="BA409" s="4" t="s">
        <v>254</v>
      </c>
      <c r="BB409" s="4" t="s">
        <v>287</v>
      </c>
      <c r="BC409" s="4" t="s">
        <v>255</v>
      </c>
      <c r="BD409" s="4" t="s">
        <v>241</v>
      </c>
      <c r="BE409" s="4" t="s">
        <v>257</v>
      </c>
      <c r="BF409" s="4" t="s">
        <v>241</v>
      </c>
      <c r="BJ409" s="4" t="s">
        <v>288</v>
      </c>
      <c r="BK409" s="5" t="s">
        <v>289</v>
      </c>
      <c r="BL409" s="4" t="s">
        <v>290</v>
      </c>
      <c r="BM409" s="4" t="s">
        <v>290</v>
      </c>
      <c r="BN409" s="4" t="s">
        <v>241</v>
      </c>
      <c r="BP409" s="6">
        <f>-51590</f>
        <v>-51590</v>
      </c>
      <c r="BQ409" s="4" t="s">
        <v>263</v>
      </c>
      <c r="BR409" s="4" t="s">
        <v>264</v>
      </c>
      <c r="BS409" s="4" t="s">
        <v>241</v>
      </c>
      <c r="BT409" s="4" t="s">
        <v>241</v>
      </c>
      <c r="BU409" s="4" t="s">
        <v>241</v>
      </c>
      <c r="BV409" s="4" t="s">
        <v>241</v>
      </c>
      <c r="CE409" s="4" t="s">
        <v>264</v>
      </c>
      <c r="CF409" s="4" t="s">
        <v>241</v>
      </c>
      <c r="CG409" s="4" t="s">
        <v>241</v>
      </c>
      <c r="CK409" s="4" t="s">
        <v>291</v>
      </c>
      <c r="CL409" s="4" t="s">
        <v>266</v>
      </c>
      <c r="CM409" s="4" t="s">
        <v>241</v>
      </c>
      <c r="CO409" s="4" t="s">
        <v>331</v>
      </c>
      <c r="CP409" s="5" t="s">
        <v>268</v>
      </c>
      <c r="CQ409" s="4" t="s">
        <v>269</v>
      </c>
      <c r="CR409" s="4" t="s">
        <v>270</v>
      </c>
      <c r="CS409" s="4" t="s">
        <v>293</v>
      </c>
      <c r="CT409" s="4" t="s">
        <v>241</v>
      </c>
      <c r="CU409" s="4">
        <v>6.7000000000000004E-2</v>
      </c>
      <c r="CV409" s="4" t="s">
        <v>271</v>
      </c>
      <c r="CW409" s="4" t="s">
        <v>415</v>
      </c>
      <c r="CX409" s="4" t="s">
        <v>422</v>
      </c>
      <c r="CY409" s="6">
        <f>0</f>
        <v>0</v>
      </c>
      <c r="CZ409" s="6">
        <f>770000</f>
        <v>770000</v>
      </c>
      <c r="DA409" s="6">
        <f>666820</f>
        <v>666820</v>
      </c>
      <c r="DC409" s="4" t="s">
        <v>241</v>
      </c>
      <c r="DD409" s="4" t="s">
        <v>241</v>
      </c>
      <c r="DF409" s="4" t="s">
        <v>241</v>
      </c>
      <c r="DG409" s="6">
        <f>0</f>
        <v>0</v>
      </c>
      <c r="DI409" s="4" t="s">
        <v>241</v>
      </c>
      <c r="DJ409" s="4" t="s">
        <v>241</v>
      </c>
      <c r="DK409" s="4" t="s">
        <v>241</v>
      </c>
      <c r="DL409" s="4" t="s">
        <v>241</v>
      </c>
      <c r="DM409" s="4" t="s">
        <v>278</v>
      </c>
      <c r="DN409" s="4" t="s">
        <v>278</v>
      </c>
      <c r="DO409" s="6" t="s">
        <v>241</v>
      </c>
      <c r="DP409" s="4" t="s">
        <v>241</v>
      </c>
      <c r="DQ409" s="4" t="s">
        <v>241</v>
      </c>
      <c r="DR409" s="4" t="s">
        <v>241</v>
      </c>
      <c r="DS409" s="4" t="s">
        <v>241</v>
      </c>
      <c r="DV409" s="4" t="s">
        <v>915</v>
      </c>
      <c r="DW409" s="4" t="s">
        <v>341</v>
      </c>
      <c r="GN409" s="4" t="s">
        <v>2826</v>
      </c>
      <c r="HO409" s="4" t="s">
        <v>297</v>
      </c>
      <c r="HR409" s="4" t="s">
        <v>278</v>
      </c>
      <c r="HS409" s="4" t="s">
        <v>278</v>
      </c>
      <c r="HT409" s="4" t="s">
        <v>241</v>
      </c>
      <c r="HU409" s="4" t="s">
        <v>241</v>
      </c>
      <c r="HV409" s="4" t="s">
        <v>241</v>
      </c>
      <c r="HW409" s="4" t="s">
        <v>241</v>
      </c>
      <c r="HX409" s="4" t="s">
        <v>241</v>
      </c>
      <c r="HY409" s="4" t="s">
        <v>241</v>
      </c>
      <c r="HZ409" s="4" t="s">
        <v>241</v>
      </c>
      <c r="IA409" s="4" t="s">
        <v>241</v>
      </c>
      <c r="IB409" s="4" t="s">
        <v>241</v>
      </c>
      <c r="IC409" s="4" t="s">
        <v>241</v>
      </c>
      <c r="ID409" s="4" t="s">
        <v>241</v>
      </c>
      <c r="IE409" s="4" t="s">
        <v>241</v>
      </c>
      <c r="IF409" s="4" t="s">
        <v>241</v>
      </c>
    </row>
    <row r="410" spans="1:240" x14ac:dyDescent="0.4">
      <c r="A410" s="4">
        <v>2</v>
      </c>
      <c r="B410" s="4" t="s">
        <v>239</v>
      </c>
      <c r="C410" s="4">
        <v>441</v>
      </c>
      <c r="D410" s="4">
        <v>1</v>
      </c>
      <c r="E410" s="4">
        <v>3</v>
      </c>
      <c r="F410" s="4" t="s">
        <v>326</v>
      </c>
      <c r="G410" s="4" t="s">
        <v>241</v>
      </c>
      <c r="H410" s="4" t="s">
        <v>241</v>
      </c>
      <c r="I410" s="4" t="s">
        <v>911</v>
      </c>
      <c r="J410" s="4" t="s">
        <v>653</v>
      </c>
      <c r="K410" s="4" t="s">
        <v>256</v>
      </c>
      <c r="L410" s="4" t="s">
        <v>241</v>
      </c>
      <c r="M410" s="5" t="s">
        <v>913</v>
      </c>
      <c r="N410" s="4" t="s">
        <v>2747</v>
      </c>
      <c r="O410" s="6">
        <f>0</f>
        <v>0</v>
      </c>
      <c r="P410" s="4" t="s">
        <v>276</v>
      </c>
      <c r="Q410" s="6">
        <f>27835144</f>
        <v>27835144</v>
      </c>
      <c r="R410" s="6">
        <f>32902060</f>
        <v>32902060</v>
      </c>
      <c r="S410" s="5" t="s">
        <v>1104</v>
      </c>
      <c r="T410" s="4" t="s">
        <v>322</v>
      </c>
      <c r="U410" s="4" t="s">
        <v>277</v>
      </c>
      <c r="V410" s="6">
        <f>2533458</f>
        <v>2533458</v>
      </c>
      <c r="W410" s="6">
        <f>5066916</f>
        <v>5066916</v>
      </c>
      <c r="X410" s="4" t="s">
        <v>243</v>
      </c>
      <c r="Y410" s="4" t="s">
        <v>244</v>
      </c>
      <c r="Z410" s="4" t="s">
        <v>241</v>
      </c>
      <c r="AA410" s="4" t="s">
        <v>241</v>
      </c>
      <c r="AD410" s="4" t="s">
        <v>241</v>
      </c>
      <c r="AE410" s="5" t="s">
        <v>241</v>
      </c>
      <c r="AF410" s="5" t="s">
        <v>241</v>
      </c>
      <c r="AH410" s="5" t="s">
        <v>241</v>
      </c>
      <c r="AI410" s="5" t="s">
        <v>249</v>
      </c>
      <c r="AJ410" s="4" t="s">
        <v>251</v>
      </c>
      <c r="AK410" s="4" t="s">
        <v>252</v>
      </c>
      <c r="AQ410" s="4" t="s">
        <v>241</v>
      </c>
      <c r="AR410" s="4" t="s">
        <v>241</v>
      </c>
      <c r="AS410" s="4" t="s">
        <v>241</v>
      </c>
      <c r="AT410" s="5" t="s">
        <v>241</v>
      </c>
      <c r="AU410" s="5" t="s">
        <v>241</v>
      </c>
      <c r="AV410" s="5" t="s">
        <v>241</v>
      </c>
      <c r="AY410" s="4" t="s">
        <v>286</v>
      </c>
      <c r="AZ410" s="4" t="s">
        <v>286</v>
      </c>
      <c r="BA410" s="4" t="s">
        <v>254</v>
      </c>
      <c r="BB410" s="4" t="s">
        <v>287</v>
      </c>
      <c r="BC410" s="4" t="s">
        <v>255</v>
      </c>
      <c r="BD410" s="4" t="s">
        <v>241</v>
      </c>
      <c r="BE410" s="4" t="s">
        <v>257</v>
      </c>
      <c r="BF410" s="4" t="s">
        <v>241</v>
      </c>
      <c r="BJ410" s="4" t="s">
        <v>288</v>
      </c>
      <c r="BK410" s="5" t="s">
        <v>289</v>
      </c>
      <c r="BL410" s="4" t="s">
        <v>290</v>
      </c>
      <c r="BM410" s="4" t="s">
        <v>290</v>
      </c>
      <c r="BN410" s="4" t="s">
        <v>241</v>
      </c>
      <c r="BP410" s="6">
        <f>-2533458</f>
        <v>-2533458</v>
      </c>
      <c r="BQ410" s="4" t="s">
        <v>263</v>
      </c>
      <c r="BR410" s="4" t="s">
        <v>264</v>
      </c>
      <c r="BS410" s="4" t="s">
        <v>241</v>
      </c>
      <c r="BT410" s="4" t="s">
        <v>241</v>
      </c>
      <c r="BU410" s="4" t="s">
        <v>241</v>
      </c>
      <c r="BV410" s="4" t="s">
        <v>241</v>
      </c>
      <c r="CE410" s="4" t="s">
        <v>264</v>
      </c>
      <c r="CF410" s="4" t="s">
        <v>241</v>
      </c>
      <c r="CG410" s="4" t="s">
        <v>241</v>
      </c>
      <c r="CK410" s="4" t="s">
        <v>291</v>
      </c>
      <c r="CL410" s="4" t="s">
        <v>266</v>
      </c>
      <c r="CM410" s="4" t="s">
        <v>241</v>
      </c>
      <c r="CO410" s="4" t="s">
        <v>331</v>
      </c>
      <c r="CP410" s="5" t="s">
        <v>268</v>
      </c>
      <c r="CQ410" s="4" t="s">
        <v>269</v>
      </c>
      <c r="CR410" s="4" t="s">
        <v>270</v>
      </c>
      <c r="CS410" s="4" t="s">
        <v>293</v>
      </c>
      <c r="CT410" s="4" t="s">
        <v>241</v>
      </c>
      <c r="CU410" s="4">
        <v>7.6999999999999999E-2</v>
      </c>
      <c r="CV410" s="4" t="s">
        <v>271</v>
      </c>
      <c r="CW410" s="4" t="s">
        <v>415</v>
      </c>
      <c r="CX410" s="4" t="s">
        <v>428</v>
      </c>
      <c r="CY410" s="6">
        <f>0</f>
        <v>0</v>
      </c>
      <c r="CZ410" s="6">
        <f>32902060</f>
        <v>32902060</v>
      </c>
      <c r="DA410" s="6">
        <f>27835144</f>
        <v>27835144</v>
      </c>
      <c r="DC410" s="4" t="s">
        <v>241</v>
      </c>
      <c r="DD410" s="4" t="s">
        <v>241</v>
      </c>
      <c r="DF410" s="4" t="s">
        <v>241</v>
      </c>
      <c r="DG410" s="6">
        <f>0</f>
        <v>0</v>
      </c>
      <c r="DI410" s="4" t="s">
        <v>241</v>
      </c>
      <c r="DJ410" s="4" t="s">
        <v>241</v>
      </c>
      <c r="DK410" s="4" t="s">
        <v>241</v>
      </c>
      <c r="DL410" s="4" t="s">
        <v>241</v>
      </c>
      <c r="DM410" s="4" t="s">
        <v>278</v>
      </c>
      <c r="DN410" s="4" t="s">
        <v>278</v>
      </c>
      <c r="DO410" s="6" t="s">
        <v>241</v>
      </c>
      <c r="DP410" s="4" t="s">
        <v>241</v>
      </c>
      <c r="DQ410" s="4" t="s">
        <v>241</v>
      </c>
      <c r="DR410" s="4" t="s">
        <v>241</v>
      </c>
      <c r="DS410" s="4" t="s">
        <v>241</v>
      </c>
      <c r="DV410" s="4" t="s">
        <v>915</v>
      </c>
      <c r="DW410" s="4" t="s">
        <v>343</v>
      </c>
      <c r="GN410" s="4" t="s">
        <v>2824</v>
      </c>
      <c r="HO410" s="4" t="s">
        <v>297</v>
      </c>
      <c r="HR410" s="4" t="s">
        <v>278</v>
      </c>
      <c r="HS410" s="4" t="s">
        <v>278</v>
      </c>
      <c r="HT410" s="4" t="s">
        <v>241</v>
      </c>
      <c r="HU410" s="4" t="s">
        <v>241</v>
      </c>
      <c r="HV410" s="4" t="s">
        <v>241</v>
      </c>
      <c r="HW410" s="4" t="s">
        <v>241</v>
      </c>
      <c r="HX410" s="4" t="s">
        <v>241</v>
      </c>
      <c r="HY410" s="4" t="s">
        <v>241</v>
      </c>
      <c r="HZ410" s="4" t="s">
        <v>241</v>
      </c>
      <c r="IA410" s="4" t="s">
        <v>241</v>
      </c>
      <c r="IB410" s="4" t="s">
        <v>241</v>
      </c>
      <c r="IC410" s="4" t="s">
        <v>241</v>
      </c>
      <c r="ID410" s="4" t="s">
        <v>241</v>
      </c>
      <c r="IE410" s="4" t="s">
        <v>241</v>
      </c>
      <c r="IF410" s="4" t="s">
        <v>241</v>
      </c>
    </row>
    <row r="411" spans="1:240" x14ac:dyDescent="0.4">
      <c r="A411" s="4">
        <v>2</v>
      </c>
      <c r="B411" s="4" t="s">
        <v>239</v>
      </c>
      <c r="C411" s="4">
        <v>442</v>
      </c>
      <c r="D411" s="4">
        <v>1</v>
      </c>
      <c r="E411" s="4">
        <v>1</v>
      </c>
      <c r="F411" s="4" t="s">
        <v>240</v>
      </c>
      <c r="G411" s="4" t="s">
        <v>241</v>
      </c>
      <c r="H411" s="4" t="s">
        <v>241</v>
      </c>
      <c r="I411" s="4" t="s">
        <v>917</v>
      </c>
      <c r="J411" s="4" t="s">
        <v>653</v>
      </c>
      <c r="K411" s="4" t="s">
        <v>256</v>
      </c>
      <c r="L411" s="4" t="s">
        <v>2529</v>
      </c>
      <c r="M411" s="5" t="s">
        <v>919</v>
      </c>
      <c r="N411" s="4" t="s">
        <v>2529</v>
      </c>
      <c r="O411" s="6">
        <f>43</f>
        <v>43</v>
      </c>
      <c r="P411" s="4" t="s">
        <v>276</v>
      </c>
      <c r="Q411" s="6">
        <f>1</f>
        <v>1</v>
      </c>
      <c r="R411" s="6">
        <f>2580000</f>
        <v>2580000</v>
      </c>
      <c r="S411" s="5" t="s">
        <v>2942</v>
      </c>
      <c r="T411" s="4" t="s">
        <v>348</v>
      </c>
      <c r="U411" s="4" t="s">
        <v>777</v>
      </c>
      <c r="W411" s="6">
        <f>2579999</f>
        <v>2579999</v>
      </c>
      <c r="X411" s="4" t="s">
        <v>243</v>
      </c>
      <c r="Y411" s="4" t="s">
        <v>244</v>
      </c>
      <c r="Z411" s="4" t="s">
        <v>465</v>
      </c>
      <c r="AA411" s="4" t="s">
        <v>241</v>
      </c>
      <c r="AD411" s="4" t="s">
        <v>241</v>
      </c>
      <c r="AF411" s="5" t="s">
        <v>241</v>
      </c>
      <c r="AI411" s="5" t="s">
        <v>249</v>
      </c>
      <c r="AJ411" s="4" t="s">
        <v>251</v>
      </c>
      <c r="AK411" s="4" t="s">
        <v>252</v>
      </c>
      <c r="BA411" s="4" t="s">
        <v>254</v>
      </c>
      <c r="BB411" s="4" t="s">
        <v>241</v>
      </c>
      <c r="BC411" s="4" t="s">
        <v>255</v>
      </c>
      <c r="BD411" s="4" t="s">
        <v>241</v>
      </c>
      <c r="BE411" s="4" t="s">
        <v>257</v>
      </c>
      <c r="BF411" s="4" t="s">
        <v>241</v>
      </c>
      <c r="BJ411" s="4" t="s">
        <v>259</v>
      </c>
      <c r="BK411" s="5" t="s">
        <v>260</v>
      </c>
      <c r="BL411" s="4" t="s">
        <v>261</v>
      </c>
      <c r="BM411" s="4" t="s">
        <v>262</v>
      </c>
      <c r="BN411" s="4" t="s">
        <v>241</v>
      </c>
      <c r="BO411" s="6">
        <f>0</f>
        <v>0</v>
      </c>
      <c r="BP411" s="6">
        <f>0</f>
        <v>0</v>
      </c>
      <c r="BQ411" s="4" t="s">
        <v>263</v>
      </c>
      <c r="BR411" s="4" t="s">
        <v>264</v>
      </c>
      <c r="CF411" s="4" t="s">
        <v>241</v>
      </c>
      <c r="CG411" s="4" t="s">
        <v>241</v>
      </c>
      <c r="CK411" s="4" t="s">
        <v>265</v>
      </c>
      <c r="CL411" s="4" t="s">
        <v>266</v>
      </c>
      <c r="CM411" s="4" t="s">
        <v>241</v>
      </c>
      <c r="CO411" s="4" t="s">
        <v>956</v>
      </c>
      <c r="CP411" s="5" t="s">
        <v>268</v>
      </c>
      <c r="CQ411" s="4" t="s">
        <v>269</v>
      </c>
      <c r="CR411" s="4" t="s">
        <v>270</v>
      </c>
      <c r="CS411" s="4" t="s">
        <v>241</v>
      </c>
      <c r="CT411" s="4" t="s">
        <v>241</v>
      </c>
      <c r="CU411" s="4">
        <v>0</v>
      </c>
      <c r="CV411" s="4" t="s">
        <v>271</v>
      </c>
      <c r="CW411" s="4" t="s">
        <v>415</v>
      </c>
      <c r="CX411" s="4" t="s">
        <v>416</v>
      </c>
      <c r="CZ411" s="6">
        <f>2580000</f>
        <v>2580000</v>
      </c>
      <c r="DA411" s="6">
        <f>0</f>
        <v>0</v>
      </c>
      <c r="DC411" s="4" t="s">
        <v>241</v>
      </c>
      <c r="DD411" s="4" t="s">
        <v>241</v>
      </c>
      <c r="DF411" s="4" t="s">
        <v>241</v>
      </c>
      <c r="DI411" s="4" t="s">
        <v>241</v>
      </c>
      <c r="DJ411" s="4" t="s">
        <v>241</v>
      </c>
      <c r="DK411" s="4" t="s">
        <v>241</v>
      </c>
      <c r="DL411" s="4" t="s">
        <v>241</v>
      </c>
      <c r="DM411" s="4" t="s">
        <v>277</v>
      </c>
      <c r="DN411" s="4" t="s">
        <v>278</v>
      </c>
      <c r="DO411" s="6">
        <f>43</f>
        <v>43</v>
      </c>
      <c r="DP411" s="4" t="s">
        <v>241</v>
      </c>
      <c r="DQ411" s="4" t="s">
        <v>241</v>
      </c>
      <c r="DR411" s="4" t="s">
        <v>241</v>
      </c>
      <c r="DS411" s="4" t="s">
        <v>241</v>
      </c>
      <c r="DV411" s="4" t="s">
        <v>920</v>
      </c>
      <c r="DW411" s="4" t="s">
        <v>277</v>
      </c>
      <c r="HO411" s="4" t="s">
        <v>277</v>
      </c>
      <c r="HR411" s="4" t="s">
        <v>278</v>
      </c>
      <c r="HS411" s="4" t="s">
        <v>278</v>
      </c>
    </row>
    <row r="412" spans="1:240" x14ac:dyDescent="0.4">
      <c r="A412" s="4">
        <v>2</v>
      </c>
      <c r="B412" s="4" t="s">
        <v>239</v>
      </c>
      <c r="C412" s="4">
        <v>443</v>
      </c>
      <c r="D412" s="4">
        <v>1</v>
      </c>
      <c r="E412" s="4">
        <v>3</v>
      </c>
      <c r="F412" s="4" t="s">
        <v>240</v>
      </c>
      <c r="G412" s="4" t="s">
        <v>241</v>
      </c>
      <c r="H412" s="4" t="s">
        <v>241</v>
      </c>
      <c r="I412" s="4" t="s">
        <v>917</v>
      </c>
      <c r="J412" s="4" t="s">
        <v>653</v>
      </c>
      <c r="K412" s="4" t="s">
        <v>256</v>
      </c>
      <c r="L412" s="4" t="s">
        <v>651</v>
      </c>
      <c r="M412" s="5" t="s">
        <v>919</v>
      </c>
      <c r="N412" s="4" t="s">
        <v>651</v>
      </c>
      <c r="O412" s="6">
        <f>2022</f>
        <v>2022</v>
      </c>
      <c r="P412" s="4" t="s">
        <v>276</v>
      </c>
      <c r="Q412" s="6">
        <f>119116020</f>
        <v>119116020</v>
      </c>
      <c r="R412" s="6">
        <f>434730000</f>
        <v>434730000</v>
      </c>
      <c r="S412" s="5" t="s">
        <v>918</v>
      </c>
      <c r="T412" s="4" t="s">
        <v>668</v>
      </c>
      <c r="U412" s="4" t="s">
        <v>552</v>
      </c>
      <c r="V412" s="6">
        <f>9564060</f>
        <v>9564060</v>
      </c>
      <c r="W412" s="6">
        <f>315613980</f>
        <v>315613980</v>
      </c>
      <c r="X412" s="4" t="s">
        <v>243</v>
      </c>
      <c r="Y412" s="4" t="s">
        <v>244</v>
      </c>
      <c r="Z412" s="4" t="s">
        <v>465</v>
      </c>
      <c r="AA412" s="4" t="s">
        <v>241</v>
      </c>
      <c r="AD412" s="4" t="s">
        <v>241</v>
      </c>
      <c r="AE412" s="5" t="s">
        <v>241</v>
      </c>
      <c r="AF412" s="5" t="s">
        <v>241</v>
      </c>
      <c r="AH412" s="5" t="s">
        <v>241</v>
      </c>
      <c r="AI412" s="5" t="s">
        <v>249</v>
      </c>
      <c r="AJ412" s="4" t="s">
        <v>251</v>
      </c>
      <c r="AK412" s="4" t="s">
        <v>252</v>
      </c>
      <c r="AQ412" s="4" t="s">
        <v>241</v>
      </c>
      <c r="AR412" s="4" t="s">
        <v>241</v>
      </c>
      <c r="AS412" s="4" t="s">
        <v>241</v>
      </c>
      <c r="AT412" s="5" t="s">
        <v>241</v>
      </c>
      <c r="AU412" s="5" t="s">
        <v>241</v>
      </c>
      <c r="AV412" s="5" t="s">
        <v>241</v>
      </c>
      <c r="AY412" s="4" t="s">
        <v>286</v>
      </c>
      <c r="AZ412" s="4" t="s">
        <v>286</v>
      </c>
      <c r="BA412" s="4" t="s">
        <v>254</v>
      </c>
      <c r="BB412" s="4" t="s">
        <v>287</v>
      </c>
      <c r="BC412" s="4" t="s">
        <v>255</v>
      </c>
      <c r="BD412" s="4" t="s">
        <v>241</v>
      </c>
      <c r="BE412" s="4" t="s">
        <v>257</v>
      </c>
      <c r="BF412" s="4" t="s">
        <v>241</v>
      </c>
      <c r="BJ412" s="4" t="s">
        <v>288</v>
      </c>
      <c r="BK412" s="5" t="s">
        <v>289</v>
      </c>
      <c r="BL412" s="4" t="s">
        <v>290</v>
      </c>
      <c r="BM412" s="4" t="s">
        <v>290</v>
      </c>
      <c r="BN412" s="4" t="s">
        <v>241</v>
      </c>
      <c r="BO412" s="6">
        <f>0</f>
        <v>0</v>
      </c>
      <c r="BP412" s="6">
        <f>-9564060</f>
        <v>-9564060</v>
      </c>
      <c r="BQ412" s="4" t="s">
        <v>263</v>
      </c>
      <c r="BR412" s="4" t="s">
        <v>264</v>
      </c>
      <c r="BS412" s="4" t="s">
        <v>241</v>
      </c>
      <c r="BT412" s="4" t="s">
        <v>241</v>
      </c>
      <c r="BU412" s="4" t="s">
        <v>241</v>
      </c>
      <c r="BV412" s="4" t="s">
        <v>241</v>
      </c>
      <c r="CE412" s="4" t="s">
        <v>264</v>
      </c>
      <c r="CF412" s="4" t="s">
        <v>241</v>
      </c>
      <c r="CG412" s="4" t="s">
        <v>241</v>
      </c>
      <c r="CK412" s="4" t="s">
        <v>291</v>
      </c>
      <c r="CL412" s="4" t="s">
        <v>266</v>
      </c>
      <c r="CM412" s="4" t="s">
        <v>241</v>
      </c>
      <c r="CO412" s="4" t="s">
        <v>551</v>
      </c>
      <c r="CP412" s="5" t="s">
        <v>268</v>
      </c>
      <c r="CQ412" s="4" t="s">
        <v>269</v>
      </c>
      <c r="CR412" s="4" t="s">
        <v>270</v>
      </c>
      <c r="CS412" s="4" t="s">
        <v>293</v>
      </c>
      <c r="CT412" s="4" t="s">
        <v>241</v>
      </c>
      <c r="CU412" s="4">
        <v>2.1999999999999999E-2</v>
      </c>
      <c r="CV412" s="4" t="s">
        <v>271</v>
      </c>
      <c r="CW412" s="4" t="s">
        <v>655</v>
      </c>
      <c r="CX412" s="4" t="s">
        <v>295</v>
      </c>
      <c r="CY412" s="6">
        <f>0</f>
        <v>0</v>
      </c>
      <c r="CZ412" s="6">
        <f>434730000</f>
        <v>434730000</v>
      </c>
      <c r="DA412" s="6">
        <f>119116020</f>
        <v>119116020</v>
      </c>
      <c r="DC412" s="4" t="s">
        <v>241</v>
      </c>
      <c r="DD412" s="4" t="s">
        <v>241</v>
      </c>
      <c r="DF412" s="4" t="s">
        <v>241</v>
      </c>
      <c r="DG412" s="6">
        <f>0</f>
        <v>0</v>
      </c>
      <c r="DI412" s="4" t="s">
        <v>241</v>
      </c>
      <c r="DJ412" s="4" t="s">
        <v>241</v>
      </c>
      <c r="DK412" s="4" t="s">
        <v>241</v>
      </c>
      <c r="DL412" s="4" t="s">
        <v>241</v>
      </c>
      <c r="DM412" s="4" t="s">
        <v>323</v>
      </c>
      <c r="DN412" s="4" t="s">
        <v>278</v>
      </c>
      <c r="DO412" s="6">
        <f>2022</f>
        <v>2022</v>
      </c>
      <c r="DP412" s="4" t="s">
        <v>241</v>
      </c>
      <c r="DQ412" s="4" t="s">
        <v>241</v>
      </c>
      <c r="DR412" s="4" t="s">
        <v>241</v>
      </c>
      <c r="DS412" s="4" t="s">
        <v>241</v>
      </c>
      <c r="DV412" s="4" t="s">
        <v>920</v>
      </c>
      <c r="DW412" s="4" t="s">
        <v>323</v>
      </c>
      <c r="GN412" s="4" t="s">
        <v>921</v>
      </c>
      <c r="HO412" s="4" t="s">
        <v>300</v>
      </c>
      <c r="HR412" s="4" t="s">
        <v>278</v>
      </c>
      <c r="HS412" s="4" t="s">
        <v>278</v>
      </c>
      <c r="HT412" s="4" t="s">
        <v>241</v>
      </c>
      <c r="HU412" s="4" t="s">
        <v>241</v>
      </c>
      <c r="HV412" s="4" t="s">
        <v>241</v>
      </c>
      <c r="HW412" s="4" t="s">
        <v>241</v>
      </c>
      <c r="HX412" s="4" t="s">
        <v>241</v>
      </c>
      <c r="HY412" s="4" t="s">
        <v>241</v>
      </c>
      <c r="HZ412" s="4" t="s">
        <v>241</v>
      </c>
      <c r="IA412" s="4" t="s">
        <v>241</v>
      </c>
      <c r="IB412" s="4" t="s">
        <v>241</v>
      </c>
      <c r="IC412" s="4" t="s">
        <v>241</v>
      </c>
      <c r="ID412" s="4" t="s">
        <v>241</v>
      </c>
      <c r="IE412" s="4" t="s">
        <v>241</v>
      </c>
      <c r="IF412" s="4" t="s">
        <v>241</v>
      </c>
    </row>
    <row r="413" spans="1:240" x14ac:dyDescent="0.4">
      <c r="A413" s="4">
        <v>2</v>
      </c>
      <c r="B413" s="4" t="s">
        <v>239</v>
      </c>
      <c r="C413" s="4">
        <v>444</v>
      </c>
      <c r="D413" s="4">
        <v>1</v>
      </c>
      <c r="E413" s="4">
        <v>1</v>
      </c>
      <c r="F413" s="4" t="s">
        <v>240</v>
      </c>
      <c r="G413" s="4" t="s">
        <v>241</v>
      </c>
      <c r="H413" s="4" t="s">
        <v>241</v>
      </c>
      <c r="I413" s="4" t="s">
        <v>917</v>
      </c>
      <c r="J413" s="4" t="s">
        <v>653</v>
      </c>
      <c r="K413" s="4" t="s">
        <v>256</v>
      </c>
      <c r="L413" s="4" t="s">
        <v>429</v>
      </c>
      <c r="M413" s="5" t="s">
        <v>919</v>
      </c>
      <c r="N413" s="4" t="s">
        <v>429</v>
      </c>
      <c r="O413" s="6">
        <f>20</f>
        <v>20</v>
      </c>
      <c r="P413" s="4" t="s">
        <v>276</v>
      </c>
      <c r="Q413" s="6">
        <f>1</f>
        <v>1</v>
      </c>
      <c r="R413" s="6">
        <f>1820000</f>
        <v>1820000</v>
      </c>
      <c r="S413" s="5" t="s">
        <v>1129</v>
      </c>
      <c r="T413" s="4" t="s">
        <v>348</v>
      </c>
      <c r="U413" s="4" t="s">
        <v>358</v>
      </c>
      <c r="W413" s="6">
        <f>1819999</f>
        <v>1819999</v>
      </c>
      <c r="X413" s="4" t="s">
        <v>243</v>
      </c>
      <c r="Y413" s="4" t="s">
        <v>244</v>
      </c>
      <c r="Z413" s="4" t="s">
        <v>465</v>
      </c>
      <c r="AA413" s="4" t="s">
        <v>241</v>
      </c>
      <c r="AD413" s="4" t="s">
        <v>241</v>
      </c>
      <c r="AF413" s="5" t="s">
        <v>241</v>
      </c>
      <c r="AI413" s="5" t="s">
        <v>249</v>
      </c>
      <c r="AJ413" s="4" t="s">
        <v>251</v>
      </c>
      <c r="AK413" s="4" t="s">
        <v>252</v>
      </c>
      <c r="BA413" s="4" t="s">
        <v>254</v>
      </c>
      <c r="BB413" s="4" t="s">
        <v>241</v>
      </c>
      <c r="BC413" s="4" t="s">
        <v>255</v>
      </c>
      <c r="BD413" s="4" t="s">
        <v>241</v>
      </c>
      <c r="BE413" s="4" t="s">
        <v>257</v>
      </c>
      <c r="BF413" s="4" t="s">
        <v>241</v>
      </c>
      <c r="BJ413" s="4" t="s">
        <v>374</v>
      </c>
      <c r="BK413" s="5" t="s">
        <v>375</v>
      </c>
      <c r="BL413" s="4" t="s">
        <v>261</v>
      </c>
      <c r="BM413" s="4" t="s">
        <v>262</v>
      </c>
      <c r="BN413" s="4" t="s">
        <v>241</v>
      </c>
      <c r="BO413" s="6">
        <f>0</f>
        <v>0</v>
      </c>
      <c r="BP413" s="6">
        <f>0</f>
        <v>0</v>
      </c>
      <c r="BQ413" s="4" t="s">
        <v>263</v>
      </c>
      <c r="BR413" s="4" t="s">
        <v>264</v>
      </c>
      <c r="CF413" s="4" t="s">
        <v>241</v>
      </c>
      <c r="CG413" s="4" t="s">
        <v>241</v>
      </c>
      <c r="CK413" s="4" t="s">
        <v>291</v>
      </c>
      <c r="CL413" s="4" t="s">
        <v>266</v>
      </c>
      <c r="CM413" s="4" t="s">
        <v>241</v>
      </c>
      <c r="CO413" s="4" t="s">
        <v>551</v>
      </c>
      <c r="CP413" s="5" t="s">
        <v>268</v>
      </c>
      <c r="CQ413" s="4" t="s">
        <v>269</v>
      </c>
      <c r="CR413" s="4" t="s">
        <v>270</v>
      </c>
      <c r="CS413" s="4" t="s">
        <v>241</v>
      </c>
      <c r="CT413" s="4" t="s">
        <v>241</v>
      </c>
      <c r="CU413" s="4">
        <v>0</v>
      </c>
      <c r="CV413" s="4" t="s">
        <v>271</v>
      </c>
      <c r="CW413" s="4" t="s">
        <v>272</v>
      </c>
      <c r="CX413" s="4" t="s">
        <v>347</v>
      </c>
      <c r="CZ413" s="6">
        <f>1820000</f>
        <v>1820000</v>
      </c>
      <c r="DA413" s="6">
        <f>0</f>
        <v>0</v>
      </c>
      <c r="DC413" s="4" t="s">
        <v>241</v>
      </c>
      <c r="DD413" s="4" t="s">
        <v>241</v>
      </c>
      <c r="DF413" s="4" t="s">
        <v>241</v>
      </c>
      <c r="DI413" s="4" t="s">
        <v>241</v>
      </c>
      <c r="DJ413" s="4" t="s">
        <v>241</v>
      </c>
      <c r="DK413" s="4" t="s">
        <v>241</v>
      </c>
      <c r="DL413" s="4" t="s">
        <v>241</v>
      </c>
      <c r="DM413" s="4" t="s">
        <v>277</v>
      </c>
      <c r="DN413" s="4" t="s">
        <v>278</v>
      </c>
      <c r="DO413" s="6">
        <f>20</f>
        <v>20</v>
      </c>
      <c r="DP413" s="4" t="s">
        <v>241</v>
      </c>
      <c r="DQ413" s="4" t="s">
        <v>241</v>
      </c>
      <c r="DR413" s="4" t="s">
        <v>241</v>
      </c>
      <c r="DS413" s="4" t="s">
        <v>241</v>
      </c>
      <c r="DV413" s="4" t="s">
        <v>920</v>
      </c>
      <c r="DW413" s="4" t="s">
        <v>297</v>
      </c>
      <c r="HO413" s="4" t="s">
        <v>277</v>
      </c>
      <c r="HR413" s="4" t="s">
        <v>278</v>
      </c>
      <c r="HS413" s="4" t="s">
        <v>278</v>
      </c>
    </row>
    <row r="414" spans="1:240" x14ac:dyDescent="0.4">
      <c r="A414" s="4">
        <v>2</v>
      </c>
      <c r="B414" s="4" t="s">
        <v>239</v>
      </c>
      <c r="C414" s="4">
        <v>445</v>
      </c>
      <c r="D414" s="4">
        <v>1</v>
      </c>
      <c r="E414" s="4">
        <v>3</v>
      </c>
      <c r="F414" s="4" t="s">
        <v>240</v>
      </c>
      <c r="G414" s="4" t="s">
        <v>241</v>
      </c>
      <c r="H414" s="4" t="s">
        <v>241</v>
      </c>
      <c r="I414" s="4" t="s">
        <v>917</v>
      </c>
      <c r="J414" s="4" t="s">
        <v>653</v>
      </c>
      <c r="K414" s="4" t="s">
        <v>256</v>
      </c>
      <c r="L414" s="4" t="s">
        <v>1003</v>
      </c>
      <c r="M414" s="5" t="s">
        <v>919</v>
      </c>
      <c r="N414" s="4" t="s">
        <v>1003</v>
      </c>
      <c r="O414" s="6">
        <f>907</f>
        <v>907</v>
      </c>
      <c r="P414" s="4" t="s">
        <v>276</v>
      </c>
      <c r="Q414" s="6">
        <f>7002040</f>
        <v>7002040</v>
      </c>
      <c r="R414" s="6">
        <f>175051000</f>
        <v>175051000</v>
      </c>
      <c r="S414" s="5" t="s">
        <v>1060</v>
      </c>
      <c r="T414" s="4" t="s">
        <v>357</v>
      </c>
      <c r="U414" s="4" t="s">
        <v>441</v>
      </c>
      <c r="V414" s="6">
        <f>5251530</f>
        <v>5251530</v>
      </c>
      <c r="W414" s="6">
        <f>168048960</f>
        <v>168048960</v>
      </c>
      <c r="X414" s="4" t="s">
        <v>243</v>
      </c>
      <c r="Y414" s="4" t="s">
        <v>244</v>
      </c>
      <c r="Z414" s="4" t="s">
        <v>465</v>
      </c>
      <c r="AA414" s="4" t="s">
        <v>241</v>
      </c>
      <c r="AD414" s="4" t="s">
        <v>241</v>
      </c>
      <c r="AE414" s="5" t="s">
        <v>241</v>
      </c>
      <c r="AF414" s="5" t="s">
        <v>241</v>
      </c>
      <c r="AH414" s="5" t="s">
        <v>241</v>
      </c>
      <c r="AI414" s="5" t="s">
        <v>249</v>
      </c>
      <c r="AJ414" s="4" t="s">
        <v>251</v>
      </c>
      <c r="AK414" s="4" t="s">
        <v>252</v>
      </c>
      <c r="AQ414" s="4" t="s">
        <v>241</v>
      </c>
      <c r="AR414" s="4" t="s">
        <v>241</v>
      </c>
      <c r="AS414" s="4" t="s">
        <v>241</v>
      </c>
      <c r="AT414" s="5" t="s">
        <v>241</v>
      </c>
      <c r="AU414" s="5" t="s">
        <v>241</v>
      </c>
      <c r="AV414" s="5" t="s">
        <v>241</v>
      </c>
      <c r="AY414" s="4" t="s">
        <v>286</v>
      </c>
      <c r="AZ414" s="4" t="s">
        <v>286</v>
      </c>
      <c r="BA414" s="4" t="s">
        <v>254</v>
      </c>
      <c r="BB414" s="4" t="s">
        <v>287</v>
      </c>
      <c r="BC414" s="4" t="s">
        <v>255</v>
      </c>
      <c r="BD414" s="4" t="s">
        <v>241</v>
      </c>
      <c r="BE414" s="4" t="s">
        <v>257</v>
      </c>
      <c r="BF414" s="4" t="s">
        <v>241</v>
      </c>
      <c r="BJ414" s="4" t="s">
        <v>288</v>
      </c>
      <c r="BK414" s="5" t="s">
        <v>289</v>
      </c>
      <c r="BL414" s="4" t="s">
        <v>290</v>
      </c>
      <c r="BM414" s="4" t="s">
        <v>290</v>
      </c>
      <c r="BN414" s="4" t="s">
        <v>241</v>
      </c>
      <c r="BO414" s="6">
        <f>0</f>
        <v>0</v>
      </c>
      <c r="BP414" s="6">
        <f>-5251530</f>
        <v>-5251530</v>
      </c>
      <c r="BQ414" s="4" t="s">
        <v>263</v>
      </c>
      <c r="BR414" s="4" t="s">
        <v>264</v>
      </c>
      <c r="BS414" s="4" t="s">
        <v>241</v>
      </c>
      <c r="BT414" s="4" t="s">
        <v>241</v>
      </c>
      <c r="BU414" s="4" t="s">
        <v>241</v>
      </c>
      <c r="BV414" s="4" t="s">
        <v>241</v>
      </c>
      <c r="CE414" s="4" t="s">
        <v>264</v>
      </c>
      <c r="CF414" s="4" t="s">
        <v>241</v>
      </c>
      <c r="CG414" s="4" t="s">
        <v>241</v>
      </c>
      <c r="CK414" s="4" t="s">
        <v>291</v>
      </c>
      <c r="CL414" s="4" t="s">
        <v>266</v>
      </c>
      <c r="CM414" s="4" t="s">
        <v>241</v>
      </c>
      <c r="CO414" s="4" t="s">
        <v>383</v>
      </c>
      <c r="CP414" s="5" t="s">
        <v>268</v>
      </c>
      <c r="CQ414" s="4" t="s">
        <v>269</v>
      </c>
      <c r="CR414" s="4" t="s">
        <v>270</v>
      </c>
      <c r="CS414" s="4" t="s">
        <v>293</v>
      </c>
      <c r="CT414" s="4" t="s">
        <v>241</v>
      </c>
      <c r="CU414" s="4">
        <v>0.03</v>
      </c>
      <c r="CV414" s="4" t="s">
        <v>271</v>
      </c>
      <c r="CW414" s="4" t="s">
        <v>1006</v>
      </c>
      <c r="CX414" s="4" t="s">
        <v>487</v>
      </c>
      <c r="CY414" s="6">
        <f>0</f>
        <v>0</v>
      </c>
      <c r="CZ414" s="6">
        <f>175051000</f>
        <v>175051000</v>
      </c>
      <c r="DA414" s="6">
        <f>7002040</f>
        <v>7002040</v>
      </c>
      <c r="DC414" s="4" t="s">
        <v>241</v>
      </c>
      <c r="DD414" s="4" t="s">
        <v>241</v>
      </c>
      <c r="DF414" s="4" t="s">
        <v>241</v>
      </c>
      <c r="DG414" s="6">
        <f>0</f>
        <v>0</v>
      </c>
      <c r="DI414" s="4" t="s">
        <v>241</v>
      </c>
      <c r="DJ414" s="4" t="s">
        <v>241</v>
      </c>
      <c r="DK414" s="4" t="s">
        <v>241</v>
      </c>
      <c r="DL414" s="4" t="s">
        <v>241</v>
      </c>
      <c r="DM414" s="4" t="s">
        <v>277</v>
      </c>
      <c r="DN414" s="4" t="s">
        <v>278</v>
      </c>
      <c r="DO414" s="6">
        <f>907</f>
        <v>907</v>
      </c>
      <c r="DP414" s="4" t="s">
        <v>241</v>
      </c>
      <c r="DQ414" s="4" t="s">
        <v>241</v>
      </c>
      <c r="DR414" s="4" t="s">
        <v>241</v>
      </c>
      <c r="DS414" s="4" t="s">
        <v>241</v>
      </c>
      <c r="DV414" s="4" t="s">
        <v>920</v>
      </c>
      <c r="DW414" s="4" t="s">
        <v>336</v>
      </c>
      <c r="GN414" s="4" t="s">
        <v>1061</v>
      </c>
      <c r="HO414" s="4" t="s">
        <v>300</v>
      </c>
      <c r="HR414" s="4" t="s">
        <v>278</v>
      </c>
      <c r="HS414" s="4" t="s">
        <v>278</v>
      </c>
      <c r="HT414" s="4" t="s">
        <v>241</v>
      </c>
      <c r="HU414" s="4" t="s">
        <v>241</v>
      </c>
      <c r="HV414" s="4" t="s">
        <v>241</v>
      </c>
      <c r="HW414" s="4" t="s">
        <v>241</v>
      </c>
      <c r="HX414" s="4" t="s">
        <v>241</v>
      </c>
      <c r="HY414" s="4" t="s">
        <v>241</v>
      </c>
      <c r="HZ414" s="4" t="s">
        <v>241</v>
      </c>
      <c r="IA414" s="4" t="s">
        <v>241</v>
      </c>
      <c r="IB414" s="4" t="s">
        <v>241</v>
      </c>
      <c r="IC414" s="4" t="s">
        <v>241</v>
      </c>
      <c r="ID414" s="4" t="s">
        <v>241</v>
      </c>
      <c r="IE414" s="4" t="s">
        <v>241</v>
      </c>
      <c r="IF414" s="4" t="s">
        <v>241</v>
      </c>
    </row>
    <row r="415" spans="1:240" x14ac:dyDescent="0.4">
      <c r="A415" s="4">
        <v>2</v>
      </c>
      <c r="B415" s="4" t="s">
        <v>239</v>
      </c>
      <c r="C415" s="4">
        <v>446</v>
      </c>
      <c r="D415" s="4">
        <v>1</v>
      </c>
      <c r="E415" s="4">
        <v>3</v>
      </c>
      <c r="F415" s="4" t="s">
        <v>240</v>
      </c>
      <c r="G415" s="4" t="s">
        <v>241</v>
      </c>
      <c r="H415" s="4" t="s">
        <v>241</v>
      </c>
      <c r="I415" s="4" t="s">
        <v>917</v>
      </c>
      <c r="J415" s="4" t="s">
        <v>653</v>
      </c>
      <c r="K415" s="4" t="s">
        <v>256</v>
      </c>
      <c r="L415" s="4" t="s">
        <v>651</v>
      </c>
      <c r="M415" s="5" t="s">
        <v>919</v>
      </c>
      <c r="N415" s="4" t="s">
        <v>651</v>
      </c>
      <c r="O415" s="6">
        <f>344</f>
        <v>344</v>
      </c>
      <c r="P415" s="4" t="s">
        <v>276</v>
      </c>
      <c r="Q415" s="6">
        <f>30846480</f>
        <v>30846480</v>
      </c>
      <c r="R415" s="6">
        <f>62952000</f>
        <v>62952000</v>
      </c>
      <c r="S415" s="5" t="s">
        <v>865</v>
      </c>
      <c r="T415" s="4" t="s">
        <v>357</v>
      </c>
      <c r="U415" s="4" t="s">
        <v>371</v>
      </c>
      <c r="V415" s="6">
        <f>1888560</f>
        <v>1888560</v>
      </c>
      <c r="W415" s="6">
        <f>32105520</f>
        <v>32105520</v>
      </c>
      <c r="X415" s="4" t="s">
        <v>243</v>
      </c>
      <c r="Y415" s="4" t="s">
        <v>244</v>
      </c>
      <c r="Z415" s="4" t="s">
        <v>465</v>
      </c>
      <c r="AA415" s="4" t="s">
        <v>241</v>
      </c>
      <c r="AD415" s="4" t="s">
        <v>241</v>
      </c>
      <c r="AE415" s="5" t="s">
        <v>241</v>
      </c>
      <c r="AF415" s="5" t="s">
        <v>241</v>
      </c>
      <c r="AH415" s="5" t="s">
        <v>241</v>
      </c>
      <c r="AI415" s="5" t="s">
        <v>249</v>
      </c>
      <c r="AJ415" s="4" t="s">
        <v>251</v>
      </c>
      <c r="AK415" s="4" t="s">
        <v>252</v>
      </c>
      <c r="AQ415" s="4" t="s">
        <v>241</v>
      </c>
      <c r="AR415" s="4" t="s">
        <v>241</v>
      </c>
      <c r="AS415" s="4" t="s">
        <v>241</v>
      </c>
      <c r="AT415" s="5" t="s">
        <v>241</v>
      </c>
      <c r="AU415" s="5" t="s">
        <v>241</v>
      </c>
      <c r="AV415" s="5" t="s">
        <v>241</v>
      </c>
      <c r="AY415" s="4" t="s">
        <v>286</v>
      </c>
      <c r="AZ415" s="4" t="s">
        <v>286</v>
      </c>
      <c r="BA415" s="4" t="s">
        <v>254</v>
      </c>
      <c r="BB415" s="4" t="s">
        <v>287</v>
      </c>
      <c r="BC415" s="4" t="s">
        <v>255</v>
      </c>
      <c r="BD415" s="4" t="s">
        <v>241</v>
      </c>
      <c r="BE415" s="4" t="s">
        <v>257</v>
      </c>
      <c r="BF415" s="4" t="s">
        <v>241</v>
      </c>
      <c r="BJ415" s="4" t="s">
        <v>288</v>
      </c>
      <c r="BK415" s="5" t="s">
        <v>289</v>
      </c>
      <c r="BL415" s="4" t="s">
        <v>290</v>
      </c>
      <c r="BM415" s="4" t="s">
        <v>290</v>
      </c>
      <c r="BN415" s="4" t="s">
        <v>241</v>
      </c>
      <c r="BO415" s="6">
        <f>0</f>
        <v>0</v>
      </c>
      <c r="BP415" s="6">
        <f>-1888560</f>
        <v>-1888560</v>
      </c>
      <c r="BQ415" s="4" t="s">
        <v>263</v>
      </c>
      <c r="BR415" s="4" t="s">
        <v>264</v>
      </c>
      <c r="BS415" s="4" t="s">
        <v>241</v>
      </c>
      <c r="BT415" s="4" t="s">
        <v>241</v>
      </c>
      <c r="BU415" s="4" t="s">
        <v>241</v>
      </c>
      <c r="BV415" s="4" t="s">
        <v>241</v>
      </c>
      <c r="CE415" s="4" t="s">
        <v>264</v>
      </c>
      <c r="CF415" s="4" t="s">
        <v>241</v>
      </c>
      <c r="CG415" s="4" t="s">
        <v>241</v>
      </c>
      <c r="CK415" s="4" t="s">
        <v>291</v>
      </c>
      <c r="CL415" s="4" t="s">
        <v>266</v>
      </c>
      <c r="CM415" s="4" t="s">
        <v>241</v>
      </c>
      <c r="CO415" s="4" t="s">
        <v>407</v>
      </c>
      <c r="CP415" s="5" t="s">
        <v>268</v>
      </c>
      <c r="CQ415" s="4" t="s">
        <v>269</v>
      </c>
      <c r="CR415" s="4" t="s">
        <v>270</v>
      </c>
      <c r="CS415" s="4" t="s">
        <v>293</v>
      </c>
      <c r="CT415" s="4" t="s">
        <v>241</v>
      </c>
      <c r="CU415" s="4">
        <v>0.03</v>
      </c>
      <c r="CV415" s="4" t="s">
        <v>271</v>
      </c>
      <c r="CW415" s="4" t="s">
        <v>655</v>
      </c>
      <c r="CX415" s="4" t="s">
        <v>487</v>
      </c>
      <c r="CY415" s="6">
        <f>0</f>
        <v>0</v>
      </c>
      <c r="CZ415" s="6">
        <f>62952000</f>
        <v>62952000</v>
      </c>
      <c r="DA415" s="6">
        <f>30846480</f>
        <v>30846480</v>
      </c>
      <c r="DC415" s="4" t="s">
        <v>241</v>
      </c>
      <c r="DD415" s="4" t="s">
        <v>241</v>
      </c>
      <c r="DF415" s="4" t="s">
        <v>241</v>
      </c>
      <c r="DG415" s="6">
        <f>0</f>
        <v>0</v>
      </c>
      <c r="DI415" s="4" t="s">
        <v>241</v>
      </c>
      <c r="DJ415" s="4" t="s">
        <v>241</v>
      </c>
      <c r="DK415" s="4" t="s">
        <v>241</v>
      </c>
      <c r="DL415" s="4" t="s">
        <v>241</v>
      </c>
      <c r="DM415" s="4" t="s">
        <v>277</v>
      </c>
      <c r="DN415" s="4" t="s">
        <v>278</v>
      </c>
      <c r="DO415" s="6">
        <f>344</f>
        <v>344</v>
      </c>
      <c r="DP415" s="4" t="s">
        <v>241</v>
      </c>
      <c r="DQ415" s="4" t="s">
        <v>241</v>
      </c>
      <c r="DR415" s="4" t="s">
        <v>241</v>
      </c>
      <c r="DS415" s="4" t="s">
        <v>241</v>
      </c>
      <c r="DV415" s="4" t="s">
        <v>920</v>
      </c>
      <c r="DW415" s="4" t="s">
        <v>351</v>
      </c>
      <c r="GN415" s="4" t="s">
        <v>922</v>
      </c>
      <c r="HO415" s="4" t="s">
        <v>300</v>
      </c>
      <c r="HR415" s="4" t="s">
        <v>278</v>
      </c>
      <c r="HS415" s="4" t="s">
        <v>278</v>
      </c>
      <c r="HT415" s="4" t="s">
        <v>241</v>
      </c>
      <c r="HU415" s="4" t="s">
        <v>241</v>
      </c>
      <c r="HV415" s="4" t="s">
        <v>241</v>
      </c>
      <c r="HW415" s="4" t="s">
        <v>241</v>
      </c>
      <c r="HX415" s="4" t="s">
        <v>241</v>
      </c>
      <c r="HY415" s="4" t="s">
        <v>241</v>
      </c>
      <c r="HZ415" s="4" t="s">
        <v>241</v>
      </c>
      <c r="IA415" s="4" t="s">
        <v>241</v>
      </c>
      <c r="IB415" s="4" t="s">
        <v>241</v>
      </c>
      <c r="IC415" s="4" t="s">
        <v>241</v>
      </c>
      <c r="ID415" s="4" t="s">
        <v>241</v>
      </c>
      <c r="IE415" s="4" t="s">
        <v>241</v>
      </c>
      <c r="IF415" s="4" t="s">
        <v>241</v>
      </c>
    </row>
    <row r="416" spans="1:240" x14ac:dyDescent="0.4">
      <c r="A416" s="4">
        <v>2</v>
      </c>
      <c r="B416" s="4" t="s">
        <v>239</v>
      </c>
      <c r="C416" s="4">
        <v>447</v>
      </c>
      <c r="D416" s="4">
        <v>1</v>
      </c>
      <c r="E416" s="4">
        <v>3</v>
      </c>
      <c r="F416" s="4" t="s">
        <v>326</v>
      </c>
      <c r="G416" s="4" t="s">
        <v>241</v>
      </c>
      <c r="H416" s="4" t="s">
        <v>241</v>
      </c>
      <c r="I416" s="4" t="s">
        <v>917</v>
      </c>
      <c r="J416" s="4" t="s">
        <v>653</v>
      </c>
      <c r="K416" s="4" t="s">
        <v>256</v>
      </c>
      <c r="L416" s="4" t="s">
        <v>241</v>
      </c>
      <c r="M416" s="5" t="s">
        <v>919</v>
      </c>
      <c r="N416" s="4" t="s">
        <v>2747</v>
      </c>
      <c r="O416" s="6">
        <f>0</f>
        <v>0</v>
      </c>
      <c r="P416" s="4" t="s">
        <v>276</v>
      </c>
      <c r="Q416" s="6">
        <f>23672556</f>
        <v>23672556</v>
      </c>
      <c r="R416" s="6">
        <f>27981744</f>
        <v>27981744</v>
      </c>
      <c r="S416" s="5" t="s">
        <v>1104</v>
      </c>
      <c r="T416" s="4" t="s">
        <v>322</v>
      </c>
      <c r="U416" s="4" t="s">
        <v>277</v>
      </c>
      <c r="V416" s="6">
        <f>2154594</f>
        <v>2154594</v>
      </c>
      <c r="W416" s="6">
        <f>4309188</f>
        <v>4309188</v>
      </c>
      <c r="X416" s="4" t="s">
        <v>243</v>
      </c>
      <c r="Y416" s="4" t="s">
        <v>244</v>
      </c>
      <c r="Z416" s="4" t="s">
        <v>241</v>
      </c>
      <c r="AA416" s="4" t="s">
        <v>241</v>
      </c>
      <c r="AD416" s="4" t="s">
        <v>241</v>
      </c>
      <c r="AE416" s="5" t="s">
        <v>241</v>
      </c>
      <c r="AF416" s="5" t="s">
        <v>241</v>
      </c>
      <c r="AH416" s="5" t="s">
        <v>241</v>
      </c>
      <c r="AI416" s="5" t="s">
        <v>249</v>
      </c>
      <c r="AJ416" s="4" t="s">
        <v>251</v>
      </c>
      <c r="AK416" s="4" t="s">
        <v>252</v>
      </c>
      <c r="AQ416" s="4" t="s">
        <v>241</v>
      </c>
      <c r="AR416" s="4" t="s">
        <v>241</v>
      </c>
      <c r="AS416" s="4" t="s">
        <v>241</v>
      </c>
      <c r="AT416" s="5" t="s">
        <v>241</v>
      </c>
      <c r="AU416" s="5" t="s">
        <v>241</v>
      </c>
      <c r="AV416" s="5" t="s">
        <v>241</v>
      </c>
      <c r="AY416" s="4" t="s">
        <v>286</v>
      </c>
      <c r="AZ416" s="4" t="s">
        <v>286</v>
      </c>
      <c r="BA416" s="4" t="s">
        <v>254</v>
      </c>
      <c r="BB416" s="4" t="s">
        <v>287</v>
      </c>
      <c r="BC416" s="4" t="s">
        <v>255</v>
      </c>
      <c r="BD416" s="4" t="s">
        <v>241</v>
      </c>
      <c r="BE416" s="4" t="s">
        <v>257</v>
      </c>
      <c r="BF416" s="4" t="s">
        <v>241</v>
      </c>
      <c r="BJ416" s="4" t="s">
        <v>288</v>
      </c>
      <c r="BK416" s="5" t="s">
        <v>289</v>
      </c>
      <c r="BL416" s="4" t="s">
        <v>290</v>
      </c>
      <c r="BM416" s="4" t="s">
        <v>290</v>
      </c>
      <c r="BN416" s="4" t="s">
        <v>241</v>
      </c>
      <c r="BP416" s="6">
        <f>-2154594</f>
        <v>-2154594</v>
      </c>
      <c r="BQ416" s="4" t="s">
        <v>263</v>
      </c>
      <c r="BR416" s="4" t="s">
        <v>264</v>
      </c>
      <c r="BS416" s="4" t="s">
        <v>241</v>
      </c>
      <c r="BT416" s="4" t="s">
        <v>241</v>
      </c>
      <c r="BU416" s="4" t="s">
        <v>241</v>
      </c>
      <c r="BV416" s="4" t="s">
        <v>241</v>
      </c>
      <c r="CE416" s="4" t="s">
        <v>264</v>
      </c>
      <c r="CF416" s="4" t="s">
        <v>241</v>
      </c>
      <c r="CG416" s="4" t="s">
        <v>241</v>
      </c>
      <c r="CK416" s="4" t="s">
        <v>291</v>
      </c>
      <c r="CL416" s="4" t="s">
        <v>266</v>
      </c>
      <c r="CM416" s="4" t="s">
        <v>241</v>
      </c>
      <c r="CO416" s="4" t="s">
        <v>331</v>
      </c>
      <c r="CP416" s="5" t="s">
        <v>268</v>
      </c>
      <c r="CQ416" s="4" t="s">
        <v>269</v>
      </c>
      <c r="CR416" s="4" t="s">
        <v>270</v>
      </c>
      <c r="CS416" s="4" t="s">
        <v>293</v>
      </c>
      <c r="CT416" s="4" t="s">
        <v>241</v>
      </c>
      <c r="CU416" s="4">
        <v>7.6999999999999999E-2</v>
      </c>
      <c r="CV416" s="4" t="s">
        <v>271</v>
      </c>
      <c r="CW416" s="4" t="s">
        <v>415</v>
      </c>
      <c r="CX416" s="4" t="s">
        <v>428</v>
      </c>
      <c r="CY416" s="6">
        <f>0</f>
        <v>0</v>
      </c>
      <c r="CZ416" s="6">
        <f>27981744</f>
        <v>27981744</v>
      </c>
      <c r="DA416" s="6">
        <f>23672556</f>
        <v>23672556</v>
      </c>
      <c r="DC416" s="4" t="s">
        <v>241</v>
      </c>
      <c r="DD416" s="4" t="s">
        <v>241</v>
      </c>
      <c r="DF416" s="4" t="s">
        <v>241</v>
      </c>
      <c r="DG416" s="6">
        <f>0</f>
        <v>0</v>
      </c>
      <c r="DI416" s="4" t="s">
        <v>241</v>
      </c>
      <c r="DJ416" s="4" t="s">
        <v>241</v>
      </c>
      <c r="DK416" s="4" t="s">
        <v>241</v>
      </c>
      <c r="DL416" s="4" t="s">
        <v>241</v>
      </c>
      <c r="DM416" s="4" t="s">
        <v>278</v>
      </c>
      <c r="DN416" s="4" t="s">
        <v>278</v>
      </c>
      <c r="DO416" s="6" t="s">
        <v>241</v>
      </c>
      <c r="DP416" s="4" t="s">
        <v>241</v>
      </c>
      <c r="DQ416" s="4" t="s">
        <v>241</v>
      </c>
      <c r="DR416" s="4" t="s">
        <v>241</v>
      </c>
      <c r="DS416" s="4" t="s">
        <v>241</v>
      </c>
      <c r="DV416" s="4" t="s">
        <v>920</v>
      </c>
      <c r="DW416" s="4" t="s">
        <v>300</v>
      </c>
      <c r="GN416" s="4" t="s">
        <v>2823</v>
      </c>
      <c r="HO416" s="4" t="s">
        <v>297</v>
      </c>
      <c r="HR416" s="4" t="s">
        <v>278</v>
      </c>
      <c r="HS416" s="4" t="s">
        <v>278</v>
      </c>
      <c r="HT416" s="4" t="s">
        <v>241</v>
      </c>
      <c r="HU416" s="4" t="s">
        <v>241</v>
      </c>
      <c r="HV416" s="4" t="s">
        <v>241</v>
      </c>
      <c r="HW416" s="4" t="s">
        <v>241</v>
      </c>
      <c r="HX416" s="4" t="s">
        <v>241</v>
      </c>
      <c r="HY416" s="4" t="s">
        <v>241</v>
      </c>
      <c r="HZ416" s="4" t="s">
        <v>241</v>
      </c>
      <c r="IA416" s="4" t="s">
        <v>241</v>
      </c>
      <c r="IB416" s="4" t="s">
        <v>241</v>
      </c>
      <c r="IC416" s="4" t="s">
        <v>241</v>
      </c>
      <c r="ID416" s="4" t="s">
        <v>241</v>
      </c>
      <c r="IE416" s="4" t="s">
        <v>241</v>
      </c>
      <c r="IF416" s="4" t="s">
        <v>241</v>
      </c>
    </row>
    <row r="417" spans="1:240" x14ac:dyDescent="0.4">
      <c r="A417" s="4">
        <v>2</v>
      </c>
      <c r="B417" s="4" t="s">
        <v>239</v>
      </c>
      <c r="C417" s="4">
        <v>448</v>
      </c>
      <c r="D417" s="4">
        <v>1</v>
      </c>
      <c r="E417" s="4">
        <v>3</v>
      </c>
      <c r="F417" s="4" t="s">
        <v>326</v>
      </c>
      <c r="G417" s="4" t="s">
        <v>241</v>
      </c>
      <c r="H417" s="4" t="s">
        <v>241</v>
      </c>
      <c r="I417" s="4" t="s">
        <v>917</v>
      </c>
      <c r="J417" s="4" t="s">
        <v>653</v>
      </c>
      <c r="K417" s="4" t="s">
        <v>256</v>
      </c>
      <c r="L417" s="4" t="s">
        <v>241</v>
      </c>
      <c r="M417" s="5" t="s">
        <v>919</v>
      </c>
      <c r="N417" s="4" t="s">
        <v>929</v>
      </c>
      <c r="O417" s="6">
        <f>0</f>
        <v>0</v>
      </c>
      <c r="P417" s="4" t="s">
        <v>276</v>
      </c>
      <c r="Q417" s="6">
        <f>215160</f>
        <v>215160</v>
      </c>
      <c r="R417" s="6">
        <f>220000</f>
        <v>220000</v>
      </c>
      <c r="S417" s="5" t="s">
        <v>930</v>
      </c>
      <c r="T417" s="4" t="s">
        <v>668</v>
      </c>
      <c r="U417" s="4" t="s">
        <v>278</v>
      </c>
      <c r="V417" s="6">
        <f>4840</f>
        <v>4840</v>
      </c>
      <c r="W417" s="6">
        <f>4840</f>
        <v>4840</v>
      </c>
      <c r="X417" s="4" t="s">
        <v>243</v>
      </c>
      <c r="Y417" s="4" t="s">
        <v>244</v>
      </c>
      <c r="Z417" s="4" t="s">
        <v>241</v>
      </c>
      <c r="AA417" s="4" t="s">
        <v>241</v>
      </c>
      <c r="AD417" s="4" t="s">
        <v>241</v>
      </c>
      <c r="AE417" s="5" t="s">
        <v>241</v>
      </c>
      <c r="AF417" s="5" t="s">
        <v>241</v>
      </c>
      <c r="AH417" s="5" t="s">
        <v>241</v>
      </c>
      <c r="AI417" s="5" t="s">
        <v>249</v>
      </c>
      <c r="AJ417" s="4" t="s">
        <v>251</v>
      </c>
      <c r="AK417" s="4" t="s">
        <v>252</v>
      </c>
      <c r="AQ417" s="4" t="s">
        <v>241</v>
      </c>
      <c r="AR417" s="4" t="s">
        <v>241</v>
      </c>
      <c r="AS417" s="4" t="s">
        <v>241</v>
      </c>
      <c r="AT417" s="5" t="s">
        <v>241</v>
      </c>
      <c r="AU417" s="5" t="s">
        <v>241</v>
      </c>
      <c r="AV417" s="5" t="s">
        <v>241</v>
      </c>
      <c r="AY417" s="4" t="s">
        <v>286</v>
      </c>
      <c r="AZ417" s="4" t="s">
        <v>286</v>
      </c>
      <c r="BA417" s="4" t="s">
        <v>254</v>
      </c>
      <c r="BB417" s="4" t="s">
        <v>287</v>
      </c>
      <c r="BC417" s="4" t="s">
        <v>255</v>
      </c>
      <c r="BD417" s="4" t="s">
        <v>241</v>
      </c>
      <c r="BE417" s="4" t="s">
        <v>257</v>
      </c>
      <c r="BF417" s="4" t="s">
        <v>241</v>
      </c>
      <c r="BJ417" s="4" t="s">
        <v>288</v>
      </c>
      <c r="BK417" s="5" t="s">
        <v>289</v>
      </c>
      <c r="BL417" s="4" t="s">
        <v>290</v>
      </c>
      <c r="BM417" s="4" t="s">
        <v>290</v>
      </c>
      <c r="BN417" s="4" t="s">
        <v>241</v>
      </c>
      <c r="BP417" s="6">
        <f>-4840</f>
        <v>-4840</v>
      </c>
      <c r="BQ417" s="4" t="s">
        <v>263</v>
      </c>
      <c r="BR417" s="4" t="s">
        <v>264</v>
      </c>
      <c r="BS417" s="4" t="s">
        <v>241</v>
      </c>
      <c r="BT417" s="4" t="s">
        <v>241</v>
      </c>
      <c r="BU417" s="4" t="s">
        <v>241</v>
      </c>
      <c r="BV417" s="4" t="s">
        <v>241</v>
      </c>
      <c r="CE417" s="4" t="s">
        <v>264</v>
      </c>
      <c r="CF417" s="4" t="s">
        <v>241</v>
      </c>
      <c r="CG417" s="4" t="s">
        <v>241</v>
      </c>
      <c r="CK417" s="4" t="s">
        <v>291</v>
      </c>
      <c r="CL417" s="4" t="s">
        <v>266</v>
      </c>
      <c r="CM417" s="4" t="s">
        <v>241</v>
      </c>
      <c r="CO417" s="4" t="s">
        <v>426</v>
      </c>
      <c r="CP417" s="5" t="s">
        <v>268</v>
      </c>
      <c r="CQ417" s="4" t="s">
        <v>269</v>
      </c>
      <c r="CR417" s="4" t="s">
        <v>270</v>
      </c>
      <c r="CS417" s="4" t="s">
        <v>293</v>
      </c>
      <c r="CT417" s="4" t="s">
        <v>241</v>
      </c>
      <c r="CU417" s="4">
        <v>2.1999999999999999E-2</v>
      </c>
      <c r="CV417" s="4" t="s">
        <v>271</v>
      </c>
      <c r="CW417" s="4" t="s">
        <v>655</v>
      </c>
      <c r="CX417" s="4" t="s">
        <v>295</v>
      </c>
      <c r="CY417" s="6">
        <f>0</f>
        <v>0</v>
      </c>
      <c r="CZ417" s="6">
        <f>220000</f>
        <v>220000</v>
      </c>
      <c r="DA417" s="6">
        <f>176440</f>
        <v>176440</v>
      </c>
      <c r="DC417" s="4" t="s">
        <v>241</v>
      </c>
      <c r="DD417" s="4" t="s">
        <v>241</v>
      </c>
      <c r="DF417" s="4" t="s">
        <v>241</v>
      </c>
      <c r="DG417" s="6">
        <f>0</f>
        <v>0</v>
      </c>
      <c r="DI417" s="4" t="s">
        <v>241</v>
      </c>
      <c r="DJ417" s="4" t="s">
        <v>241</v>
      </c>
      <c r="DK417" s="4" t="s">
        <v>241</v>
      </c>
      <c r="DL417" s="4" t="s">
        <v>241</v>
      </c>
      <c r="DM417" s="4" t="s">
        <v>278</v>
      </c>
      <c r="DN417" s="4" t="s">
        <v>278</v>
      </c>
      <c r="DO417" s="6" t="s">
        <v>241</v>
      </c>
      <c r="DP417" s="4" t="s">
        <v>241</v>
      </c>
      <c r="DQ417" s="4" t="s">
        <v>241</v>
      </c>
      <c r="DR417" s="4" t="s">
        <v>241</v>
      </c>
      <c r="DS417" s="4" t="s">
        <v>241</v>
      </c>
      <c r="DV417" s="4" t="s">
        <v>920</v>
      </c>
      <c r="DW417" s="4" t="s">
        <v>341</v>
      </c>
      <c r="GN417" s="4" t="s">
        <v>931</v>
      </c>
      <c r="HO417" s="4" t="s">
        <v>323</v>
      </c>
      <c r="HR417" s="4" t="s">
        <v>278</v>
      </c>
      <c r="HS417" s="4" t="s">
        <v>278</v>
      </c>
      <c r="HT417" s="4" t="s">
        <v>241</v>
      </c>
      <c r="HU417" s="4" t="s">
        <v>241</v>
      </c>
      <c r="HV417" s="4" t="s">
        <v>241</v>
      </c>
      <c r="HW417" s="4" t="s">
        <v>241</v>
      </c>
      <c r="HX417" s="4" t="s">
        <v>241</v>
      </c>
      <c r="HY417" s="4" t="s">
        <v>241</v>
      </c>
      <c r="HZ417" s="4" t="s">
        <v>241</v>
      </c>
      <c r="IA417" s="4" t="s">
        <v>241</v>
      </c>
      <c r="IB417" s="4" t="s">
        <v>241</v>
      </c>
      <c r="IC417" s="4" t="s">
        <v>241</v>
      </c>
      <c r="ID417" s="4" t="s">
        <v>241</v>
      </c>
      <c r="IE417" s="4" t="s">
        <v>241</v>
      </c>
      <c r="IF417" s="4" t="s">
        <v>241</v>
      </c>
    </row>
    <row r="418" spans="1:240" x14ac:dyDescent="0.4">
      <c r="A418" s="4">
        <v>2</v>
      </c>
      <c r="B418" s="4" t="s">
        <v>239</v>
      </c>
      <c r="C418" s="4">
        <v>449</v>
      </c>
      <c r="D418" s="4">
        <v>1</v>
      </c>
      <c r="E418" s="4">
        <v>3</v>
      </c>
      <c r="F418" s="4" t="s">
        <v>240</v>
      </c>
      <c r="G418" s="4" t="s">
        <v>241</v>
      </c>
      <c r="H418" s="4" t="s">
        <v>241</v>
      </c>
      <c r="I418" s="4" t="s">
        <v>932</v>
      </c>
      <c r="J418" s="4" t="s">
        <v>653</v>
      </c>
      <c r="K418" s="4" t="s">
        <v>256</v>
      </c>
      <c r="L418" s="4" t="s">
        <v>651</v>
      </c>
      <c r="M418" s="5" t="s">
        <v>934</v>
      </c>
      <c r="N418" s="4" t="s">
        <v>651</v>
      </c>
      <c r="O418" s="6">
        <f>2841</f>
        <v>2841</v>
      </c>
      <c r="P418" s="4" t="s">
        <v>276</v>
      </c>
      <c r="Q418" s="6">
        <f>29148660</f>
        <v>29148660</v>
      </c>
      <c r="R418" s="6">
        <f>383535000</f>
        <v>383535000</v>
      </c>
      <c r="S418" s="5" t="s">
        <v>933</v>
      </c>
      <c r="T418" s="4" t="s">
        <v>668</v>
      </c>
      <c r="U418" s="4" t="s">
        <v>373</v>
      </c>
      <c r="V418" s="6">
        <f>8437770</f>
        <v>8437770</v>
      </c>
      <c r="W418" s="6">
        <f>354386340</f>
        <v>354386340</v>
      </c>
      <c r="X418" s="4" t="s">
        <v>243</v>
      </c>
      <c r="Y418" s="4" t="s">
        <v>244</v>
      </c>
      <c r="Z418" s="4" t="s">
        <v>465</v>
      </c>
      <c r="AA418" s="4" t="s">
        <v>241</v>
      </c>
      <c r="AD418" s="4" t="s">
        <v>241</v>
      </c>
      <c r="AE418" s="5" t="s">
        <v>241</v>
      </c>
      <c r="AF418" s="5" t="s">
        <v>241</v>
      </c>
      <c r="AH418" s="5" t="s">
        <v>241</v>
      </c>
      <c r="AI418" s="5" t="s">
        <v>249</v>
      </c>
      <c r="AJ418" s="4" t="s">
        <v>251</v>
      </c>
      <c r="AK418" s="4" t="s">
        <v>252</v>
      </c>
      <c r="AQ418" s="4" t="s">
        <v>241</v>
      </c>
      <c r="AR418" s="4" t="s">
        <v>241</v>
      </c>
      <c r="AS418" s="4" t="s">
        <v>241</v>
      </c>
      <c r="AT418" s="5" t="s">
        <v>241</v>
      </c>
      <c r="AU418" s="5" t="s">
        <v>241</v>
      </c>
      <c r="AV418" s="5" t="s">
        <v>241</v>
      </c>
      <c r="AY418" s="4" t="s">
        <v>286</v>
      </c>
      <c r="AZ418" s="4" t="s">
        <v>286</v>
      </c>
      <c r="BA418" s="4" t="s">
        <v>254</v>
      </c>
      <c r="BB418" s="4" t="s">
        <v>287</v>
      </c>
      <c r="BC418" s="4" t="s">
        <v>255</v>
      </c>
      <c r="BD418" s="4" t="s">
        <v>241</v>
      </c>
      <c r="BE418" s="4" t="s">
        <v>257</v>
      </c>
      <c r="BF418" s="4" t="s">
        <v>241</v>
      </c>
      <c r="BJ418" s="4" t="s">
        <v>288</v>
      </c>
      <c r="BK418" s="5" t="s">
        <v>289</v>
      </c>
      <c r="BL418" s="4" t="s">
        <v>290</v>
      </c>
      <c r="BM418" s="4" t="s">
        <v>290</v>
      </c>
      <c r="BN418" s="4" t="s">
        <v>241</v>
      </c>
      <c r="BO418" s="6">
        <f>0</f>
        <v>0</v>
      </c>
      <c r="BP418" s="6">
        <f>-8437770</f>
        <v>-8437770</v>
      </c>
      <c r="BQ418" s="4" t="s">
        <v>263</v>
      </c>
      <c r="BR418" s="4" t="s">
        <v>264</v>
      </c>
      <c r="BS418" s="4" t="s">
        <v>241</v>
      </c>
      <c r="BT418" s="4" t="s">
        <v>241</v>
      </c>
      <c r="BU418" s="4" t="s">
        <v>241</v>
      </c>
      <c r="BV418" s="4" t="s">
        <v>241</v>
      </c>
      <c r="CE418" s="4" t="s">
        <v>264</v>
      </c>
      <c r="CF418" s="4" t="s">
        <v>241</v>
      </c>
      <c r="CG418" s="4" t="s">
        <v>241</v>
      </c>
      <c r="CK418" s="4" t="s">
        <v>265</v>
      </c>
      <c r="CL418" s="4" t="s">
        <v>266</v>
      </c>
      <c r="CM418" s="4" t="s">
        <v>241</v>
      </c>
      <c r="CO418" s="4" t="s">
        <v>914</v>
      </c>
      <c r="CP418" s="5" t="s">
        <v>268</v>
      </c>
      <c r="CQ418" s="4" t="s">
        <v>269</v>
      </c>
      <c r="CR418" s="4" t="s">
        <v>270</v>
      </c>
      <c r="CS418" s="4" t="s">
        <v>293</v>
      </c>
      <c r="CT418" s="4" t="s">
        <v>241</v>
      </c>
      <c r="CU418" s="4">
        <v>2.1999999999999999E-2</v>
      </c>
      <c r="CV418" s="4" t="s">
        <v>271</v>
      </c>
      <c r="CW418" s="4" t="s">
        <v>655</v>
      </c>
      <c r="CX418" s="4" t="s">
        <v>295</v>
      </c>
      <c r="CY418" s="6">
        <f>0</f>
        <v>0</v>
      </c>
      <c r="CZ418" s="6">
        <f>383535000</f>
        <v>383535000</v>
      </c>
      <c r="DA418" s="6">
        <f>29148660</f>
        <v>29148660</v>
      </c>
      <c r="DC418" s="4" t="s">
        <v>241</v>
      </c>
      <c r="DD418" s="4" t="s">
        <v>241</v>
      </c>
      <c r="DF418" s="4" t="s">
        <v>241</v>
      </c>
      <c r="DG418" s="6">
        <f>0</f>
        <v>0</v>
      </c>
      <c r="DI418" s="4" t="s">
        <v>241</v>
      </c>
      <c r="DJ418" s="4" t="s">
        <v>241</v>
      </c>
      <c r="DK418" s="4" t="s">
        <v>241</v>
      </c>
      <c r="DL418" s="4" t="s">
        <v>241</v>
      </c>
      <c r="DM418" s="4" t="s">
        <v>297</v>
      </c>
      <c r="DN418" s="4" t="s">
        <v>278</v>
      </c>
      <c r="DO418" s="6">
        <f>2841</f>
        <v>2841</v>
      </c>
      <c r="DP418" s="4" t="s">
        <v>241</v>
      </c>
      <c r="DQ418" s="4" t="s">
        <v>241</v>
      </c>
      <c r="DR418" s="4" t="s">
        <v>241</v>
      </c>
      <c r="DS418" s="4" t="s">
        <v>241</v>
      </c>
      <c r="DV418" s="4" t="s">
        <v>935</v>
      </c>
      <c r="DW418" s="4" t="s">
        <v>277</v>
      </c>
      <c r="GN418" s="4" t="s">
        <v>936</v>
      </c>
      <c r="HO418" s="4" t="s">
        <v>300</v>
      </c>
      <c r="HR418" s="4" t="s">
        <v>278</v>
      </c>
      <c r="HS418" s="4" t="s">
        <v>278</v>
      </c>
      <c r="HT418" s="4" t="s">
        <v>241</v>
      </c>
      <c r="HU418" s="4" t="s">
        <v>241</v>
      </c>
      <c r="HV418" s="4" t="s">
        <v>241</v>
      </c>
      <c r="HW418" s="4" t="s">
        <v>241</v>
      </c>
      <c r="HX418" s="4" t="s">
        <v>241</v>
      </c>
      <c r="HY418" s="4" t="s">
        <v>241</v>
      </c>
      <c r="HZ418" s="4" t="s">
        <v>241</v>
      </c>
      <c r="IA418" s="4" t="s">
        <v>241</v>
      </c>
      <c r="IB418" s="4" t="s">
        <v>241</v>
      </c>
      <c r="IC418" s="4" t="s">
        <v>241</v>
      </c>
      <c r="ID418" s="4" t="s">
        <v>241</v>
      </c>
      <c r="IE418" s="4" t="s">
        <v>241</v>
      </c>
      <c r="IF418" s="4" t="s">
        <v>241</v>
      </c>
    </row>
    <row r="419" spans="1:240" x14ac:dyDescent="0.4">
      <c r="A419" s="4">
        <v>2</v>
      </c>
      <c r="B419" s="4" t="s">
        <v>239</v>
      </c>
      <c r="C419" s="4">
        <v>450</v>
      </c>
      <c r="D419" s="4">
        <v>1</v>
      </c>
      <c r="E419" s="4">
        <v>1</v>
      </c>
      <c r="F419" s="4" t="s">
        <v>240</v>
      </c>
      <c r="G419" s="4" t="s">
        <v>241</v>
      </c>
      <c r="H419" s="4" t="s">
        <v>241</v>
      </c>
      <c r="I419" s="4" t="s">
        <v>932</v>
      </c>
      <c r="J419" s="4" t="s">
        <v>653</v>
      </c>
      <c r="K419" s="4" t="s">
        <v>256</v>
      </c>
      <c r="L419" s="4" t="s">
        <v>429</v>
      </c>
      <c r="M419" s="5" t="s">
        <v>934</v>
      </c>
      <c r="N419" s="4" t="s">
        <v>429</v>
      </c>
      <c r="O419" s="6">
        <f>28</f>
        <v>28</v>
      </c>
      <c r="P419" s="4" t="s">
        <v>276</v>
      </c>
      <c r="Q419" s="6">
        <f>1</f>
        <v>1</v>
      </c>
      <c r="R419" s="6">
        <f>1680000</f>
        <v>1680000</v>
      </c>
      <c r="S419" s="5" t="s">
        <v>3730</v>
      </c>
      <c r="T419" s="4" t="s">
        <v>274</v>
      </c>
      <c r="U419" s="4" t="s">
        <v>668</v>
      </c>
      <c r="W419" s="6">
        <f>1679999</f>
        <v>1679999</v>
      </c>
      <c r="X419" s="4" t="s">
        <v>243</v>
      </c>
      <c r="Y419" s="4" t="s">
        <v>244</v>
      </c>
      <c r="Z419" s="4" t="s">
        <v>465</v>
      </c>
      <c r="AA419" s="4" t="s">
        <v>241</v>
      </c>
      <c r="AD419" s="4" t="s">
        <v>241</v>
      </c>
      <c r="AF419" s="5" t="s">
        <v>241</v>
      </c>
      <c r="AI419" s="5" t="s">
        <v>249</v>
      </c>
      <c r="AJ419" s="4" t="s">
        <v>251</v>
      </c>
      <c r="AK419" s="4" t="s">
        <v>252</v>
      </c>
      <c r="BA419" s="4" t="s">
        <v>254</v>
      </c>
      <c r="BB419" s="4" t="s">
        <v>241</v>
      </c>
      <c r="BC419" s="4" t="s">
        <v>255</v>
      </c>
      <c r="BD419" s="4" t="s">
        <v>241</v>
      </c>
      <c r="BE419" s="4" t="s">
        <v>257</v>
      </c>
      <c r="BF419" s="4" t="s">
        <v>241</v>
      </c>
      <c r="BJ419" s="4" t="s">
        <v>259</v>
      </c>
      <c r="BK419" s="5" t="s">
        <v>260</v>
      </c>
      <c r="BL419" s="4" t="s">
        <v>261</v>
      </c>
      <c r="BM419" s="4" t="s">
        <v>262</v>
      </c>
      <c r="BN419" s="4" t="s">
        <v>241</v>
      </c>
      <c r="BO419" s="6">
        <f>0</f>
        <v>0</v>
      </c>
      <c r="BP419" s="6">
        <f>0</f>
        <v>0</v>
      </c>
      <c r="BQ419" s="4" t="s">
        <v>263</v>
      </c>
      <c r="BR419" s="4" t="s">
        <v>264</v>
      </c>
      <c r="CF419" s="4" t="s">
        <v>241</v>
      </c>
      <c r="CG419" s="4" t="s">
        <v>241</v>
      </c>
      <c r="CK419" s="4" t="s">
        <v>265</v>
      </c>
      <c r="CL419" s="4" t="s">
        <v>266</v>
      </c>
      <c r="CM419" s="4" t="s">
        <v>241</v>
      </c>
      <c r="CO419" s="4" t="s">
        <v>1021</v>
      </c>
      <c r="CP419" s="5" t="s">
        <v>268</v>
      </c>
      <c r="CQ419" s="4" t="s">
        <v>269</v>
      </c>
      <c r="CR419" s="4" t="s">
        <v>270</v>
      </c>
      <c r="CS419" s="4" t="s">
        <v>241</v>
      </c>
      <c r="CT419" s="4" t="s">
        <v>241</v>
      </c>
      <c r="CU419" s="4">
        <v>0</v>
      </c>
      <c r="CV419" s="4" t="s">
        <v>271</v>
      </c>
      <c r="CW419" s="4" t="s">
        <v>272</v>
      </c>
      <c r="CX419" s="4" t="s">
        <v>273</v>
      </c>
      <c r="CZ419" s="6">
        <f>1680000</f>
        <v>1680000</v>
      </c>
      <c r="DA419" s="6">
        <f>0</f>
        <v>0</v>
      </c>
      <c r="DC419" s="4" t="s">
        <v>241</v>
      </c>
      <c r="DD419" s="4" t="s">
        <v>241</v>
      </c>
      <c r="DF419" s="4" t="s">
        <v>241</v>
      </c>
      <c r="DI419" s="4" t="s">
        <v>241</v>
      </c>
      <c r="DJ419" s="4" t="s">
        <v>241</v>
      </c>
      <c r="DK419" s="4" t="s">
        <v>241</v>
      </c>
      <c r="DL419" s="4" t="s">
        <v>241</v>
      </c>
      <c r="DM419" s="4" t="s">
        <v>277</v>
      </c>
      <c r="DN419" s="4" t="s">
        <v>278</v>
      </c>
      <c r="DO419" s="6">
        <f>28</f>
        <v>28</v>
      </c>
      <c r="DP419" s="4" t="s">
        <v>241</v>
      </c>
      <c r="DQ419" s="4" t="s">
        <v>241</v>
      </c>
      <c r="DR419" s="4" t="s">
        <v>241</v>
      </c>
      <c r="DS419" s="4" t="s">
        <v>241</v>
      </c>
      <c r="DV419" s="4" t="s">
        <v>935</v>
      </c>
      <c r="DW419" s="4" t="s">
        <v>323</v>
      </c>
      <c r="HO419" s="4" t="s">
        <v>277</v>
      </c>
      <c r="HR419" s="4" t="s">
        <v>278</v>
      </c>
      <c r="HS419" s="4" t="s">
        <v>278</v>
      </c>
    </row>
    <row r="420" spans="1:240" x14ac:dyDescent="0.4">
      <c r="A420" s="4">
        <v>2</v>
      </c>
      <c r="B420" s="4" t="s">
        <v>239</v>
      </c>
      <c r="C420" s="4">
        <v>451</v>
      </c>
      <c r="D420" s="4">
        <v>1</v>
      </c>
      <c r="E420" s="4">
        <v>1</v>
      </c>
      <c r="F420" s="4" t="s">
        <v>240</v>
      </c>
      <c r="G420" s="4" t="s">
        <v>241</v>
      </c>
      <c r="H420" s="4" t="s">
        <v>241</v>
      </c>
      <c r="I420" s="4" t="s">
        <v>932</v>
      </c>
      <c r="J420" s="4" t="s">
        <v>653</v>
      </c>
      <c r="K420" s="4" t="s">
        <v>256</v>
      </c>
      <c r="L420" s="4" t="s">
        <v>2529</v>
      </c>
      <c r="M420" s="5" t="s">
        <v>934</v>
      </c>
      <c r="N420" s="4" t="s">
        <v>2529</v>
      </c>
      <c r="O420" s="6">
        <f>43</f>
        <v>43</v>
      </c>
      <c r="P420" s="4" t="s">
        <v>276</v>
      </c>
      <c r="Q420" s="6">
        <f>1</f>
        <v>1</v>
      </c>
      <c r="R420" s="6">
        <f>2580000</f>
        <v>2580000</v>
      </c>
      <c r="S420" s="5" t="s">
        <v>2942</v>
      </c>
      <c r="T420" s="4" t="s">
        <v>348</v>
      </c>
      <c r="U420" s="4" t="s">
        <v>777</v>
      </c>
      <c r="W420" s="6">
        <f>2579999</f>
        <v>2579999</v>
      </c>
      <c r="X420" s="4" t="s">
        <v>243</v>
      </c>
      <c r="Y420" s="4" t="s">
        <v>244</v>
      </c>
      <c r="Z420" s="4" t="s">
        <v>465</v>
      </c>
      <c r="AA420" s="4" t="s">
        <v>241</v>
      </c>
      <c r="AD420" s="4" t="s">
        <v>241</v>
      </c>
      <c r="AF420" s="5" t="s">
        <v>241</v>
      </c>
      <c r="AI420" s="5" t="s">
        <v>249</v>
      </c>
      <c r="AJ420" s="4" t="s">
        <v>251</v>
      </c>
      <c r="AK420" s="4" t="s">
        <v>252</v>
      </c>
      <c r="BA420" s="4" t="s">
        <v>254</v>
      </c>
      <c r="BB420" s="4" t="s">
        <v>241</v>
      </c>
      <c r="BC420" s="4" t="s">
        <v>255</v>
      </c>
      <c r="BD420" s="4" t="s">
        <v>241</v>
      </c>
      <c r="BE420" s="4" t="s">
        <v>257</v>
      </c>
      <c r="BF420" s="4" t="s">
        <v>241</v>
      </c>
      <c r="BJ420" s="4" t="s">
        <v>367</v>
      </c>
      <c r="BK420" s="5" t="s">
        <v>249</v>
      </c>
      <c r="BL420" s="4" t="s">
        <v>261</v>
      </c>
      <c r="BM420" s="4" t="s">
        <v>262</v>
      </c>
      <c r="BN420" s="4" t="s">
        <v>241</v>
      </c>
      <c r="BO420" s="6">
        <f>0</f>
        <v>0</v>
      </c>
      <c r="BP420" s="6">
        <f>0</f>
        <v>0</v>
      </c>
      <c r="BQ420" s="4" t="s">
        <v>263</v>
      </c>
      <c r="BR420" s="4" t="s">
        <v>264</v>
      </c>
      <c r="CF420" s="4" t="s">
        <v>241</v>
      </c>
      <c r="CG420" s="4" t="s">
        <v>241</v>
      </c>
      <c r="CK420" s="4" t="s">
        <v>265</v>
      </c>
      <c r="CL420" s="4" t="s">
        <v>266</v>
      </c>
      <c r="CM420" s="4" t="s">
        <v>241</v>
      </c>
      <c r="CO420" s="4" t="s">
        <v>956</v>
      </c>
      <c r="CP420" s="5" t="s">
        <v>268</v>
      </c>
      <c r="CQ420" s="4" t="s">
        <v>269</v>
      </c>
      <c r="CR420" s="4" t="s">
        <v>270</v>
      </c>
      <c r="CS420" s="4" t="s">
        <v>241</v>
      </c>
      <c r="CT420" s="4" t="s">
        <v>241</v>
      </c>
      <c r="CU420" s="4">
        <v>0</v>
      </c>
      <c r="CV420" s="4" t="s">
        <v>271</v>
      </c>
      <c r="CW420" s="4" t="s">
        <v>415</v>
      </c>
      <c r="CX420" s="4" t="s">
        <v>416</v>
      </c>
      <c r="CZ420" s="6">
        <f>2580000</f>
        <v>2580000</v>
      </c>
      <c r="DA420" s="6">
        <f>0</f>
        <v>0</v>
      </c>
      <c r="DC420" s="4" t="s">
        <v>241</v>
      </c>
      <c r="DD420" s="4" t="s">
        <v>241</v>
      </c>
      <c r="DF420" s="4" t="s">
        <v>241</v>
      </c>
      <c r="DI420" s="4" t="s">
        <v>241</v>
      </c>
      <c r="DJ420" s="4" t="s">
        <v>241</v>
      </c>
      <c r="DK420" s="4" t="s">
        <v>241</v>
      </c>
      <c r="DL420" s="4" t="s">
        <v>241</v>
      </c>
      <c r="DM420" s="4" t="s">
        <v>277</v>
      </c>
      <c r="DN420" s="4" t="s">
        <v>278</v>
      </c>
      <c r="DO420" s="6">
        <f>43</f>
        <v>43</v>
      </c>
      <c r="DP420" s="4" t="s">
        <v>241</v>
      </c>
      <c r="DQ420" s="4" t="s">
        <v>241</v>
      </c>
      <c r="DR420" s="4" t="s">
        <v>241</v>
      </c>
      <c r="DS420" s="4" t="s">
        <v>241</v>
      </c>
      <c r="DV420" s="4" t="s">
        <v>935</v>
      </c>
      <c r="DW420" s="4" t="s">
        <v>297</v>
      </c>
      <c r="HO420" s="4" t="s">
        <v>277</v>
      </c>
      <c r="HR420" s="4" t="s">
        <v>278</v>
      </c>
      <c r="HS420" s="4" t="s">
        <v>278</v>
      </c>
    </row>
    <row r="421" spans="1:240" x14ac:dyDescent="0.4">
      <c r="A421" s="4">
        <v>2</v>
      </c>
      <c r="B421" s="4" t="s">
        <v>239</v>
      </c>
      <c r="C421" s="4">
        <v>452</v>
      </c>
      <c r="D421" s="4">
        <v>1</v>
      </c>
      <c r="E421" s="4">
        <v>3</v>
      </c>
      <c r="F421" s="4" t="s">
        <v>240</v>
      </c>
      <c r="G421" s="4" t="s">
        <v>241</v>
      </c>
      <c r="H421" s="4" t="s">
        <v>241</v>
      </c>
      <c r="I421" s="4" t="s">
        <v>932</v>
      </c>
      <c r="J421" s="4" t="s">
        <v>653</v>
      </c>
      <c r="K421" s="4" t="s">
        <v>256</v>
      </c>
      <c r="L421" s="4" t="s">
        <v>651</v>
      </c>
      <c r="M421" s="5" t="s">
        <v>934</v>
      </c>
      <c r="N421" s="4" t="s">
        <v>651</v>
      </c>
      <c r="O421" s="6">
        <f>259</f>
        <v>259</v>
      </c>
      <c r="P421" s="4" t="s">
        <v>276</v>
      </c>
      <c r="Q421" s="6">
        <f>17707830</f>
        <v>17707830</v>
      </c>
      <c r="R421" s="6">
        <f>55685000</f>
        <v>55685000</v>
      </c>
      <c r="S421" s="5" t="s">
        <v>937</v>
      </c>
      <c r="T421" s="4" t="s">
        <v>668</v>
      </c>
      <c r="U421" s="4" t="s">
        <v>408</v>
      </c>
      <c r="V421" s="6">
        <f>1225070</f>
        <v>1225070</v>
      </c>
      <c r="W421" s="6">
        <f>37977170</f>
        <v>37977170</v>
      </c>
      <c r="X421" s="4" t="s">
        <v>243</v>
      </c>
      <c r="Y421" s="4" t="s">
        <v>244</v>
      </c>
      <c r="Z421" s="4" t="s">
        <v>465</v>
      </c>
      <c r="AA421" s="4" t="s">
        <v>241</v>
      </c>
      <c r="AD421" s="4" t="s">
        <v>241</v>
      </c>
      <c r="AE421" s="5" t="s">
        <v>241</v>
      </c>
      <c r="AF421" s="5" t="s">
        <v>241</v>
      </c>
      <c r="AH421" s="5" t="s">
        <v>241</v>
      </c>
      <c r="AI421" s="5" t="s">
        <v>249</v>
      </c>
      <c r="AJ421" s="4" t="s">
        <v>251</v>
      </c>
      <c r="AK421" s="4" t="s">
        <v>252</v>
      </c>
      <c r="AQ421" s="4" t="s">
        <v>241</v>
      </c>
      <c r="AR421" s="4" t="s">
        <v>241</v>
      </c>
      <c r="AS421" s="4" t="s">
        <v>241</v>
      </c>
      <c r="AT421" s="5" t="s">
        <v>241</v>
      </c>
      <c r="AU421" s="5" t="s">
        <v>241</v>
      </c>
      <c r="AV421" s="5" t="s">
        <v>241</v>
      </c>
      <c r="AY421" s="4" t="s">
        <v>286</v>
      </c>
      <c r="AZ421" s="4" t="s">
        <v>286</v>
      </c>
      <c r="BA421" s="4" t="s">
        <v>254</v>
      </c>
      <c r="BB421" s="4" t="s">
        <v>287</v>
      </c>
      <c r="BC421" s="4" t="s">
        <v>255</v>
      </c>
      <c r="BD421" s="4" t="s">
        <v>241</v>
      </c>
      <c r="BE421" s="4" t="s">
        <v>257</v>
      </c>
      <c r="BF421" s="4" t="s">
        <v>241</v>
      </c>
      <c r="BJ421" s="4" t="s">
        <v>288</v>
      </c>
      <c r="BK421" s="5" t="s">
        <v>289</v>
      </c>
      <c r="BL421" s="4" t="s">
        <v>290</v>
      </c>
      <c r="BM421" s="4" t="s">
        <v>290</v>
      </c>
      <c r="BN421" s="4" t="s">
        <v>241</v>
      </c>
      <c r="BO421" s="6">
        <f>0</f>
        <v>0</v>
      </c>
      <c r="BP421" s="6">
        <f>-1225070</f>
        <v>-1225070</v>
      </c>
      <c r="BQ421" s="4" t="s">
        <v>263</v>
      </c>
      <c r="BR421" s="4" t="s">
        <v>264</v>
      </c>
      <c r="BS421" s="4" t="s">
        <v>241</v>
      </c>
      <c r="BT421" s="4" t="s">
        <v>241</v>
      </c>
      <c r="BU421" s="4" t="s">
        <v>241</v>
      </c>
      <c r="BV421" s="4" t="s">
        <v>241</v>
      </c>
      <c r="CE421" s="4" t="s">
        <v>264</v>
      </c>
      <c r="CF421" s="4" t="s">
        <v>241</v>
      </c>
      <c r="CG421" s="4" t="s">
        <v>241</v>
      </c>
      <c r="CK421" s="4" t="s">
        <v>291</v>
      </c>
      <c r="CL421" s="4" t="s">
        <v>266</v>
      </c>
      <c r="CM421" s="4" t="s">
        <v>241</v>
      </c>
      <c r="CO421" s="4" t="s">
        <v>468</v>
      </c>
      <c r="CP421" s="5" t="s">
        <v>268</v>
      </c>
      <c r="CQ421" s="4" t="s">
        <v>269</v>
      </c>
      <c r="CR421" s="4" t="s">
        <v>270</v>
      </c>
      <c r="CS421" s="4" t="s">
        <v>293</v>
      </c>
      <c r="CT421" s="4" t="s">
        <v>241</v>
      </c>
      <c r="CU421" s="4">
        <v>2.1999999999999999E-2</v>
      </c>
      <c r="CV421" s="4" t="s">
        <v>271</v>
      </c>
      <c r="CW421" s="4" t="s">
        <v>655</v>
      </c>
      <c r="CX421" s="4" t="s">
        <v>295</v>
      </c>
      <c r="CY421" s="6">
        <f>0</f>
        <v>0</v>
      </c>
      <c r="CZ421" s="6">
        <f>55685000</f>
        <v>55685000</v>
      </c>
      <c r="DA421" s="6">
        <f>17707830</f>
        <v>17707830</v>
      </c>
      <c r="DC421" s="4" t="s">
        <v>241</v>
      </c>
      <c r="DD421" s="4" t="s">
        <v>241</v>
      </c>
      <c r="DF421" s="4" t="s">
        <v>241</v>
      </c>
      <c r="DG421" s="6">
        <f>0</f>
        <v>0</v>
      </c>
      <c r="DI421" s="4" t="s">
        <v>241</v>
      </c>
      <c r="DJ421" s="4" t="s">
        <v>241</v>
      </c>
      <c r="DK421" s="4" t="s">
        <v>241</v>
      </c>
      <c r="DL421" s="4" t="s">
        <v>241</v>
      </c>
      <c r="DM421" s="4" t="s">
        <v>323</v>
      </c>
      <c r="DN421" s="4" t="s">
        <v>278</v>
      </c>
      <c r="DO421" s="6">
        <f>259</f>
        <v>259</v>
      </c>
      <c r="DP421" s="4" t="s">
        <v>241</v>
      </c>
      <c r="DQ421" s="4" t="s">
        <v>241</v>
      </c>
      <c r="DR421" s="4" t="s">
        <v>241</v>
      </c>
      <c r="DS421" s="4" t="s">
        <v>241</v>
      </c>
      <c r="DV421" s="4" t="s">
        <v>935</v>
      </c>
      <c r="DW421" s="4" t="s">
        <v>336</v>
      </c>
      <c r="GN421" s="4" t="s">
        <v>938</v>
      </c>
      <c r="HO421" s="4" t="s">
        <v>300</v>
      </c>
      <c r="HR421" s="4" t="s">
        <v>278</v>
      </c>
      <c r="HS421" s="4" t="s">
        <v>278</v>
      </c>
      <c r="HT421" s="4" t="s">
        <v>241</v>
      </c>
      <c r="HU421" s="4" t="s">
        <v>241</v>
      </c>
      <c r="HV421" s="4" t="s">
        <v>241</v>
      </c>
      <c r="HW421" s="4" t="s">
        <v>241</v>
      </c>
      <c r="HX421" s="4" t="s">
        <v>241</v>
      </c>
      <c r="HY421" s="4" t="s">
        <v>241</v>
      </c>
      <c r="HZ421" s="4" t="s">
        <v>241</v>
      </c>
      <c r="IA421" s="4" t="s">
        <v>241</v>
      </c>
      <c r="IB421" s="4" t="s">
        <v>241</v>
      </c>
      <c r="IC421" s="4" t="s">
        <v>241</v>
      </c>
      <c r="ID421" s="4" t="s">
        <v>241</v>
      </c>
      <c r="IE421" s="4" t="s">
        <v>241</v>
      </c>
      <c r="IF421" s="4" t="s">
        <v>241</v>
      </c>
    </row>
    <row r="422" spans="1:240" x14ac:dyDescent="0.4">
      <c r="A422" s="4">
        <v>2</v>
      </c>
      <c r="B422" s="4" t="s">
        <v>239</v>
      </c>
      <c r="C422" s="4">
        <v>453</v>
      </c>
      <c r="D422" s="4">
        <v>1</v>
      </c>
      <c r="E422" s="4">
        <v>3</v>
      </c>
      <c r="F422" s="4" t="s">
        <v>240</v>
      </c>
      <c r="G422" s="4" t="s">
        <v>241</v>
      </c>
      <c r="H422" s="4" t="s">
        <v>241</v>
      </c>
      <c r="I422" s="4" t="s">
        <v>932</v>
      </c>
      <c r="J422" s="4" t="s">
        <v>653</v>
      </c>
      <c r="K422" s="4" t="s">
        <v>256</v>
      </c>
      <c r="L422" s="4" t="s">
        <v>1003</v>
      </c>
      <c r="M422" s="5" t="s">
        <v>934</v>
      </c>
      <c r="N422" s="4" t="s">
        <v>1003</v>
      </c>
      <c r="O422" s="6">
        <f>834</f>
        <v>834</v>
      </c>
      <c r="P422" s="4" t="s">
        <v>276</v>
      </c>
      <c r="Q422" s="6">
        <f>30582780</f>
        <v>30582780</v>
      </c>
      <c r="R422" s="6">
        <f>160962000</f>
        <v>160962000</v>
      </c>
      <c r="S422" s="5" t="s">
        <v>1101</v>
      </c>
      <c r="T422" s="4" t="s">
        <v>357</v>
      </c>
      <c r="U422" s="4" t="s">
        <v>384</v>
      </c>
      <c r="V422" s="6">
        <f>4828860</f>
        <v>4828860</v>
      </c>
      <c r="W422" s="6">
        <f>130379220</f>
        <v>130379220</v>
      </c>
      <c r="X422" s="4" t="s">
        <v>243</v>
      </c>
      <c r="Y422" s="4" t="s">
        <v>244</v>
      </c>
      <c r="Z422" s="4" t="s">
        <v>465</v>
      </c>
      <c r="AA422" s="4" t="s">
        <v>241</v>
      </c>
      <c r="AD422" s="4" t="s">
        <v>241</v>
      </c>
      <c r="AE422" s="5" t="s">
        <v>241</v>
      </c>
      <c r="AF422" s="5" t="s">
        <v>241</v>
      </c>
      <c r="AH422" s="5" t="s">
        <v>241</v>
      </c>
      <c r="AI422" s="5" t="s">
        <v>249</v>
      </c>
      <c r="AJ422" s="4" t="s">
        <v>251</v>
      </c>
      <c r="AK422" s="4" t="s">
        <v>252</v>
      </c>
      <c r="AQ422" s="4" t="s">
        <v>241</v>
      </c>
      <c r="AR422" s="4" t="s">
        <v>241</v>
      </c>
      <c r="AS422" s="4" t="s">
        <v>241</v>
      </c>
      <c r="AT422" s="5" t="s">
        <v>241</v>
      </c>
      <c r="AU422" s="5" t="s">
        <v>241</v>
      </c>
      <c r="AV422" s="5" t="s">
        <v>241</v>
      </c>
      <c r="AY422" s="4" t="s">
        <v>286</v>
      </c>
      <c r="AZ422" s="4" t="s">
        <v>286</v>
      </c>
      <c r="BA422" s="4" t="s">
        <v>254</v>
      </c>
      <c r="BB422" s="4" t="s">
        <v>287</v>
      </c>
      <c r="BC422" s="4" t="s">
        <v>255</v>
      </c>
      <c r="BD422" s="4" t="s">
        <v>241</v>
      </c>
      <c r="BE422" s="4" t="s">
        <v>257</v>
      </c>
      <c r="BF422" s="4" t="s">
        <v>241</v>
      </c>
      <c r="BJ422" s="4" t="s">
        <v>288</v>
      </c>
      <c r="BK422" s="5" t="s">
        <v>289</v>
      </c>
      <c r="BL422" s="4" t="s">
        <v>290</v>
      </c>
      <c r="BM422" s="4" t="s">
        <v>290</v>
      </c>
      <c r="BN422" s="4" t="s">
        <v>241</v>
      </c>
      <c r="BO422" s="6">
        <f>0</f>
        <v>0</v>
      </c>
      <c r="BP422" s="6">
        <f>-4828860</f>
        <v>-4828860</v>
      </c>
      <c r="BQ422" s="4" t="s">
        <v>263</v>
      </c>
      <c r="BR422" s="4" t="s">
        <v>264</v>
      </c>
      <c r="BS422" s="4" t="s">
        <v>241</v>
      </c>
      <c r="BT422" s="4" t="s">
        <v>241</v>
      </c>
      <c r="BU422" s="4" t="s">
        <v>241</v>
      </c>
      <c r="BV422" s="4" t="s">
        <v>241</v>
      </c>
      <c r="CE422" s="4" t="s">
        <v>264</v>
      </c>
      <c r="CF422" s="4" t="s">
        <v>241</v>
      </c>
      <c r="CG422" s="4" t="s">
        <v>241</v>
      </c>
      <c r="CK422" s="4" t="s">
        <v>291</v>
      </c>
      <c r="CL422" s="4" t="s">
        <v>266</v>
      </c>
      <c r="CM422" s="4" t="s">
        <v>241</v>
      </c>
      <c r="CO422" s="4" t="s">
        <v>376</v>
      </c>
      <c r="CP422" s="5" t="s">
        <v>268</v>
      </c>
      <c r="CQ422" s="4" t="s">
        <v>269</v>
      </c>
      <c r="CR422" s="4" t="s">
        <v>270</v>
      </c>
      <c r="CS422" s="4" t="s">
        <v>293</v>
      </c>
      <c r="CT422" s="4" t="s">
        <v>241</v>
      </c>
      <c r="CU422" s="4">
        <v>0.03</v>
      </c>
      <c r="CV422" s="4" t="s">
        <v>271</v>
      </c>
      <c r="CW422" s="4" t="s">
        <v>1006</v>
      </c>
      <c r="CX422" s="4" t="s">
        <v>487</v>
      </c>
      <c r="CY422" s="6">
        <f>0</f>
        <v>0</v>
      </c>
      <c r="CZ422" s="6">
        <f>160962000</f>
        <v>160962000</v>
      </c>
      <c r="DA422" s="6">
        <f>30582780</f>
        <v>30582780</v>
      </c>
      <c r="DC422" s="4" t="s">
        <v>241</v>
      </c>
      <c r="DD422" s="4" t="s">
        <v>241</v>
      </c>
      <c r="DF422" s="4" t="s">
        <v>241</v>
      </c>
      <c r="DG422" s="6">
        <f>0</f>
        <v>0</v>
      </c>
      <c r="DI422" s="4" t="s">
        <v>241</v>
      </c>
      <c r="DJ422" s="4" t="s">
        <v>241</v>
      </c>
      <c r="DK422" s="4" t="s">
        <v>241</v>
      </c>
      <c r="DL422" s="4" t="s">
        <v>241</v>
      </c>
      <c r="DM422" s="4" t="s">
        <v>277</v>
      </c>
      <c r="DN422" s="4" t="s">
        <v>278</v>
      </c>
      <c r="DO422" s="6">
        <f>834</f>
        <v>834</v>
      </c>
      <c r="DP422" s="4" t="s">
        <v>241</v>
      </c>
      <c r="DQ422" s="4" t="s">
        <v>241</v>
      </c>
      <c r="DR422" s="4" t="s">
        <v>241</v>
      </c>
      <c r="DS422" s="4" t="s">
        <v>241</v>
      </c>
      <c r="DV422" s="4" t="s">
        <v>935</v>
      </c>
      <c r="DW422" s="4" t="s">
        <v>351</v>
      </c>
      <c r="GN422" s="4" t="s">
        <v>1102</v>
      </c>
      <c r="HO422" s="4" t="s">
        <v>300</v>
      </c>
      <c r="HR422" s="4" t="s">
        <v>278</v>
      </c>
      <c r="HS422" s="4" t="s">
        <v>278</v>
      </c>
      <c r="HT422" s="4" t="s">
        <v>241</v>
      </c>
      <c r="HU422" s="4" t="s">
        <v>241</v>
      </c>
      <c r="HV422" s="4" t="s">
        <v>241</v>
      </c>
      <c r="HW422" s="4" t="s">
        <v>241</v>
      </c>
      <c r="HX422" s="4" t="s">
        <v>241</v>
      </c>
      <c r="HY422" s="4" t="s">
        <v>241</v>
      </c>
      <c r="HZ422" s="4" t="s">
        <v>241</v>
      </c>
      <c r="IA422" s="4" t="s">
        <v>241</v>
      </c>
      <c r="IB422" s="4" t="s">
        <v>241</v>
      </c>
      <c r="IC422" s="4" t="s">
        <v>241</v>
      </c>
      <c r="ID422" s="4" t="s">
        <v>241</v>
      </c>
      <c r="IE422" s="4" t="s">
        <v>241</v>
      </c>
      <c r="IF422" s="4" t="s">
        <v>241</v>
      </c>
    </row>
    <row r="423" spans="1:240" x14ac:dyDescent="0.4">
      <c r="A423" s="4">
        <v>2</v>
      </c>
      <c r="B423" s="4" t="s">
        <v>239</v>
      </c>
      <c r="C423" s="4">
        <v>454</v>
      </c>
      <c r="D423" s="4">
        <v>1</v>
      </c>
      <c r="E423" s="4">
        <v>3</v>
      </c>
      <c r="F423" s="4" t="s">
        <v>240</v>
      </c>
      <c r="G423" s="4" t="s">
        <v>241</v>
      </c>
      <c r="H423" s="4" t="s">
        <v>241</v>
      </c>
      <c r="I423" s="4" t="s">
        <v>932</v>
      </c>
      <c r="J423" s="4" t="s">
        <v>653</v>
      </c>
      <c r="K423" s="4" t="s">
        <v>256</v>
      </c>
      <c r="L423" s="4" t="s">
        <v>429</v>
      </c>
      <c r="M423" s="5" t="s">
        <v>934</v>
      </c>
      <c r="N423" s="4" t="s">
        <v>429</v>
      </c>
      <c r="O423" s="6">
        <f>66</f>
        <v>66</v>
      </c>
      <c r="P423" s="4" t="s">
        <v>276</v>
      </c>
      <c r="Q423" s="6">
        <f>4251744</f>
        <v>4251744</v>
      </c>
      <c r="R423" s="6">
        <f>6048000</f>
        <v>6048000</v>
      </c>
      <c r="S423" s="5" t="s">
        <v>3586</v>
      </c>
      <c r="T423" s="4" t="s">
        <v>441</v>
      </c>
      <c r="U423" s="4" t="s">
        <v>343</v>
      </c>
      <c r="V423" s="6">
        <f>199584</f>
        <v>199584</v>
      </c>
      <c r="W423" s="6">
        <f>1796256</f>
        <v>1796256</v>
      </c>
      <c r="X423" s="4" t="s">
        <v>243</v>
      </c>
      <c r="Y423" s="4" t="s">
        <v>244</v>
      </c>
      <c r="Z423" s="4" t="s">
        <v>465</v>
      </c>
      <c r="AA423" s="4" t="s">
        <v>241</v>
      </c>
      <c r="AD423" s="4" t="s">
        <v>241</v>
      </c>
      <c r="AE423" s="5" t="s">
        <v>241</v>
      </c>
      <c r="AF423" s="5" t="s">
        <v>241</v>
      </c>
      <c r="AH423" s="5" t="s">
        <v>241</v>
      </c>
      <c r="AI423" s="5" t="s">
        <v>249</v>
      </c>
      <c r="AJ423" s="4" t="s">
        <v>251</v>
      </c>
      <c r="AK423" s="4" t="s">
        <v>252</v>
      </c>
      <c r="AQ423" s="4" t="s">
        <v>241</v>
      </c>
      <c r="AR423" s="4" t="s">
        <v>241</v>
      </c>
      <c r="AS423" s="4" t="s">
        <v>241</v>
      </c>
      <c r="AT423" s="5" t="s">
        <v>241</v>
      </c>
      <c r="AU423" s="5" t="s">
        <v>241</v>
      </c>
      <c r="AV423" s="5" t="s">
        <v>241</v>
      </c>
      <c r="AY423" s="4" t="s">
        <v>286</v>
      </c>
      <c r="AZ423" s="4" t="s">
        <v>286</v>
      </c>
      <c r="BA423" s="4" t="s">
        <v>254</v>
      </c>
      <c r="BB423" s="4" t="s">
        <v>287</v>
      </c>
      <c r="BC423" s="4" t="s">
        <v>255</v>
      </c>
      <c r="BD423" s="4" t="s">
        <v>241</v>
      </c>
      <c r="BE423" s="4" t="s">
        <v>257</v>
      </c>
      <c r="BF423" s="4" t="s">
        <v>241</v>
      </c>
      <c r="BJ423" s="4" t="s">
        <v>288</v>
      </c>
      <c r="BK423" s="5" t="s">
        <v>289</v>
      </c>
      <c r="BL423" s="4" t="s">
        <v>290</v>
      </c>
      <c r="BM423" s="4" t="s">
        <v>290</v>
      </c>
      <c r="BN423" s="4" t="s">
        <v>241</v>
      </c>
      <c r="BO423" s="6">
        <f>0</f>
        <v>0</v>
      </c>
      <c r="BP423" s="6">
        <f>-199584</f>
        <v>-199584</v>
      </c>
      <c r="BQ423" s="4" t="s">
        <v>263</v>
      </c>
      <c r="BR423" s="4" t="s">
        <v>264</v>
      </c>
      <c r="BS423" s="4" t="s">
        <v>241</v>
      </c>
      <c r="BT423" s="4" t="s">
        <v>241</v>
      </c>
      <c r="BU423" s="4" t="s">
        <v>241</v>
      </c>
      <c r="BV423" s="4" t="s">
        <v>241</v>
      </c>
      <c r="CE423" s="4" t="s">
        <v>264</v>
      </c>
      <c r="CF423" s="4" t="s">
        <v>241</v>
      </c>
      <c r="CG423" s="4" t="s">
        <v>241</v>
      </c>
      <c r="CK423" s="4" t="s">
        <v>291</v>
      </c>
      <c r="CL423" s="4" t="s">
        <v>266</v>
      </c>
      <c r="CM423" s="4" t="s">
        <v>241</v>
      </c>
      <c r="CO423" s="4" t="s">
        <v>826</v>
      </c>
      <c r="CP423" s="5" t="s">
        <v>268</v>
      </c>
      <c r="CQ423" s="4" t="s">
        <v>269</v>
      </c>
      <c r="CR423" s="4" t="s">
        <v>270</v>
      </c>
      <c r="CS423" s="4" t="s">
        <v>293</v>
      </c>
      <c r="CT423" s="4" t="s">
        <v>241</v>
      </c>
      <c r="CU423" s="4">
        <v>3.3000000000000002E-2</v>
      </c>
      <c r="CV423" s="4" t="s">
        <v>271</v>
      </c>
      <c r="CW423" s="4" t="s">
        <v>272</v>
      </c>
      <c r="CX423" s="4" t="s">
        <v>487</v>
      </c>
      <c r="CY423" s="6">
        <f>0</f>
        <v>0</v>
      </c>
      <c r="CZ423" s="6">
        <f>6048000</f>
        <v>6048000</v>
      </c>
      <c r="DA423" s="6">
        <f>4251744</f>
        <v>4251744</v>
      </c>
      <c r="DC423" s="4" t="s">
        <v>241</v>
      </c>
      <c r="DD423" s="4" t="s">
        <v>241</v>
      </c>
      <c r="DF423" s="4" t="s">
        <v>241</v>
      </c>
      <c r="DG423" s="6">
        <f>0</f>
        <v>0</v>
      </c>
      <c r="DI423" s="4" t="s">
        <v>241</v>
      </c>
      <c r="DJ423" s="4" t="s">
        <v>241</v>
      </c>
      <c r="DK423" s="4" t="s">
        <v>241</v>
      </c>
      <c r="DL423" s="4" t="s">
        <v>241</v>
      </c>
      <c r="DM423" s="4" t="s">
        <v>277</v>
      </c>
      <c r="DN423" s="4" t="s">
        <v>278</v>
      </c>
      <c r="DO423" s="6">
        <f>66</f>
        <v>66</v>
      </c>
      <c r="DP423" s="4" t="s">
        <v>241</v>
      </c>
      <c r="DQ423" s="4" t="s">
        <v>241</v>
      </c>
      <c r="DR423" s="4" t="s">
        <v>241</v>
      </c>
      <c r="DS423" s="4" t="s">
        <v>241</v>
      </c>
      <c r="DV423" s="4" t="s">
        <v>935</v>
      </c>
      <c r="DW423" s="4" t="s">
        <v>300</v>
      </c>
      <c r="GN423" s="4" t="s">
        <v>3588</v>
      </c>
      <c r="HO423" s="4" t="s">
        <v>300</v>
      </c>
      <c r="HR423" s="4" t="s">
        <v>278</v>
      </c>
      <c r="HS423" s="4" t="s">
        <v>278</v>
      </c>
      <c r="HT423" s="4" t="s">
        <v>241</v>
      </c>
      <c r="HU423" s="4" t="s">
        <v>241</v>
      </c>
      <c r="HV423" s="4" t="s">
        <v>241</v>
      </c>
      <c r="HW423" s="4" t="s">
        <v>241</v>
      </c>
      <c r="HX423" s="4" t="s">
        <v>241</v>
      </c>
      <c r="HY423" s="4" t="s">
        <v>241</v>
      </c>
      <c r="HZ423" s="4" t="s">
        <v>241</v>
      </c>
      <c r="IA423" s="4" t="s">
        <v>241</v>
      </c>
      <c r="IB423" s="4" t="s">
        <v>241</v>
      </c>
      <c r="IC423" s="4" t="s">
        <v>241</v>
      </c>
      <c r="ID423" s="4" t="s">
        <v>241</v>
      </c>
      <c r="IE423" s="4" t="s">
        <v>241</v>
      </c>
      <c r="IF423" s="4" t="s">
        <v>241</v>
      </c>
    </row>
    <row r="424" spans="1:240" x14ac:dyDescent="0.4">
      <c r="A424" s="4">
        <v>2</v>
      </c>
      <c r="B424" s="4" t="s">
        <v>239</v>
      </c>
      <c r="C424" s="4">
        <v>455</v>
      </c>
      <c r="D424" s="4">
        <v>1</v>
      </c>
      <c r="E424" s="4">
        <v>3</v>
      </c>
      <c r="F424" s="4" t="s">
        <v>326</v>
      </c>
      <c r="G424" s="4" t="s">
        <v>241</v>
      </c>
      <c r="H424" s="4" t="s">
        <v>241</v>
      </c>
      <c r="I424" s="4" t="s">
        <v>932</v>
      </c>
      <c r="J424" s="4" t="s">
        <v>653</v>
      </c>
      <c r="K424" s="4" t="s">
        <v>256</v>
      </c>
      <c r="L424" s="4" t="s">
        <v>241</v>
      </c>
      <c r="M424" s="5" t="s">
        <v>934</v>
      </c>
      <c r="N424" s="4" t="s">
        <v>2747</v>
      </c>
      <c r="O424" s="6">
        <f>0</f>
        <v>0</v>
      </c>
      <c r="P424" s="4" t="s">
        <v>276</v>
      </c>
      <c r="Q424" s="6">
        <f>23386926</f>
        <v>23386926</v>
      </c>
      <c r="R424" s="6">
        <f>27644120</f>
        <v>27644120</v>
      </c>
      <c r="S424" s="5" t="s">
        <v>1104</v>
      </c>
      <c r="T424" s="4" t="s">
        <v>322</v>
      </c>
      <c r="U424" s="4" t="s">
        <v>277</v>
      </c>
      <c r="V424" s="6">
        <f>2128597</f>
        <v>2128597</v>
      </c>
      <c r="W424" s="6">
        <f>4257194</f>
        <v>4257194</v>
      </c>
      <c r="X424" s="4" t="s">
        <v>243</v>
      </c>
      <c r="Y424" s="4" t="s">
        <v>244</v>
      </c>
      <c r="Z424" s="4" t="s">
        <v>241</v>
      </c>
      <c r="AA424" s="4" t="s">
        <v>241</v>
      </c>
      <c r="AD424" s="4" t="s">
        <v>241</v>
      </c>
      <c r="AE424" s="5" t="s">
        <v>241</v>
      </c>
      <c r="AF424" s="5" t="s">
        <v>241</v>
      </c>
      <c r="AH424" s="5" t="s">
        <v>241</v>
      </c>
      <c r="AI424" s="5" t="s">
        <v>249</v>
      </c>
      <c r="AJ424" s="4" t="s">
        <v>251</v>
      </c>
      <c r="AK424" s="4" t="s">
        <v>252</v>
      </c>
      <c r="AQ424" s="4" t="s">
        <v>241</v>
      </c>
      <c r="AR424" s="4" t="s">
        <v>241</v>
      </c>
      <c r="AS424" s="4" t="s">
        <v>241</v>
      </c>
      <c r="AT424" s="5" t="s">
        <v>241</v>
      </c>
      <c r="AU424" s="5" t="s">
        <v>241</v>
      </c>
      <c r="AV424" s="5" t="s">
        <v>241</v>
      </c>
      <c r="AY424" s="4" t="s">
        <v>286</v>
      </c>
      <c r="AZ424" s="4" t="s">
        <v>286</v>
      </c>
      <c r="BA424" s="4" t="s">
        <v>254</v>
      </c>
      <c r="BB424" s="4" t="s">
        <v>287</v>
      </c>
      <c r="BC424" s="4" t="s">
        <v>255</v>
      </c>
      <c r="BD424" s="4" t="s">
        <v>241</v>
      </c>
      <c r="BE424" s="4" t="s">
        <v>257</v>
      </c>
      <c r="BF424" s="4" t="s">
        <v>241</v>
      </c>
      <c r="BJ424" s="4" t="s">
        <v>288</v>
      </c>
      <c r="BK424" s="5" t="s">
        <v>289</v>
      </c>
      <c r="BL424" s="4" t="s">
        <v>290</v>
      </c>
      <c r="BM424" s="4" t="s">
        <v>290</v>
      </c>
      <c r="BN424" s="4" t="s">
        <v>241</v>
      </c>
      <c r="BP424" s="6">
        <f>-2128597</f>
        <v>-2128597</v>
      </c>
      <c r="BQ424" s="4" t="s">
        <v>263</v>
      </c>
      <c r="BR424" s="4" t="s">
        <v>264</v>
      </c>
      <c r="BS424" s="4" t="s">
        <v>241</v>
      </c>
      <c r="BT424" s="4" t="s">
        <v>241</v>
      </c>
      <c r="BU424" s="4" t="s">
        <v>241</v>
      </c>
      <c r="BV424" s="4" t="s">
        <v>241</v>
      </c>
      <c r="CE424" s="4" t="s">
        <v>264</v>
      </c>
      <c r="CF424" s="4" t="s">
        <v>241</v>
      </c>
      <c r="CG424" s="4" t="s">
        <v>241</v>
      </c>
      <c r="CK424" s="4" t="s">
        <v>291</v>
      </c>
      <c r="CL424" s="4" t="s">
        <v>266</v>
      </c>
      <c r="CM424" s="4" t="s">
        <v>241</v>
      </c>
      <c r="CO424" s="4" t="s">
        <v>331</v>
      </c>
      <c r="CP424" s="5" t="s">
        <v>268</v>
      </c>
      <c r="CQ424" s="4" t="s">
        <v>269</v>
      </c>
      <c r="CR424" s="4" t="s">
        <v>270</v>
      </c>
      <c r="CS424" s="4" t="s">
        <v>293</v>
      </c>
      <c r="CT424" s="4" t="s">
        <v>241</v>
      </c>
      <c r="CU424" s="4">
        <v>7.6999999999999999E-2</v>
      </c>
      <c r="CV424" s="4" t="s">
        <v>271</v>
      </c>
      <c r="CW424" s="4" t="s">
        <v>415</v>
      </c>
      <c r="CX424" s="4" t="s">
        <v>428</v>
      </c>
      <c r="CY424" s="6">
        <f>0</f>
        <v>0</v>
      </c>
      <c r="CZ424" s="6">
        <f>27644120</f>
        <v>27644120</v>
      </c>
      <c r="DA424" s="6">
        <f>23386926</f>
        <v>23386926</v>
      </c>
      <c r="DC424" s="4" t="s">
        <v>241</v>
      </c>
      <c r="DD424" s="4" t="s">
        <v>241</v>
      </c>
      <c r="DF424" s="4" t="s">
        <v>241</v>
      </c>
      <c r="DG424" s="6">
        <f>0</f>
        <v>0</v>
      </c>
      <c r="DI424" s="4" t="s">
        <v>241</v>
      </c>
      <c r="DJ424" s="4" t="s">
        <v>241</v>
      </c>
      <c r="DK424" s="4" t="s">
        <v>241</v>
      </c>
      <c r="DL424" s="4" t="s">
        <v>241</v>
      </c>
      <c r="DM424" s="4" t="s">
        <v>278</v>
      </c>
      <c r="DN424" s="4" t="s">
        <v>278</v>
      </c>
      <c r="DO424" s="6" t="s">
        <v>241</v>
      </c>
      <c r="DP424" s="4" t="s">
        <v>241</v>
      </c>
      <c r="DQ424" s="4" t="s">
        <v>241</v>
      </c>
      <c r="DR424" s="4" t="s">
        <v>241</v>
      </c>
      <c r="DS424" s="4" t="s">
        <v>241</v>
      </c>
      <c r="DV424" s="4" t="s">
        <v>935</v>
      </c>
      <c r="DW424" s="4" t="s">
        <v>341</v>
      </c>
      <c r="GN424" s="4" t="s">
        <v>2822</v>
      </c>
      <c r="HO424" s="4" t="s">
        <v>297</v>
      </c>
      <c r="HR424" s="4" t="s">
        <v>278</v>
      </c>
      <c r="HS424" s="4" t="s">
        <v>278</v>
      </c>
      <c r="HT424" s="4" t="s">
        <v>241</v>
      </c>
      <c r="HU424" s="4" t="s">
        <v>241</v>
      </c>
      <c r="HV424" s="4" t="s">
        <v>241</v>
      </c>
      <c r="HW424" s="4" t="s">
        <v>241</v>
      </c>
      <c r="HX424" s="4" t="s">
        <v>241</v>
      </c>
      <c r="HY424" s="4" t="s">
        <v>241</v>
      </c>
      <c r="HZ424" s="4" t="s">
        <v>241</v>
      </c>
      <c r="IA424" s="4" t="s">
        <v>241</v>
      </c>
      <c r="IB424" s="4" t="s">
        <v>241</v>
      </c>
      <c r="IC424" s="4" t="s">
        <v>241</v>
      </c>
      <c r="ID424" s="4" t="s">
        <v>241</v>
      </c>
      <c r="IE424" s="4" t="s">
        <v>241</v>
      </c>
      <c r="IF424" s="4" t="s">
        <v>241</v>
      </c>
    </row>
    <row r="425" spans="1:240" x14ac:dyDescent="0.4">
      <c r="A425" s="4">
        <v>2</v>
      </c>
      <c r="B425" s="4" t="s">
        <v>239</v>
      </c>
      <c r="C425" s="4">
        <v>456</v>
      </c>
      <c r="D425" s="4">
        <v>1</v>
      </c>
      <c r="E425" s="4">
        <v>3</v>
      </c>
      <c r="F425" s="4" t="s">
        <v>240</v>
      </c>
      <c r="G425" s="4" t="s">
        <v>241</v>
      </c>
      <c r="H425" s="4" t="s">
        <v>241</v>
      </c>
      <c r="I425" s="4" t="s">
        <v>939</v>
      </c>
      <c r="J425" s="4" t="s">
        <v>653</v>
      </c>
      <c r="K425" s="4" t="s">
        <v>256</v>
      </c>
      <c r="L425" s="4" t="s">
        <v>651</v>
      </c>
      <c r="M425" s="5" t="s">
        <v>709</v>
      </c>
      <c r="N425" s="4" t="s">
        <v>651</v>
      </c>
      <c r="O425" s="6">
        <f>3027</f>
        <v>3027</v>
      </c>
      <c r="P425" s="4" t="s">
        <v>276</v>
      </c>
      <c r="Q425" s="6">
        <f>436039350</f>
        <v>436039350</v>
      </c>
      <c r="R425" s="6">
        <f>650805000</f>
        <v>650805000</v>
      </c>
      <c r="S425" s="5" t="s">
        <v>345</v>
      </c>
      <c r="T425" s="4" t="s">
        <v>668</v>
      </c>
      <c r="U425" s="4" t="s">
        <v>349</v>
      </c>
      <c r="V425" s="6">
        <f>14317710</f>
        <v>14317710</v>
      </c>
      <c r="W425" s="6">
        <f>214765650</f>
        <v>214765650</v>
      </c>
      <c r="X425" s="4" t="s">
        <v>243</v>
      </c>
      <c r="Y425" s="4" t="s">
        <v>244</v>
      </c>
      <c r="Z425" s="4" t="s">
        <v>465</v>
      </c>
      <c r="AA425" s="4" t="s">
        <v>241</v>
      </c>
      <c r="AD425" s="4" t="s">
        <v>241</v>
      </c>
      <c r="AE425" s="5" t="s">
        <v>241</v>
      </c>
      <c r="AF425" s="5" t="s">
        <v>241</v>
      </c>
      <c r="AH425" s="5" t="s">
        <v>241</v>
      </c>
      <c r="AI425" s="5" t="s">
        <v>249</v>
      </c>
      <c r="AJ425" s="4" t="s">
        <v>251</v>
      </c>
      <c r="AK425" s="4" t="s">
        <v>252</v>
      </c>
      <c r="AQ425" s="4" t="s">
        <v>241</v>
      </c>
      <c r="AR425" s="4" t="s">
        <v>241</v>
      </c>
      <c r="AS425" s="4" t="s">
        <v>241</v>
      </c>
      <c r="AT425" s="5" t="s">
        <v>241</v>
      </c>
      <c r="AU425" s="5" t="s">
        <v>241</v>
      </c>
      <c r="AV425" s="5" t="s">
        <v>241</v>
      </c>
      <c r="AY425" s="4" t="s">
        <v>286</v>
      </c>
      <c r="AZ425" s="4" t="s">
        <v>286</v>
      </c>
      <c r="BA425" s="4" t="s">
        <v>254</v>
      </c>
      <c r="BB425" s="4" t="s">
        <v>287</v>
      </c>
      <c r="BC425" s="4" t="s">
        <v>255</v>
      </c>
      <c r="BD425" s="4" t="s">
        <v>241</v>
      </c>
      <c r="BE425" s="4" t="s">
        <v>257</v>
      </c>
      <c r="BF425" s="4" t="s">
        <v>241</v>
      </c>
      <c r="BH425" s="4" t="s">
        <v>750</v>
      </c>
      <c r="BJ425" s="4" t="s">
        <v>288</v>
      </c>
      <c r="BK425" s="5" t="s">
        <v>289</v>
      </c>
      <c r="BL425" s="4" t="s">
        <v>290</v>
      </c>
      <c r="BM425" s="4" t="s">
        <v>290</v>
      </c>
      <c r="BN425" s="4" t="s">
        <v>241</v>
      </c>
      <c r="BO425" s="6">
        <f>0</f>
        <v>0</v>
      </c>
      <c r="BP425" s="6">
        <f>-14317710</f>
        <v>-14317710</v>
      </c>
      <c r="BQ425" s="4" t="s">
        <v>263</v>
      </c>
      <c r="BR425" s="4" t="s">
        <v>264</v>
      </c>
      <c r="BS425" s="4" t="s">
        <v>241</v>
      </c>
      <c r="BT425" s="4" t="s">
        <v>241</v>
      </c>
      <c r="BU425" s="4" t="s">
        <v>241</v>
      </c>
      <c r="BV425" s="4" t="s">
        <v>241</v>
      </c>
      <c r="CE425" s="4" t="s">
        <v>264</v>
      </c>
      <c r="CF425" s="4" t="s">
        <v>241</v>
      </c>
      <c r="CG425" s="4" t="s">
        <v>241</v>
      </c>
      <c r="CK425" s="4" t="s">
        <v>291</v>
      </c>
      <c r="CL425" s="4" t="s">
        <v>266</v>
      </c>
      <c r="CM425" s="4" t="s">
        <v>241</v>
      </c>
      <c r="CO425" s="4" t="s">
        <v>346</v>
      </c>
      <c r="CP425" s="5" t="s">
        <v>268</v>
      </c>
      <c r="CQ425" s="4" t="s">
        <v>269</v>
      </c>
      <c r="CR425" s="4" t="s">
        <v>270</v>
      </c>
      <c r="CS425" s="4" t="s">
        <v>293</v>
      </c>
      <c r="CT425" s="4" t="s">
        <v>241</v>
      </c>
      <c r="CU425" s="4">
        <v>2.1999999999999999E-2</v>
      </c>
      <c r="CV425" s="4" t="s">
        <v>271</v>
      </c>
      <c r="CW425" s="4" t="s">
        <v>655</v>
      </c>
      <c r="CX425" s="4" t="s">
        <v>295</v>
      </c>
      <c r="CY425" s="6">
        <f>0</f>
        <v>0</v>
      </c>
      <c r="CZ425" s="6">
        <f>650805000</f>
        <v>650805000</v>
      </c>
      <c r="DA425" s="6">
        <f>436039350</f>
        <v>436039350</v>
      </c>
      <c r="DC425" s="4" t="s">
        <v>241</v>
      </c>
      <c r="DD425" s="4" t="s">
        <v>241</v>
      </c>
      <c r="DF425" s="4" t="s">
        <v>241</v>
      </c>
      <c r="DG425" s="6">
        <f>0</f>
        <v>0</v>
      </c>
      <c r="DI425" s="4" t="s">
        <v>241</v>
      </c>
      <c r="DJ425" s="4" t="s">
        <v>241</v>
      </c>
      <c r="DK425" s="4" t="s">
        <v>241</v>
      </c>
      <c r="DL425" s="4" t="s">
        <v>241</v>
      </c>
      <c r="DM425" s="4" t="s">
        <v>323</v>
      </c>
      <c r="DN425" s="4" t="s">
        <v>278</v>
      </c>
      <c r="DO425" s="6">
        <f>3027</f>
        <v>3027</v>
      </c>
      <c r="DP425" s="4" t="s">
        <v>241</v>
      </c>
      <c r="DQ425" s="4" t="s">
        <v>241</v>
      </c>
      <c r="DR425" s="4" t="s">
        <v>241</v>
      </c>
      <c r="DS425" s="4" t="s">
        <v>241</v>
      </c>
      <c r="DV425" s="4" t="s">
        <v>940</v>
      </c>
      <c r="DW425" s="4" t="s">
        <v>277</v>
      </c>
      <c r="GN425" s="4" t="s">
        <v>941</v>
      </c>
      <c r="HO425" s="4" t="s">
        <v>300</v>
      </c>
      <c r="HR425" s="4" t="s">
        <v>278</v>
      </c>
      <c r="HS425" s="4" t="s">
        <v>278</v>
      </c>
      <c r="HT425" s="4" t="s">
        <v>241</v>
      </c>
      <c r="HU425" s="4" t="s">
        <v>241</v>
      </c>
      <c r="HV425" s="4" t="s">
        <v>241</v>
      </c>
      <c r="HW425" s="4" t="s">
        <v>241</v>
      </c>
      <c r="HX425" s="4" t="s">
        <v>241</v>
      </c>
      <c r="HY425" s="4" t="s">
        <v>241</v>
      </c>
      <c r="HZ425" s="4" t="s">
        <v>241</v>
      </c>
      <c r="IA425" s="4" t="s">
        <v>241</v>
      </c>
      <c r="IB425" s="4" t="s">
        <v>241</v>
      </c>
      <c r="IC425" s="4" t="s">
        <v>241</v>
      </c>
      <c r="ID425" s="4" t="s">
        <v>241</v>
      </c>
      <c r="IE425" s="4" t="s">
        <v>241</v>
      </c>
      <c r="IF425" s="4" t="s">
        <v>241</v>
      </c>
    </row>
    <row r="426" spans="1:240" x14ac:dyDescent="0.4">
      <c r="A426" s="4">
        <v>2</v>
      </c>
      <c r="B426" s="4" t="s">
        <v>239</v>
      </c>
      <c r="C426" s="4">
        <v>457</v>
      </c>
      <c r="D426" s="4">
        <v>1</v>
      </c>
      <c r="E426" s="4">
        <v>3</v>
      </c>
      <c r="F426" s="4" t="s">
        <v>240</v>
      </c>
      <c r="G426" s="4" t="s">
        <v>241</v>
      </c>
      <c r="H426" s="4" t="s">
        <v>241</v>
      </c>
      <c r="I426" s="4" t="s">
        <v>939</v>
      </c>
      <c r="J426" s="4" t="s">
        <v>653</v>
      </c>
      <c r="K426" s="4" t="s">
        <v>256</v>
      </c>
      <c r="L426" s="4" t="s">
        <v>951</v>
      </c>
      <c r="M426" s="5" t="s">
        <v>709</v>
      </c>
      <c r="N426" s="4" t="s">
        <v>651</v>
      </c>
      <c r="O426" s="6">
        <f>63</f>
        <v>63</v>
      </c>
      <c r="P426" s="4" t="s">
        <v>276</v>
      </c>
      <c r="Q426" s="6">
        <f>6340950</f>
        <v>6340950</v>
      </c>
      <c r="R426" s="6">
        <f>11529000</f>
        <v>11529000</v>
      </c>
      <c r="S426" s="5" t="s">
        <v>345</v>
      </c>
      <c r="T426" s="4" t="s">
        <v>357</v>
      </c>
      <c r="U426" s="4" t="s">
        <v>349</v>
      </c>
      <c r="V426" s="6">
        <f>345870</f>
        <v>345870</v>
      </c>
      <c r="W426" s="6">
        <f>5188050</f>
        <v>5188050</v>
      </c>
      <c r="X426" s="4" t="s">
        <v>243</v>
      </c>
      <c r="Y426" s="4" t="s">
        <v>244</v>
      </c>
      <c r="Z426" s="4" t="s">
        <v>465</v>
      </c>
      <c r="AA426" s="4" t="s">
        <v>241</v>
      </c>
      <c r="AD426" s="4" t="s">
        <v>241</v>
      </c>
      <c r="AE426" s="5" t="s">
        <v>241</v>
      </c>
      <c r="AF426" s="5" t="s">
        <v>241</v>
      </c>
      <c r="AH426" s="5" t="s">
        <v>241</v>
      </c>
      <c r="AI426" s="5" t="s">
        <v>249</v>
      </c>
      <c r="AJ426" s="4" t="s">
        <v>251</v>
      </c>
      <c r="AK426" s="4" t="s">
        <v>252</v>
      </c>
      <c r="AQ426" s="4" t="s">
        <v>241</v>
      </c>
      <c r="AR426" s="4" t="s">
        <v>241</v>
      </c>
      <c r="AS426" s="4" t="s">
        <v>241</v>
      </c>
      <c r="AT426" s="5" t="s">
        <v>241</v>
      </c>
      <c r="AU426" s="5" t="s">
        <v>241</v>
      </c>
      <c r="AV426" s="5" t="s">
        <v>241</v>
      </c>
      <c r="AY426" s="4" t="s">
        <v>286</v>
      </c>
      <c r="AZ426" s="4" t="s">
        <v>286</v>
      </c>
      <c r="BA426" s="4" t="s">
        <v>254</v>
      </c>
      <c r="BB426" s="4" t="s">
        <v>287</v>
      </c>
      <c r="BC426" s="4" t="s">
        <v>255</v>
      </c>
      <c r="BD426" s="4" t="s">
        <v>241</v>
      </c>
      <c r="BE426" s="4" t="s">
        <v>257</v>
      </c>
      <c r="BF426" s="4" t="s">
        <v>241</v>
      </c>
      <c r="BJ426" s="4" t="s">
        <v>288</v>
      </c>
      <c r="BK426" s="5" t="s">
        <v>289</v>
      </c>
      <c r="BL426" s="4" t="s">
        <v>290</v>
      </c>
      <c r="BM426" s="4" t="s">
        <v>290</v>
      </c>
      <c r="BN426" s="4" t="s">
        <v>241</v>
      </c>
      <c r="BO426" s="6">
        <f>0</f>
        <v>0</v>
      </c>
      <c r="BP426" s="6">
        <f>-345870</f>
        <v>-345870</v>
      </c>
      <c r="BQ426" s="4" t="s">
        <v>263</v>
      </c>
      <c r="BR426" s="4" t="s">
        <v>264</v>
      </c>
      <c r="BS426" s="4" t="s">
        <v>241</v>
      </c>
      <c r="BT426" s="4" t="s">
        <v>241</v>
      </c>
      <c r="BU426" s="4" t="s">
        <v>241</v>
      </c>
      <c r="BV426" s="4" t="s">
        <v>241</v>
      </c>
      <c r="CE426" s="4" t="s">
        <v>264</v>
      </c>
      <c r="CF426" s="4" t="s">
        <v>241</v>
      </c>
      <c r="CG426" s="4" t="s">
        <v>241</v>
      </c>
      <c r="CK426" s="4" t="s">
        <v>291</v>
      </c>
      <c r="CL426" s="4" t="s">
        <v>266</v>
      </c>
      <c r="CM426" s="4" t="s">
        <v>241</v>
      </c>
      <c r="CO426" s="4" t="s">
        <v>346</v>
      </c>
      <c r="CP426" s="5" t="s">
        <v>268</v>
      </c>
      <c r="CQ426" s="4" t="s">
        <v>269</v>
      </c>
      <c r="CR426" s="4" t="s">
        <v>270</v>
      </c>
      <c r="CS426" s="4" t="s">
        <v>293</v>
      </c>
      <c r="CT426" s="4" t="s">
        <v>241</v>
      </c>
      <c r="CU426" s="4">
        <v>0.03</v>
      </c>
      <c r="CV426" s="4" t="s">
        <v>271</v>
      </c>
      <c r="CW426" s="4" t="s">
        <v>655</v>
      </c>
      <c r="CX426" s="4" t="s">
        <v>487</v>
      </c>
      <c r="CY426" s="6">
        <f>0</f>
        <v>0</v>
      </c>
      <c r="CZ426" s="6">
        <f>11529000</f>
        <v>11529000</v>
      </c>
      <c r="DA426" s="6">
        <f>6340950</f>
        <v>6340950</v>
      </c>
      <c r="DC426" s="4" t="s">
        <v>241</v>
      </c>
      <c r="DD426" s="4" t="s">
        <v>241</v>
      </c>
      <c r="DF426" s="4" t="s">
        <v>241</v>
      </c>
      <c r="DG426" s="6">
        <f>0</f>
        <v>0</v>
      </c>
      <c r="DI426" s="4" t="s">
        <v>241</v>
      </c>
      <c r="DJ426" s="4" t="s">
        <v>241</v>
      </c>
      <c r="DK426" s="4" t="s">
        <v>241</v>
      </c>
      <c r="DL426" s="4" t="s">
        <v>241</v>
      </c>
      <c r="DM426" s="4" t="s">
        <v>297</v>
      </c>
      <c r="DN426" s="4" t="s">
        <v>278</v>
      </c>
      <c r="DO426" s="6">
        <f>63</f>
        <v>63</v>
      </c>
      <c r="DP426" s="4" t="s">
        <v>241</v>
      </c>
      <c r="DQ426" s="4" t="s">
        <v>241</v>
      </c>
      <c r="DR426" s="4" t="s">
        <v>241</v>
      </c>
      <c r="DS426" s="4" t="s">
        <v>241</v>
      </c>
      <c r="DV426" s="4" t="s">
        <v>940</v>
      </c>
      <c r="DW426" s="4" t="s">
        <v>323</v>
      </c>
      <c r="GN426" s="4" t="s">
        <v>952</v>
      </c>
      <c r="HO426" s="4" t="s">
        <v>300</v>
      </c>
      <c r="HR426" s="4" t="s">
        <v>278</v>
      </c>
      <c r="HS426" s="4" t="s">
        <v>278</v>
      </c>
      <c r="HT426" s="4" t="s">
        <v>241</v>
      </c>
      <c r="HU426" s="4" t="s">
        <v>241</v>
      </c>
      <c r="HV426" s="4" t="s">
        <v>241</v>
      </c>
      <c r="HW426" s="4" t="s">
        <v>241</v>
      </c>
      <c r="HX426" s="4" t="s">
        <v>241</v>
      </c>
      <c r="HY426" s="4" t="s">
        <v>241</v>
      </c>
      <c r="HZ426" s="4" t="s">
        <v>241</v>
      </c>
      <c r="IA426" s="4" t="s">
        <v>241</v>
      </c>
      <c r="IB426" s="4" t="s">
        <v>241</v>
      </c>
      <c r="IC426" s="4" t="s">
        <v>241</v>
      </c>
      <c r="ID426" s="4" t="s">
        <v>241</v>
      </c>
      <c r="IE426" s="4" t="s">
        <v>241</v>
      </c>
      <c r="IF426" s="4" t="s">
        <v>241</v>
      </c>
    </row>
    <row r="427" spans="1:240" x14ac:dyDescent="0.4">
      <c r="A427" s="4">
        <v>2</v>
      </c>
      <c r="B427" s="4" t="s">
        <v>239</v>
      </c>
      <c r="C427" s="4">
        <v>458</v>
      </c>
      <c r="D427" s="4">
        <v>1</v>
      </c>
      <c r="E427" s="4">
        <v>3</v>
      </c>
      <c r="F427" s="4" t="s">
        <v>240</v>
      </c>
      <c r="G427" s="4" t="s">
        <v>241</v>
      </c>
      <c r="H427" s="4" t="s">
        <v>241</v>
      </c>
      <c r="I427" s="4" t="s">
        <v>939</v>
      </c>
      <c r="J427" s="4" t="s">
        <v>653</v>
      </c>
      <c r="K427" s="4" t="s">
        <v>256</v>
      </c>
      <c r="L427" s="4" t="s">
        <v>1003</v>
      </c>
      <c r="M427" s="5" t="s">
        <v>709</v>
      </c>
      <c r="N427" s="4" t="s">
        <v>1003</v>
      </c>
      <c r="O427" s="6">
        <f>556</f>
        <v>556</v>
      </c>
      <c r="P427" s="4" t="s">
        <v>276</v>
      </c>
      <c r="Q427" s="6">
        <f>55961400</f>
        <v>55961400</v>
      </c>
      <c r="R427" s="6">
        <f>101748000</f>
        <v>101748000</v>
      </c>
      <c r="S427" s="5" t="s">
        <v>345</v>
      </c>
      <c r="T427" s="4" t="s">
        <v>357</v>
      </c>
      <c r="U427" s="4" t="s">
        <v>349</v>
      </c>
      <c r="V427" s="6">
        <f>3052440</f>
        <v>3052440</v>
      </c>
      <c r="W427" s="6">
        <f>45786600</f>
        <v>45786600</v>
      </c>
      <c r="X427" s="4" t="s">
        <v>243</v>
      </c>
      <c r="Y427" s="4" t="s">
        <v>244</v>
      </c>
      <c r="Z427" s="4" t="s">
        <v>465</v>
      </c>
      <c r="AA427" s="4" t="s">
        <v>241</v>
      </c>
      <c r="AD427" s="4" t="s">
        <v>241</v>
      </c>
      <c r="AE427" s="5" t="s">
        <v>241</v>
      </c>
      <c r="AF427" s="5" t="s">
        <v>241</v>
      </c>
      <c r="AH427" s="5" t="s">
        <v>241</v>
      </c>
      <c r="AI427" s="5" t="s">
        <v>249</v>
      </c>
      <c r="AJ427" s="4" t="s">
        <v>251</v>
      </c>
      <c r="AK427" s="4" t="s">
        <v>252</v>
      </c>
      <c r="AQ427" s="4" t="s">
        <v>241</v>
      </c>
      <c r="AR427" s="4" t="s">
        <v>241</v>
      </c>
      <c r="AS427" s="4" t="s">
        <v>241</v>
      </c>
      <c r="AT427" s="5" t="s">
        <v>241</v>
      </c>
      <c r="AU427" s="5" t="s">
        <v>241</v>
      </c>
      <c r="AV427" s="5" t="s">
        <v>241</v>
      </c>
      <c r="AY427" s="4" t="s">
        <v>286</v>
      </c>
      <c r="AZ427" s="4" t="s">
        <v>286</v>
      </c>
      <c r="BA427" s="4" t="s">
        <v>254</v>
      </c>
      <c r="BB427" s="4" t="s">
        <v>287</v>
      </c>
      <c r="BC427" s="4" t="s">
        <v>255</v>
      </c>
      <c r="BD427" s="4" t="s">
        <v>241</v>
      </c>
      <c r="BE427" s="4" t="s">
        <v>257</v>
      </c>
      <c r="BF427" s="4" t="s">
        <v>241</v>
      </c>
      <c r="BJ427" s="4" t="s">
        <v>288</v>
      </c>
      <c r="BK427" s="5" t="s">
        <v>289</v>
      </c>
      <c r="BL427" s="4" t="s">
        <v>290</v>
      </c>
      <c r="BM427" s="4" t="s">
        <v>290</v>
      </c>
      <c r="BN427" s="4" t="s">
        <v>241</v>
      </c>
      <c r="BO427" s="6">
        <f>0</f>
        <v>0</v>
      </c>
      <c r="BP427" s="6">
        <f>-3052440</f>
        <v>-3052440</v>
      </c>
      <c r="BQ427" s="4" t="s">
        <v>263</v>
      </c>
      <c r="BR427" s="4" t="s">
        <v>264</v>
      </c>
      <c r="BS427" s="4" t="s">
        <v>241</v>
      </c>
      <c r="BT427" s="4" t="s">
        <v>241</v>
      </c>
      <c r="BU427" s="4" t="s">
        <v>241</v>
      </c>
      <c r="BV427" s="4" t="s">
        <v>241</v>
      </c>
      <c r="CE427" s="4" t="s">
        <v>264</v>
      </c>
      <c r="CF427" s="4" t="s">
        <v>241</v>
      </c>
      <c r="CG427" s="4" t="s">
        <v>241</v>
      </c>
      <c r="CK427" s="4" t="s">
        <v>291</v>
      </c>
      <c r="CL427" s="4" t="s">
        <v>266</v>
      </c>
      <c r="CM427" s="4" t="s">
        <v>241</v>
      </c>
      <c r="CO427" s="4" t="s">
        <v>346</v>
      </c>
      <c r="CP427" s="5" t="s">
        <v>268</v>
      </c>
      <c r="CQ427" s="4" t="s">
        <v>269</v>
      </c>
      <c r="CR427" s="4" t="s">
        <v>270</v>
      </c>
      <c r="CS427" s="4" t="s">
        <v>293</v>
      </c>
      <c r="CT427" s="4" t="s">
        <v>241</v>
      </c>
      <c r="CU427" s="4">
        <v>0.03</v>
      </c>
      <c r="CV427" s="4" t="s">
        <v>271</v>
      </c>
      <c r="CW427" s="4" t="s">
        <v>1006</v>
      </c>
      <c r="CX427" s="4" t="s">
        <v>487</v>
      </c>
      <c r="CY427" s="6">
        <f>0</f>
        <v>0</v>
      </c>
      <c r="CZ427" s="6">
        <f>101748000</f>
        <v>101748000</v>
      </c>
      <c r="DA427" s="6">
        <f>55961400</f>
        <v>55961400</v>
      </c>
      <c r="DC427" s="4" t="s">
        <v>241</v>
      </c>
      <c r="DD427" s="4" t="s">
        <v>241</v>
      </c>
      <c r="DF427" s="4" t="s">
        <v>241</v>
      </c>
      <c r="DG427" s="6">
        <f>0</f>
        <v>0</v>
      </c>
      <c r="DI427" s="4" t="s">
        <v>241</v>
      </c>
      <c r="DJ427" s="4" t="s">
        <v>241</v>
      </c>
      <c r="DK427" s="4" t="s">
        <v>241</v>
      </c>
      <c r="DL427" s="4" t="s">
        <v>241</v>
      </c>
      <c r="DM427" s="4" t="s">
        <v>277</v>
      </c>
      <c r="DN427" s="4" t="s">
        <v>278</v>
      </c>
      <c r="DO427" s="6">
        <f>556</f>
        <v>556</v>
      </c>
      <c r="DP427" s="4" t="s">
        <v>241</v>
      </c>
      <c r="DQ427" s="4" t="s">
        <v>241</v>
      </c>
      <c r="DR427" s="4" t="s">
        <v>241</v>
      </c>
      <c r="DS427" s="4" t="s">
        <v>241</v>
      </c>
      <c r="DV427" s="4" t="s">
        <v>940</v>
      </c>
      <c r="DW427" s="4" t="s">
        <v>297</v>
      </c>
      <c r="GN427" s="4" t="s">
        <v>1151</v>
      </c>
      <c r="HO427" s="4" t="s">
        <v>300</v>
      </c>
      <c r="HR427" s="4" t="s">
        <v>278</v>
      </c>
      <c r="HS427" s="4" t="s">
        <v>278</v>
      </c>
      <c r="HT427" s="4" t="s">
        <v>241</v>
      </c>
      <c r="HU427" s="4" t="s">
        <v>241</v>
      </c>
      <c r="HV427" s="4" t="s">
        <v>241</v>
      </c>
      <c r="HW427" s="4" t="s">
        <v>241</v>
      </c>
      <c r="HX427" s="4" t="s">
        <v>241</v>
      </c>
      <c r="HY427" s="4" t="s">
        <v>241</v>
      </c>
      <c r="HZ427" s="4" t="s">
        <v>241</v>
      </c>
      <c r="IA427" s="4" t="s">
        <v>241</v>
      </c>
      <c r="IB427" s="4" t="s">
        <v>241</v>
      </c>
      <c r="IC427" s="4" t="s">
        <v>241</v>
      </c>
      <c r="ID427" s="4" t="s">
        <v>241</v>
      </c>
      <c r="IE427" s="4" t="s">
        <v>241</v>
      </c>
      <c r="IF427" s="4" t="s">
        <v>241</v>
      </c>
    </row>
    <row r="428" spans="1:240" x14ac:dyDescent="0.4">
      <c r="A428" s="4">
        <v>2</v>
      </c>
      <c r="B428" s="4" t="s">
        <v>239</v>
      </c>
      <c r="C428" s="4">
        <v>459</v>
      </c>
      <c r="D428" s="4">
        <v>1</v>
      </c>
      <c r="E428" s="4">
        <v>3</v>
      </c>
      <c r="F428" s="4" t="s">
        <v>240</v>
      </c>
      <c r="G428" s="4" t="s">
        <v>241</v>
      </c>
      <c r="H428" s="4" t="s">
        <v>241</v>
      </c>
      <c r="I428" s="4" t="s">
        <v>939</v>
      </c>
      <c r="J428" s="4" t="s">
        <v>653</v>
      </c>
      <c r="K428" s="4" t="s">
        <v>256</v>
      </c>
      <c r="L428" s="4" t="s">
        <v>2529</v>
      </c>
      <c r="M428" s="5" t="s">
        <v>709</v>
      </c>
      <c r="N428" s="4" t="s">
        <v>2529</v>
      </c>
      <c r="O428" s="6">
        <f>133</f>
        <v>133</v>
      </c>
      <c r="P428" s="4" t="s">
        <v>276</v>
      </c>
      <c r="Q428" s="6">
        <f>1</f>
        <v>1</v>
      </c>
      <c r="R428" s="6">
        <f>21679000</f>
        <v>21679000</v>
      </c>
      <c r="S428" s="5" t="s">
        <v>345</v>
      </c>
      <c r="T428" s="4" t="s">
        <v>348</v>
      </c>
      <c r="U428" s="4" t="s">
        <v>349</v>
      </c>
      <c r="V428" s="6">
        <f>1344097</f>
        <v>1344097</v>
      </c>
      <c r="W428" s="6">
        <f>21678999</f>
        <v>21678999</v>
      </c>
      <c r="X428" s="4" t="s">
        <v>243</v>
      </c>
      <c r="Y428" s="4" t="s">
        <v>244</v>
      </c>
      <c r="Z428" s="4" t="s">
        <v>465</v>
      </c>
      <c r="AA428" s="4" t="s">
        <v>241</v>
      </c>
      <c r="AD428" s="4" t="s">
        <v>241</v>
      </c>
      <c r="AE428" s="5" t="s">
        <v>241</v>
      </c>
      <c r="AF428" s="5" t="s">
        <v>241</v>
      </c>
      <c r="AH428" s="5" t="s">
        <v>241</v>
      </c>
      <c r="AI428" s="5" t="s">
        <v>249</v>
      </c>
      <c r="AJ428" s="4" t="s">
        <v>251</v>
      </c>
      <c r="AK428" s="4" t="s">
        <v>252</v>
      </c>
      <c r="AQ428" s="4" t="s">
        <v>241</v>
      </c>
      <c r="AR428" s="4" t="s">
        <v>241</v>
      </c>
      <c r="AS428" s="4" t="s">
        <v>241</v>
      </c>
      <c r="AT428" s="5" t="s">
        <v>241</v>
      </c>
      <c r="AU428" s="5" t="s">
        <v>241</v>
      </c>
      <c r="AV428" s="5" t="s">
        <v>241</v>
      </c>
      <c r="AY428" s="4" t="s">
        <v>286</v>
      </c>
      <c r="AZ428" s="4" t="s">
        <v>286</v>
      </c>
      <c r="BA428" s="4" t="s">
        <v>254</v>
      </c>
      <c r="BB428" s="4" t="s">
        <v>287</v>
      </c>
      <c r="BC428" s="4" t="s">
        <v>255</v>
      </c>
      <c r="BD428" s="4" t="s">
        <v>241</v>
      </c>
      <c r="BE428" s="4" t="s">
        <v>257</v>
      </c>
      <c r="BF428" s="4" t="s">
        <v>241</v>
      </c>
      <c r="BJ428" s="4" t="s">
        <v>288</v>
      </c>
      <c r="BK428" s="5" t="s">
        <v>289</v>
      </c>
      <c r="BL428" s="4" t="s">
        <v>290</v>
      </c>
      <c r="BM428" s="4" t="s">
        <v>290</v>
      </c>
      <c r="BN428" s="4" t="s">
        <v>241</v>
      </c>
      <c r="BO428" s="6">
        <f>0</f>
        <v>0</v>
      </c>
      <c r="BP428" s="6">
        <f>-1344097</f>
        <v>-1344097</v>
      </c>
      <c r="BQ428" s="4" t="s">
        <v>263</v>
      </c>
      <c r="BR428" s="4" t="s">
        <v>264</v>
      </c>
      <c r="BS428" s="4" t="s">
        <v>241</v>
      </c>
      <c r="BT428" s="4" t="s">
        <v>241</v>
      </c>
      <c r="BU428" s="4" t="s">
        <v>241</v>
      </c>
      <c r="BV428" s="4" t="s">
        <v>241</v>
      </c>
      <c r="CE428" s="4" t="s">
        <v>264</v>
      </c>
      <c r="CF428" s="4" t="s">
        <v>241</v>
      </c>
      <c r="CG428" s="4" t="s">
        <v>241</v>
      </c>
      <c r="CK428" s="4" t="s">
        <v>291</v>
      </c>
      <c r="CL428" s="4" t="s">
        <v>266</v>
      </c>
      <c r="CM428" s="4" t="s">
        <v>241</v>
      </c>
      <c r="CO428" s="4" t="s">
        <v>346</v>
      </c>
      <c r="CP428" s="5" t="s">
        <v>268</v>
      </c>
      <c r="CQ428" s="4" t="s">
        <v>269</v>
      </c>
      <c r="CR428" s="4" t="s">
        <v>270</v>
      </c>
      <c r="CS428" s="4" t="s">
        <v>293</v>
      </c>
      <c r="CT428" s="4" t="s">
        <v>241</v>
      </c>
      <c r="CU428" s="4">
        <v>6.7000000000000004E-2</v>
      </c>
      <c r="CV428" s="4" t="s">
        <v>271</v>
      </c>
      <c r="CW428" s="4" t="s">
        <v>415</v>
      </c>
      <c r="CX428" s="4" t="s">
        <v>416</v>
      </c>
      <c r="CY428" s="6">
        <f>0</f>
        <v>0</v>
      </c>
      <c r="CZ428" s="6">
        <f>21679000</f>
        <v>21679000</v>
      </c>
      <c r="DA428" s="6">
        <f>1</f>
        <v>1</v>
      </c>
      <c r="DC428" s="4" t="s">
        <v>241</v>
      </c>
      <c r="DD428" s="4" t="s">
        <v>241</v>
      </c>
      <c r="DF428" s="4" t="s">
        <v>241</v>
      </c>
      <c r="DG428" s="6">
        <f>0</f>
        <v>0</v>
      </c>
      <c r="DI428" s="4" t="s">
        <v>241</v>
      </c>
      <c r="DJ428" s="4" t="s">
        <v>241</v>
      </c>
      <c r="DK428" s="4" t="s">
        <v>241</v>
      </c>
      <c r="DL428" s="4" t="s">
        <v>241</v>
      </c>
      <c r="DM428" s="4" t="s">
        <v>277</v>
      </c>
      <c r="DN428" s="4" t="s">
        <v>278</v>
      </c>
      <c r="DO428" s="6">
        <f>133</f>
        <v>133</v>
      </c>
      <c r="DP428" s="4" t="s">
        <v>241</v>
      </c>
      <c r="DQ428" s="4" t="s">
        <v>241</v>
      </c>
      <c r="DR428" s="4" t="s">
        <v>241</v>
      </c>
      <c r="DS428" s="4" t="s">
        <v>241</v>
      </c>
      <c r="DV428" s="4" t="s">
        <v>940</v>
      </c>
      <c r="DW428" s="4" t="s">
        <v>336</v>
      </c>
      <c r="GN428" s="4" t="s">
        <v>2821</v>
      </c>
      <c r="HO428" s="4" t="s">
        <v>300</v>
      </c>
      <c r="HR428" s="4" t="s">
        <v>278</v>
      </c>
      <c r="HS428" s="4" t="s">
        <v>278</v>
      </c>
      <c r="HT428" s="4" t="s">
        <v>241</v>
      </c>
      <c r="HU428" s="4" t="s">
        <v>241</v>
      </c>
      <c r="HV428" s="4" t="s">
        <v>241</v>
      </c>
      <c r="HW428" s="4" t="s">
        <v>241</v>
      </c>
      <c r="HX428" s="4" t="s">
        <v>241</v>
      </c>
      <c r="HY428" s="4" t="s">
        <v>241</v>
      </c>
      <c r="HZ428" s="4" t="s">
        <v>241</v>
      </c>
      <c r="IA428" s="4" t="s">
        <v>241</v>
      </c>
      <c r="IB428" s="4" t="s">
        <v>241</v>
      </c>
      <c r="IC428" s="4" t="s">
        <v>241</v>
      </c>
      <c r="ID428" s="4" t="s">
        <v>241</v>
      </c>
      <c r="IE428" s="4" t="s">
        <v>241</v>
      </c>
      <c r="IF428" s="4" t="s">
        <v>241</v>
      </c>
    </row>
    <row r="429" spans="1:240" x14ac:dyDescent="0.4">
      <c r="A429" s="4">
        <v>2</v>
      </c>
      <c r="B429" s="4" t="s">
        <v>239</v>
      </c>
      <c r="C429" s="4">
        <v>460</v>
      </c>
      <c r="D429" s="4">
        <v>1</v>
      </c>
      <c r="E429" s="4">
        <v>3</v>
      </c>
      <c r="F429" s="4" t="s">
        <v>326</v>
      </c>
      <c r="G429" s="4" t="s">
        <v>241</v>
      </c>
      <c r="H429" s="4" t="s">
        <v>241</v>
      </c>
      <c r="I429" s="4" t="s">
        <v>939</v>
      </c>
      <c r="J429" s="4" t="s">
        <v>653</v>
      </c>
      <c r="K429" s="4" t="s">
        <v>256</v>
      </c>
      <c r="L429" s="4" t="s">
        <v>241</v>
      </c>
      <c r="M429" s="5" t="s">
        <v>709</v>
      </c>
      <c r="N429" s="4" t="s">
        <v>2747</v>
      </c>
      <c r="O429" s="6">
        <f>0</f>
        <v>0</v>
      </c>
      <c r="P429" s="4" t="s">
        <v>276</v>
      </c>
      <c r="Q429" s="6">
        <f>48190734</f>
        <v>48190734</v>
      </c>
      <c r="R429" s="6">
        <f>56963042</f>
        <v>56963042</v>
      </c>
      <c r="S429" s="5" t="s">
        <v>1104</v>
      </c>
      <c r="T429" s="4" t="s">
        <v>322</v>
      </c>
      <c r="U429" s="4" t="s">
        <v>277</v>
      </c>
      <c r="V429" s="6">
        <f>4386154</f>
        <v>4386154</v>
      </c>
      <c r="W429" s="6">
        <f>8772308</f>
        <v>8772308</v>
      </c>
      <c r="X429" s="4" t="s">
        <v>243</v>
      </c>
      <c r="Y429" s="4" t="s">
        <v>244</v>
      </c>
      <c r="Z429" s="4" t="s">
        <v>241</v>
      </c>
      <c r="AA429" s="4" t="s">
        <v>241</v>
      </c>
      <c r="AD429" s="4" t="s">
        <v>241</v>
      </c>
      <c r="AE429" s="5" t="s">
        <v>241</v>
      </c>
      <c r="AF429" s="5" t="s">
        <v>241</v>
      </c>
      <c r="AH429" s="5" t="s">
        <v>241</v>
      </c>
      <c r="AI429" s="5" t="s">
        <v>249</v>
      </c>
      <c r="AJ429" s="4" t="s">
        <v>251</v>
      </c>
      <c r="AK429" s="4" t="s">
        <v>252</v>
      </c>
      <c r="AQ429" s="4" t="s">
        <v>241</v>
      </c>
      <c r="AR429" s="4" t="s">
        <v>241</v>
      </c>
      <c r="AS429" s="4" t="s">
        <v>241</v>
      </c>
      <c r="AT429" s="5" t="s">
        <v>241</v>
      </c>
      <c r="AU429" s="5" t="s">
        <v>241</v>
      </c>
      <c r="AV429" s="5" t="s">
        <v>241</v>
      </c>
      <c r="AY429" s="4" t="s">
        <v>286</v>
      </c>
      <c r="AZ429" s="4" t="s">
        <v>286</v>
      </c>
      <c r="BA429" s="4" t="s">
        <v>254</v>
      </c>
      <c r="BB429" s="4" t="s">
        <v>287</v>
      </c>
      <c r="BC429" s="4" t="s">
        <v>255</v>
      </c>
      <c r="BD429" s="4" t="s">
        <v>241</v>
      </c>
      <c r="BE429" s="4" t="s">
        <v>257</v>
      </c>
      <c r="BF429" s="4" t="s">
        <v>241</v>
      </c>
      <c r="BJ429" s="4" t="s">
        <v>288</v>
      </c>
      <c r="BK429" s="5" t="s">
        <v>289</v>
      </c>
      <c r="BL429" s="4" t="s">
        <v>290</v>
      </c>
      <c r="BM429" s="4" t="s">
        <v>290</v>
      </c>
      <c r="BN429" s="4" t="s">
        <v>241</v>
      </c>
      <c r="BP429" s="6">
        <f>-4386154</f>
        <v>-4386154</v>
      </c>
      <c r="BQ429" s="4" t="s">
        <v>263</v>
      </c>
      <c r="BR429" s="4" t="s">
        <v>264</v>
      </c>
      <c r="BS429" s="4" t="s">
        <v>241</v>
      </c>
      <c r="BT429" s="4" t="s">
        <v>241</v>
      </c>
      <c r="BU429" s="4" t="s">
        <v>241</v>
      </c>
      <c r="BV429" s="4" t="s">
        <v>241</v>
      </c>
      <c r="CE429" s="4" t="s">
        <v>264</v>
      </c>
      <c r="CF429" s="4" t="s">
        <v>241</v>
      </c>
      <c r="CG429" s="4" t="s">
        <v>241</v>
      </c>
      <c r="CK429" s="4" t="s">
        <v>291</v>
      </c>
      <c r="CL429" s="4" t="s">
        <v>266</v>
      </c>
      <c r="CM429" s="4" t="s">
        <v>241</v>
      </c>
      <c r="CO429" s="4" t="s">
        <v>331</v>
      </c>
      <c r="CP429" s="5" t="s">
        <v>268</v>
      </c>
      <c r="CQ429" s="4" t="s">
        <v>269</v>
      </c>
      <c r="CR429" s="4" t="s">
        <v>270</v>
      </c>
      <c r="CS429" s="4" t="s">
        <v>293</v>
      </c>
      <c r="CT429" s="4" t="s">
        <v>241</v>
      </c>
      <c r="CU429" s="4">
        <v>7.6999999999999999E-2</v>
      </c>
      <c r="CV429" s="4" t="s">
        <v>271</v>
      </c>
      <c r="CW429" s="4" t="s">
        <v>415</v>
      </c>
      <c r="CX429" s="4" t="s">
        <v>428</v>
      </c>
      <c r="CY429" s="6">
        <f>0</f>
        <v>0</v>
      </c>
      <c r="CZ429" s="6">
        <f>56963042</f>
        <v>56963042</v>
      </c>
      <c r="DA429" s="6">
        <f>48190734</f>
        <v>48190734</v>
      </c>
      <c r="DC429" s="4" t="s">
        <v>241</v>
      </c>
      <c r="DD429" s="4" t="s">
        <v>241</v>
      </c>
      <c r="DF429" s="4" t="s">
        <v>241</v>
      </c>
      <c r="DG429" s="6">
        <f>0</f>
        <v>0</v>
      </c>
      <c r="DI429" s="4" t="s">
        <v>241</v>
      </c>
      <c r="DJ429" s="4" t="s">
        <v>241</v>
      </c>
      <c r="DK429" s="4" t="s">
        <v>241</v>
      </c>
      <c r="DL429" s="4" t="s">
        <v>241</v>
      </c>
      <c r="DM429" s="4" t="s">
        <v>278</v>
      </c>
      <c r="DN429" s="4" t="s">
        <v>278</v>
      </c>
      <c r="DO429" s="6" t="s">
        <v>241</v>
      </c>
      <c r="DP429" s="4" t="s">
        <v>241</v>
      </c>
      <c r="DQ429" s="4" t="s">
        <v>241</v>
      </c>
      <c r="DR429" s="4" t="s">
        <v>241</v>
      </c>
      <c r="DS429" s="4" t="s">
        <v>241</v>
      </c>
      <c r="DV429" s="4" t="s">
        <v>940</v>
      </c>
      <c r="DW429" s="4" t="s">
        <v>351</v>
      </c>
      <c r="GN429" s="4" t="s">
        <v>2820</v>
      </c>
      <c r="HO429" s="4" t="s">
        <v>297</v>
      </c>
      <c r="HR429" s="4" t="s">
        <v>278</v>
      </c>
      <c r="HS429" s="4" t="s">
        <v>278</v>
      </c>
      <c r="HT429" s="4" t="s">
        <v>241</v>
      </c>
      <c r="HU429" s="4" t="s">
        <v>241</v>
      </c>
      <c r="HV429" s="4" t="s">
        <v>241</v>
      </c>
      <c r="HW429" s="4" t="s">
        <v>241</v>
      </c>
      <c r="HX429" s="4" t="s">
        <v>241</v>
      </c>
      <c r="HY429" s="4" t="s">
        <v>241</v>
      </c>
      <c r="HZ429" s="4" t="s">
        <v>241</v>
      </c>
      <c r="IA429" s="4" t="s">
        <v>241</v>
      </c>
      <c r="IB429" s="4" t="s">
        <v>241</v>
      </c>
      <c r="IC429" s="4" t="s">
        <v>241</v>
      </c>
      <c r="ID429" s="4" t="s">
        <v>241</v>
      </c>
      <c r="IE429" s="4" t="s">
        <v>241</v>
      </c>
      <c r="IF429" s="4" t="s">
        <v>241</v>
      </c>
    </row>
    <row r="430" spans="1:240" x14ac:dyDescent="0.4">
      <c r="A430" s="4">
        <v>2</v>
      </c>
      <c r="B430" s="4" t="s">
        <v>239</v>
      </c>
      <c r="C430" s="4">
        <v>461</v>
      </c>
      <c r="D430" s="4">
        <v>1</v>
      </c>
      <c r="E430" s="4">
        <v>1</v>
      </c>
      <c r="F430" s="4" t="s">
        <v>240</v>
      </c>
      <c r="G430" s="4" t="s">
        <v>241</v>
      </c>
      <c r="H430" s="4" t="s">
        <v>241</v>
      </c>
      <c r="I430" s="4" t="s">
        <v>953</v>
      </c>
      <c r="J430" s="4" t="s">
        <v>653</v>
      </c>
      <c r="K430" s="4" t="s">
        <v>256</v>
      </c>
      <c r="L430" s="4" t="s">
        <v>2529</v>
      </c>
      <c r="M430" s="5" t="s">
        <v>955</v>
      </c>
      <c r="N430" s="4" t="s">
        <v>2529</v>
      </c>
      <c r="O430" s="6">
        <f>43</f>
        <v>43</v>
      </c>
      <c r="P430" s="4" t="s">
        <v>276</v>
      </c>
      <c r="Q430" s="6">
        <f>1</f>
        <v>1</v>
      </c>
      <c r="R430" s="6">
        <f>2580000</f>
        <v>2580000</v>
      </c>
      <c r="S430" s="5" t="s">
        <v>954</v>
      </c>
      <c r="T430" s="4" t="s">
        <v>348</v>
      </c>
      <c r="U430" s="4" t="s">
        <v>777</v>
      </c>
      <c r="W430" s="6">
        <f>2579999</f>
        <v>2579999</v>
      </c>
      <c r="X430" s="4" t="s">
        <v>243</v>
      </c>
      <c r="Y430" s="4" t="s">
        <v>244</v>
      </c>
      <c r="Z430" s="4" t="s">
        <v>465</v>
      </c>
      <c r="AA430" s="4" t="s">
        <v>241</v>
      </c>
      <c r="AD430" s="4" t="s">
        <v>241</v>
      </c>
      <c r="AF430" s="5" t="s">
        <v>241</v>
      </c>
      <c r="AI430" s="5" t="s">
        <v>249</v>
      </c>
      <c r="AJ430" s="4" t="s">
        <v>251</v>
      </c>
      <c r="AK430" s="4" t="s">
        <v>252</v>
      </c>
      <c r="BA430" s="4" t="s">
        <v>254</v>
      </c>
      <c r="BB430" s="4" t="s">
        <v>241</v>
      </c>
      <c r="BC430" s="4" t="s">
        <v>255</v>
      </c>
      <c r="BD430" s="4" t="s">
        <v>241</v>
      </c>
      <c r="BE430" s="4" t="s">
        <v>257</v>
      </c>
      <c r="BF430" s="4" t="s">
        <v>241</v>
      </c>
      <c r="BJ430" s="4" t="s">
        <v>377</v>
      </c>
      <c r="BK430" s="5" t="s">
        <v>378</v>
      </c>
      <c r="BL430" s="4" t="s">
        <v>261</v>
      </c>
      <c r="BM430" s="4" t="s">
        <v>262</v>
      </c>
      <c r="BN430" s="4" t="s">
        <v>241</v>
      </c>
      <c r="BO430" s="6">
        <f>0</f>
        <v>0</v>
      </c>
      <c r="BP430" s="6">
        <f>0</f>
        <v>0</v>
      </c>
      <c r="BQ430" s="4" t="s">
        <v>263</v>
      </c>
      <c r="BR430" s="4" t="s">
        <v>264</v>
      </c>
      <c r="CF430" s="4" t="s">
        <v>241</v>
      </c>
      <c r="CG430" s="4" t="s">
        <v>241</v>
      </c>
      <c r="CK430" s="4" t="s">
        <v>265</v>
      </c>
      <c r="CL430" s="4" t="s">
        <v>266</v>
      </c>
      <c r="CM430" s="4" t="s">
        <v>241</v>
      </c>
      <c r="CO430" s="4" t="s">
        <v>956</v>
      </c>
      <c r="CP430" s="5" t="s">
        <v>268</v>
      </c>
      <c r="CQ430" s="4" t="s">
        <v>269</v>
      </c>
      <c r="CR430" s="4" t="s">
        <v>270</v>
      </c>
      <c r="CS430" s="4" t="s">
        <v>241</v>
      </c>
      <c r="CT430" s="4" t="s">
        <v>241</v>
      </c>
      <c r="CU430" s="4">
        <v>0</v>
      </c>
      <c r="CV430" s="4" t="s">
        <v>271</v>
      </c>
      <c r="CW430" s="4" t="s">
        <v>415</v>
      </c>
      <c r="CX430" s="4" t="s">
        <v>416</v>
      </c>
      <c r="CZ430" s="6">
        <f>2580000</f>
        <v>2580000</v>
      </c>
      <c r="DA430" s="6">
        <f>0</f>
        <v>0</v>
      </c>
      <c r="DC430" s="4" t="s">
        <v>241</v>
      </c>
      <c r="DD430" s="4" t="s">
        <v>241</v>
      </c>
      <c r="DF430" s="4" t="s">
        <v>241</v>
      </c>
      <c r="DI430" s="4" t="s">
        <v>241</v>
      </c>
      <c r="DJ430" s="4" t="s">
        <v>241</v>
      </c>
      <c r="DK430" s="4" t="s">
        <v>241</v>
      </c>
      <c r="DL430" s="4" t="s">
        <v>241</v>
      </c>
      <c r="DM430" s="4" t="s">
        <v>277</v>
      </c>
      <c r="DN430" s="4" t="s">
        <v>278</v>
      </c>
      <c r="DO430" s="6">
        <f>43</f>
        <v>43</v>
      </c>
      <c r="DP430" s="4" t="s">
        <v>241</v>
      </c>
      <c r="DQ430" s="4" t="s">
        <v>241</v>
      </c>
      <c r="DR430" s="4" t="s">
        <v>241</v>
      </c>
      <c r="DS430" s="4" t="s">
        <v>241</v>
      </c>
      <c r="DV430" s="4" t="s">
        <v>957</v>
      </c>
      <c r="DW430" s="4" t="s">
        <v>277</v>
      </c>
      <c r="HO430" s="4" t="s">
        <v>277</v>
      </c>
      <c r="HR430" s="4" t="s">
        <v>278</v>
      </c>
      <c r="HS430" s="4" t="s">
        <v>278</v>
      </c>
    </row>
    <row r="431" spans="1:240" x14ac:dyDescent="0.4">
      <c r="A431" s="4">
        <v>2</v>
      </c>
      <c r="B431" s="4" t="s">
        <v>239</v>
      </c>
      <c r="C431" s="4">
        <v>462</v>
      </c>
      <c r="D431" s="4">
        <v>1</v>
      </c>
      <c r="E431" s="4">
        <v>3</v>
      </c>
      <c r="F431" s="4" t="s">
        <v>240</v>
      </c>
      <c r="G431" s="4" t="s">
        <v>241</v>
      </c>
      <c r="H431" s="4" t="s">
        <v>241</v>
      </c>
      <c r="I431" s="4" t="s">
        <v>953</v>
      </c>
      <c r="J431" s="4" t="s">
        <v>653</v>
      </c>
      <c r="K431" s="4" t="s">
        <v>256</v>
      </c>
      <c r="L431" s="4" t="s">
        <v>651</v>
      </c>
      <c r="M431" s="5" t="s">
        <v>955</v>
      </c>
      <c r="N431" s="4" t="s">
        <v>651</v>
      </c>
      <c r="O431" s="6">
        <f>3517</f>
        <v>3517</v>
      </c>
      <c r="P431" s="4" t="s">
        <v>276</v>
      </c>
      <c r="Q431" s="6">
        <f>25638930</f>
        <v>25638930</v>
      </c>
      <c r="R431" s="6">
        <f>474795000</f>
        <v>474795000</v>
      </c>
      <c r="S431" s="5" t="s">
        <v>954</v>
      </c>
      <c r="T431" s="4" t="s">
        <v>668</v>
      </c>
      <c r="U431" s="4" t="s">
        <v>437</v>
      </c>
      <c r="V431" s="6">
        <f>10445490</f>
        <v>10445490</v>
      </c>
      <c r="W431" s="6">
        <f>449156070</f>
        <v>449156070</v>
      </c>
      <c r="X431" s="4" t="s">
        <v>243</v>
      </c>
      <c r="Y431" s="4" t="s">
        <v>244</v>
      </c>
      <c r="Z431" s="4" t="s">
        <v>465</v>
      </c>
      <c r="AA431" s="4" t="s">
        <v>241</v>
      </c>
      <c r="AD431" s="4" t="s">
        <v>241</v>
      </c>
      <c r="AE431" s="5" t="s">
        <v>241</v>
      </c>
      <c r="AF431" s="5" t="s">
        <v>241</v>
      </c>
      <c r="AH431" s="5" t="s">
        <v>241</v>
      </c>
      <c r="AI431" s="5" t="s">
        <v>249</v>
      </c>
      <c r="AJ431" s="4" t="s">
        <v>251</v>
      </c>
      <c r="AK431" s="4" t="s">
        <v>252</v>
      </c>
      <c r="AQ431" s="4" t="s">
        <v>241</v>
      </c>
      <c r="AR431" s="4" t="s">
        <v>241</v>
      </c>
      <c r="AS431" s="4" t="s">
        <v>241</v>
      </c>
      <c r="AT431" s="5" t="s">
        <v>241</v>
      </c>
      <c r="AU431" s="5" t="s">
        <v>241</v>
      </c>
      <c r="AV431" s="5" t="s">
        <v>241</v>
      </c>
      <c r="AY431" s="4" t="s">
        <v>286</v>
      </c>
      <c r="AZ431" s="4" t="s">
        <v>286</v>
      </c>
      <c r="BA431" s="4" t="s">
        <v>254</v>
      </c>
      <c r="BB431" s="4" t="s">
        <v>287</v>
      </c>
      <c r="BC431" s="4" t="s">
        <v>255</v>
      </c>
      <c r="BD431" s="4" t="s">
        <v>241</v>
      </c>
      <c r="BE431" s="4" t="s">
        <v>257</v>
      </c>
      <c r="BF431" s="4" t="s">
        <v>241</v>
      </c>
      <c r="BH431" s="4" t="s">
        <v>750</v>
      </c>
      <c r="BJ431" s="4" t="s">
        <v>288</v>
      </c>
      <c r="BK431" s="5" t="s">
        <v>289</v>
      </c>
      <c r="BL431" s="4" t="s">
        <v>290</v>
      </c>
      <c r="BM431" s="4" t="s">
        <v>290</v>
      </c>
      <c r="BN431" s="4" t="s">
        <v>241</v>
      </c>
      <c r="BO431" s="6">
        <f>0</f>
        <v>0</v>
      </c>
      <c r="BP431" s="6">
        <f>-10445490</f>
        <v>-10445490</v>
      </c>
      <c r="BQ431" s="4" t="s">
        <v>263</v>
      </c>
      <c r="BR431" s="4" t="s">
        <v>264</v>
      </c>
      <c r="BS431" s="4" t="s">
        <v>241</v>
      </c>
      <c r="BT431" s="4" t="s">
        <v>241</v>
      </c>
      <c r="BU431" s="4" t="s">
        <v>241</v>
      </c>
      <c r="BV431" s="4" t="s">
        <v>241</v>
      </c>
      <c r="CE431" s="4" t="s">
        <v>264</v>
      </c>
      <c r="CF431" s="4" t="s">
        <v>241</v>
      </c>
      <c r="CG431" s="4" t="s">
        <v>241</v>
      </c>
      <c r="CK431" s="4" t="s">
        <v>265</v>
      </c>
      <c r="CL431" s="4" t="s">
        <v>266</v>
      </c>
      <c r="CM431" s="4" t="s">
        <v>241</v>
      </c>
      <c r="CO431" s="4" t="s">
        <v>956</v>
      </c>
      <c r="CP431" s="5" t="s">
        <v>268</v>
      </c>
      <c r="CQ431" s="4" t="s">
        <v>269</v>
      </c>
      <c r="CR431" s="4" t="s">
        <v>270</v>
      </c>
      <c r="CS431" s="4" t="s">
        <v>293</v>
      </c>
      <c r="CT431" s="4" t="s">
        <v>241</v>
      </c>
      <c r="CU431" s="4">
        <v>2.1999999999999999E-2</v>
      </c>
      <c r="CV431" s="4" t="s">
        <v>271</v>
      </c>
      <c r="CW431" s="4" t="s">
        <v>655</v>
      </c>
      <c r="CX431" s="4" t="s">
        <v>295</v>
      </c>
      <c r="CY431" s="6">
        <f>0</f>
        <v>0</v>
      </c>
      <c r="CZ431" s="6">
        <f>474795000</f>
        <v>474795000</v>
      </c>
      <c r="DA431" s="6">
        <f>25638930</f>
        <v>25638930</v>
      </c>
      <c r="DC431" s="4" t="s">
        <v>241</v>
      </c>
      <c r="DD431" s="4" t="s">
        <v>241</v>
      </c>
      <c r="DF431" s="4" t="s">
        <v>241</v>
      </c>
      <c r="DG431" s="6">
        <f>0</f>
        <v>0</v>
      </c>
      <c r="DI431" s="4" t="s">
        <v>241</v>
      </c>
      <c r="DJ431" s="4" t="s">
        <v>241</v>
      </c>
      <c r="DK431" s="4" t="s">
        <v>241</v>
      </c>
      <c r="DL431" s="4" t="s">
        <v>241</v>
      </c>
      <c r="DM431" s="4" t="s">
        <v>297</v>
      </c>
      <c r="DN431" s="4" t="s">
        <v>278</v>
      </c>
      <c r="DO431" s="6">
        <f>3517</f>
        <v>3517</v>
      </c>
      <c r="DP431" s="4" t="s">
        <v>241</v>
      </c>
      <c r="DQ431" s="4" t="s">
        <v>241</v>
      </c>
      <c r="DR431" s="4" t="s">
        <v>241</v>
      </c>
      <c r="DS431" s="4" t="s">
        <v>241</v>
      </c>
      <c r="DV431" s="4" t="s">
        <v>957</v>
      </c>
      <c r="DW431" s="4" t="s">
        <v>323</v>
      </c>
      <c r="GN431" s="4" t="s">
        <v>958</v>
      </c>
      <c r="HO431" s="4" t="s">
        <v>300</v>
      </c>
      <c r="HR431" s="4" t="s">
        <v>278</v>
      </c>
      <c r="HS431" s="4" t="s">
        <v>278</v>
      </c>
      <c r="HT431" s="4" t="s">
        <v>241</v>
      </c>
      <c r="HU431" s="4" t="s">
        <v>241</v>
      </c>
      <c r="HV431" s="4" t="s">
        <v>241</v>
      </c>
      <c r="HW431" s="4" t="s">
        <v>241</v>
      </c>
      <c r="HX431" s="4" t="s">
        <v>241</v>
      </c>
      <c r="HY431" s="4" t="s">
        <v>241</v>
      </c>
      <c r="HZ431" s="4" t="s">
        <v>241</v>
      </c>
      <c r="IA431" s="4" t="s">
        <v>241</v>
      </c>
      <c r="IB431" s="4" t="s">
        <v>241</v>
      </c>
      <c r="IC431" s="4" t="s">
        <v>241</v>
      </c>
      <c r="ID431" s="4" t="s">
        <v>241</v>
      </c>
      <c r="IE431" s="4" t="s">
        <v>241</v>
      </c>
      <c r="IF431" s="4" t="s">
        <v>241</v>
      </c>
    </row>
    <row r="432" spans="1:240" x14ac:dyDescent="0.4">
      <c r="A432" s="4">
        <v>2</v>
      </c>
      <c r="B432" s="4" t="s">
        <v>239</v>
      </c>
      <c r="C432" s="4">
        <v>463</v>
      </c>
      <c r="D432" s="4">
        <v>1</v>
      </c>
      <c r="E432" s="4">
        <v>1</v>
      </c>
      <c r="F432" s="4" t="s">
        <v>240</v>
      </c>
      <c r="G432" s="4" t="s">
        <v>241</v>
      </c>
      <c r="H432" s="4" t="s">
        <v>241</v>
      </c>
      <c r="I432" s="4" t="s">
        <v>953</v>
      </c>
      <c r="J432" s="4" t="s">
        <v>653</v>
      </c>
      <c r="K432" s="4" t="s">
        <v>256</v>
      </c>
      <c r="L432" s="4" t="s">
        <v>1003</v>
      </c>
      <c r="M432" s="5" t="s">
        <v>955</v>
      </c>
      <c r="N432" s="4" t="s">
        <v>1003</v>
      </c>
      <c r="O432" s="6">
        <f>911</f>
        <v>911</v>
      </c>
      <c r="P432" s="4" t="s">
        <v>276</v>
      </c>
      <c r="Q432" s="6">
        <f>1</f>
        <v>1</v>
      </c>
      <c r="R432" s="6">
        <f>72880000</f>
        <v>72880000</v>
      </c>
      <c r="S432" s="5" t="s">
        <v>1068</v>
      </c>
      <c r="T432" s="4" t="s">
        <v>357</v>
      </c>
      <c r="U432" s="4" t="s">
        <v>437</v>
      </c>
      <c r="W432" s="6">
        <f>72879999</f>
        <v>72879999</v>
      </c>
      <c r="X432" s="4" t="s">
        <v>243</v>
      </c>
      <c r="Y432" s="4" t="s">
        <v>244</v>
      </c>
      <c r="Z432" s="4" t="s">
        <v>465</v>
      </c>
      <c r="AA432" s="4" t="s">
        <v>241</v>
      </c>
      <c r="AD432" s="4" t="s">
        <v>241</v>
      </c>
      <c r="AF432" s="5" t="s">
        <v>241</v>
      </c>
      <c r="AI432" s="5" t="s">
        <v>249</v>
      </c>
      <c r="AJ432" s="4" t="s">
        <v>251</v>
      </c>
      <c r="AK432" s="4" t="s">
        <v>252</v>
      </c>
      <c r="BA432" s="4" t="s">
        <v>254</v>
      </c>
      <c r="BB432" s="4" t="s">
        <v>241</v>
      </c>
      <c r="BC432" s="4" t="s">
        <v>255</v>
      </c>
      <c r="BD432" s="4" t="s">
        <v>241</v>
      </c>
      <c r="BE432" s="4" t="s">
        <v>257</v>
      </c>
      <c r="BF432" s="4" t="s">
        <v>241</v>
      </c>
      <c r="BJ432" s="4" t="s">
        <v>367</v>
      </c>
      <c r="BK432" s="5" t="s">
        <v>249</v>
      </c>
      <c r="BL432" s="4" t="s">
        <v>261</v>
      </c>
      <c r="BM432" s="4" t="s">
        <v>262</v>
      </c>
      <c r="BN432" s="4" t="s">
        <v>241</v>
      </c>
      <c r="BO432" s="6">
        <f>0</f>
        <v>0</v>
      </c>
      <c r="BP432" s="6">
        <f>0</f>
        <v>0</v>
      </c>
      <c r="BQ432" s="4" t="s">
        <v>263</v>
      </c>
      <c r="BR432" s="4" t="s">
        <v>264</v>
      </c>
      <c r="CF432" s="4" t="s">
        <v>241</v>
      </c>
      <c r="CG432" s="4" t="s">
        <v>241</v>
      </c>
      <c r="CK432" s="4" t="s">
        <v>265</v>
      </c>
      <c r="CL432" s="4" t="s">
        <v>266</v>
      </c>
      <c r="CM432" s="4" t="s">
        <v>241</v>
      </c>
      <c r="CO432" s="4" t="s">
        <v>436</v>
      </c>
      <c r="CP432" s="5" t="s">
        <v>268</v>
      </c>
      <c r="CQ432" s="4" t="s">
        <v>269</v>
      </c>
      <c r="CR432" s="4" t="s">
        <v>270</v>
      </c>
      <c r="CS432" s="4" t="s">
        <v>241</v>
      </c>
      <c r="CT432" s="4" t="s">
        <v>241</v>
      </c>
      <c r="CU432" s="4">
        <v>0</v>
      </c>
      <c r="CV432" s="4" t="s">
        <v>271</v>
      </c>
      <c r="CW432" s="4" t="s">
        <v>1006</v>
      </c>
      <c r="CX432" s="4" t="s">
        <v>487</v>
      </c>
      <c r="CZ432" s="6">
        <f>72880000</f>
        <v>72880000</v>
      </c>
      <c r="DA432" s="6">
        <f>0</f>
        <v>0</v>
      </c>
      <c r="DC432" s="4" t="s">
        <v>241</v>
      </c>
      <c r="DD432" s="4" t="s">
        <v>241</v>
      </c>
      <c r="DF432" s="4" t="s">
        <v>241</v>
      </c>
      <c r="DI432" s="4" t="s">
        <v>241</v>
      </c>
      <c r="DJ432" s="4" t="s">
        <v>241</v>
      </c>
      <c r="DK432" s="4" t="s">
        <v>241</v>
      </c>
      <c r="DL432" s="4" t="s">
        <v>241</v>
      </c>
      <c r="DM432" s="4" t="s">
        <v>323</v>
      </c>
      <c r="DN432" s="4" t="s">
        <v>278</v>
      </c>
      <c r="DO432" s="6">
        <f>911</f>
        <v>911</v>
      </c>
      <c r="DP432" s="4" t="s">
        <v>241</v>
      </c>
      <c r="DQ432" s="4" t="s">
        <v>241</v>
      </c>
      <c r="DR432" s="4" t="s">
        <v>241</v>
      </c>
      <c r="DS432" s="4" t="s">
        <v>241</v>
      </c>
      <c r="DV432" s="4" t="s">
        <v>957</v>
      </c>
      <c r="DW432" s="4" t="s">
        <v>297</v>
      </c>
      <c r="HO432" s="4" t="s">
        <v>277</v>
      </c>
      <c r="HR432" s="4" t="s">
        <v>278</v>
      </c>
      <c r="HS432" s="4" t="s">
        <v>278</v>
      </c>
    </row>
    <row r="433" spans="1:240" x14ac:dyDescent="0.4">
      <c r="A433" s="4">
        <v>2</v>
      </c>
      <c r="B433" s="4" t="s">
        <v>239</v>
      </c>
      <c r="C433" s="4">
        <v>464</v>
      </c>
      <c r="D433" s="4">
        <v>1</v>
      </c>
      <c r="E433" s="4">
        <v>1</v>
      </c>
      <c r="F433" s="4" t="s">
        <v>240</v>
      </c>
      <c r="G433" s="4" t="s">
        <v>241</v>
      </c>
      <c r="H433" s="4" t="s">
        <v>241</v>
      </c>
      <c r="I433" s="4" t="s">
        <v>953</v>
      </c>
      <c r="J433" s="4" t="s">
        <v>653</v>
      </c>
      <c r="K433" s="4" t="s">
        <v>256</v>
      </c>
      <c r="L433" s="4" t="s">
        <v>340</v>
      </c>
      <c r="M433" s="5" t="s">
        <v>955</v>
      </c>
      <c r="N433" s="4" t="s">
        <v>340</v>
      </c>
      <c r="O433" s="6">
        <f>25</f>
        <v>25</v>
      </c>
      <c r="P433" s="4" t="s">
        <v>276</v>
      </c>
      <c r="Q433" s="6">
        <f>1</f>
        <v>1</v>
      </c>
      <c r="R433" s="6">
        <f>2250000</f>
        <v>2250000</v>
      </c>
      <c r="S433" s="5" t="s">
        <v>1068</v>
      </c>
      <c r="T433" s="4" t="s">
        <v>348</v>
      </c>
      <c r="U433" s="4" t="s">
        <v>437</v>
      </c>
      <c r="W433" s="6">
        <f>2249999</f>
        <v>2249999</v>
      </c>
      <c r="X433" s="4" t="s">
        <v>243</v>
      </c>
      <c r="Y433" s="4" t="s">
        <v>244</v>
      </c>
      <c r="Z433" s="4" t="s">
        <v>465</v>
      </c>
      <c r="AA433" s="4" t="s">
        <v>241</v>
      </c>
      <c r="AD433" s="4" t="s">
        <v>241</v>
      </c>
      <c r="AF433" s="5" t="s">
        <v>241</v>
      </c>
      <c r="AI433" s="5" t="s">
        <v>249</v>
      </c>
      <c r="AJ433" s="4" t="s">
        <v>251</v>
      </c>
      <c r="AK433" s="4" t="s">
        <v>252</v>
      </c>
      <c r="BA433" s="4" t="s">
        <v>254</v>
      </c>
      <c r="BB433" s="4" t="s">
        <v>241</v>
      </c>
      <c r="BC433" s="4" t="s">
        <v>255</v>
      </c>
      <c r="BD433" s="4" t="s">
        <v>241</v>
      </c>
      <c r="BE433" s="4" t="s">
        <v>257</v>
      </c>
      <c r="BF433" s="4" t="s">
        <v>241</v>
      </c>
      <c r="BJ433" s="4" t="s">
        <v>374</v>
      </c>
      <c r="BK433" s="5" t="s">
        <v>375</v>
      </c>
      <c r="BL433" s="4" t="s">
        <v>261</v>
      </c>
      <c r="BM433" s="4" t="s">
        <v>262</v>
      </c>
      <c r="BN433" s="4" t="s">
        <v>241</v>
      </c>
      <c r="BO433" s="6">
        <f>0</f>
        <v>0</v>
      </c>
      <c r="BP433" s="6">
        <f>0</f>
        <v>0</v>
      </c>
      <c r="BQ433" s="4" t="s">
        <v>263</v>
      </c>
      <c r="BR433" s="4" t="s">
        <v>264</v>
      </c>
      <c r="CF433" s="4" t="s">
        <v>241</v>
      </c>
      <c r="CG433" s="4" t="s">
        <v>241</v>
      </c>
      <c r="CK433" s="4" t="s">
        <v>265</v>
      </c>
      <c r="CL433" s="4" t="s">
        <v>266</v>
      </c>
      <c r="CM433" s="4" t="s">
        <v>241</v>
      </c>
      <c r="CO433" s="4" t="s">
        <v>436</v>
      </c>
      <c r="CP433" s="5" t="s">
        <v>268</v>
      </c>
      <c r="CQ433" s="4" t="s">
        <v>269</v>
      </c>
      <c r="CR433" s="4" t="s">
        <v>270</v>
      </c>
      <c r="CS433" s="4" t="s">
        <v>241</v>
      </c>
      <c r="CT433" s="4" t="s">
        <v>241</v>
      </c>
      <c r="CU433" s="4">
        <v>0</v>
      </c>
      <c r="CV433" s="4" t="s">
        <v>271</v>
      </c>
      <c r="CW433" s="4" t="s">
        <v>332</v>
      </c>
      <c r="CX433" s="4" t="s">
        <v>347</v>
      </c>
      <c r="CZ433" s="6">
        <f>2250000</f>
        <v>2250000</v>
      </c>
      <c r="DA433" s="6">
        <f>0</f>
        <v>0</v>
      </c>
      <c r="DC433" s="4" t="s">
        <v>241</v>
      </c>
      <c r="DD433" s="4" t="s">
        <v>241</v>
      </c>
      <c r="DF433" s="4" t="s">
        <v>241</v>
      </c>
      <c r="DI433" s="4" t="s">
        <v>241</v>
      </c>
      <c r="DJ433" s="4" t="s">
        <v>241</v>
      </c>
      <c r="DK433" s="4" t="s">
        <v>241</v>
      </c>
      <c r="DL433" s="4" t="s">
        <v>241</v>
      </c>
      <c r="DM433" s="4" t="s">
        <v>277</v>
      </c>
      <c r="DN433" s="4" t="s">
        <v>278</v>
      </c>
      <c r="DO433" s="6">
        <f>25</f>
        <v>25</v>
      </c>
      <c r="DP433" s="4" t="s">
        <v>241</v>
      </c>
      <c r="DQ433" s="4" t="s">
        <v>241</v>
      </c>
      <c r="DR433" s="4" t="s">
        <v>241</v>
      </c>
      <c r="DS433" s="4" t="s">
        <v>241</v>
      </c>
      <c r="DV433" s="4" t="s">
        <v>957</v>
      </c>
      <c r="DW433" s="4" t="s">
        <v>336</v>
      </c>
      <c r="HO433" s="4" t="s">
        <v>277</v>
      </c>
      <c r="HR433" s="4" t="s">
        <v>278</v>
      </c>
      <c r="HS433" s="4" t="s">
        <v>278</v>
      </c>
    </row>
    <row r="434" spans="1:240" x14ac:dyDescent="0.4">
      <c r="A434" s="4">
        <v>2</v>
      </c>
      <c r="B434" s="4" t="s">
        <v>239</v>
      </c>
      <c r="C434" s="4">
        <v>465</v>
      </c>
      <c r="D434" s="4">
        <v>1</v>
      </c>
      <c r="E434" s="4">
        <v>1</v>
      </c>
      <c r="F434" s="4" t="s">
        <v>240</v>
      </c>
      <c r="G434" s="4" t="s">
        <v>241</v>
      </c>
      <c r="H434" s="4" t="s">
        <v>241</v>
      </c>
      <c r="I434" s="4" t="s">
        <v>953</v>
      </c>
      <c r="J434" s="4" t="s">
        <v>653</v>
      </c>
      <c r="K434" s="4" t="s">
        <v>256</v>
      </c>
      <c r="L434" s="4" t="s">
        <v>429</v>
      </c>
      <c r="M434" s="5" t="s">
        <v>955</v>
      </c>
      <c r="N434" s="4" t="s">
        <v>429</v>
      </c>
      <c r="O434" s="6">
        <f>29</f>
        <v>29</v>
      </c>
      <c r="P434" s="4" t="s">
        <v>276</v>
      </c>
      <c r="Q434" s="6">
        <f>1</f>
        <v>1</v>
      </c>
      <c r="R434" s="6">
        <f>1740000</f>
        <v>1740000</v>
      </c>
      <c r="S434" s="5" t="s">
        <v>3005</v>
      </c>
      <c r="T434" s="4" t="s">
        <v>348</v>
      </c>
      <c r="U434" s="4" t="s">
        <v>669</v>
      </c>
      <c r="W434" s="6">
        <f>1739999</f>
        <v>1739999</v>
      </c>
      <c r="X434" s="4" t="s">
        <v>243</v>
      </c>
      <c r="Y434" s="4" t="s">
        <v>244</v>
      </c>
      <c r="Z434" s="4" t="s">
        <v>465</v>
      </c>
      <c r="AA434" s="4" t="s">
        <v>241</v>
      </c>
      <c r="AD434" s="4" t="s">
        <v>241</v>
      </c>
      <c r="AF434" s="5" t="s">
        <v>241</v>
      </c>
      <c r="AI434" s="5" t="s">
        <v>249</v>
      </c>
      <c r="AJ434" s="4" t="s">
        <v>251</v>
      </c>
      <c r="AK434" s="4" t="s">
        <v>252</v>
      </c>
      <c r="BA434" s="4" t="s">
        <v>254</v>
      </c>
      <c r="BB434" s="4" t="s">
        <v>241</v>
      </c>
      <c r="BC434" s="4" t="s">
        <v>255</v>
      </c>
      <c r="BD434" s="4" t="s">
        <v>241</v>
      </c>
      <c r="BE434" s="4" t="s">
        <v>257</v>
      </c>
      <c r="BF434" s="4" t="s">
        <v>241</v>
      </c>
      <c r="BJ434" s="4" t="s">
        <v>377</v>
      </c>
      <c r="BK434" s="5" t="s">
        <v>378</v>
      </c>
      <c r="BL434" s="4" t="s">
        <v>261</v>
      </c>
      <c r="BM434" s="4" t="s">
        <v>262</v>
      </c>
      <c r="BN434" s="4" t="s">
        <v>241</v>
      </c>
      <c r="BO434" s="6">
        <f>0</f>
        <v>0</v>
      </c>
      <c r="BP434" s="6">
        <f>0</f>
        <v>0</v>
      </c>
      <c r="BQ434" s="4" t="s">
        <v>263</v>
      </c>
      <c r="BR434" s="4" t="s">
        <v>264</v>
      </c>
      <c r="CF434" s="4" t="s">
        <v>241</v>
      </c>
      <c r="CG434" s="4" t="s">
        <v>241</v>
      </c>
      <c r="CK434" s="4" t="s">
        <v>265</v>
      </c>
      <c r="CL434" s="4" t="s">
        <v>266</v>
      </c>
      <c r="CM434" s="4" t="s">
        <v>241</v>
      </c>
      <c r="CO434" s="4" t="s">
        <v>841</v>
      </c>
      <c r="CP434" s="5" t="s">
        <v>268</v>
      </c>
      <c r="CQ434" s="4" t="s">
        <v>269</v>
      </c>
      <c r="CR434" s="4" t="s">
        <v>270</v>
      </c>
      <c r="CS434" s="4" t="s">
        <v>241</v>
      </c>
      <c r="CT434" s="4" t="s">
        <v>241</v>
      </c>
      <c r="CU434" s="4">
        <v>0</v>
      </c>
      <c r="CV434" s="4" t="s">
        <v>271</v>
      </c>
      <c r="CW434" s="4" t="s">
        <v>272</v>
      </c>
      <c r="CX434" s="4" t="s">
        <v>347</v>
      </c>
      <c r="CZ434" s="6">
        <f>1740000</f>
        <v>1740000</v>
      </c>
      <c r="DA434" s="6">
        <f>0</f>
        <v>0</v>
      </c>
      <c r="DC434" s="4" t="s">
        <v>241</v>
      </c>
      <c r="DD434" s="4" t="s">
        <v>241</v>
      </c>
      <c r="DF434" s="4" t="s">
        <v>241</v>
      </c>
      <c r="DI434" s="4" t="s">
        <v>241</v>
      </c>
      <c r="DJ434" s="4" t="s">
        <v>241</v>
      </c>
      <c r="DK434" s="4" t="s">
        <v>241</v>
      </c>
      <c r="DL434" s="4" t="s">
        <v>241</v>
      </c>
      <c r="DM434" s="4" t="s">
        <v>277</v>
      </c>
      <c r="DN434" s="4" t="s">
        <v>278</v>
      </c>
      <c r="DO434" s="6">
        <f>29</f>
        <v>29</v>
      </c>
      <c r="DP434" s="4" t="s">
        <v>241</v>
      </c>
      <c r="DQ434" s="4" t="s">
        <v>241</v>
      </c>
      <c r="DR434" s="4" t="s">
        <v>241</v>
      </c>
      <c r="DS434" s="4" t="s">
        <v>241</v>
      </c>
      <c r="DV434" s="4" t="s">
        <v>957</v>
      </c>
      <c r="DW434" s="4" t="s">
        <v>351</v>
      </c>
      <c r="HO434" s="4" t="s">
        <v>277</v>
      </c>
      <c r="HR434" s="4" t="s">
        <v>278</v>
      </c>
      <c r="HS434" s="4" t="s">
        <v>278</v>
      </c>
    </row>
    <row r="435" spans="1:240" x14ac:dyDescent="0.4">
      <c r="A435" s="4">
        <v>2</v>
      </c>
      <c r="B435" s="4" t="s">
        <v>239</v>
      </c>
      <c r="C435" s="4">
        <v>466</v>
      </c>
      <c r="D435" s="4">
        <v>1</v>
      </c>
      <c r="E435" s="4">
        <v>1</v>
      </c>
      <c r="F435" s="4" t="s">
        <v>240</v>
      </c>
      <c r="G435" s="4" t="s">
        <v>241</v>
      </c>
      <c r="H435" s="4" t="s">
        <v>241</v>
      </c>
      <c r="I435" s="4" t="s">
        <v>953</v>
      </c>
      <c r="J435" s="4" t="s">
        <v>653</v>
      </c>
      <c r="K435" s="4" t="s">
        <v>256</v>
      </c>
      <c r="L435" s="4" t="s">
        <v>429</v>
      </c>
      <c r="M435" s="5" t="s">
        <v>955</v>
      </c>
      <c r="N435" s="4" t="s">
        <v>429</v>
      </c>
      <c r="O435" s="6">
        <f>41</f>
        <v>41</v>
      </c>
      <c r="P435" s="4" t="s">
        <v>276</v>
      </c>
      <c r="Q435" s="6">
        <f>1</f>
        <v>1</v>
      </c>
      <c r="R435" s="6">
        <f>3731000</f>
        <v>3731000</v>
      </c>
      <c r="S435" s="5" t="s">
        <v>1237</v>
      </c>
      <c r="T435" s="4" t="s">
        <v>348</v>
      </c>
      <c r="U435" s="4" t="s">
        <v>401</v>
      </c>
      <c r="W435" s="6">
        <f>3730999</f>
        <v>3730999</v>
      </c>
      <c r="X435" s="4" t="s">
        <v>243</v>
      </c>
      <c r="Y435" s="4" t="s">
        <v>244</v>
      </c>
      <c r="Z435" s="4" t="s">
        <v>465</v>
      </c>
      <c r="AA435" s="4" t="s">
        <v>241</v>
      </c>
      <c r="AD435" s="4" t="s">
        <v>241</v>
      </c>
      <c r="AF435" s="5" t="s">
        <v>241</v>
      </c>
      <c r="AI435" s="5" t="s">
        <v>249</v>
      </c>
      <c r="AJ435" s="4" t="s">
        <v>251</v>
      </c>
      <c r="AK435" s="4" t="s">
        <v>252</v>
      </c>
      <c r="BA435" s="4" t="s">
        <v>254</v>
      </c>
      <c r="BB435" s="4" t="s">
        <v>241</v>
      </c>
      <c r="BC435" s="4" t="s">
        <v>255</v>
      </c>
      <c r="BD435" s="4" t="s">
        <v>241</v>
      </c>
      <c r="BE435" s="4" t="s">
        <v>257</v>
      </c>
      <c r="BF435" s="4" t="s">
        <v>241</v>
      </c>
      <c r="BJ435" s="4" t="s">
        <v>259</v>
      </c>
      <c r="BK435" s="5" t="s">
        <v>260</v>
      </c>
      <c r="BL435" s="4" t="s">
        <v>261</v>
      </c>
      <c r="BM435" s="4" t="s">
        <v>262</v>
      </c>
      <c r="BN435" s="4" t="s">
        <v>241</v>
      </c>
      <c r="BO435" s="6">
        <f>0</f>
        <v>0</v>
      </c>
      <c r="BP435" s="6">
        <f>0</f>
        <v>0</v>
      </c>
      <c r="BQ435" s="4" t="s">
        <v>263</v>
      </c>
      <c r="BR435" s="4" t="s">
        <v>264</v>
      </c>
      <c r="CF435" s="4" t="s">
        <v>241</v>
      </c>
      <c r="CG435" s="4" t="s">
        <v>241</v>
      </c>
      <c r="CK435" s="4" t="s">
        <v>291</v>
      </c>
      <c r="CL435" s="4" t="s">
        <v>266</v>
      </c>
      <c r="CM435" s="4" t="s">
        <v>241</v>
      </c>
      <c r="CO435" s="4" t="s">
        <v>313</v>
      </c>
      <c r="CP435" s="5" t="s">
        <v>268</v>
      </c>
      <c r="CQ435" s="4" t="s">
        <v>269</v>
      </c>
      <c r="CR435" s="4" t="s">
        <v>270</v>
      </c>
      <c r="CS435" s="4" t="s">
        <v>241</v>
      </c>
      <c r="CT435" s="4" t="s">
        <v>241</v>
      </c>
      <c r="CU435" s="4">
        <v>0</v>
      </c>
      <c r="CV435" s="4" t="s">
        <v>271</v>
      </c>
      <c r="CW435" s="4" t="s">
        <v>272</v>
      </c>
      <c r="CX435" s="4" t="s">
        <v>347</v>
      </c>
      <c r="CZ435" s="6">
        <f>3731000</f>
        <v>3731000</v>
      </c>
      <c r="DA435" s="6">
        <f>0</f>
        <v>0</v>
      </c>
      <c r="DC435" s="4" t="s">
        <v>241</v>
      </c>
      <c r="DD435" s="4" t="s">
        <v>241</v>
      </c>
      <c r="DF435" s="4" t="s">
        <v>241</v>
      </c>
      <c r="DI435" s="4" t="s">
        <v>241</v>
      </c>
      <c r="DJ435" s="4" t="s">
        <v>241</v>
      </c>
      <c r="DK435" s="4" t="s">
        <v>241</v>
      </c>
      <c r="DL435" s="4" t="s">
        <v>241</v>
      </c>
      <c r="DM435" s="4" t="s">
        <v>277</v>
      </c>
      <c r="DN435" s="4" t="s">
        <v>278</v>
      </c>
      <c r="DO435" s="6">
        <f>41</f>
        <v>41</v>
      </c>
      <c r="DP435" s="4" t="s">
        <v>241</v>
      </c>
      <c r="DQ435" s="4" t="s">
        <v>241</v>
      </c>
      <c r="DR435" s="4" t="s">
        <v>241</v>
      </c>
      <c r="DS435" s="4" t="s">
        <v>241</v>
      </c>
      <c r="DV435" s="4" t="s">
        <v>957</v>
      </c>
      <c r="DW435" s="4" t="s">
        <v>300</v>
      </c>
      <c r="HO435" s="4" t="s">
        <v>277</v>
      </c>
      <c r="HR435" s="4" t="s">
        <v>278</v>
      </c>
      <c r="HS435" s="4" t="s">
        <v>278</v>
      </c>
    </row>
    <row r="436" spans="1:240" x14ac:dyDescent="0.4">
      <c r="A436" s="4">
        <v>2</v>
      </c>
      <c r="B436" s="4" t="s">
        <v>239</v>
      </c>
      <c r="C436" s="4">
        <v>467</v>
      </c>
      <c r="D436" s="4">
        <v>1</v>
      </c>
      <c r="E436" s="4">
        <v>3</v>
      </c>
      <c r="F436" s="4" t="s">
        <v>326</v>
      </c>
      <c r="G436" s="4" t="s">
        <v>241</v>
      </c>
      <c r="H436" s="4" t="s">
        <v>241</v>
      </c>
      <c r="I436" s="4" t="s">
        <v>953</v>
      </c>
      <c r="J436" s="4" t="s">
        <v>653</v>
      </c>
      <c r="K436" s="4" t="s">
        <v>256</v>
      </c>
      <c r="L436" s="4" t="s">
        <v>241</v>
      </c>
      <c r="M436" s="5" t="s">
        <v>955</v>
      </c>
      <c r="N436" s="4" t="s">
        <v>2747</v>
      </c>
      <c r="O436" s="6">
        <f>0</f>
        <v>0</v>
      </c>
      <c r="P436" s="4" t="s">
        <v>276</v>
      </c>
      <c r="Q436" s="6">
        <f>28132763</f>
        <v>28132763</v>
      </c>
      <c r="R436" s="6">
        <f>33253855</f>
        <v>33253855</v>
      </c>
      <c r="S436" s="5" t="s">
        <v>1104</v>
      </c>
      <c r="T436" s="4" t="s">
        <v>322</v>
      </c>
      <c r="U436" s="4" t="s">
        <v>277</v>
      </c>
      <c r="V436" s="6">
        <f>2560546</f>
        <v>2560546</v>
      </c>
      <c r="W436" s="6">
        <f>5121092</f>
        <v>5121092</v>
      </c>
      <c r="X436" s="4" t="s">
        <v>243</v>
      </c>
      <c r="Y436" s="4" t="s">
        <v>244</v>
      </c>
      <c r="Z436" s="4" t="s">
        <v>241</v>
      </c>
      <c r="AA436" s="4" t="s">
        <v>241</v>
      </c>
      <c r="AD436" s="4" t="s">
        <v>241</v>
      </c>
      <c r="AE436" s="5" t="s">
        <v>241</v>
      </c>
      <c r="AF436" s="5" t="s">
        <v>241</v>
      </c>
      <c r="AH436" s="5" t="s">
        <v>241</v>
      </c>
      <c r="AI436" s="5" t="s">
        <v>249</v>
      </c>
      <c r="AJ436" s="4" t="s">
        <v>251</v>
      </c>
      <c r="AK436" s="4" t="s">
        <v>252</v>
      </c>
      <c r="AQ436" s="4" t="s">
        <v>241</v>
      </c>
      <c r="AR436" s="4" t="s">
        <v>241</v>
      </c>
      <c r="AS436" s="4" t="s">
        <v>241</v>
      </c>
      <c r="AT436" s="5" t="s">
        <v>241</v>
      </c>
      <c r="AU436" s="5" t="s">
        <v>241</v>
      </c>
      <c r="AV436" s="5" t="s">
        <v>241</v>
      </c>
      <c r="AY436" s="4" t="s">
        <v>286</v>
      </c>
      <c r="AZ436" s="4" t="s">
        <v>286</v>
      </c>
      <c r="BA436" s="4" t="s">
        <v>254</v>
      </c>
      <c r="BB436" s="4" t="s">
        <v>287</v>
      </c>
      <c r="BC436" s="4" t="s">
        <v>255</v>
      </c>
      <c r="BD436" s="4" t="s">
        <v>241</v>
      </c>
      <c r="BE436" s="4" t="s">
        <v>257</v>
      </c>
      <c r="BF436" s="4" t="s">
        <v>241</v>
      </c>
      <c r="BJ436" s="4" t="s">
        <v>288</v>
      </c>
      <c r="BK436" s="5" t="s">
        <v>289</v>
      </c>
      <c r="BL436" s="4" t="s">
        <v>290</v>
      </c>
      <c r="BM436" s="4" t="s">
        <v>290</v>
      </c>
      <c r="BN436" s="4" t="s">
        <v>241</v>
      </c>
      <c r="BP436" s="6">
        <f>-2560546</f>
        <v>-2560546</v>
      </c>
      <c r="BQ436" s="4" t="s">
        <v>263</v>
      </c>
      <c r="BR436" s="4" t="s">
        <v>264</v>
      </c>
      <c r="BS436" s="4" t="s">
        <v>241</v>
      </c>
      <c r="BT436" s="4" t="s">
        <v>241</v>
      </c>
      <c r="BU436" s="4" t="s">
        <v>241</v>
      </c>
      <c r="BV436" s="4" t="s">
        <v>241</v>
      </c>
      <c r="CE436" s="4" t="s">
        <v>264</v>
      </c>
      <c r="CF436" s="4" t="s">
        <v>241</v>
      </c>
      <c r="CG436" s="4" t="s">
        <v>241</v>
      </c>
      <c r="CK436" s="4" t="s">
        <v>291</v>
      </c>
      <c r="CL436" s="4" t="s">
        <v>266</v>
      </c>
      <c r="CM436" s="4" t="s">
        <v>241</v>
      </c>
      <c r="CO436" s="4" t="s">
        <v>331</v>
      </c>
      <c r="CP436" s="5" t="s">
        <v>268</v>
      </c>
      <c r="CQ436" s="4" t="s">
        <v>269</v>
      </c>
      <c r="CR436" s="4" t="s">
        <v>270</v>
      </c>
      <c r="CS436" s="4" t="s">
        <v>293</v>
      </c>
      <c r="CT436" s="4" t="s">
        <v>241</v>
      </c>
      <c r="CU436" s="4">
        <v>7.6999999999999999E-2</v>
      </c>
      <c r="CV436" s="4" t="s">
        <v>271</v>
      </c>
      <c r="CW436" s="4" t="s">
        <v>415</v>
      </c>
      <c r="CX436" s="4" t="s">
        <v>428</v>
      </c>
      <c r="CY436" s="6">
        <f>0</f>
        <v>0</v>
      </c>
      <c r="CZ436" s="6">
        <f>33253855</f>
        <v>33253855</v>
      </c>
      <c r="DA436" s="6">
        <f>28132763</f>
        <v>28132763</v>
      </c>
      <c r="DC436" s="4" t="s">
        <v>241</v>
      </c>
      <c r="DD436" s="4" t="s">
        <v>241</v>
      </c>
      <c r="DF436" s="4" t="s">
        <v>241</v>
      </c>
      <c r="DG436" s="6">
        <f>0</f>
        <v>0</v>
      </c>
      <c r="DI436" s="4" t="s">
        <v>241</v>
      </c>
      <c r="DJ436" s="4" t="s">
        <v>241</v>
      </c>
      <c r="DK436" s="4" t="s">
        <v>241</v>
      </c>
      <c r="DL436" s="4" t="s">
        <v>241</v>
      </c>
      <c r="DM436" s="4" t="s">
        <v>278</v>
      </c>
      <c r="DN436" s="4" t="s">
        <v>278</v>
      </c>
      <c r="DO436" s="6" t="s">
        <v>241</v>
      </c>
      <c r="DP436" s="4" t="s">
        <v>241</v>
      </c>
      <c r="DQ436" s="4" t="s">
        <v>241</v>
      </c>
      <c r="DR436" s="4" t="s">
        <v>241</v>
      </c>
      <c r="DS436" s="4" t="s">
        <v>241</v>
      </c>
      <c r="DV436" s="4" t="s">
        <v>957</v>
      </c>
      <c r="DW436" s="4" t="s">
        <v>341</v>
      </c>
      <c r="GN436" s="4" t="s">
        <v>2819</v>
      </c>
      <c r="HO436" s="4" t="s">
        <v>297</v>
      </c>
      <c r="HR436" s="4" t="s">
        <v>278</v>
      </c>
      <c r="HS436" s="4" t="s">
        <v>278</v>
      </c>
      <c r="HT436" s="4" t="s">
        <v>241</v>
      </c>
      <c r="HU436" s="4" t="s">
        <v>241</v>
      </c>
      <c r="HV436" s="4" t="s">
        <v>241</v>
      </c>
      <c r="HW436" s="4" t="s">
        <v>241</v>
      </c>
      <c r="HX436" s="4" t="s">
        <v>241</v>
      </c>
      <c r="HY436" s="4" t="s">
        <v>241</v>
      </c>
      <c r="HZ436" s="4" t="s">
        <v>241</v>
      </c>
      <c r="IA436" s="4" t="s">
        <v>241</v>
      </c>
      <c r="IB436" s="4" t="s">
        <v>241</v>
      </c>
      <c r="IC436" s="4" t="s">
        <v>241</v>
      </c>
      <c r="ID436" s="4" t="s">
        <v>241</v>
      </c>
      <c r="IE436" s="4" t="s">
        <v>241</v>
      </c>
      <c r="IF436" s="4" t="s">
        <v>241</v>
      </c>
    </row>
    <row r="437" spans="1:240" x14ac:dyDescent="0.4">
      <c r="A437" s="4">
        <v>2</v>
      </c>
      <c r="B437" s="4" t="s">
        <v>239</v>
      </c>
      <c r="C437" s="4">
        <v>468</v>
      </c>
      <c r="D437" s="4">
        <v>1</v>
      </c>
      <c r="E437" s="4">
        <v>3</v>
      </c>
      <c r="F437" s="4" t="s">
        <v>326</v>
      </c>
      <c r="G437" s="4" t="s">
        <v>241</v>
      </c>
      <c r="H437" s="4" t="s">
        <v>241</v>
      </c>
      <c r="I437" s="4" t="s">
        <v>953</v>
      </c>
      <c r="J437" s="4" t="s">
        <v>653</v>
      </c>
      <c r="K437" s="4" t="s">
        <v>256</v>
      </c>
      <c r="L437" s="4" t="s">
        <v>241</v>
      </c>
      <c r="M437" s="5" t="s">
        <v>955</v>
      </c>
      <c r="N437" s="4" t="s">
        <v>2771</v>
      </c>
      <c r="O437" s="6">
        <f>0</f>
        <v>0</v>
      </c>
      <c r="P437" s="4" t="s">
        <v>276</v>
      </c>
      <c r="Q437" s="6">
        <f>1405518</f>
        <v>1405518</v>
      </c>
      <c r="R437" s="6">
        <f>1506450</f>
        <v>1506450</v>
      </c>
      <c r="S437" s="5" t="s">
        <v>2702</v>
      </c>
      <c r="T437" s="4" t="s">
        <v>348</v>
      </c>
      <c r="U437" s="4" t="s">
        <v>278</v>
      </c>
      <c r="V437" s="6">
        <f>100932</f>
        <v>100932</v>
      </c>
      <c r="W437" s="6">
        <f>100932</f>
        <v>100932</v>
      </c>
      <c r="X437" s="4" t="s">
        <v>243</v>
      </c>
      <c r="Y437" s="4" t="s">
        <v>244</v>
      </c>
      <c r="Z437" s="4" t="s">
        <v>241</v>
      </c>
      <c r="AA437" s="4" t="s">
        <v>241</v>
      </c>
      <c r="AD437" s="4" t="s">
        <v>241</v>
      </c>
      <c r="AE437" s="5" t="s">
        <v>241</v>
      </c>
      <c r="AF437" s="5" t="s">
        <v>241</v>
      </c>
      <c r="AH437" s="5" t="s">
        <v>241</v>
      </c>
      <c r="AI437" s="5" t="s">
        <v>249</v>
      </c>
      <c r="AJ437" s="4" t="s">
        <v>251</v>
      </c>
      <c r="AK437" s="4" t="s">
        <v>252</v>
      </c>
      <c r="AQ437" s="4" t="s">
        <v>241</v>
      </c>
      <c r="AR437" s="4" t="s">
        <v>241</v>
      </c>
      <c r="AS437" s="4" t="s">
        <v>241</v>
      </c>
      <c r="AT437" s="5" t="s">
        <v>241</v>
      </c>
      <c r="AU437" s="5" t="s">
        <v>241</v>
      </c>
      <c r="AV437" s="5" t="s">
        <v>241</v>
      </c>
      <c r="AY437" s="4" t="s">
        <v>286</v>
      </c>
      <c r="AZ437" s="4" t="s">
        <v>286</v>
      </c>
      <c r="BA437" s="4" t="s">
        <v>254</v>
      </c>
      <c r="BB437" s="4" t="s">
        <v>287</v>
      </c>
      <c r="BC437" s="4" t="s">
        <v>255</v>
      </c>
      <c r="BD437" s="4" t="s">
        <v>241</v>
      </c>
      <c r="BE437" s="4" t="s">
        <v>257</v>
      </c>
      <c r="BF437" s="4" t="s">
        <v>241</v>
      </c>
      <c r="BJ437" s="4" t="s">
        <v>288</v>
      </c>
      <c r="BK437" s="5" t="s">
        <v>289</v>
      </c>
      <c r="BL437" s="4" t="s">
        <v>290</v>
      </c>
      <c r="BM437" s="4" t="s">
        <v>290</v>
      </c>
      <c r="BN437" s="4" t="s">
        <v>241</v>
      </c>
      <c r="BP437" s="6">
        <f>-100932</f>
        <v>-100932</v>
      </c>
      <c r="BQ437" s="4" t="s">
        <v>263</v>
      </c>
      <c r="BR437" s="4" t="s">
        <v>264</v>
      </c>
      <c r="BS437" s="4" t="s">
        <v>241</v>
      </c>
      <c r="BT437" s="4" t="s">
        <v>241</v>
      </c>
      <c r="BU437" s="4" t="s">
        <v>241</v>
      </c>
      <c r="BV437" s="4" t="s">
        <v>241</v>
      </c>
      <c r="CE437" s="4" t="s">
        <v>264</v>
      </c>
      <c r="CF437" s="4" t="s">
        <v>241</v>
      </c>
      <c r="CG437" s="4" t="s">
        <v>241</v>
      </c>
      <c r="CK437" s="4" t="s">
        <v>291</v>
      </c>
      <c r="CL437" s="4" t="s">
        <v>266</v>
      </c>
      <c r="CM437" s="4" t="s">
        <v>241</v>
      </c>
      <c r="CO437" s="4" t="s">
        <v>426</v>
      </c>
      <c r="CP437" s="5" t="s">
        <v>268</v>
      </c>
      <c r="CQ437" s="4" t="s">
        <v>269</v>
      </c>
      <c r="CR437" s="4" t="s">
        <v>270</v>
      </c>
      <c r="CS437" s="4" t="s">
        <v>293</v>
      </c>
      <c r="CT437" s="4" t="s">
        <v>241</v>
      </c>
      <c r="CU437" s="4">
        <v>6.7000000000000004E-2</v>
      </c>
      <c r="CV437" s="4" t="s">
        <v>271</v>
      </c>
      <c r="CW437" s="4" t="s">
        <v>415</v>
      </c>
      <c r="CX437" s="4" t="s">
        <v>422</v>
      </c>
      <c r="CY437" s="6">
        <f>0</f>
        <v>0</v>
      </c>
      <c r="CZ437" s="6">
        <f>1506450</f>
        <v>1506450</v>
      </c>
      <c r="DA437" s="6">
        <f>799926</f>
        <v>799926</v>
      </c>
      <c r="DC437" s="4" t="s">
        <v>241</v>
      </c>
      <c r="DD437" s="4" t="s">
        <v>241</v>
      </c>
      <c r="DF437" s="4" t="s">
        <v>241</v>
      </c>
      <c r="DG437" s="6">
        <f>0</f>
        <v>0</v>
      </c>
      <c r="DI437" s="4" t="s">
        <v>241</v>
      </c>
      <c r="DJ437" s="4" t="s">
        <v>241</v>
      </c>
      <c r="DK437" s="4" t="s">
        <v>241</v>
      </c>
      <c r="DL437" s="4" t="s">
        <v>241</v>
      </c>
      <c r="DM437" s="4" t="s">
        <v>278</v>
      </c>
      <c r="DN437" s="4" t="s">
        <v>278</v>
      </c>
      <c r="DO437" s="6" t="s">
        <v>241</v>
      </c>
      <c r="DP437" s="4" t="s">
        <v>241</v>
      </c>
      <c r="DQ437" s="4" t="s">
        <v>241</v>
      </c>
      <c r="DR437" s="4" t="s">
        <v>241</v>
      </c>
      <c r="DS437" s="4" t="s">
        <v>241</v>
      </c>
      <c r="DV437" s="4" t="s">
        <v>957</v>
      </c>
      <c r="DW437" s="4" t="s">
        <v>343</v>
      </c>
      <c r="GN437" s="4" t="s">
        <v>2818</v>
      </c>
      <c r="HO437" s="4" t="s">
        <v>323</v>
      </c>
      <c r="HR437" s="4" t="s">
        <v>278</v>
      </c>
      <c r="HS437" s="4" t="s">
        <v>278</v>
      </c>
      <c r="HT437" s="4" t="s">
        <v>241</v>
      </c>
      <c r="HU437" s="4" t="s">
        <v>241</v>
      </c>
      <c r="HV437" s="4" t="s">
        <v>241</v>
      </c>
      <c r="HW437" s="4" t="s">
        <v>241</v>
      </c>
      <c r="HX437" s="4" t="s">
        <v>241</v>
      </c>
      <c r="HY437" s="4" t="s">
        <v>241</v>
      </c>
      <c r="HZ437" s="4" t="s">
        <v>241</v>
      </c>
      <c r="IA437" s="4" t="s">
        <v>241</v>
      </c>
      <c r="IB437" s="4" t="s">
        <v>241</v>
      </c>
      <c r="IC437" s="4" t="s">
        <v>241</v>
      </c>
      <c r="ID437" s="4" t="s">
        <v>241</v>
      </c>
      <c r="IE437" s="4" t="s">
        <v>241</v>
      </c>
      <c r="IF437" s="4" t="s">
        <v>241</v>
      </c>
    </row>
    <row r="438" spans="1:240" x14ac:dyDescent="0.4">
      <c r="A438" s="4">
        <v>2</v>
      </c>
      <c r="B438" s="4" t="s">
        <v>239</v>
      </c>
      <c r="C438" s="4">
        <v>469</v>
      </c>
      <c r="D438" s="4">
        <v>1</v>
      </c>
      <c r="E438" s="4">
        <v>1</v>
      </c>
      <c r="F438" s="4" t="s">
        <v>240</v>
      </c>
      <c r="G438" s="4" t="s">
        <v>241</v>
      </c>
      <c r="H438" s="4" t="s">
        <v>241</v>
      </c>
      <c r="I438" s="4" t="s">
        <v>959</v>
      </c>
      <c r="J438" s="4" t="s">
        <v>653</v>
      </c>
      <c r="K438" s="4" t="s">
        <v>256</v>
      </c>
      <c r="L438" s="4" t="s">
        <v>2529</v>
      </c>
      <c r="M438" s="5" t="s">
        <v>961</v>
      </c>
      <c r="N438" s="4" t="s">
        <v>2529</v>
      </c>
      <c r="O438" s="6">
        <f>26</f>
        <v>26</v>
      </c>
      <c r="P438" s="4" t="s">
        <v>276</v>
      </c>
      <c r="Q438" s="6">
        <f>1</f>
        <v>1</v>
      </c>
      <c r="R438" s="6">
        <f>1560000</f>
        <v>1560000</v>
      </c>
      <c r="S438" s="5" t="s">
        <v>2930</v>
      </c>
      <c r="T438" s="4" t="s">
        <v>348</v>
      </c>
      <c r="U438" s="4" t="s">
        <v>668</v>
      </c>
      <c r="W438" s="6">
        <f>1559999</f>
        <v>1559999</v>
      </c>
      <c r="X438" s="4" t="s">
        <v>243</v>
      </c>
      <c r="Y438" s="4" t="s">
        <v>244</v>
      </c>
      <c r="Z438" s="4" t="s">
        <v>465</v>
      </c>
      <c r="AA438" s="4" t="s">
        <v>241</v>
      </c>
      <c r="AD438" s="4" t="s">
        <v>241</v>
      </c>
      <c r="AF438" s="5" t="s">
        <v>241</v>
      </c>
      <c r="AI438" s="5" t="s">
        <v>249</v>
      </c>
      <c r="AJ438" s="4" t="s">
        <v>251</v>
      </c>
      <c r="AK438" s="4" t="s">
        <v>252</v>
      </c>
      <c r="BA438" s="4" t="s">
        <v>254</v>
      </c>
      <c r="BB438" s="4" t="s">
        <v>241</v>
      </c>
      <c r="BC438" s="4" t="s">
        <v>255</v>
      </c>
      <c r="BD438" s="4" t="s">
        <v>241</v>
      </c>
      <c r="BE438" s="4" t="s">
        <v>257</v>
      </c>
      <c r="BF438" s="4" t="s">
        <v>241</v>
      </c>
      <c r="BH438" s="4" t="s">
        <v>750</v>
      </c>
      <c r="BJ438" s="4" t="s">
        <v>377</v>
      </c>
      <c r="BK438" s="5" t="s">
        <v>378</v>
      </c>
      <c r="BL438" s="4" t="s">
        <v>261</v>
      </c>
      <c r="BM438" s="4" t="s">
        <v>262</v>
      </c>
      <c r="BN438" s="4" t="s">
        <v>241</v>
      </c>
      <c r="BO438" s="6">
        <f>0</f>
        <v>0</v>
      </c>
      <c r="BP438" s="6">
        <f>0</f>
        <v>0</v>
      </c>
      <c r="BQ438" s="4" t="s">
        <v>263</v>
      </c>
      <c r="BR438" s="4" t="s">
        <v>264</v>
      </c>
      <c r="CF438" s="4" t="s">
        <v>241</v>
      </c>
      <c r="CG438" s="4" t="s">
        <v>241</v>
      </c>
      <c r="CK438" s="4" t="s">
        <v>265</v>
      </c>
      <c r="CL438" s="4" t="s">
        <v>266</v>
      </c>
      <c r="CM438" s="4" t="s">
        <v>241</v>
      </c>
      <c r="CO438" s="4" t="s">
        <v>1021</v>
      </c>
      <c r="CP438" s="5" t="s">
        <v>268</v>
      </c>
      <c r="CQ438" s="4" t="s">
        <v>269</v>
      </c>
      <c r="CR438" s="4" t="s">
        <v>270</v>
      </c>
      <c r="CS438" s="4" t="s">
        <v>241</v>
      </c>
      <c r="CT438" s="4" t="s">
        <v>241</v>
      </c>
      <c r="CU438" s="4">
        <v>0</v>
      </c>
      <c r="CV438" s="4" t="s">
        <v>271</v>
      </c>
      <c r="CW438" s="4" t="s">
        <v>415</v>
      </c>
      <c r="CX438" s="4" t="s">
        <v>416</v>
      </c>
      <c r="CZ438" s="6">
        <f>1560000</f>
        <v>1560000</v>
      </c>
      <c r="DA438" s="6">
        <f>0</f>
        <v>0</v>
      </c>
      <c r="DC438" s="4" t="s">
        <v>241</v>
      </c>
      <c r="DD438" s="4" t="s">
        <v>241</v>
      </c>
      <c r="DF438" s="4" t="s">
        <v>241</v>
      </c>
      <c r="DI438" s="4" t="s">
        <v>241</v>
      </c>
      <c r="DJ438" s="4" t="s">
        <v>241</v>
      </c>
      <c r="DK438" s="4" t="s">
        <v>241</v>
      </c>
      <c r="DL438" s="4" t="s">
        <v>241</v>
      </c>
      <c r="DM438" s="4" t="s">
        <v>277</v>
      </c>
      <c r="DN438" s="4" t="s">
        <v>278</v>
      </c>
      <c r="DO438" s="6">
        <f>26</f>
        <v>26</v>
      </c>
      <c r="DP438" s="4" t="s">
        <v>241</v>
      </c>
      <c r="DQ438" s="4" t="s">
        <v>241</v>
      </c>
      <c r="DR438" s="4" t="s">
        <v>241</v>
      </c>
      <c r="DS438" s="4" t="s">
        <v>241</v>
      </c>
      <c r="DV438" s="4" t="s">
        <v>962</v>
      </c>
      <c r="DW438" s="4" t="s">
        <v>277</v>
      </c>
      <c r="HO438" s="4" t="s">
        <v>277</v>
      </c>
      <c r="HR438" s="4" t="s">
        <v>278</v>
      </c>
      <c r="HS438" s="4" t="s">
        <v>278</v>
      </c>
    </row>
    <row r="439" spans="1:240" x14ac:dyDescent="0.4">
      <c r="A439" s="4">
        <v>2</v>
      </c>
      <c r="B439" s="4" t="s">
        <v>239</v>
      </c>
      <c r="C439" s="4">
        <v>470</v>
      </c>
      <c r="D439" s="4">
        <v>1</v>
      </c>
      <c r="E439" s="4">
        <v>3</v>
      </c>
      <c r="F439" s="4" t="s">
        <v>240</v>
      </c>
      <c r="G439" s="4" t="s">
        <v>241</v>
      </c>
      <c r="H439" s="4" t="s">
        <v>241</v>
      </c>
      <c r="I439" s="4" t="s">
        <v>959</v>
      </c>
      <c r="J439" s="4" t="s">
        <v>653</v>
      </c>
      <c r="K439" s="4" t="s">
        <v>256</v>
      </c>
      <c r="L439" s="4" t="s">
        <v>651</v>
      </c>
      <c r="M439" s="5" t="s">
        <v>961</v>
      </c>
      <c r="N439" s="4" t="s">
        <v>651</v>
      </c>
      <c r="O439" s="6">
        <f>3016</f>
        <v>3016</v>
      </c>
      <c r="P439" s="4" t="s">
        <v>276</v>
      </c>
      <c r="Q439" s="6">
        <f>21986640</f>
        <v>21986640</v>
      </c>
      <c r="R439" s="6">
        <f>407160000</f>
        <v>407160000</v>
      </c>
      <c r="S439" s="5" t="s">
        <v>960</v>
      </c>
      <c r="T439" s="4" t="s">
        <v>668</v>
      </c>
      <c r="U439" s="4" t="s">
        <v>437</v>
      </c>
      <c r="V439" s="6">
        <f>8957520</f>
        <v>8957520</v>
      </c>
      <c r="W439" s="6">
        <f>385173360</f>
        <v>385173360</v>
      </c>
      <c r="X439" s="4" t="s">
        <v>243</v>
      </c>
      <c r="Y439" s="4" t="s">
        <v>244</v>
      </c>
      <c r="Z439" s="4" t="s">
        <v>465</v>
      </c>
      <c r="AA439" s="4" t="s">
        <v>241</v>
      </c>
      <c r="AD439" s="4" t="s">
        <v>241</v>
      </c>
      <c r="AE439" s="5" t="s">
        <v>241</v>
      </c>
      <c r="AF439" s="5" t="s">
        <v>241</v>
      </c>
      <c r="AH439" s="5" t="s">
        <v>241</v>
      </c>
      <c r="AI439" s="5" t="s">
        <v>249</v>
      </c>
      <c r="AJ439" s="4" t="s">
        <v>251</v>
      </c>
      <c r="AK439" s="4" t="s">
        <v>252</v>
      </c>
      <c r="AQ439" s="4" t="s">
        <v>241</v>
      </c>
      <c r="AR439" s="4" t="s">
        <v>241</v>
      </c>
      <c r="AS439" s="4" t="s">
        <v>241</v>
      </c>
      <c r="AT439" s="5" t="s">
        <v>241</v>
      </c>
      <c r="AU439" s="5" t="s">
        <v>241</v>
      </c>
      <c r="AV439" s="5" t="s">
        <v>241</v>
      </c>
      <c r="AY439" s="4" t="s">
        <v>286</v>
      </c>
      <c r="AZ439" s="4" t="s">
        <v>286</v>
      </c>
      <c r="BA439" s="4" t="s">
        <v>254</v>
      </c>
      <c r="BB439" s="4" t="s">
        <v>287</v>
      </c>
      <c r="BC439" s="4" t="s">
        <v>255</v>
      </c>
      <c r="BD439" s="4" t="s">
        <v>241</v>
      </c>
      <c r="BE439" s="4" t="s">
        <v>257</v>
      </c>
      <c r="BF439" s="4" t="s">
        <v>241</v>
      </c>
      <c r="BJ439" s="4" t="s">
        <v>288</v>
      </c>
      <c r="BK439" s="5" t="s">
        <v>289</v>
      </c>
      <c r="BL439" s="4" t="s">
        <v>290</v>
      </c>
      <c r="BM439" s="4" t="s">
        <v>290</v>
      </c>
      <c r="BN439" s="4" t="s">
        <v>241</v>
      </c>
      <c r="BO439" s="6">
        <f>0</f>
        <v>0</v>
      </c>
      <c r="BP439" s="6">
        <f>-8957520</f>
        <v>-8957520</v>
      </c>
      <c r="BQ439" s="4" t="s">
        <v>263</v>
      </c>
      <c r="BR439" s="4" t="s">
        <v>264</v>
      </c>
      <c r="BS439" s="4" t="s">
        <v>241</v>
      </c>
      <c r="BT439" s="4" t="s">
        <v>241</v>
      </c>
      <c r="BU439" s="4" t="s">
        <v>241</v>
      </c>
      <c r="BV439" s="4" t="s">
        <v>241</v>
      </c>
      <c r="CE439" s="4" t="s">
        <v>264</v>
      </c>
      <c r="CF439" s="4" t="s">
        <v>241</v>
      </c>
      <c r="CG439" s="4" t="s">
        <v>241</v>
      </c>
      <c r="CK439" s="4" t="s">
        <v>265</v>
      </c>
      <c r="CL439" s="4" t="s">
        <v>266</v>
      </c>
      <c r="CM439" s="4" t="s">
        <v>241</v>
      </c>
      <c r="CO439" s="4" t="s">
        <v>956</v>
      </c>
      <c r="CP439" s="5" t="s">
        <v>268</v>
      </c>
      <c r="CQ439" s="4" t="s">
        <v>269</v>
      </c>
      <c r="CR439" s="4" t="s">
        <v>270</v>
      </c>
      <c r="CS439" s="4" t="s">
        <v>293</v>
      </c>
      <c r="CT439" s="4" t="s">
        <v>241</v>
      </c>
      <c r="CU439" s="4">
        <v>2.1999999999999999E-2</v>
      </c>
      <c r="CV439" s="4" t="s">
        <v>271</v>
      </c>
      <c r="CW439" s="4" t="s">
        <v>655</v>
      </c>
      <c r="CX439" s="4" t="s">
        <v>295</v>
      </c>
      <c r="CY439" s="6">
        <f>0</f>
        <v>0</v>
      </c>
      <c r="CZ439" s="6">
        <f>407160000</f>
        <v>407160000</v>
      </c>
      <c r="DA439" s="6">
        <f>21986640</f>
        <v>21986640</v>
      </c>
      <c r="DC439" s="4" t="s">
        <v>241</v>
      </c>
      <c r="DD439" s="4" t="s">
        <v>241</v>
      </c>
      <c r="DF439" s="4" t="s">
        <v>241</v>
      </c>
      <c r="DG439" s="6">
        <f>0</f>
        <v>0</v>
      </c>
      <c r="DI439" s="4" t="s">
        <v>241</v>
      </c>
      <c r="DJ439" s="4" t="s">
        <v>241</v>
      </c>
      <c r="DK439" s="4" t="s">
        <v>241</v>
      </c>
      <c r="DL439" s="4" t="s">
        <v>241</v>
      </c>
      <c r="DM439" s="4" t="s">
        <v>297</v>
      </c>
      <c r="DN439" s="4" t="s">
        <v>278</v>
      </c>
      <c r="DO439" s="6">
        <f>3016</f>
        <v>3016</v>
      </c>
      <c r="DP439" s="4" t="s">
        <v>241</v>
      </c>
      <c r="DQ439" s="4" t="s">
        <v>241</v>
      </c>
      <c r="DR439" s="4" t="s">
        <v>241</v>
      </c>
      <c r="DS439" s="4" t="s">
        <v>241</v>
      </c>
      <c r="DV439" s="4" t="s">
        <v>962</v>
      </c>
      <c r="DW439" s="4" t="s">
        <v>323</v>
      </c>
      <c r="GN439" s="4" t="s">
        <v>963</v>
      </c>
      <c r="HO439" s="4" t="s">
        <v>300</v>
      </c>
      <c r="HR439" s="4" t="s">
        <v>278</v>
      </c>
      <c r="HS439" s="4" t="s">
        <v>278</v>
      </c>
      <c r="HT439" s="4" t="s">
        <v>241</v>
      </c>
      <c r="HU439" s="4" t="s">
        <v>241</v>
      </c>
      <c r="HV439" s="4" t="s">
        <v>241</v>
      </c>
      <c r="HW439" s="4" t="s">
        <v>241</v>
      </c>
      <c r="HX439" s="4" t="s">
        <v>241</v>
      </c>
      <c r="HY439" s="4" t="s">
        <v>241</v>
      </c>
      <c r="HZ439" s="4" t="s">
        <v>241</v>
      </c>
      <c r="IA439" s="4" t="s">
        <v>241</v>
      </c>
      <c r="IB439" s="4" t="s">
        <v>241</v>
      </c>
      <c r="IC439" s="4" t="s">
        <v>241</v>
      </c>
      <c r="ID439" s="4" t="s">
        <v>241</v>
      </c>
      <c r="IE439" s="4" t="s">
        <v>241</v>
      </c>
      <c r="IF439" s="4" t="s">
        <v>241</v>
      </c>
    </row>
    <row r="440" spans="1:240" x14ac:dyDescent="0.4">
      <c r="A440" s="4">
        <v>2</v>
      </c>
      <c r="B440" s="4" t="s">
        <v>239</v>
      </c>
      <c r="C440" s="4">
        <v>471</v>
      </c>
      <c r="D440" s="4">
        <v>1</v>
      </c>
      <c r="E440" s="4">
        <v>1</v>
      </c>
      <c r="F440" s="4" t="s">
        <v>240</v>
      </c>
      <c r="G440" s="4" t="s">
        <v>241</v>
      </c>
      <c r="H440" s="4" t="s">
        <v>241</v>
      </c>
      <c r="I440" s="4" t="s">
        <v>959</v>
      </c>
      <c r="J440" s="4" t="s">
        <v>653</v>
      </c>
      <c r="K440" s="4" t="s">
        <v>256</v>
      </c>
      <c r="L440" s="4" t="s">
        <v>1003</v>
      </c>
      <c r="M440" s="5" t="s">
        <v>961</v>
      </c>
      <c r="N440" s="4" t="s">
        <v>1003</v>
      </c>
      <c r="O440" s="6">
        <f>638</f>
        <v>638</v>
      </c>
      <c r="P440" s="4" t="s">
        <v>276</v>
      </c>
      <c r="Q440" s="6">
        <f>1</f>
        <v>1</v>
      </c>
      <c r="R440" s="6">
        <f>51040000</f>
        <v>51040000</v>
      </c>
      <c r="S440" s="5" t="s">
        <v>303</v>
      </c>
      <c r="T440" s="4" t="s">
        <v>357</v>
      </c>
      <c r="U440" s="4" t="s">
        <v>373</v>
      </c>
      <c r="W440" s="6">
        <f>51039999</f>
        <v>51039999</v>
      </c>
      <c r="X440" s="4" t="s">
        <v>243</v>
      </c>
      <c r="Y440" s="4" t="s">
        <v>244</v>
      </c>
      <c r="Z440" s="4" t="s">
        <v>465</v>
      </c>
      <c r="AA440" s="4" t="s">
        <v>241</v>
      </c>
      <c r="AD440" s="4" t="s">
        <v>241</v>
      </c>
      <c r="AF440" s="5" t="s">
        <v>241</v>
      </c>
      <c r="AI440" s="5" t="s">
        <v>249</v>
      </c>
      <c r="AJ440" s="4" t="s">
        <v>251</v>
      </c>
      <c r="AK440" s="4" t="s">
        <v>252</v>
      </c>
      <c r="BA440" s="4" t="s">
        <v>254</v>
      </c>
      <c r="BB440" s="4" t="s">
        <v>241</v>
      </c>
      <c r="BC440" s="4" t="s">
        <v>255</v>
      </c>
      <c r="BD440" s="4" t="s">
        <v>241</v>
      </c>
      <c r="BE440" s="4" t="s">
        <v>257</v>
      </c>
      <c r="BF440" s="4" t="s">
        <v>241</v>
      </c>
      <c r="BJ440" s="4" t="s">
        <v>367</v>
      </c>
      <c r="BK440" s="5" t="s">
        <v>249</v>
      </c>
      <c r="BL440" s="4" t="s">
        <v>261</v>
      </c>
      <c r="BM440" s="4" t="s">
        <v>262</v>
      </c>
      <c r="BN440" s="4" t="s">
        <v>241</v>
      </c>
      <c r="BO440" s="6">
        <f>0</f>
        <v>0</v>
      </c>
      <c r="BP440" s="6">
        <f>0</f>
        <v>0</v>
      </c>
      <c r="BQ440" s="4" t="s">
        <v>263</v>
      </c>
      <c r="BR440" s="4" t="s">
        <v>264</v>
      </c>
      <c r="CF440" s="4" t="s">
        <v>241</v>
      </c>
      <c r="CG440" s="4" t="s">
        <v>241</v>
      </c>
      <c r="CK440" s="4" t="s">
        <v>265</v>
      </c>
      <c r="CL440" s="4" t="s">
        <v>266</v>
      </c>
      <c r="CM440" s="4" t="s">
        <v>241</v>
      </c>
      <c r="CO440" s="4" t="s">
        <v>305</v>
      </c>
      <c r="CP440" s="5" t="s">
        <v>268</v>
      </c>
      <c r="CQ440" s="4" t="s">
        <v>269</v>
      </c>
      <c r="CR440" s="4" t="s">
        <v>270</v>
      </c>
      <c r="CS440" s="4" t="s">
        <v>241</v>
      </c>
      <c r="CT440" s="4" t="s">
        <v>241</v>
      </c>
      <c r="CU440" s="4">
        <v>0</v>
      </c>
      <c r="CV440" s="4" t="s">
        <v>271</v>
      </c>
      <c r="CW440" s="4" t="s">
        <v>1006</v>
      </c>
      <c r="CX440" s="4" t="s">
        <v>487</v>
      </c>
      <c r="CZ440" s="6">
        <f>51040000</f>
        <v>51040000</v>
      </c>
      <c r="DA440" s="6">
        <f>0</f>
        <v>0</v>
      </c>
      <c r="DC440" s="4" t="s">
        <v>241</v>
      </c>
      <c r="DD440" s="4" t="s">
        <v>241</v>
      </c>
      <c r="DF440" s="4" t="s">
        <v>241</v>
      </c>
      <c r="DI440" s="4" t="s">
        <v>241</v>
      </c>
      <c r="DJ440" s="4" t="s">
        <v>241</v>
      </c>
      <c r="DK440" s="4" t="s">
        <v>241</v>
      </c>
      <c r="DL440" s="4" t="s">
        <v>241</v>
      </c>
      <c r="DM440" s="4" t="s">
        <v>323</v>
      </c>
      <c r="DN440" s="4" t="s">
        <v>278</v>
      </c>
      <c r="DO440" s="6">
        <f>638</f>
        <v>638</v>
      </c>
      <c r="DP440" s="4" t="s">
        <v>241</v>
      </c>
      <c r="DQ440" s="4" t="s">
        <v>241</v>
      </c>
      <c r="DR440" s="4" t="s">
        <v>241</v>
      </c>
      <c r="DS440" s="4" t="s">
        <v>241</v>
      </c>
      <c r="DV440" s="4" t="s">
        <v>962</v>
      </c>
      <c r="DW440" s="4" t="s">
        <v>297</v>
      </c>
      <c r="HO440" s="4" t="s">
        <v>277</v>
      </c>
      <c r="HR440" s="4" t="s">
        <v>278</v>
      </c>
      <c r="HS440" s="4" t="s">
        <v>278</v>
      </c>
    </row>
    <row r="441" spans="1:240" x14ac:dyDescent="0.4">
      <c r="A441" s="4">
        <v>2</v>
      </c>
      <c r="B441" s="4" t="s">
        <v>239</v>
      </c>
      <c r="C441" s="4">
        <v>472</v>
      </c>
      <c r="D441" s="4">
        <v>1</v>
      </c>
      <c r="E441" s="4">
        <v>1</v>
      </c>
      <c r="F441" s="4" t="s">
        <v>240</v>
      </c>
      <c r="G441" s="4" t="s">
        <v>241</v>
      </c>
      <c r="H441" s="4" t="s">
        <v>241</v>
      </c>
      <c r="I441" s="4" t="s">
        <v>959</v>
      </c>
      <c r="J441" s="4" t="s">
        <v>653</v>
      </c>
      <c r="K441" s="4" t="s">
        <v>256</v>
      </c>
      <c r="L441" s="4" t="s">
        <v>429</v>
      </c>
      <c r="M441" s="5" t="s">
        <v>961</v>
      </c>
      <c r="N441" s="4" t="s">
        <v>429</v>
      </c>
      <c r="O441" s="6">
        <f>46</f>
        <v>46</v>
      </c>
      <c r="P441" s="4" t="s">
        <v>276</v>
      </c>
      <c r="Q441" s="6">
        <f>1</f>
        <v>1</v>
      </c>
      <c r="R441" s="6">
        <f>2760000</f>
        <v>2760000</v>
      </c>
      <c r="S441" s="5" t="s">
        <v>3777</v>
      </c>
      <c r="T441" s="4" t="s">
        <v>348</v>
      </c>
      <c r="U441" s="4" t="s">
        <v>441</v>
      </c>
      <c r="W441" s="6">
        <f>2759999</f>
        <v>2759999</v>
      </c>
      <c r="X441" s="4" t="s">
        <v>243</v>
      </c>
      <c r="Y441" s="4" t="s">
        <v>244</v>
      </c>
      <c r="Z441" s="4" t="s">
        <v>465</v>
      </c>
      <c r="AA441" s="4" t="s">
        <v>241</v>
      </c>
      <c r="AD441" s="4" t="s">
        <v>241</v>
      </c>
      <c r="AF441" s="5" t="s">
        <v>241</v>
      </c>
      <c r="AI441" s="5" t="s">
        <v>249</v>
      </c>
      <c r="AJ441" s="4" t="s">
        <v>251</v>
      </c>
      <c r="AK441" s="4" t="s">
        <v>252</v>
      </c>
      <c r="BA441" s="4" t="s">
        <v>254</v>
      </c>
      <c r="BB441" s="4" t="s">
        <v>241</v>
      </c>
      <c r="BC441" s="4" t="s">
        <v>255</v>
      </c>
      <c r="BD441" s="4" t="s">
        <v>241</v>
      </c>
      <c r="BE441" s="4" t="s">
        <v>257</v>
      </c>
      <c r="BF441" s="4" t="s">
        <v>241</v>
      </c>
      <c r="BJ441" s="4" t="s">
        <v>374</v>
      </c>
      <c r="BK441" s="5" t="s">
        <v>375</v>
      </c>
      <c r="BL441" s="4" t="s">
        <v>261</v>
      </c>
      <c r="BM441" s="4" t="s">
        <v>262</v>
      </c>
      <c r="BN441" s="4" t="s">
        <v>241</v>
      </c>
      <c r="BO441" s="6">
        <f>0</f>
        <v>0</v>
      </c>
      <c r="BP441" s="6">
        <f>0</f>
        <v>0</v>
      </c>
      <c r="BQ441" s="4" t="s">
        <v>263</v>
      </c>
      <c r="BR441" s="4" t="s">
        <v>264</v>
      </c>
      <c r="CF441" s="4" t="s">
        <v>241</v>
      </c>
      <c r="CG441" s="4" t="s">
        <v>241</v>
      </c>
      <c r="CK441" s="4" t="s">
        <v>265</v>
      </c>
      <c r="CL441" s="4" t="s">
        <v>266</v>
      </c>
      <c r="CM441" s="4" t="s">
        <v>241</v>
      </c>
      <c r="CO441" s="4" t="s">
        <v>724</v>
      </c>
      <c r="CP441" s="5" t="s">
        <v>268</v>
      </c>
      <c r="CQ441" s="4" t="s">
        <v>269</v>
      </c>
      <c r="CR441" s="4" t="s">
        <v>270</v>
      </c>
      <c r="CS441" s="4" t="s">
        <v>241</v>
      </c>
      <c r="CT441" s="4" t="s">
        <v>241</v>
      </c>
      <c r="CU441" s="4">
        <v>0</v>
      </c>
      <c r="CV441" s="4" t="s">
        <v>271</v>
      </c>
      <c r="CW441" s="4" t="s">
        <v>272</v>
      </c>
      <c r="CX441" s="4" t="s">
        <v>347</v>
      </c>
      <c r="CZ441" s="6">
        <f>2760000</f>
        <v>2760000</v>
      </c>
      <c r="DA441" s="6">
        <f>0</f>
        <v>0</v>
      </c>
      <c r="DC441" s="4" t="s">
        <v>241</v>
      </c>
      <c r="DD441" s="4" t="s">
        <v>241</v>
      </c>
      <c r="DF441" s="4" t="s">
        <v>241</v>
      </c>
      <c r="DI441" s="4" t="s">
        <v>241</v>
      </c>
      <c r="DJ441" s="4" t="s">
        <v>241</v>
      </c>
      <c r="DK441" s="4" t="s">
        <v>241</v>
      </c>
      <c r="DL441" s="4" t="s">
        <v>241</v>
      </c>
      <c r="DM441" s="4" t="s">
        <v>277</v>
      </c>
      <c r="DN441" s="4" t="s">
        <v>278</v>
      </c>
      <c r="DO441" s="6">
        <f>46</f>
        <v>46</v>
      </c>
      <c r="DP441" s="4" t="s">
        <v>241</v>
      </c>
      <c r="DQ441" s="4" t="s">
        <v>241</v>
      </c>
      <c r="DR441" s="4" t="s">
        <v>241</v>
      </c>
      <c r="DS441" s="4" t="s">
        <v>241</v>
      </c>
      <c r="DV441" s="4" t="s">
        <v>962</v>
      </c>
      <c r="DW441" s="4" t="s">
        <v>336</v>
      </c>
      <c r="HO441" s="4" t="s">
        <v>277</v>
      </c>
      <c r="HR441" s="4" t="s">
        <v>278</v>
      </c>
      <c r="HS441" s="4" t="s">
        <v>278</v>
      </c>
    </row>
    <row r="442" spans="1:240" x14ac:dyDescent="0.4">
      <c r="A442" s="4">
        <v>2</v>
      </c>
      <c r="B442" s="4" t="s">
        <v>239</v>
      </c>
      <c r="C442" s="4">
        <v>473</v>
      </c>
      <c r="D442" s="4">
        <v>1</v>
      </c>
      <c r="E442" s="4">
        <v>1</v>
      </c>
      <c r="F442" s="4" t="s">
        <v>240</v>
      </c>
      <c r="G442" s="4" t="s">
        <v>241</v>
      </c>
      <c r="H442" s="4" t="s">
        <v>241</v>
      </c>
      <c r="I442" s="4" t="s">
        <v>959</v>
      </c>
      <c r="J442" s="4" t="s">
        <v>653</v>
      </c>
      <c r="K442" s="4" t="s">
        <v>256</v>
      </c>
      <c r="L442" s="4" t="s">
        <v>429</v>
      </c>
      <c r="M442" s="5" t="s">
        <v>961</v>
      </c>
      <c r="N442" s="4" t="s">
        <v>429</v>
      </c>
      <c r="O442" s="6">
        <f>17</f>
        <v>17</v>
      </c>
      <c r="P442" s="4" t="s">
        <v>276</v>
      </c>
      <c r="Q442" s="6">
        <f>1</f>
        <v>1</v>
      </c>
      <c r="R442" s="6">
        <f>1020000</f>
        <v>1020000</v>
      </c>
      <c r="S442" s="5" t="s">
        <v>1073</v>
      </c>
      <c r="T442" s="4" t="s">
        <v>348</v>
      </c>
      <c r="U442" s="4" t="s">
        <v>393</v>
      </c>
      <c r="W442" s="6">
        <f>1019999</f>
        <v>1019999</v>
      </c>
      <c r="X442" s="4" t="s">
        <v>243</v>
      </c>
      <c r="Y442" s="4" t="s">
        <v>244</v>
      </c>
      <c r="Z442" s="4" t="s">
        <v>465</v>
      </c>
      <c r="AA442" s="4" t="s">
        <v>241</v>
      </c>
      <c r="AD442" s="4" t="s">
        <v>241</v>
      </c>
      <c r="AF442" s="5" t="s">
        <v>241</v>
      </c>
      <c r="AI442" s="5" t="s">
        <v>249</v>
      </c>
      <c r="AJ442" s="4" t="s">
        <v>251</v>
      </c>
      <c r="AK442" s="4" t="s">
        <v>252</v>
      </c>
      <c r="BA442" s="4" t="s">
        <v>254</v>
      </c>
      <c r="BB442" s="4" t="s">
        <v>241</v>
      </c>
      <c r="BC442" s="4" t="s">
        <v>255</v>
      </c>
      <c r="BD442" s="4" t="s">
        <v>241</v>
      </c>
      <c r="BE442" s="4" t="s">
        <v>257</v>
      </c>
      <c r="BF442" s="4" t="s">
        <v>241</v>
      </c>
      <c r="BJ442" s="4" t="s">
        <v>377</v>
      </c>
      <c r="BK442" s="5" t="s">
        <v>378</v>
      </c>
      <c r="BL442" s="4" t="s">
        <v>261</v>
      </c>
      <c r="BM442" s="4" t="s">
        <v>262</v>
      </c>
      <c r="BN442" s="4" t="s">
        <v>241</v>
      </c>
      <c r="BO442" s="6">
        <f>0</f>
        <v>0</v>
      </c>
      <c r="BP442" s="6">
        <f>0</f>
        <v>0</v>
      </c>
      <c r="BQ442" s="4" t="s">
        <v>263</v>
      </c>
      <c r="BR442" s="4" t="s">
        <v>264</v>
      </c>
      <c r="CF442" s="4" t="s">
        <v>241</v>
      </c>
      <c r="CG442" s="4" t="s">
        <v>241</v>
      </c>
      <c r="CK442" s="4" t="s">
        <v>265</v>
      </c>
      <c r="CL442" s="4" t="s">
        <v>266</v>
      </c>
      <c r="CM442" s="4" t="s">
        <v>241</v>
      </c>
      <c r="CO442" s="4" t="s">
        <v>392</v>
      </c>
      <c r="CP442" s="5" t="s">
        <v>268</v>
      </c>
      <c r="CQ442" s="4" t="s">
        <v>269</v>
      </c>
      <c r="CR442" s="4" t="s">
        <v>270</v>
      </c>
      <c r="CS442" s="4" t="s">
        <v>241</v>
      </c>
      <c r="CT442" s="4" t="s">
        <v>241</v>
      </c>
      <c r="CU442" s="4">
        <v>0</v>
      </c>
      <c r="CV442" s="4" t="s">
        <v>271</v>
      </c>
      <c r="CW442" s="4" t="s">
        <v>272</v>
      </c>
      <c r="CX442" s="4" t="s">
        <v>347</v>
      </c>
      <c r="CZ442" s="6">
        <f>1020000</f>
        <v>1020000</v>
      </c>
      <c r="DA442" s="6">
        <f>0</f>
        <v>0</v>
      </c>
      <c r="DC442" s="4" t="s">
        <v>241</v>
      </c>
      <c r="DD442" s="4" t="s">
        <v>241</v>
      </c>
      <c r="DF442" s="4" t="s">
        <v>241</v>
      </c>
      <c r="DI442" s="4" t="s">
        <v>241</v>
      </c>
      <c r="DJ442" s="4" t="s">
        <v>241</v>
      </c>
      <c r="DK442" s="4" t="s">
        <v>241</v>
      </c>
      <c r="DL442" s="4" t="s">
        <v>241</v>
      </c>
      <c r="DM442" s="4" t="s">
        <v>277</v>
      </c>
      <c r="DN442" s="4" t="s">
        <v>278</v>
      </c>
      <c r="DO442" s="6">
        <f>17</f>
        <v>17</v>
      </c>
      <c r="DP442" s="4" t="s">
        <v>241</v>
      </c>
      <c r="DQ442" s="4" t="s">
        <v>241</v>
      </c>
      <c r="DR442" s="4" t="s">
        <v>241</v>
      </c>
      <c r="DS442" s="4" t="s">
        <v>241</v>
      </c>
      <c r="DV442" s="4" t="s">
        <v>962</v>
      </c>
      <c r="DW442" s="4" t="s">
        <v>351</v>
      </c>
      <c r="HO442" s="4" t="s">
        <v>277</v>
      </c>
      <c r="HR442" s="4" t="s">
        <v>278</v>
      </c>
      <c r="HS442" s="4" t="s">
        <v>278</v>
      </c>
    </row>
    <row r="443" spans="1:240" x14ac:dyDescent="0.4">
      <c r="A443" s="4">
        <v>2</v>
      </c>
      <c r="B443" s="4" t="s">
        <v>239</v>
      </c>
      <c r="C443" s="4">
        <v>474</v>
      </c>
      <c r="D443" s="4">
        <v>1</v>
      </c>
      <c r="E443" s="4">
        <v>3</v>
      </c>
      <c r="F443" s="4" t="s">
        <v>326</v>
      </c>
      <c r="G443" s="4" t="s">
        <v>241</v>
      </c>
      <c r="H443" s="4" t="s">
        <v>241</v>
      </c>
      <c r="I443" s="4" t="s">
        <v>959</v>
      </c>
      <c r="J443" s="4" t="s">
        <v>653</v>
      </c>
      <c r="K443" s="4" t="s">
        <v>256</v>
      </c>
      <c r="L443" s="4" t="s">
        <v>241</v>
      </c>
      <c r="M443" s="5" t="s">
        <v>961</v>
      </c>
      <c r="N443" s="4" t="s">
        <v>2749</v>
      </c>
      <c r="O443" s="6">
        <f>0</f>
        <v>0</v>
      </c>
      <c r="P443" s="4" t="s">
        <v>276</v>
      </c>
      <c r="Q443" s="6">
        <f>541977</f>
        <v>541977</v>
      </c>
      <c r="R443" s="6">
        <f>678318</f>
        <v>678318</v>
      </c>
      <c r="S443" s="5" t="s">
        <v>1209</v>
      </c>
      <c r="T443" s="4" t="s">
        <v>348</v>
      </c>
      <c r="U443" s="4" t="s">
        <v>323</v>
      </c>
      <c r="V443" s="6">
        <f>45447</f>
        <v>45447</v>
      </c>
      <c r="W443" s="6">
        <f>136341</f>
        <v>136341</v>
      </c>
      <c r="X443" s="4" t="s">
        <v>243</v>
      </c>
      <c r="Y443" s="4" t="s">
        <v>244</v>
      </c>
      <c r="Z443" s="4" t="s">
        <v>241</v>
      </c>
      <c r="AA443" s="4" t="s">
        <v>241</v>
      </c>
      <c r="AD443" s="4" t="s">
        <v>241</v>
      </c>
      <c r="AE443" s="5" t="s">
        <v>241</v>
      </c>
      <c r="AF443" s="5" t="s">
        <v>241</v>
      </c>
      <c r="AH443" s="5" t="s">
        <v>241</v>
      </c>
      <c r="AI443" s="5" t="s">
        <v>249</v>
      </c>
      <c r="AJ443" s="4" t="s">
        <v>251</v>
      </c>
      <c r="AK443" s="4" t="s">
        <v>252</v>
      </c>
      <c r="AQ443" s="4" t="s">
        <v>241</v>
      </c>
      <c r="AR443" s="4" t="s">
        <v>241</v>
      </c>
      <c r="AS443" s="4" t="s">
        <v>241</v>
      </c>
      <c r="AT443" s="5" t="s">
        <v>241</v>
      </c>
      <c r="AU443" s="5" t="s">
        <v>241</v>
      </c>
      <c r="AV443" s="5" t="s">
        <v>241</v>
      </c>
      <c r="AY443" s="4" t="s">
        <v>286</v>
      </c>
      <c r="AZ443" s="4" t="s">
        <v>286</v>
      </c>
      <c r="BA443" s="4" t="s">
        <v>254</v>
      </c>
      <c r="BB443" s="4" t="s">
        <v>287</v>
      </c>
      <c r="BC443" s="4" t="s">
        <v>255</v>
      </c>
      <c r="BD443" s="4" t="s">
        <v>241</v>
      </c>
      <c r="BE443" s="4" t="s">
        <v>257</v>
      </c>
      <c r="BF443" s="4" t="s">
        <v>241</v>
      </c>
      <c r="BJ443" s="4" t="s">
        <v>288</v>
      </c>
      <c r="BK443" s="5" t="s">
        <v>289</v>
      </c>
      <c r="BL443" s="4" t="s">
        <v>290</v>
      </c>
      <c r="BM443" s="4" t="s">
        <v>290</v>
      </c>
      <c r="BN443" s="4" t="s">
        <v>241</v>
      </c>
      <c r="BP443" s="6">
        <f>-45447</f>
        <v>-45447</v>
      </c>
      <c r="BQ443" s="4" t="s">
        <v>263</v>
      </c>
      <c r="BR443" s="4" t="s">
        <v>264</v>
      </c>
      <c r="BS443" s="4" t="s">
        <v>241</v>
      </c>
      <c r="BT443" s="4" t="s">
        <v>241</v>
      </c>
      <c r="BU443" s="4" t="s">
        <v>241</v>
      </c>
      <c r="BV443" s="4" t="s">
        <v>241</v>
      </c>
      <c r="CE443" s="4" t="s">
        <v>264</v>
      </c>
      <c r="CF443" s="4" t="s">
        <v>241</v>
      </c>
      <c r="CG443" s="4" t="s">
        <v>241</v>
      </c>
      <c r="CK443" s="4" t="s">
        <v>291</v>
      </c>
      <c r="CL443" s="4" t="s">
        <v>266</v>
      </c>
      <c r="CM443" s="4" t="s">
        <v>241</v>
      </c>
      <c r="CO443" s="4" t="s">
        <v>421</v>
      </c>
      <c r="CP443" s="5" t="s">
        <v>268</v>
      </c>
      <c r="CQ443" s="4" t="s">
        <v>269</v>
      </c>
      <c r="CR443" s="4" t="s">
        <v>270</v>
      </c>
      <c r="CS443" s="4" t="s">
        <v>293</v>
      </c>
      <c r="CT443" s="4" t="s">
        <v>241</v>
      </c>
      <c r="CU443" s="4">
        <v>6.7000000000000004E-2</v>
      </c>
      <c r="CV443" s="4" t="s">
        <v>271</v>
      </c>
      <c r="CW443" s="4" t="s">
        <v>415</v>
      </c>
      <c r="CX443" s="4" t="s">
        <v>422</v>
      </c>
      <c r="CY443" s="6">
        <f>0</f>
        <v>0</v>
      </c>
      <c r="CZ443" s="6">
        <f>678318</f>
        <v>678318</v>
      </c>
      <c r="DA443" s="6">
        <f>541977</f>
        <v>541977</v>
      </c>
      <c r="DC443" s="4" t="s">
        <v>241</v>
      </c>
      <c r="DD443" s="4" t="s">
        <v>241</v>
      </c>
      <c r="DF443" s="4" t="s">
        <v>241</v>
      </c>
      <c r="DG443" s="6">
        <f>0</f>
        <v>0</v>
      </c>
      <c r="DI443" s="4" t="s">
        <v>241</v>
      </c>
      <c r="DJ443" s="4" t="s">
        <v>241</v>
      </c>
      <c r="DK443" s="4" t="s">
        <v>241</v>
      </c>
      <c r="DL443" s="4" t="s">
        <v>241</v>
      </c>
      <c r="DM443" s="4" t="s">
        <v>278</v>
      </c>
      <c r="DN443" s="4" t="s">
        <v>278</v>
      </c>
      <c r="DO443" s="6" t="s">
        <v>241</v>
      </c>
      <c r="DP443" s="4" t="s">
        <v>241</v>
      </c>
      <c r="DQ443" s="4" t="s">
        <v>241</v>
      </c>
      <c r="DR443" s="4" t="s">
        <v>241</v>
      </c>
      <c r="DS443" s="4" t="s">
        <v>241</v>
      </c>
      <c r="DV443" s="4" t="s">
        <v>962</v>
      </c>
      <c r="DW443" s="4" t="s">
        <v>300</v>
      </c>
      <c r="GN443" s="4" t="s">
        <v>2817</v>
      </c>
      <c r="HO443" s="4" t="s">
        <v>336</v>
      </c>
      <c r="HR443" s="4" t="s">
        <v>278</v>
      </c>
      <c r="HS443" s="4" t="s">
        <v>278</v>
      </c>
      <c r="HT443" s="4" t="s">
        <v>241</v>
      </c>
      <c r="HU443" s="4" t="s">
        <v>241</v>
      </c>
      <c r="HV443" s="4" t="s">
        <v>241</v>
      </c>
      <c r="HW443" s="4" t="s">
        <v>241</v>
      </c>
      <c r="HX443" s="4" t="s">
        <v>241</v>
      </c>
      <c r="HY443" s="4" t="s">
        <v>241</v>
      </c>
      <c r="HZ443" s="4" t="s">
        <v>241</v>
      </c>
      <c r="IA443" s="4" t="s">
        <v>241</v>
      </c>
      <c r="IB443" s="4" t="s">
        <v>241</v>
      </c>
      <c r="IC443" s="4" t="s">
        <v>241</v>
      </c>
      <c r="ID443" s="4" t="s">
        <v>241</v>
      </c>
      <c r="IE443" s="4" t="s">
        <v>241</v>
      </c>
      <c r="IF443" s="4" t="s">
        <v>241</v>
      </c>
    </row>
    <row r="444" spans="1:240" x14ac:dyDescent="0.4">
      <c r="A444" s="4">
        <v>2</v>
      </c>
      <c r="B444" s="4" t="s">
        <v>239</v>
      </c>
      <c r="C444" s="4">
        <v>475</v>
      </c>
      <c r="D444" s="4">
        <v>1</v>
      </c>
      <c r="E444" s="4">
        <v>3</v>
      </c>
      <c r="F444" s="4" t="s">
        <v>326</v>
      </c>
      <c r="G444" s="4" t="s">
        <v>241</v>
      </c>
      <c r="H444" s="4" t="s">
        <v>241</v>
      </c>
      <c r="I444" s="4" t="s">
        <v>959</v>
      </c>
      <c r="J444" s="4" t="s">
        <v>653</v>
      </c>
      <c r="K444" s="4" t="s">
        <v>256</v>
      </c>
      <c r="L444" s="4" t="s">
        <v>241</v>
      </c>
      <c r="M444" s="5" t="s">
        <v>961</v>
      </c>
      <c r="N444" s="4" t="s">
        <v>2747</v>
      </c>
      <c r="O444" s="6">
        <f>0</f>
        <v>0</v>
      </c>
      <c r="P444" s="4" t="s">
        <v>276</v>
      </c>
      <c r="Q444" s="6">
        <f>34560859</f>
        <v>34560859</v>
      </c>
      <c r="R444" s="6">
        <f>40852079</f>
        <v>40852079</v>
      </c>
      <c r="S444" s="5" t="s">
        <v>1104</v>
      </c>
      <c r="T444" s="4" t="s">
        <v>322</v>
      </c>
      <c r="U444" s="4" t="s">
        <v>277</v>
      </c>
      <c r="V444" s="6">
        <f>3145610</f>
        <v>3145610</v>
      </c>
      <c r="W444" s="6">
        <f>6291220</f>
        <v>6291220</v>
      </c>
      <c r="X444" s="4" t="s">
        <v>243</v>
      </c>
      <c r="Y444" s="4" t="s">
        <v>244</v>
      </c>
      <c r="Z444" s="4" t="s">
        <v>241</v>
      </c>
      <c r="AA444" s="4" t="s">
        <v>241</v>
      </c>
      <c r="AD444" s="4" t="s">
        <v>241</v>
      </c>
      <c r="AE444" s="5" t="s">
        <v>241</v>
      </c>
      <c r="AF444" s="5" t="s">
        <v>241</v>
      </c>
      <c r="AH444" s="5" t="s">
        <v>241</v>
      </c>
      <c r="AI444" s="5" t="s">
        <v>249</v>
      </c>
      <c r="AJ444" s="4" t="s">
        <v>251</v>
      </c>
      <c r="AK444" s="4" t="s">
        <v>252</v>
      </c>
      <c r="AQ444" s="4" t="s">
        <v>241</v>
      </c>
      <c r="AR444" s="4" t="s">
        <v>241</v>
      </c>
      <c r="AS444" s="4" t="s">
        <v>241</v>
      </c>
      <c r="AT444" s="5" t="s">
        <v>241</v>
      </c>
      <c r="AU444" s="5" t="s">
        <v>241</v>
      </c>
      <c r="AV444" s="5" t="s">
        <v>241</v>
      </c>
      <c r="AY444" s="4" t="s">
        <v>286</v>
      </c>
      <c r="AZ444" s="4" t="s">
        <v>286</v>
      </c>
      <c r="BA444" s="4" t="s">
        <v>254</v>
      </c>
      <c r="BB444" s="4" t="s">
        <v>287</v>
      </c>
      <c r="BC444" s="4" t="s">
        <v>255</v>
      </c>
      <c r="BD444" s="4" t="s">
        <v>241</v>
      </c>
      <c r="BE444" s="4" t="s">
        <v>257</v>
      </c>
      <c r="BF444" s="4" t="s">
        <v>241</v>
      </c>
      <c r="BJ444" s="4" t="s">
        <v>288</v>
      </c>
      <c r="BK444" s="5" t="s">
        <v>289</v>
      </c>
      <c r="BL444" s="4" t="s">
        <v>290</v>
      </c>
      <c r="BM444" s="4" t="s">
        <v>290</v>
      </c>
      <c r="BN444" s="4" t="s">
        <v>241</v>
      </c>
      <c r="BP444" s="6">
        <f>-3145610</f>
        <v>-3145610</v>
      </c>
      <c r="BQ444" s="4" t="s">
        <v>263</v>
      </c>
      <c r="BR444" s="4" t="s">
        <v>264</v>
      </c>
      <c r="BS444" s="4" t="s">
        <v>241</v>
      </c>
      <c r="BT444" s="4" t="s">
        <v>241</v>
      </c>
      <c r="BU444" s="4" t="s">
        <v>241</v>
      </c>
      <c r="BV444" s="4" t="s">
        <v>241</v>
      </c>
      <c r="CE444" s="4" t="s">
        <v>264</v>
      </c>
      <c r="CF444" s="4" t="s">
        <v>241</v>
      </c>
      <c r="CG444" s="4" t="s">
        <v>241</v>
      </c>
      <c r="CK444" s="4" t="s">
        <v>291</v>
      </c>
      <c r="CL444" s="4" t="s">
        <v>266</v>
      </c>
      <c r="CM444" s="4" t="s">
        <v>241</v>
      </c>
      <c r="CO444" s="4" t="s">
        <v>331</v>
      </c>
      <c r="CP444" s="5" t="s">
        <v>268</v>
      </c>
      <c r="CQ444" s="4" t="s">
        <v>269</v>
      </c>
      <c r="CR444" s="4" t="s">
        <v>270</v>
      </c>
      <c r="CS444" s="4" t="s">
        <v>293</v>
      </c>
      <c r="CT444" s="4" t="s">
        <v>241</v>
      </c>
      <c r="CU444" s="4">
        <v>7.6999999999999999E-2</v>
      </c>
      <c r="CV444" s="4" t="s">
        <v>271</v>
      </c>
      <c r="CW444" s="4" t="s">
        <v>415</v>
      </c>
      <c r="CX444" s="4" t="s">
        <v>428</v>
      </c>
      <c r="CY444" s="6">
        <f>0</f>
        <v>0</v>
      </c>
      <c r="CZ444" s="6">
        <f>40852079</f>
        <v>40852079</v>
      </c>
      <c r="DA444" s="6">
        <f>34560859</f>
        <v>34560859</v>
      </c>
      <c r="DC444" s="4" t="s">
        <v>241</v>
      </c>
      <c r="DD444" s="4" t="s">
        <v>241</v>
      </c>
      <c r="DF444" s="4" t="s">
        <v>241</v>
      </c>
      <c r="DG444" s="6">
        <f>0</f>
        <v>0</v>
      </c>
      <c r="DI444" s="4" t="s">
        <v>241</v>
      </c>
      <c r="DJ444" s="4" t="s">
        <v>241</v>
      </c>
      <c r="DK444" s="4" t="s">
        <v>241</v>
      </c>
      <c r="DL444" s="4" t="s">
        <v>241</v>
      </c>
      <c r="DM444" s="4" t="s">
        <v>278</v>
      </c>
      <c r="DN444" s="4" t="s">
        <v>278</v>
      </c>
      <c r="DO444" s="6" t="s">
        <v>241</v>
      </c>
      <c r="DP444" s="4" t="s">
        <v>241</v>
      </c>
      <c r="DQ444" s="4" t="s">
        <v>241</v>
      </c>
      <c r="DR444" s="4" t="s">
        <v>241</v>
      </c>
      <c r="DS444" s="4" t="s">
        <v>241</v>
      </c>
      <c r="DV444" s="4" t="s">
        <v>962</v>
      </c>
      <c r="DW444" s="4" t="s">
        <v>341</v>
      </c>
      <c r="GN444" s="4" t="s">
        <v>2816</v>
      </c>
      <c r="HO444" s="4" t="s">
        <v>297</v>
      </c>
      <c r="HR444" s="4" t="s">
        <v>278</v>
      </c>
      <c r="HS444" s="4" t="s">
        <v>278</v>
      </c>
      <c r="HT444" s="4" t="s">
        <v>241</v>
      </c>
      <c r="HU444" s="4" t="s">
        <v>241</v>
      </c>
      <c r="HV444" s="4" t="s">
        <v>241</v>
      </c>
      <c r="HW444" s="4" t="s">
        <v>241</v>
      </c>
      <c r="HX444" s="4" t="s">
        <v>241</v>
      </c>
      <c r="HY444" s="4" t="s">
        <v>241</v>
      </c>
      <c r="HZ444" s="4" t="s">
        <v>241</v>
      </c>
      <c r="IA444" s="4" t="s">
        <v>241</v>
      </c>
      <c r="IB444" s="4" t="s">
        <v>241</v>
      </c>
      <c r="IC444" s="4" t="s">
        <v>241</v>
      </c>
      <c r="ID444" s="4" t="s">
        <v>241</v>
      </c>
      <c r="IE444" s="4" t="s">
        <v>241</v>
      </c>
      <c r="IF444" s="4" t="s">
        <v>241</v>
      </c>
    </row>
    <row r="445" spans="1:240" x14ac:dyDescent="0.4">
      <c r="A445" s="4">
        <v>2</v>
      </c>
      <c r="B445" s="4" t="s">
        <v>239</v>
      </c>
      <c r="C445" s="4">
        <v>476</v>
      </c>
      <c r="D445" s="4">
        <v>1</v>
      </c>
      <c r="E445" s="4">
        <v>2</v>
      </c>
      <c r="F445" s="4" t="s">
        <v>240</v>
      </c>
      <c r="I445" s="4" t="s">
        <v>996</v>
      </c>
      <c r="J445" s="4" t="s">
        <v>653</v>
      </c>
      <c r="K445" s="4" t="s">
        <v>256</v>
      </c>
      <c r="L445" s="4" t="s">
        <v>651</v>
      </c>
      <c r="M445" s="5" t="s">
        <v>998</v>
      </c>
      <c r="N445" s="4" t="s">
        <v>651</v>
      </c>
      <c r="O445" s="6">
        <f>2625</f>
        <v>2625</v>
      </c>
      <c r="P445" s="4" t="s">
        <v>276</v>
      </c>
      <c r="Q445" s="6">
        <f>1</f>
        <v>1</v>
      </c>
      <c r="R445" s="6">
        <f>354375000</f>
        <v>354375000</v>
      </c>
      <c r="S445" s="5" t="s">
        <v>2133</v>
      </c>
      <c r="T445" s="4" t="s">
        <v>668</v>
      </c>
      <c r="U445" s="4" t="s">
        <v>1071</v>
      </c>
      <c r="W445" s="6">
        <f>354374999</f>
        <v>354374999</v>
      </c>
      <c r="X445" s="4" t="s">
        <v>243</v>
      </c>
      <c r="Y445" s="4" t="s">
        <v>244</v>
      </c>
      <c r="Z445" s="4" t="s">
        <v>465</v>
      </c>
      <c r="AA445" s="4" t="s">
        <v>241</v>
      </c>
      <c r="AD445" s="4" t="s">
        <v>241</v>
      </c>
      <c r="AE445" s="5" t="s">
        <v>241</v>
      </c>
      <c r="AF445" s="5" t="s">
        <v>241</v>
      </c>
      <c r="AH445" s="5" t="s">
        <v>241</v>
      </c>
      <c r="AI445" s="5" t="s">
        <v>249</v>
      </c>
      <c r="AJ445" s="4" t="s">
        <v>251</v>
      </c>
      <c r="AK445" s="4" t="s">
        <v>252</v>
      </c>
      <c r="AQ445" s="4" t="s">
        <v>241</v>
      </c>
      <c r="AR445" s="4" t="s">
        <v>241</v>
      </c>
      <c r="AS445" s="4" t="s">
        <v>241</v>
      </c>
      <c r="AT445" s="5" t="s">
        <v>241</v>
      </c>
      <c r="AU445" s="5" t="s">
        <v>241</v>
      </c>
      <c r="AV445" s="5" t="s">
        <v>241</v>
      </c>
      <c r="AY445" s="4" t="s">
        <v>286</v>
      </c>
      <c r="AZ445" s="4" t="s">
        <v>286</v>
      </c>
      <c r="BA445" s="4" t="s">
        <v>254</v>
      </c>
      <c r="BB445" s="4" t="s">
        <v>287</v>
      </c>
      <c r="BC445" s="4" t="s">
        <v>255</v>
      </c>
      <c r="BD445" s="4" t="s">
        <v>241</v>
      </c>
      <c r="BE445" s="4" t="s">
        <v>257</v>
      </c>
      <c r="BF445" s="4" t="s">
        <v>241</v>
      </c>
      <c r="BH445" s="4" t="s">
        <v>750</v>
      </c>
      <c r="BJ445" s="4" t="s">
        <v>288</v>
      </c>
      <c r="BK445" s="5" t="s">
        <v>289</v>
      </c>
      <c r="BL445" s="4" t="s">
        <v>290</v>
      </c>
      <c r="BM445" s="4" t="s">
        <v>290</v>
      </c>
      <c r="BN445" s="4" t="s">
        <v>241</v>
      </c>
      <c r="BO445" s="6">
        <f>0</f>
        <v>0</v>
      </c>
      <c r="BP445" s="6">
        <f>-3543749</f>
        <v>-3543749</v>
      </c>
      <c r="BQ445" s="4" t="s">
        <v>263</v>
      </c>
      <c r="BR445" s="4" t="s">
        <v>264</v>
      </c>
      <c r="BS445" s="4" t="s">
        <v>241</v>
      </c>
      <c r="BT445" s="4" t="s">
        <v>241</v>
      </c>
      <c r="BU445" s="4" t="s">
        <v>241</v>
      </c>
      <c r="BV445" s="4" t="s">
        <v>241</v>
      </c>
      <c r="CE445" s="4" t="s">
        <v>264</v>
      </c>
      <c r="CF445" s="4" t="s">
        <v>241</v>
      </c>
      <c r="CG445" s="4" t="s">
        <v>241</v>
      </c>
      <c r="CK445" s="4" t="s">
        <v>265</v>
      </c>
      <c r="CL445" s="4" t="s">
        <v>266</v>
      </c>
      <c r="CM445" s="4" t="s">
        <v>241</v>
      </c>
      <c r="CO445" s="4" t="s">
        <v>1670</v>
      </c>
      <c r="CP445" s="5" t="s">
        <v>268</v>
      </c>
      <c r="CQ445" s="4" t="s">
        <v>269</v>
      </c>
      <c r="CR445" s="4" t="s">
        <v>270</v>
      </c>
      <c r="CS445" s="4" t="s">
        <v>293</v>
      </c>
      <c r="CT445" s="4" t="s">
        <v>241</v>
      </c>
      <c r="CU445" s="4">
        <v>0</v>
      </c>
      <c r="CV445" s="4" t="s">
        <v>271</v>
      </c>
      <c r="CW445" s="4" t="s">
        <v>655</v>
      </c>
      <c r="CX445" s="4" t="s">
        <v>295</v>
      </c>
      <c r="CY445" s="6">
        <f>0</f>
        <v>0</v>
      </c>
      <c r="CZ445" s="6">
        <f>354375000</f>
        <v>354375000</v>
      </c>
      <c r="DA445" s="6">
        <f>3543750</f>
        <v>3543750</v>
      </c>
      <c r="DC445" s="4" t="s">
        <v>241</v>
      </c>
      <c r="DD445" s="4" t="s">
        <v>241</v>
      </c>
      <c r="DF445" s="4" t="s">
        <v>241</v>
      </c>
      <c r="DG445" s="6">
        <f>0</f>
        <v>0</v>
      </c>
      <c r="DI445" s="4" t="s">
        <v>241</v>
      </c>
      <c r="DJ445" s="4" t="s">
        <v>241</v>
      </c>
      <c r="DK445" s="4" t="s">
        <v>241</v>
      </c>
      <c r="DL445" s="4" t="s">
        <v>241</v>
      </c>
      <c r="DM445" s="4" t="s">
        <v>297</v>
      </c>
      <c r="DN445" s="4" t="s">
        <v>278</v>
      </c>
      <c r="DO445" s="6">
        <f>2625</f>
        <v>2625</v>
      </c>
      <c r="DP445" s="4" t="s">
        <v>241</v>
      </c>
      <c r="DQ445" s="4" t="s">
        <v>241</v>
      </c>
      <c r="DR445" s="4" t="s">
        <v>241</v>
      </c>
      <c r="DS445" s="4" t="s">
        <v>241</v>
      </c>
      <c r="DV445" s="4" t="s">
        <v>1000</v>
      </c>
      <c r="DW445" s="4" t="s">
        <v>277</v>
      </c>
      <c r="GN445" s="4" t="s">
        <v>4110</v>
      </c>
      <c r="HO445" s="4" t="s">
        <v>300</v>
      </c>
      <c r="HR445" s="4" t="s">
        <v>278</v>
      </c>
      <c r="HS445" s="4" t="s">
        <v>278</v>
      </c>
      <c r="HT445" s="4" t="s">
        <v>241</v>
      </c>
      <c r="HU445" s="4" t="s">
        <v>241</v>
      </c>
      <c r="HV445" s="4" t="s">
        <v>241</v>
      </c>
      <c r="HW445" s="4" t="s">
        <v>241</v>
      </c>
      <c r="HX445" s="4" t="s">
        <v>241</v>
      </c>
      <c r="HY445" s="4" t="s">
        <v>241</v>
      </c>
      <c r="HZ445" s="4" t="s">
        <v>241</v>
      </c>
      <c r="IA445" s="4" t="s">
        <v>241</v>
      </c>
      <c r="IB445" s="4" t="s">
        <v>241</v>
      </c>
      <c r="IC445" s="4" t="s">
        <v>241</v>
      </c>
      <c r="ID445" s="4" t="s">
        <v>241</v>
      </c>
      <c r="IE445" s="4" t="s">
        <v>241</v>
      </c>
      <c r="IF445" s="4" t="s">
        <v>241</v>
      </c>
    </row>
    <row r="446" spans="1:240" x14ac:dyDescent="0.4">
      <c r="A446" s="4">
        <v>2</v>
      </c>
      <c r="B446" s="4" t="s">
        <v>239</v>
      </c>
      <c r="C446" s="4">
        <v>477</v>
      </c>
      <c r="D446" s="4">
        <v>1</v>
      </c>
      <c r="E446" s="4">
        <v>1</v>
      </c>
      <c r="F446" s="4" t="s">
        <v>240</v>
      </c>
      <c r="G446" s="4" t="s">
        <v>241</v>
      </c>
      <c r="H446" s="4" t="s">
        <v>241</v>
      </c>
      <c r="I446" s="4" t="s">
        <v>996</v>
      </c>
      <c r="J446" s="4" t="s">
        <v>653</v>
      </c>
      <c r="K446" s="4" t="s">
        <v>256</v>
      </c>
      <c r="L446" s="4" t="s">
        <v>1003</v>
      </c>
      <c r="M446" s="5" t="s">
        <v>998</v>
      </c>
      <c r="N446" s="4" t="s">
        <v>1003</v>
      </c>
      <c r="O446" s="6">
        <f>906</f>
        <v>906</v>
      </c>
      <c r="P446" s="4" t="s">
        <v>276</v>
      </c>
      <c r="Q446" s="6">
        <f>1</f>
        <v>1</v>
      </c>
      <c r="R446" s="6">
        <f>72480000</f>
        <v>72480000</v>
      </c>
      <c r="S446" s="5" t="s">
        <v>1092</v>
      </c>
      <c r="T446" s="4" t="s">
        <v>357</v>
      </c>
      <c r="U446" s="4" t="s">
        <v>333</v>
      </c>
      <c r="W446" s="6">
        <f>72479999</f>
        <v>72479999</v>
      </c>
      <c r="X446" s="4" t="s">
        <v>243</v>
      </c>
      <c r="Y446" s="4" t="s">
        <v>244</v>
      </c>
      <c r="Z446" s="4" t="s">
        <v>465</v>
      </c>
      <c r="AA446" s="4" t="s">
        <v>241</v>
      </c>
      <c r="AD446" s="4" t="s">
        <v>241</v>
      </c>
      <c r="AF446" s="5" t="s">
        <v>241</v>
      </c>
      <c r="AI446" s="5" t="s">
        <v>249</v>
      </c>
      <c r="AJ446" s="4" t="s">
        <v>251</v>
      </c>
      <c r="AK446" s="4" t="s">
        <v>252</v>
      </c>
      <c r="BA446" s="4" t="s">
        <v>254</v>
      </c>
      <c r="BB446" s="4" t="s">
        <v>241</v>
      </c>
      <c r="BC446" s="4" t="s">
        <v>255</v>
      </c>
      <c r="BD446" s="4" t="s">
        <v>241</v>
      </c>
      <c r="BE446" s="4" t="s">
        <v>257</v>
      </c>
      <c r="BF446" s="4" t="s">
        <v>241</v>
      </c>
      <c r="BJ446" s="4" t="s">
        <v>377</v>
      </c>
      <c r="BK446" s="5" t="s">
        <v>378</v>
      </c>
      <c r="BL446" s="4" t="s">
        <v>261</v>
      </c>
      <c r="BM446" s="4" t="s">
        <v>262</v>
      </c>
      <c r="BN446" s="4" t="s">
        <v>241</v>
      </c>
      <c r="BO446" s="6">
        <f>0</f>
        <v>0</v>
      </c>
      <c r="BP446" s="6">
        <f>0</f>
        <v>0</v>
      </c>
      <c r="BQ446" s="4" t="s">
        <v>263</v>
      </c>
      <c r="BR446" s="4" t="s">
        <v>264</v>
      </c>
      <c r="CF446" s="4" t="s">
        <v>241</v>
      </c>
      <c r="CG446" s="4" t="s">
        <v>241</v>
      </c>
      <c r="CK446" s="4" t="s">
        <v>265</v>
      </c>
      <c r="CL446" s="4" t="s">
        <v>266</v>
      </c>
      <c r="CM446" s="4" t="s">
        <v>241</v>
      </c>
      <c r="CO446" s="4" t="s">
        <v>368</v>
      </c>
      <c r="CP446" s="5" t="s">
        <v>268</v>
      </c>
      <c r="CQ446" s="4" t="s">
        <v>269</v>
      </c>
      <c r="CR446" s="4" t="s">
        <v>270</v>
      </c>
      <c r="CS446" s="4" t="s">
        <v>241</v>
      </c>
      <c r="CT446" s="4" t="s">
        <v>241</v>
      </c>
      <c r="CU446" s="4">
        <v>0</v>
      </c>
      <c r="CV446" s="4" t="s">
        <v>271</v>
      </c>
      <c r="CW446" s="4" t="s">
        <v>1006</v>
      </c>
      <c r="CX446" s="4" t="s">
        <v>487</v>
      </c>
      <c r="CZ446" s="6">
        <f>72480000</f>
        <v>72480000</v>
      </c>
      <c r="DA446" s="6">
        <f>0</f>
        <v>0</v>
      </c>
      <c r="DC446" s="4" t="s">
        <v>241</v>
      </c>
      <c r="DD446" s="4" t="s">
        <v>241</v>
      </c>
      <c r="DF446" s="4" t="s">
        <v>241</v>
      </c>
      <c r="DI446" s="4" t="s">
        <v>241</v>
      </c>
      <c r="DJ446" s="4" t="s">
        <v>241</v>
      </c>
      <c r="DK446" s="4" t="s">
        <v>241</v>
      </c>
      <c r="DL446" s="4" t="s">
        <v>241</v>
      </c>
      <c r="DM446" s="4" t="s">
        <v>323</v>
      </c>
      <c r="DN446" s="4" t="s">
        <v>278</v>
      </c>
      <c r="DO446" s="6">
        <f>906</f>
        <v>906</v>
      </c>
      <c r="DP446" s="4" t="s">
        <v>241</v>
      </c>
      <c r="DQ446" s="4" t="s">
        <v>241</v>
      </c>
      <c r="DR446" s="4" t="s">
        <v>241</v>
      </c>
      <c r="DS446" s="4" t="s">
        <v>241</v>
      </c>
      <c r="DV446" s="4" t="s">
        <v>1000</v>
      </c>
      <c r="DW446" s="4" t="s">
        <v>323</v>
      </c>
      <c r="HO446" s="4" t="s">
        <v>277</v>
      </c>
      <c r="HR446" s="4" t="s">
        <v>278</v>
      </c>
      <c r="HS446" s="4" t="s">
        <v>278</v>
      </c>
    </row>
    <row r="447" spans="1:240" x14ac:dyDescent="0.4">
      <c r="A447" s="4">
        <v>2</v>
      </c>
      <c r="B447" s="4" t="s">
        <v>239</v>
      </c>
      <c r="C447" s="4">
        <v>478</v>
      </c>
      <c r="D447" s="4">
        <v>1</v>
      </c>
      <c r="E447" s="4">
        <v>1</v>
      </c>
      <c r="F447" s="4" t="s">
        <v>240</v>
      </c>
      <c r="G447" s="4" t="s">
        <v>241</v>
      </c>
      <c r="H447" s="4" t="s">
        <v>241</v>
      </c>
      <c r="I447" s="4" t="s">
        <v>996</v>
      </c>
      <c r="J447" s="4" t="s">
        <v>653</v>
      </c>
      <c r="K447" s="4" t="s">
        <v>256</v>
      </c>
      <c r="L447" s="4" t="s">
        <v>429</v>
      </c>
      <c r="M447" s="5" t="s">
        <v>998</v>
      </c>
      <c r="N447" s="4" t="s">
        <v>429</v>
      </c>
      <c r="O447" s="6">
        <f>40</f>
        <v>40</v>
      </c>
      <c r="P447" s="4" t="s">
        <v>276</v>
      </c>
      <c r="Q447" s="6">
        <f>1</f>
        <v>1</v>
      </c>
      <c r="R447" s="6">
        <f>2400000</f>
        <v>2400000</v>
      </c>
      <c r="S447" s="5" t="s">
        <v>3778</v>
      </c>
      <c r="T447" s="4" t="s">
        <v>348</v>
      </c>
      <c r="U447" s="4" t="s">
        <v>1042</v>
      </c>
      <c r="W447" s="6">
        <f>2399999</f>
        <v>2399999</v>
      </c>
      <c r="X447" s="4" t="s">
        <v>243</v>
      </c>
      <c r="Y447" s="4" t="s">
        <v>244</v>
      </c>
      <c r="Z447" s="4" t="s">
        <v>465</v>
      </c>
      <c r="AA447" s="4" t="s">
        <v>241</v>
      </c>
      <c r="AD447" s="4" t="s">
        <v>241</v>
      </c>
      <c r="AF447" s="5" t="s">
        <v>241</v>
      </c>
      <c r="AI447" s="5" t="s">
        <v>249</v>
      </c>
      <c r="AJ447" s="4" t="s">
        <v>251</v>
      </c>
      <c r="AK447" s="4" t="s">
        <v>252</v>
      </c>
      <c r="BA447" s="4" t="s">
        <v>254</v>
      </c>
      <c r="BB447" s="4" t="s">
        <v>241</v>
      </c>
      <c r="BC447" s="4" t="s">
        <v>255</v>
      </c>
      <c r="BD447" s="4" t="s">
        <v>241</v>
      </c>
      <c r="BE447" s="4" t="s">
        <v>257</v>
      </c>
      <c r="BF447" s="4" t="s">
        <v>241</v>
      </c>
      <c r="BJ447" s="4" t="s">
        <v>259</v>
      </c>
      <c r="BK447" s="5" t="s">
        <v>260</v>
      </c>
      <c r="BL447" s="4" t="s">
        <v>261</v>
      </c>
      <c r="BM447" s="4" t="s">
        <v>262</v>
      </c>
      <c r="BN447" s="4" t="s">
        <v>241</v>
      </c>
      <c r="BO447" s="6">
        <f>0</f>
        <v>0</v>
      </c>
      <c r="BP447" s="6">
        <f>0</f>
        <v>0</v>
      </c>
      <c r="BQ447" s="4" t="s">
        <v>263</v>
      </c>
      <c r="BR447" s="4" t="s">
        <v>264</v>
      </c>
      <c r="CF447" s="4" t="s">
        <v>241</v>
      </c>
      <c r="CG447" s="4" t="s">
        <v>241</v>
      </c>
      <c r="CK447" s="4" t="s">
        <v>265</v>
      </c>
      <c r="CL447" s="4" t="s">
        <v>266</v>
      </c>
      <c r="CM447" s="4" t="s">
        <v>241</v>
      </c>
      <c r="CO447" s="4" t="s">
        <v>914</v>
      </c>
      <c r="CP447" s="5" t="s">
        <v>268</v>
      </c>
      <c r="CQ447" s="4" t="s">
        <v>269</v>
      </c>
      <c r="CR447" s="4" t="s">
        <v>270</v>
      </c>
      <c r="CS447" s="4" t="s">
        <v>241</v>
      </c>
      <c r="CT447" s="4" t="s">
        <v>241</v>
      </c>
      <c r="CU447" s="4">
        <v>0</v>
      </c>
      <c r="CV447" s="4" t="s">
        <v>271</v>
      </c>
      <c r="CW447" s="4" t="s">
        <v>272</v>
      </c>
      <c r="CX447" s="4" t="s">
        <v>347</v>
      </c>
      <c r="CZ447" s="6">
        <f>2400000</f>
        <v>2400000</v>
      </c>
      <c r="DA447" s="6">
        <f>0</f>
        <v>0</v>
      </c>
      <c r="DC447" s="4" t="s">
        <v>241</v>
      </c>
      <c r="DD447" s="4" t="s">
        <v>241</v>
      </c>
      <c r="DF447" s="4" t="s">
        <v>241</v>
      </c>
      <c r="DI447" s="4" t="s">
        <v>241</v>
      </c>
      <c r="DJ447" s="4" t="s">
        <v>241</v>
      </c>
      <c r="DK447" s="4" t="s">
        <v>241</v>
      </c>
      <c r="DL447" s="4" t="s">
        <v>241</v>
      </c>
      <c r="DM447" s="4" t="s">
        <v>277</v>
      </c>
      <c r="DN447" s="4" t="s">
        <v>278</v>
      </c>
      <c r="DO447" s="6">
        <f>40</f>
        <v>40</v>
      </c>
      <c r="DP447" s="4" t="s">
        <v>241</v>
      </c>
      <c r="DQ447" s="4" t="s">
        <v>241</v>
      </c>
      <c r="DR447" s="4" t="s">
        <v>241</v>
      </c>
      <c r="DS447" s="4" t="s">
        <v>241</v>
      </c>
      <c r="DV447" s="4" t="s">
        <v>1000</v>
      </c>
      <c r="DW447" s="4" t="s">
        <v>297</v>
      </c>
      <c r="HO447" s="4" t="s">
        <v>277</v>
      </c>
      <c r="HR447" s="4" t="s">
        <v>278</v>
      </c>
      <c r="HS447" s="4" t="s">
        <v>278</v>
      </c>
    </row>
    <row r="448" spans="1:240" x14ac:dyDescent="0.4">
      <c r="A448" s="4">
        <v>2</v>
      </c>
      <c r="B448" s="4" t="s">
        <v>239</v>
      </c>
      <c r="C448" s="4">
        <v>479</v>
      </c>
      <c r="D448" s="4">
        <v>1</v>
      </c>
      <c r="E448" s="4">
        <v>1</v>
      </c>
      <c r="F448" s="4" t="s">
        <v>240</v>
      </c>
      <c r="G448" s="4" t="s">
        <v>241</v>
      </c>
      <c r="H448" s="4" t="s">
        <v>241</v>
      </c>
      <c r="I448" s="4" t="s">
        <v>996</v>
      </c>
      <c r="J448" s="4" t="s">
        <v>653</v>
      </c>
      <c r="K448" s="4" t="s">
        <v>256</v>
      </c>
      <c r="L448" s="4" t="s">
        <v>440</v>
      </c>
      <c r="M448" s="5" t="s">
        <v>998</v>
      </c>
      <c r="N448" s="4" t="s">
        <v>1897</v>
      </c>
      <c r="O448" s="6">
        <f>13</f>
        <v>13</v>
      </c>
      <c r="P448" s="4" t="s">
        <v>276</v>
      </c>
      <c r="Q448" s="6">
        <f>1</f>
        <v>1</v>
      </c>
      <c r="R448" s="6">
        <f>2379000</f>
        <v>2379000</v>
      </c>
      <c r="S448" s="5" t="s">
        <v>1898</v>
      </c>
      <c r="T448" s="4" t="s">
        <v>401</v>
      </c>
      <c r="U448" s="4" t="s">
        <v>401</v>
      </c>
      <c r="W448" s="6">
        <f>2378999</f>
        <v>2378999</v>
      </c>
      <c r="X448" s="4" t="s">
        <v>243</v>
      </c>
      <c r="Y448" s="4" t="s">
        <v>244</v>
      </c>
      <c r="Z448" s="4" t="s">
        <v>465</v>
      </c>
      <c r="AA448" s="4" t="s">
        <v>241</v>
      </c>
      <c r="AD448" s="4" t="s">
        <v>241</v>
      </c>
      <c r="AF448" s="5" t="s">
        <v>241</v>
      </c>
      <c r="AI448" s="5" t="s">
        <v>249</v>
      </c>
      <c r="AJ448" s="4" t="s">
        <v>251</v>
      </c>
      <c r="AK448" s="4" t="s">
        <v>252</v>
      </c>
      <c r="BA448" s="4" t="s">
        <v>254</v>
      </c>
      <c r="BB448" s="4" t="s">
        <v>241</v>
      </c>
      <c r="BC448" s="4" t="s">
        <v>255</v>
      </c>
      <c r="BD448" s="4" t="s">
        <v>241</v>
      </c>
      <c r="BE448" s="4" t="s">
        <v>257</v>
      </c>
      <c r="BF448" s="4" t="s">
        <v>241</v>
      </c>
      <c r="BJ448" s="4" t="s">
        <v>367</v>
      </c>
      <c r="BK448" s="5" t="s">
        <v>249</v>
      </c>
      <c r="BL448" s="4" t="s">
        <v>261</v>
      </c>
      <c r="BM448" s="4" t="s">
        <v>290</v>
      </c>
      <c r="BN448" s="4" t="s">
        <v>241</v>
      </c>
      <c r="BO448" s="6">
        <f>0</f>
        <v>0</v>
      </c>
      <c r="BP448" s="6">
        <f>0</f>
        <v>0</v>
      </c>
      <c r="BQ448" s="4" t="s">
        <v>263</v>
      </c>
      <c r="BR448" s="4" t="s">
        <v>264</v>
      </c>
      <c r="CF448" s="4" t="s">
        <v>241</v>
      </c>
      <c r="CG448" s="4" t="s">
        <v>241</v>
      </c>
      <c r="CK448" s="4" t="s">
        <v>291</v>
      </c>
      <c r="CL448" s="4" t="s">
        <v>266</v>
      </c>
      <c r="CM448" s="4" t="s">
        <v>241</v>
      </c>
      <c r="CO448" s="4" t="s">
        <v>449</v>
      </c>
      <c r="CP448" s="5" t="s">
        <v>268</v>
      </c>
      <c r="CQ448" s="4" t="s">
        <v>269</v>
      </c>
      <c r="CR448" s="4" t="s">
        <v>270</v>
      </c>
      <c r="CS448" s="4" t="s">
        <v>241</v>
      </c>
      <c r="CT448" s="4" t="s">
        <v>241</v>
      </c>
      <c r="CU448" s="4">
        <v>0</v>
      </c>
      <c r="CV448" s="4" t="s">
        <v>271</v>
      </c>
      <c r="CW448" s="4" t="s">
        <v>1899</v>
      </c>
      <c r="CX448" s="4" t="s">
        <v>347</v>
      </c>
      <c r="CZ448" s="6">
        <f>2379000</f>
        <v>2379000</v>
      </c>
      <c r="DA448" s="6">
        <f>0</f>
        <v>0</v>
      </c>
      <c r="DC448" s="4" t="s">
        <v>241</v>
      </c>
      <c r="DD448" s="4" t="s">
        <v>241</v>
      </c>
      <c r="DF448" s="4" t="s">
        <v>241</v>
      </c>
      <c r="DI448" s="4" t="s">
        <v>241</v>
      </c>
      <c r="DJ448" s="4" t="s">
        <v>241</v>
      </c>
      <c r="DK448" s="4" t="s">
        <v>241</v>
      </c>
      <c r="DL448" s="4" t="s">
        <v>241</v>
      </c>
      <c r="DM448" s="4" t="s">
        <v>277</v>
      </c>
      <c r="DN448" s="4" t="s">
        <v>278</v>
      </c>
      <c r="DO448" s="6">
        <f>13</f>
        <v>13</v>
      </c>
      <c r="DP448" s="4" t="s">
        <v>241</v>
      </c>
      <c r="DQ448" s="4" t="s">
        <v>241</v>
      </c>
      <c r="DR448" s="4" t="s">
        <v>241</v>
      </c>
      <c r="DS448" s="4" t="s">
        <v>241</v>
      </c>
      <c r="DV448" s="4" t="s">
        <v>1000</v>
      </c>
      <c r="DW448" s="4" t="s">
        <v>336</v>
      </c>
      <c r="HO448" s="4" t="s">
        <v>297</v>
      </c>
      <c r="HR448" s="4" t="s">
        <v>278</v>
      </c>
      <c r="HS448" s="4" t="s">
        <v>278</v>
      </c>
    </row>
    <row r="449" spans="1:240" x14ac:dyDescent="0.4">
      <c r="A449" s="4">
        <v>2</v>
      </c>
      <c r="B449" s="4" t="s">
        <v>239</v>
      </c>
      <c r="C449" s="4">
        <v>480</v>
      </c>
      <c r="D449" s="4">
        <v>1</v>
      </c>
      <c r="E449" s="4">
        <v>3</v>
      </c>
      <c r="F449" s="4" t="s">
        <v>240</v>
      </c>
      <c r="G449" s="4" t="s">
        <v>241</v>
      </c>
      <c r="H449" s="4" t="s">
        <v>241</v>
      </c>
      <c r="I449" s="4" t="s">
        <v>996</v>
      </c>
      <c r="J449" s="4" t="s">
        <v>653</v>
      </c>
      <c r="K449" s="4" t="s">
        <v>256</v>
      </c>
      <c r="L449" s="4" t="s">
        <v>997</v>
      </c>
      <c r="M449" s="5" t="s">
        <v>998</v>
      </c>
      <c r="N449" s="4" t="s">
        <v>995</v>
      </c>
      <c r="O449" s="6">
        <f>19</f>
        <v>19</v>
      </c>
      <c r="P449" s="4" t="s">
        <v>276</v>
      </c>
      <c r="Q449" s="6">
        <f>608475</f>
        <v>608475</v>
      </c>
      <c r="R449" s="6">
        <f>3477000</f>
        <v>3477000</v>
      </c>
      <c r="S449" s="5" t="s">
        <v>339</v>
      </c>
      <c r="T449" s="4" t="s">
        <v>441</v>
      </c>
      <c r="U449" s="4" t="s">
        <v>274</v>
      </c>
      <c r="V449" s="6">
        <f>114741</f>
        <v>114741</v>
      </c>
      <c r="W449" s="6">
        <f>2868525</f>
        <v>2868525</v>
      </c>
      <c r="X449" s="4" t="s">
        <v>243</v>
      </c>
      <c r="Y449" s="4" t="s">
        <v>244</v>
      </c>
      <c r="Z449" s="4" t="s">
        <v>465</v>
      </c>
      <c r="AA449" s="4" t="s">
        <v>241</v>
      </c>
      <c r="AD449" s="4" t="s">
        <v>241</v>
      </c>
      <c r="AE449" s="5" t="s">
        <v>241</v>
      </c>
      <c r="AF449" s="5" t="s">
        <v>241</v>
      </c>
      <c r="AH449" s="5" t="s">
        <v>241</v>
      </c>
      <c r="AI449" s="5" t="s">
        <v>249</v>
      </c>
      <c r="AJ449" s="4" t="s">
        <v>251</v>
      </c>
      <c r="AK449" s="4" t="s">
        <v>252</v>
      </c>
      <c r="AQ449" s="4" t="s">
        <v>241</v>
      </c>
      <c r="AR449" s="4" t="s">
        <v>241</v>
      </c>
      <c r="AS449" s="4" t="s">
        <v>241</v>
      </c>
      <c r="AT449" s="5" t="s">
        <v>241</v>
      </c>
      <c r="AU449" s="5" t="s">
        <v>241</v>
      </c>
      <c r="AV449" s="5" t="s">
        <v>241</v>
      </c>
      <c r="AY449" s="4" t="s">
        <v>286</v>
      </c>
      <c r="AZ449" s="4" t="s">
        <v>286</v>
      </c>
      <c r="BA449" s="4" t="s">
        <v>254</v>
      </c>
      <c r="BB449" s="4" t="s">
        <v>287</v>
      </c>
      <c r="BC449" s="4" t="s">
        <v>255</v>
      </c>
      <c r="BD449" s="4" t="s">
        <v>241</v>
      </c>
      <c r="BE449" s="4" t="s">
        <v>257</v>
      </c>
      <c r="BF449" s="4" t="s">
        <v>241</v>
      </c>
      <c r="BJ449" s="4" t="s">
        <v>288</v>
      </c>
      <c r="BK449" s="5" t="s">
        <v>289</v>
      </c>
      <c r="BL449" s="4" t="s">
        <v>290</v>
      </c>
      <c r="BM449" s="4" t="s">
        <v>290</v>
      </c>
      <c r="BN449" s="4" t="s">
        <v>241</v>
      </c>
      <c r="BO449" s="6">
        <f>0</f>
        <v>0</v>
      </c>
      <c r="BP449" s="6">
        <f>-114741</f>
        <v>-114741</v>
      </c>
      <c r="BQ449" s="4" t="s">
        <v>263</v>
      </c>
      <c r="BR449" s="4" t="s">
        <v>264</v>
      </c>
      <c r="BS449" s="4" t="s">
        <v>241</v>
      </c>
      <c r="BT449" s="4" t="s">
        <v>241</v>
      </c>
      <c r="BU449" s="4" t="s">
        <v>241</v>
      </c>
      <c r="BV449" s="4" t="s">
        <v>241</v>
      </c>
      <c r="CE449" s="4" t="s">
        <v>264</v>
      </c>
      <c r="CF449" s="4" t="s">
        <v>241</v>
      </c>
      <c r="CG449" s="4" t="s">
        <v>241</v>
      </c>
      <c r="CK449" s="4" t="s">
        <v>291</v>
      </c>
      <c r="CL449" s="4" t="s">
        <v>266</v>
      </c>
      <c r="CM449" s="4" t="s">
        <v>241</v>
      </c>
      <c r="CO449" s="4" t="s">
        <v>292</v>
      </c>
      <c r="CP449" s="5" t="s">
        <v>268</v>
      </c>
      <c r="CQ449" s="4" t="s">
        <v>269</v>
      </c>
      <c r="CR449" s="4" t="s">
        <v>270</v>
      </c>
      <c r="CS449" s="4" t="s">
        <v>293</v>
      </c>
      <c r="CT449" s="4" t="s">
        <v>241</v>
      </c>
      <c r="CU449" s="4">
        <v>3.3000000000000002E-2</v>
      </c>
      <c r="CV449" s="4" t="s">
        <v>271</v>
      </c>
      <c r="CW449" s="4" t="s">
        <v>999</v>
      </c>
      <c r="CX449" s="4" t="s">
        <v>487</v>
      </c>
      <c r="CY449" s="6">
        <f>0</f>
        <v>0</v>
      </c>
      <c r="CZ449" s="6">
        <f>3477000</f>
        <v>3477000</v>
      </c>
      <c r="DA449" s="6">
        <f>608475</f>
        <v>608475</v>
      </c>
      <c r="DC449" s="4" t="s">
        <v>241</v>
      </c>
      <c r="DD449" s="4" t="s">
        <v>241</v>
      </c>
      <c r="DF449" s="4" t="s">
        <v>241</v>
      </c>
      <c r="DG449" s="6">
        <f>0</f>
        <v>0</v>
      </c>
      <c r="DI449" s="4" t="s">
        <v>241</v>
      </c>
      <c r="DJ449" s="4" t="s">
        <v>241</v>
      </c>
      <c r="DK449" s="4" t="s">
        <v>241</v>
      </c>
      <c r="DL449" s="4" t="s">
        <v>241</v>
      </c>
      <c r="DM449" s="4" t="s">
        <v>277</v>
      </c>
      <c r="DN449" s="4" t="s">
        <v>278</v>
      </c>
      <c r="DO449" s="6">
        <f>19</f>
        <v>19</v>
      </c>
      <c r="DP449" s="4" t="s">
        <v>241</v>
      </c>
      <c r="DQ449" s="4" t="s">
        <v>241</v>
      </c>
      <c r="DR449" s="4" t="s">
        <v>241</v>
      </c>
      <c r="DS449" s="4" t="s">
        <v>241</v>
      </c>
      <c r="DV449" s="4" t="s">
        <v>1000</v>
      </c>
      <c r="DW449" s="4" t="s">
        <v>351</v>
      </c>
      <c r="GN449" s="4" t="s">
        <v>1001</v>
      </c>
      <c r="HO449" s="4" t="s">
        <v>300</v>
      </c>
      <c r="HR449" s="4" t="s">
        <v>278</v>
      </c>
      <c r="HS449" s="4" t="s">
        <v>278</v>
      </c>
      <c r="HT449" s="4" t="s">
        <v>241</v>
      </c>
      <c r="HU449" s="4" t="s">
        <v>241</v>
      </c>
      <c r="HV449" s="4" t="s">
        <v>241</v>
      </c>
      <c r="HW449" s="4" t="s">
        <v>241</v>
      </c>
      <c r="HX449" s="4" t="s">
        <v>241</v>
      </c>
      <c r="HY449" s="4" t="s">
        <v>241</v>
      </c>
      <c r="HZ449" s="4" t="s">
        <v>241</v>
      </c>
      <c r="IA449" s="4" t="s">
        <v>241</v>
      </c>
      <c r="IB449" s="4" t="s">
        <v>241</v>
      </c>
      <c r="IC449" s="4" t="s">
        <v>241</v>
      </c>
      <c r="ID449" s="4" t="s">
        <v>241</v>
      </c>
      <c r="IE449" s="4" t="s">
        <v>241</v>
      </c>
      <c r="IF449" s="4" t="s">
        <v>241</v>
      </c>
    </row>
    <row r="450" spans="1:240" x14ac:dyDescent="0.4">
      <c r="A450" s="4">
        <v>2</v>
      </c>
      <c r="B450" s="4" t="s">
        <v>239</v>
      </c>
      <c r="C450" s="4">
        <v>481</v>
      </c>
      <c r="D450" s="4">
        <v>1</v>
      </c>
      <c r="E450" s="4">
        <v>3</v>
      </c>
      <c r="F450" s="4" t="s">
        <v>240</v>
      </c>
      <c r="G450" s="4" t="s">
        <v>241</v>
      </c>
      <c r="H450" s="4" t="s">
        <v>241</v>
      </c>
      <c r="I450" s="4" t="s">
        <v>996</v>
      </c>
      <c r="J450" s="4" t="s">
        <v>653</v>
      </c>
      <c r="K450" s="4" t="s">
        <v>256</v>
      </c>
      <c r="L450" s="4" t="s">
        <v>440</v>
      </c>
      <c r="M450" s="5" t="s">
        <v>998</v>
      </c>
      <c r="N450" s="4" t="s">
        <v>2814</v>
      </c>
      <c r="O450" s="6">
        <f>72.63</f>
        <v>72.63</v>
      </c>
      <c r="P450" s="4" t="s">
        <v>276</v>
      </c>
      <c r="Q450" s="6">
        <f>3071103</f>
        <v>3071103</v>
      </c>
      <c r="R450" s="6">
        <f>23807000</f>
        <v>23807000</v>
      </c>
      <c r="S450" s="5" t="s">
        <v>1112</v>
      </c>
      <c r="T450" s="4" t="s">
        <v>348</v>
      </c>
      <c r="U450" s="4" t="s">
        <v>409</v>
      </c>
      <c r="V450" s="6">
        <f>1595069</f>
        <v>1595069</v>
      </c>
      <c r="W450" s="6">
        <f>20735897</f>
        <v>20735897</v>
      </c>
      <c r="X450" s="4" t="s">
        <v>243</v>
      </c>
      <c r="Y450" s="4" t="s">
        <v>244</v>
      </c>
      <c r="Z450" s="4" t="s">
        <v>465</v>
      </c>
      <c r="AA450" s="4" t="s">
        <v>241</v>
      </c>
      <c r="AD450" s="4" t="s">
        <v>241</v>
      </c>
      <c r="AE450" s="5" t="s">
        <v>241</v>
      </c>
      <c r="AF450" s="5" t="s">
        <v>241</v>
      </c>
      <c r="AH450" s="5" t="s">
        <v>241</v>
      </c>
      <c r="AI450" s="5" t="s">
        <v>249</v>
      </c>
      <c r="AJ450" s="4" t="s">
        <v>251</v>
      </c>
      <c r="AK450" s="4" t="s">
        <v>252</v>
      </c>
      <c r="AQ450" s="4" t="s">
        <v>241</v>
      </c>
      <c r="AR450" s="4" t="s">
        <v>241</v>
      </c>
      <c r="AS450" s="4" t="s">
        <v>241</v>
      </c>
      <c r="AT450" s="5" t="s">
        <v>241</v>
      </c>
      <c r="AU450" s="5" t="s">
        <v>241</v>
      </c>
      <c r="AV450" s="5" t="s">
        <v>241</v>
      </c>
      <c r="AY450" s="4" t="s">
        <v>286</v>
      </c>
      <c r="AZ450" s="4" t="s">
        <v>286</v>
      </c>
      <c r="BA450" s="4" t="s">
        <v>254</v>
      </c>
      <c r="BB450" s="4" t="s">
        <v>287</v>
      </c>
      <c r="BC450" s="4" t="s">
        <v>255</v>
      </c>
      <c r="BD450" s="4" t="s">
        <v>241</v>
      </c>
      <c r="BE450" s="4" t="s">
        <v>257</v>
      </c>
      <c r="BF450" s="4" t="s">
        <v>241</v>
      </c>
      <c r="BJ450" s="4" t="s">
        <v>288</v>
      </c>
      <c r="BK450" s="5" t="s">
        <v>289</v>
      </c>
      <c r="BL450" s="4" t="s">
        <v>290</v>
      </c>
      <c r="BM450" s="4" t="s">
        <v>290</v>
      </c>
      <c r="BN450" s="4" t="s">
        <v>241</v>
      </c>
      <c r="BO450" s="6">
        <f>0</f>
        <v>0</v>
      </c>
      <c r="BP450" s="6">
        <f>-1595069</f>
        <v>-1595069</v>
      </c>
      <c r="BQ450" s="4" t="s">
        <v>263</v>
      </c>
      <c r="BR450" s="4" t="s">
        <v>264</v>
      </c>
      <c r="BS450" s="4" t="s">
        <v>241</v>
      </c>
      <c r="BT450" s="4" t="s">
        <v>241</v>
      </c>
      <c r="BU450" s="4" t="s">
        <v>241</v>
      </c>
      <c r="BV450" s="4" t="s">
        <v>241</v>
      </c>
      <c r="CE450" s="4" t="s">
        <v>264</v>
      </c>
      <c r="CF450" s="4" t="s">
        <v>241</v>
      </c>
      <c r="CG450" s="4" t="s">
        <v>241</v>
      </c>
      <c r="CK450" s="4" t="s">
        <v>291</v>
      </c>
      <c r="CL450" s="4" t="s">
        <v>266</v>
      </c>
      <c r="CM450" s="4" t="s">
        <v>241</v>
      </c>
      <c r="CO450" s="4" t="s">
        <v>567</v>
      </c>
      <c r="CP450" s="5" t="s">
        <v>268</v>
      </c>
      <c r="CQ450" s="4" t="s">
        <v>269</v>
      </c>
      <c r="CR450" s="4" t="s">
        <v>270</v>
      </c>
      <c r="CS450" s="4" t="s">
        <v>293</v>
      </c>
      <c r="CT450" s="4" t="s">
        <v>241</v>
      </c>
      <c r="CU450" s="4">
        <v>6.7000000000000004E-2</v>
      </c>
      <c r="CV450" s="4" t="s">
        <v>271</v>
      </c>
      <c r="CW450" s="4" t="s">
        <v>415</v>
      </c>
      <c r="CX450" s="4" t="s">
        <v>416</v>
      </c>
      <c r="CY450" s="6">
        <f>0</f>
        <v>0</v>
      </c>
      <c r="CZ450" s="6">
        <f>23807000</f>
        <v>23807000</v>
      </c>
      <c r="DA450" s="6">
        <f>3071103</f>
        <v>3071103</v>
      </c>
      <c r="DC450" s="4" t="s">
        <v>241</v>
      </c>
      <c r="DD450" s="4" t="s">
        <v>241</v>
      </c>
      <c r="DF450" s="4" t="s">
        <v>241</v>
      </c>
      <c r="DG450" s="6">
        <f>0</f>
        <v>0</v>
      </c>
      <c r="DI450" s="4" t="s">
        <v>241</v>
      </c>
      <c r="DJ450" s="4" t="s">
        <v>241</v>
      </c>
      <c r="DK450" s="4" t="s">
        <v>241</v>
      </c>
      <c r="DL450" s="4" t="s">
        <v>241</v>
      </c>
      <c r="DM450" s="4" t="s">
        <v>277</v>
      </c>
      <c r="DN450" s="4" t="s">
        <v>278</v>
      </c>
      <c r="DO450" s="6">
        <f>72.63</f>
        <v>72.63</v>
      </c>
      <c r="DP450" s="4" t="s">
        <v>241</v>
      </c>
      <c r="DQ450" s="4" t="s">
        <v>241</v>
      </c>
      <c r="DR450" s="4" t="s">
        <v>241</v>
      </c>
      <c r="DS450" s="4" t="s">
        <v>241</v>
      </c>
      <c r="DV450" s="4" t="s">
        <v>1000</v>
      </c>
      <c r="DW450" s="4" t="s">
        <v>300</v>
      </c>
      <c r="GN450" s="4" t="s">
        <v>2815</v>
      </c>
      <c r="HO450" s="4" t="s">
        <v>300</v>
      </c>
      <c r="HR450" s="4" t="s">
        <v>278</v>
      </c>
      <c r="HS450" s="4" t="s">
        <v>278</v>
      </c>
      <c r="HT450" s="4" t="s">
        <v>241</v>
      </c>
      <c r="HU450" s="4" t="s">
        <v>241</v>
      </c>
      <c r="HV450" s="4" t="s">
        <v>241</v>
      </c>
      <c r="HW450" s="4" t="s">
        <v>241</v>
      </c>
      <c r="HX450" s="4" t="s">
        <v>241</v>
      </c>
      <c r="HY450" s="4" t="s">
        <v>241</v>
      </c>
      <c r="HZ450" s="4" t="s">
        <v>241</v>
      </c>
      <c r="IA450" s="4" t="s">
        <v>241</v>
      </c>
      <c r="IB450" s="4" t="s">
        <v>241</v>
      </c>
      <c r="IC450" s="4" t="s">
        <v>241</v>
      </c>
      <c r="ID450" s="4" t="s">
        <v>241</v>
      </c>
      <c r="IE450" s="4" t="s">
        <v>241</v>
      </c>
      <c r="IF450" s="4" t="s">
        <v>241</v>
      </c>
    </row>
    <row r="451" spans="1:240" x14ac:dyDescent="0.4">
      <c r="A451" s="4">
        <v>2</v>
      </c>
      <c r="B451" s="4" t="s">
        <v>239</v>
      </c>
      <c r="C451" s="4">
        <v>482</v>
      </c>
      <c r="D451" s="4">
        <v>1</v>
      </c>
      <c r="E451" s="4">
        <v>3</v>
      </c>
      <c r="F451" s="4" t="s">
        <v>326</v>
      </c>
      <c r="G451" s="4" t="s">
        <v>241</v>
      </c>
      <c r="H451" s="4" t="s">
        <v>241</v>
      </c>
      <c r="I451" s="4" t="s">
        <v>996</v>
      </c>
      <c r="J451" s="4" t="s">
        <v>653</v>
      </c>
      <c r="K451" s="4" t="s">
        <v>256</v>
      </c>
      <c r="L451" s="4" t="s">
        <v>2724</v>
      </c>
      <c r="M451" s="5" t="s">
        <v>998</v>
      </c>
      <c r="N451" s="4" t="s">
        <v>2761</v>
      </c>
      <c r="O451" s="6">
        <f>0</f>
        <v>0</v>
      </c>
      <c r="P451" s="4" t="s">
        <v>276</v>
      </c>
      <c r="Q451" s="6">
        <f>683690</f>
        <v>683690</v>
      </c>
      <c r="R451" s="6">
        <f>934002</f>
        <v>934002</v>
      </c>
      <c r="S451" s="5" t="s">
        <v>380</v>
      </c>
      <c r="T451" s="4" t="s">
        <v>348</v>
      </c>
      <c r="U451" s="4" t="s">
        <v>297</v>
      </c>
      <c r="V451" s="6">
        <f>62578</f>
        <v>62578</v>
      </c>
      <c r="W451" s="6">
        <f>250312</f>
        <v>250312</v>
      </c>
      <c r="X451" s="4" t="s">
        <v>243</v>
      </c>
      <c r="Y451" s="4" t="s">
        <v>244</v>
      </c>
      <c r="Z451" s="4" t="s">
        <v>465</v>
      </c>
      <c r="AA451" s="4" t="s">
        <v>241</v>
      </c>
      <c r="AD451" s="4" t="s">
        <v>241</v>
      </c>
      <c r="AE451" s="5" t="s">
        <v>241</v>
      </c>
      <c r="AF451" s="5" t="s">
        <v>241</v>
      </c>
      <c r="AH451" s="5" t="s">
        <v>241</v>
      </c>
      <c r="AI451" s="5" t="s">
        <v>249</v>
      </c>
      <c r="AJ451" s="4" t="s">
        <v>251</v>
      </c>
      <c r="AK451" s="4" t="s">
        <v>252</v>
      </c>
      <c r="AQ451" s="4" t="s">
        <v>241</v>
      </c>
      <c r="AR451" s="4" t="s">
        <v>241</v>
      </c>
      <c r="AS451" s="4" t="s">
        <v>241</v>
      </c>
      <c r="AT451" s="5" t="s">
        <v>241</v>
      </c>
      <c r="AU451" s="5" t="s">
        <v>241</v>
      </c>
      <c r="AV451" s="5" t="s">
        <v>241</v>
      </c>
      <c r="AY451" s="4" t="s">
        <v>286</v>
      </c>
      <c r="AZ451" s="4" t="s">
        <v>286</v>
      </c>
      <c r="BA451" s="4" t="s">
        <v>254</v>
      </c>
      <c r="BB451" s="4" t="s">
        <v>287</v>
      </c>
      <c r="BC451" s="4" t="s">
        <v>255</v>
      </c>
      <c r="BD451" s="4" t="s">
        <v>241</v>
      </c>
      <c r="BE451" s="4" t="s">
        <v>257</v>
      </c>
      <c r="BF451" s="4" t="s">
        <v>241</v>
      </c>
      <c r="BJ451" s="4" t="s">
        <v>288</v>
      </c>
      <c r="BK451" s="5" t="s">
        <v>289</v>
      </c>
      <c r="BL451" s="4" t="s">
        <v>290</v>
      </c>
      <c r="BM451" s="4" t="s">
        <v>290</v>
      </c>
      <c r="BN451" s="4" t="s">
        <v>241</v>
      </c>
      <c r="BP451" s="6">
        <f>-62578</f>
        <v>-62578</v>
      </c>
      <c r="BQ451" s="4" t="s">
        <v>263</v>
      </c>
      <c r="BR451" s="4" t="s">
        <v>264</v>
      </c>
      <c r="BS451" s="4" t="s">
        <v>241</v>
      </c>
      <c r="BT451" s="4" t="s">
        <v>241</v>
      </c>
      <c r="BU451" s="4" t="s">
        <v>241</v>
      </c>
      <c r="BV451" s="4" t="s">
        <v>241</v>
      </c>
      <c r="CE451" s="4" t="s">
        <v>264</v>
      </c>
      <c r="CF451" s="4" t="s">
        <v>241</v>
      </c>
      <c r="CG451" s="4" t="s">
        <v>241</v>
      </c>
      <c r="CK451" s="4" t="s">
        <v>291</v>
      </c>
      <c r="CL451" s="4" t="s">
        <v>266</v>
      </c>
      <c r="CM451" s="4" t="s">
        <v>241</v>
      </c>
      <c r="CO451" s="4" t="s">
        <v>413</v>
      </c>
      <c r="CP451" s="5" t="s">
        <v>268</v>
      </c>
      <c r="CQ451" s="4" t="s">
        <v>269</v>
      </c>
      <c r="CR451" s="4" t="s">
        <v>270</v>
      </c>
      <c r="CS451" s="4" t="s">
        <v>293</v>
      </c>
      <c r="CT451" s="4" t="s">
        <v>241</v>
      </c>
      <c r="CU451" s="4">
        <v>6.7000000000000004E-2</v>
      </c>
      <c r="CV451" s="4" t="s">
        <v>271</v>
      </c>
      <c r="CW451" s="4" t="s">
        <v>415</v>
      </c>
      <c r="CX451" s="4" t="s">
        <v>422</v>
      </c>
      <c r="CY451" s="6">
        <f>0</f>
        <v>0</v>
      </c>
      <c r="CZ451" s="6">
        <f>934002</f>
        <v>934002</v>
      </c>
      <c r="DA451" s="6">
        <f>683690</f>
        <v>683690</v>
      </c>
      <c r="DC451" s="4" t="s">
        <v>241</v>
      </c>
      <c r="DD451" s="4" t="s">
        <v>241</v>
      </c>
      <c r="DF451" s="4" t="s">
        <v>241</v>
      </c>
      <c r="DG451" s="6">
        <f>0</f>
        <v>0</v>
      </c>
      <c r="DI451" s="4" t="s">
        <v>241</v>
      </c>
      <c r="DJ451" s="4" t="s">
        <v>241</v>
      </c>
      <c r="DK451" s="4" t="s">
        <v>241</v>
      </c>
      <c r="DL451" s="4" t="s">
        <v>241</v>
      </c>
      <c r="DM451" s="4" t="s">
        <v>278</v>
      </c>
      <c r="DN451" s="4" t="s">
        <v>278</v>
      </c>
      <c r="DO451" s="6" t="s">
        <v>241</v>
      </c>
      <c r="DP451" s="4" t="s">
        <v>241</v>
      </c>
      <c r="DQ451" s="4" t="s">
        <v>241</v>
      </c>
      <c r="DR451" s="4" t="s">
        <v>241</v>
      </c>
      <c r="DS451" s="4" t="s">
        <v>241</v>
      </c>
      <c r="DV451" s="4" t="s">
        <v>1000</v>
      </c>
      <c r="DW451" s="4" t="s">
        <v>341</v>
      </c>
      <c r="GN451" s="4" t="s">
        <v>2813</v>
      </c>
      <c r="HO451" s="4" t="s">
        <v>351</v>
      </c>
      <c r="HR451" s="4" t="s">
        <v>278</v>
      </c>
      <c r="HS451" s="4" t="s">
        <v>278</v>
      </c>
      <c r="HT451" s="4" t="s">
        <v>241</v>
      </c>
      <c r="HU451" s="4" t="s">
        <v>241</v>
      </c>
      <c r="HV451" s="4" t="s">
        <v>241</v>
      </c>
      <c r="HW451" s="4" t="s">
        <v>241</v>
      </c>
      <c r="HX451" s="4" t="s">
        <v>241</v>
      </c>
      <c r="HY451" s="4" t="s">
        <v>241</v>
      </c>
      <c r="HZ451" s="4" t="s">
        <v>241</v>
      </c>
      <c r="IA451" s="4" t="s">
        <v>241</v>
      </c>
      <c r="IB451" s="4" t="s">
        <v>241</v>
      </c>
      <c r="IC451" s="4" t="s">
        <v>241</v>
      </c>
      <c r="ID451" s="4" t="s">
        <v>241</v>
      </c>
      <c r="IE451" s="4" t="s">
        <v>241</v>
      </c>
      <c r="IF451" s="4" t="s">
        <v>241</v>
      </c>
    </row>
    <row r="452" spans="1:240" x14ac:dyDescent="0.4">
      <c r="A452" s="4">
        <v>2</v>
      </c>
      <c r="B452" s="4" t="s">
        <v>239</v>
      </c>
      <c r="C452" s="4">
        <v>483</v>
      </c>
      <c r="D452" s="4">
        <v>1</v>
      </c>
      <c r="E452" s="4">
        <v>3</v>
      </c>
      <c r="F452" s="4" t="s">
        <v>326</v>
      </c>
      <c r="G452" s="4" t="s">
        <v>241</v>
      </c>
      <c r="H452" s="4" t="s">
        <v>241</v>
      </c>
      <c r="I452" s="4" t="s">
        <v>996</v>
      </c>
      <c r="J452" s="4" t="s">
        <v>653</v>
      </c>
      <c r="K452" s="4" t="s">
        <v>256</v>
      </c>
      <c r="L452" s="4" t="s">
        <v>241</v>
      </c>
      <c r="M452" s="5" t="s">
        <v>998</v>
      </c>
      <c r="N452" s="4" t="s">
        <v>2747</v>
      </c>
      <c r="O452" s="6">
        <f>0</f>
        <v>0</v>
      </c>
      <c r="P452" s="4" t="s">
        <v>276</v>
      </c>
      <c r="Q452" s="6">
        <f>37296390</f>
        <v>37296390</v>
      </c>
      <c r="R452" s="6">
        <f>44085566</f>
        <v>44085566</v>
      </c>
      <c r="S452" s="5" t="s">
        <v>1104</v>
      </c>
      <c r="T452" s="4" t="s">
        <v>322</v>
      </c>
      <c r="U452" s="4" t="s">
        <v>277</v>
      </c>
      <c r="V452" s="6">
        <f>3394588</f>
        <v>3394588</v>
      </c>
      <c r="W452" s="6">
        <f>6789176</f>
        <v>6789176</v>
      </c>
      <c r="X452" s="4" t="s">
        <v>243</v>
      </c>
      <c r="Y452" s="4" t="s">
        <v>244</v>
      </c>
      <c r="Z452" s="4" t="s">
        <v>241</v>
      </c>
      <c r="AA452" s="4" t="s">
        <v>241</v>
      </c>
      <c r="AD452" s="4" t="s">
        <v>241</v>
      </c>
      <c r="AE452" s="5" t="s">
        <v>241</v>
      </c>
      <c r="AF452" s="5" t="s">
        <v>241</v>
      </c>
      <c r="AH452" s="5" t="s">
        <v>241</v>
      </c>
      <c r="AI452" s="5" t="s">
        <v>375</v>
      </c>
      <c r="AJ452" s="4" t="s">
        <v>251</v>
      </c>
      <c r="AK452" s="4" t="s">
        <v>252</v>
      </c>
      <c r="AQ452" s="4" t="s">
        <v>241</v>
      </c>
      <c r="AR452" s="4" t="s">
        <v>241</v>
      </c>
      <c r="AS452" s="4" t="s">
        <v>241</v>
      </c>
      <c r="AT452" s="5" t="s">
        <v>241</v>
      </c>
      <c r="AU452" s="5" t="s">
        <v>241</v>
      </c>
      <c r="AV452" s="5" t="s">
        <v>241</v>
      </c>
      <c r="AY452" s="4" t="s">
        <v>286</v>
      </c>
      <c r="AZ452" s="4" t="s">
        <v>286</v>
      </c>
      <c r="BA452" s="4" t="s">
        <v>254</v>
      </c>
      <c r="BB452" s="4" t="s">
        <v>287</v>
      </c>
      <c r="BC452" s="4" t="s">
        <v>255</v>
      </c>
      <c r="BD452" s="4" t="s">
        <v>241</v>
      </c>
      <c r="BE452" s="4" t="s">
        <v>257</v>
      </c>
      <c r="BF452" s="4" t="s">
        <v>241</v>
      </c>
      <c r="BJ452" s="4" t="s">
        <v>288</v>
      </c>
      <c r="BK452" s="5" t="s">
        <v>289</v>
      </c>
      <c r="BL452" s="4" t="s">
        <v>290</v>
      </c>
      <c r="BM452" s="4" t="s">
        <v>290</v>
      </c>
      <c r="BN452" s="4" t="s">
        <v>241</v>
      </c>
      <c r="BP452" s="6">
        <f>-3394588</f>
        <v>-3394588</v>
      </c>
      <c r="BQ452" s="4" t="s">
        <v>263</v>
      </c>
      <c r="BR452" s="4" t="s">
        <v>264</v>
      </c>
      <c r="BS452" s="4" t="s">
        <v>241</v>
      </c>
      <c r="BT452" s="4" t="s">
        <v>241</v>
      </c>
      <c r="BU452" s="4" t="s">
        <v>241</v>
      </c>
      <c r="BV452" s="4" t="s">
        <v>241</v>
      </c>
      <c r="CE452" s="4" t="s">
        <v>264</v>
      </c>
      <c r="CF452" s="4" t="s">
        <v>241</v>
      </c>
      <c r="CG452" s="4" t="s">
        <v>241</v>
      </c>
      <c r="CK452" s="4" t="s">
        <v>291</v>
      </c>
      <c r="CL452" s="4" t="s">
        <v>266</v>
      </c>
      <c r="CM452" s="4" t="s">
        <v>241</v>
      </c>
      <c r="CO452" s="4" t="s">
        <v>331</v>
      </c>
      <c r="CP452" s="5" t="s">
        <v>268</v>
      </c>
      <c r="CQ452" s="4" t="s">
        <v>269</v>
      </c>
      <c r="CR452" s="4" t="s">
        <v>270</v>
      </c>
      <c r="CS452" s="4" t="s">
        <v>293</v>
      </c>
      <c r="CT452" s="4" t="s">
        <v>241</v>
      </c>
      <c r="CU452" s="4">
        <v>7.6999999999999999E-2</v>
      </c>
      <c r="CV452" s="4" t="s">
        <v>271</v>
      </c>
      <c r="CW452" s="4" t="s">
        <v>415</v>
      </c>
      <c r="CX452" s="4" t="s">
        <v>428</v>
      </c>
      <c r="CY452" s="6">
        <f>0</f>
        <v>0</v>
      </c>
      <c r="CZ452" s="6">
        <f>44085566</f>
        <v>44085566</v>
      </c>
      <c r="DA452" s="6">
        <f>37296390</f>
        <v>37296390</v>
      </c>
      <c r="DC452" s="4" t="s">
        <v>241</v>
      </c>
      <c r="DD452" s="4" t="s">
        <v>241</v>
      </c>
      <c r="DF452" s="4" t="s">
        <v>241</v>
      </c>
      <c r="DG452" s="6">
        <f>0</f>
        <v>0</v>
      </c>
      <c r="DI452" s="4" t="s">
        <v>241</v>
      </c>
      <c r="DJ452" s="4" t="s">
        <v>241</v>
      </c>
      <c r="DK452" s="4" t="s">
        <v>241</v>
      </c>
      <c r="DL452" s="4" t="s">
        <v>241</v>
      </c>
      <c r="DM452" s="4" t="s">
        <v>278</v>
      </c>
      <c r="DN452" s="4" t="s">
        <v>278</v>
      </c>
      <c r="DO452" s="6" t="s">
        <v>241</v>
      </c>
      <c r="DP452" s="4" t="s">
        <v>241</v>
      </c>
      <c r="DQ452" s="4" t="s">
        <v>241</v>
      </c>
      <c r="DR452" s="4" t="s">
        <v>241</v>
      </c>
      <c r="DS452" s="4" t="s">
        <v>241</v>
      </c>
      <c r="DV452" s="4" t="s">
        <v>1000</v>
      </c>
      <c r="DW452" s="4" t="s">
        <v>343</v>
      </c>
      <c r="GN452" s="4" t="s">
        <v>2812</v>
      </c>
      <c r="HO452" s="4" t="s">
        <v>297</v>
      </c>
      <c r="HR452" s="4" t="s">
        <v>278</v>
      </c>
      <c r="HS452" s="4" t="s">
        <v>278</v>
      </c>
      <c r="HT452" s="4" t="s">
        <v>241</v>
      </c>
      <c r="HU452" s="4" t="s">
        <v>241</v>
      </c>
      <c r="HV452" s="4" t="s">
        <v>241</v>
      </c>
      <c r="HW452" s="4" t="s">
        <v>241</v>
      </c>
      <c r="HX452" s="4" t="s">
        <v>241</v>
      </c>
      <c r="HY452" s="4" t="s">
        <v>241</v>
      </c>
      <c r="HZ452" s="4" t="s">
        <v>241</v>
      </c>
      <c r="IA452" s="4" t="s">
        <v>241</v>
      </c>
      <c r="IB452" s="4" t="s">
        <v>241</v>
      </c>
      <c r="IC452" s="4" t="s">
        <v>241</v>
      </c>
      <c r="ID452" s="4" t="s">
        <v>241</v>
      </c>
      <c r="IE452" s="4" t="s">
        <v>241</v>
      </c>
      <c r="IF452" s="4" t="s">
        <v>241</v>
      </c>
    </row>
    <row r="453" spans="1:240" x14ac:dyDescent="0.4">
      <c r="A453" s="4">
        <v>2</v>
      </c>
      <c r="B453" s="4" t="s">
        <v>239</v>
      </c>
      <c r="C453" s="4">
        <v>484</v>
      </c>
      <c r="D453" s="4">
        <v>1</v>
      </c>
      <c r="E453" s="4">
        <v>3</v>
      </c>
      <c r="F453" s="4" t="s">
        <v>240</v>
      </c>
      <c r="G453" s="4" t="s">
        <v>241</v>
      </c>
      <c r="H453" s="4" t="s">
        <v>241</v>
      </c>
      <c r="I453" s="4" t="s">
        <v>968</v>
      </c>
      <c r="J453" s="4" t="s">
        <v>653</v>
      </c>
      <c r="K453" s="4" t="s">
        <v>256</v>
      </c>
      <c r="L453" s="4" t="s">
        <v>651</v>
      </c>
      <c r="M453" s="5" t="s">
        <v>577</v>
      </c>
      <c r="N453" s="4" t="s">
        <v>651</v>
      </c>
      <c r="O453" s="6">
        <f>4048</f>
        <v>4048</v>
      </c>
      <c r="P453" s="4" t="s">
        <v>276</v>
      </c>
      <c r="Q453" s="6">
        <f>200173600</f>
        <v>200173600</v>
      </c>
      <c r="R453" s="6">
        <f>870320000</f>
        <v>870320000</v>
      </c>
      <c r="S453" s="5" t="s">
        <v>969</v>
      </c>
      <c r="T453" s="4" t="s">
        <v>668</v>
      </c>
      <c r="U453" s="4" t="s">
        <v>357</v>
      </c>
      <c r="V453" s="6">
        <f>19147040</f>
        <v>19147040</v>
      </c>
      <c r="W453" s="6">
        <f>670146400</f>
        <v>670146400</v>
      </c>
      <c r="X453" s="4" t="s">
        <v>243</v>
      </c>
      <c r="Y453" s="4" t="s">
        <v>244</v>
      </c>
      <c r="Z453" s="4" t="s">
        <v>465</v>
      </c>
      <c r="AA453" s="4" t="s">
        <v>241</v>
      </c>
      <c r="AD453" s="4" t="s">
        <v>241</v>
      </c>
      <c r="AE453" s="5" t="s">
        <v>241</v>
      </c>
      <c r="AF453" s="5" t="s">
        <v>241</v>
      </c>
      <c r="AH453" s="5" t="s">
        <v>241</v>
      </c>
      <c r="AI453" s="5" t="s">
        <v>375</v>
      </c>
      <c r="AJ453" s="4" t="s">
        <v>251</v>
      </c>
      <c r="AK453" s="4" t="s">
        <v>252</v>
      </c>
      <c r="AQ453" s="4" t="s">
        <v>241</v>
      </c>
      <c r="AR453" s="4" t="s">
        <v>241</v>
      </c>
      <c r="AS453" s="4" t="s">
        <v>241</v>
      </c>
      <c r="AT453" s="5" t="s">
        <v>241</v>
      </c>
      <c r="AU453" s="5" t="s">
        <v>241</v>
      </c>
      <c r="AV453" s="5" t="s">
        <v>241</v>
      </c>
      <c r="AY453" s="4" t="s">
        <v>286</v>
      </c>
      <c r="AZ453" s="4" t="s">
        <v>286</v>
      </c>
      <c r="BA453" s="4" t="s">
        <v>254</v>
      </c>
      <c r="BB453" s="4" t="s">
        <v>287</v>
      </c>
      <c r="BC453" s="4" t="s">
        <v>255</v>
      </c>
      <c r="BD453" s="4" t="s">
        <v>241</v>
      </c>
      <c r="BE453" s="4" t="s">
        <v>257</v>
      </c>
      <c r="BF453" s="4" t="s">
        <v>241</v>
      </c>
      <c r="BJ453" s="4" t="s">
        <v>288</v>
      </c>
      <c r="BK453" s="5" t="s">
        <v>289</v>
      </c>
      <c r="BL453" s="4" t="s">
        <v>290</v>
      </c>
      <c r="BM453" s="4" t="s">
        <v>290</v>
      </c>
      <c r="BN453" s="4" t="s">
        <v>241</v>
      </c>
      <c r="BO453" s="6">
        <f>0</f>
        <v>0</v>
      </c>
      <c r="BP453" s="6">
        <f>-19147040</f>
        <v>-19147040</v>
      </c>
      <c r="BQ453" s="4" t="s">
        <v>263</v>
      </c>
      <c r="BR453" s="4" t="s">
        <v>264</v>
      </c>
      <c r="BS453" s="4" t="s">
        <v>241</v>
      </c>
      <c r="BT453" s="4" t="s">
        <v>241</v>
      </c>
      <c r="BU453" s="4" t="s">
        <v>241</v>
      </c>
      <c r="BV453" s="4" t="s">
        <v>241</v>
      </c>
      <c r="CE453" s="4" t="s">
        <v>264</v>
      </c>
      <c r="CF453" s="4" t="s">
        <v>241</v>
      </c>
      <c r="CG453" s="4" t="s">
        <v>241</v>
      </c>
      <c r="CK453" s="4" t="s">
        <v>291</v>
      </c>
      <c r="CL453" s="4" t="s">
        <v>266</v>
      </c>
      <c r="CM453" s="4" t="s">
        <v>241</v>
      </c>
      <c r="CO453" s="4" t="s">
        <v>398</v>
      </c>
      <c r="CP453" s="5" t="s">
        <v>268</v>
      </c>
      <c r="CQ453" s="4" t="s">
        <v>269</v>
      </c>
      <c r="CR453" s="4" t="s">
        <v>270</v>
      </c>
      <c r="CS453" s="4" t="s">
        <v>293</v>
      </c>
      <c r="CT453" s="4" t="s">
        <v>241</v>
      </c>
      <c r="CU453" s="4">
        <v>2.1999999999999999E-2</v>
      </c>
      <c r="CV453" s="4" t="s">
        <v>271</v>
      </c>
      <c r="CW453" s="4" t="s">
        <v>655</v>
      </c>
      <c r="CX453" s="4" t="s">
        <v>295</v>
      </c>
      <c r="CY453" s="6">
        <f>0</f>
        <v>0</v>
      </c>
      <c r="CZ453" s="6">
        <f>870320000</f>
        <v>870320000</v>
      </c>
      <c r="DA453" s="6">
        <f>200173600</f>
        <v>200173600</v>
      </c>
      <c r="DC453" s="4" t="s">
        <v>241</v>
      </c>
      <c r="DD453" s="4" t="s">
        <v>241</v>
      </c>
      <c r="DF453" s="4" t="s">
        <v>241</v>
      </c>
      <c r="DG453" s="6">
        <f>0</f>
        <v>0</v>
      </c>
      <c r="DI453" s="4" t="s">
        <v>241</v>
      </c>
      <c r="DJ453" s="4" t="s">
        <v>241</v>
      </c>
      <c r="DK453" s="4" t="s">
        <v>241</v>
      </c>
      <c r="DL453" s="4" t="s">
        <v>241</v>
      </c>
      <c r="DM453" s="4" t="s">
        <v>297</v>
      </c>
      <c r="DN453" s="4" t="s">
        <v>278</v>
      </c>
      <c r="DO453" s="6">
        <f>4048</f>
        <v>4048</v>
      </c>
      <c r="DP453" s="4" t="s">
        <v>241</v>
      </c>
      <c r="DQ453" s="4" t="s">
        <v>241</v>
      </c>
      <c r="DR453" s="4" t="s">
        <v>241</v>
      </c>
      <c r="DS453" s="4" t="s">
        <v>241</v>
      </c>
      <c r="DV453" s="4" t="s">
        <v>970</v>
      </c>
      <c r="DW453" s="4" t="s">
        <v>277</v>
      </c>
      <c r="GN453" s="4" t="s">
        <v>971</v>
      </c>
      <c r="HO453" s="4" t="s">
        <v>300</v>
      </c>
      <c r="HR453" s="4" t="s">
        <v>278</v>
      </c>
      <c r="HS453" s="4" t="s">
        <v>278</v>
      </c>
      <c r="HT453" s="4" t="s">
        <v>241</v>
      </c>
      <c r="HU453" s="4" t="s">
        <v>241</v>
      </c>
      <c r="HV453" s="4" t="s">
        <v>241</v>
      </c>
      <c r="HW453" s="4" t="s">
        <v>241</v>
      </c>
      <c r="HX453" s="4" t="s">
        <v>241</v>
      </c>
      <c r="HY453" s="4" t="s">
        <v>241</v>
      </c>
      <c r="HZ453" s="4" t="s">
        <v>241</v>
      </c>
      <c r="IA453" s="4" t="s">
        <v>241</v>
      </c>
      <c r="IB453" s="4" t="s">
        <v>241</v>
      </c>
      <c r="IC453" s="4" t="s">
        <v>241</v>
      </c>
      <c r="ID453" s="4" t="s">
        <v>241</v>
      </c>
      <c r="IE453" s="4" t="s">
        <v>241</v>
      </c>
      <c r="IF453" s="4" t="s">
        <v>241</v>
      </c>
    </row>
    <row r="454" spans="1:240" x14ac:dyDescent="0.4">
      <c r="A454" s="4">
        <v>2</v>
      </c>
      <c r="B454" s="4" t="s">
        <v>239</v>
      </c>
      <c r="C454" s="4">
        <v>485</v>
      </c>
      <c r="D454" s="4">
        <v>1</v>
      </c>
      <c r="E454" s="4">
        <v>3</v>
      </c>
      <c r="F454" s="4" t="s">
        <v>240</v>
      </c>
      <c r="G454" s="4" t="s">
        <v>241</v>
      </c>
      <c r="H454" s="4" t="s">
        <v>241</v>
      </c>
      <c r="I454" s="4" t="s">
        <v>968</v>
      </c>
      <c r="J454" s="4" t="s">
        <v>653</v>
      </c>
      <c r="K454" s="4" t="s">
        <v>256</v>
      </c>
      <c r="L454" s="4" t="s">
        <v>1003</v>
      </c>
      <c r="M454" s="5" t="s">
        <v>577</v>
      </c>
      <c r="N454" s="4" t="s">
        <v>1003</v>
      </c>
      <c r="O454" s="6">
        <f>1100</f>
        <v>1100</v>
      </c>
      <c r="P454" s="4" t="s">
        <v>276</v>
      </c>
      <c r="Q454" s="6">
        <f>91289000</f>
        <v>91289000</v>
      </c>
      <c r="R454" s="6">
        <f>212300000</f>
        <v>212300000</v>
      </c>
      <c r="S454" s="5" t="s">
        <v>1028</v>
      </c>
      <c r="T454" s="4" t="s">
        <v>357</v>
      </c>
      <c r="U454" s="4" t="s">
        <v>365</v>
      </c>
      <c r="V454" s="6">
        <f>6369000</f>
        <v>6369000</v>
      </c>
      <c r="W454" s="6">
        <f>121011000</f>
        <v>121011000</v>
      </c>
      <c r="X454" s="4" t="s">
        <v>243</v>
      </c>
      <c r="Y454" s="4" t="s">
        <v>244</v>
      </c>
      <c r="Z454" s="4" t="s">
        <v>465</v>
      </c>
      <c r="AA454" s="4" t="s">
        <v>241</v>
      </c>
      <c r="AD454" s="4" t="s">
        <v>241</v>
      </c>
      <c r="AE454" s="5" t="s">
        <v>241</v>
      </c>
      <c r="AF454" s="5" t="s">
        <v>241</v>
      </c>
      <c r="AH454" s="5" t="s">
        <v>241</v>
      </c>
      <c r="AI454" s="5" t="s">
        <v>375</v>
      </c>
      <c r="AJ454" s="4" t="s">
        <v>251</v>
      </c>
      <c r="AK454" s="4" t="s">
        <v>252</v>
      </c>
      <c r="AQ454" s="4" t="s">
        <v>241</v>
      </c>
      <c r="AR454" s="4" t="s">
        <v>241</v>
      </c>
      <c r="AS454" s="4" t="s">
        <v>241</v>
      </c>
      <c r="AT454" s="5" t="s">
        <v>241</v>
      </c>
      <c r="AU454" s="5" t="s">
        <v>241</v>
      </c>
      <c r="AV454" s="5" t="s">
        <v>241</v>
      </c>
      <c r="AY454" s="4" t="s">
        <v>286</v>
      </c>
      <c r="AZ454" s="4" t="s">
        <v>286</v>
      </c>
      <c r="BA454" s="4" t="s">
        <v>254</v>
      </c>
      <c r="BB454" s="4" t="s">
        <v>287</v>
      </c>
      <c r="BC454" s="4" t="s">
        <v>255</v>
      </c>
      <c r="BD454" s="4" t="s">
        <v>241</v>
      </c>
      <c r="BE454" s="4" t="s">
        <v>257</v>
      </c>
      <c r="BF454" s="4" t="s">
        <v>241</v>
      </c>
      <c r="BJ454" s="4" t="s">
        <v>288</v>
      </c>
      <c r="BK454" s="5" t="s">
        <v>289</v>
      </c>
      <c r="BL454" s="4" t="s">
        <v>290</v>
      </c>
      <c r="BM454" s="4" t="s">
        <v>290</v>
      </c>
      <c r="BN454" s="4" t="s">
        <v>241</v>
      </c>
      <c r="BO454" s="6">
        <f>0</f>
        <v>0</v>
      </c>
      <c r="BP454" s="6">
        <f>-6369000</f>
        <v>-6369000</v>
      </c>
      <c r="BQ454" s="4" t="s">
        <v>263</v>
      </c>
      <c r="BR454" s="4" t="s">
        <v>264</v>
      </c>
      <c r="BS454" s="4" t="s">
        <v>241</v>
      </c>
      <c r="BT454" s="4" t="s">
        <v>241</v>
      </c>
      <c r="BU454" s="4" t="s">
        <v>241</v>
      </c>
      <c r="BV454" s="4" t="s">
        <v>241</v>
      </c>
      <c r="CE454" s="4" t="s">
        <v>264</v>
      </c>
      <c r="CF454" s="4" t="s">
        <v>241</v>
      </c>
      <c r="CG454" s="4" t="s">
        <v>241</v>
      </c>
      <c r="CK454" s="4" t="s">
        <v>291</v>
      </c>
      <c r="CL454" s="4" t="s">
        <v>266</v>
      </c>
      <c r="CM454" s="4" t="s">
        <v>241</v>
      </c>
      <c r="CO454" s="4" t="s">
        <v>364</v>
      </c>
      <c r="CP454" s="5" t="s">
        <v>268</v>
      </c>
      <c r="CQ454" s="4" t="s">
        <v>269</v>
      </c>
      <c r="CR454" s="4" t="s">
        <v>270</v>
      </c>
      <c r="CS454" s="4" t="s">
        <v>293</v>
      </c>
      <c r="CT454" s="4" t="s">
        <v>241</v>
      </c>
      <c r="CU454" s="4">
        <v>0.03</v>
      </c>
      <c r="CV454" s="4" t="s">
        <v>271</v>
      </c>
      <c r="CW454" s="4" t="s">
        <v>1006</v>
      </c>
      <c r="CX454" s="4" t="s">
        <v>487</v>
      </c>
      <c r="CY454" s="6">
        <f>0</f>
        <v>0</v>
      </c>
      <c r="CZ454" s="6">
        <f>212300000</f>
        <v>212300000</v>
      </c>
      <c r="DA454" s="6">
        <f>91289000</f>
        <v>91289000</v>
      </c>
      <c r="DC454" s="4" t="s">
        <v>241</v>
      </c>
      <c r="DD454" s="4" t="s">
        <v>241</v>
      </c>
      <c r="DF454" s="4" t="s">
        <v>241</v>
      </c>
      <c r="DG454" s="6">
        <f>0</f>
        <v>0</v>
      </c>
      <c r="DI454" s="4" t="s">
        <v>241</v>
      </c>
      <c r="DJ454" s="4" t="s">
        <v>241</v>
      </c>
      <c r="DK454" s="4" t="s">
        <v>241</v>
      </c>
      <c r="DL454" s="4" t="s">
        <v>241</v>
      </c>
      <c r="DM454" s="4" t="s">
        <v>323</v>
      </c>
      <c r="DN454" s="4" t="s">
        <v>278</v>
      </c>
      <c r="DO454" s="6">
        <f>1100</f>
        <v>1100</v>
      </c>
      <c r="DP454" s="4" t="s">
        <v>241</v>
      </c>
      <c r="DQ454" s="4" t="s">
        <v>241</v>
      </c>
      <c r="DR454" s="4" t="s">
        <v>241</v>
      </c>
      <c r="DS454" s="4" t="s">
        <v>241</v>
      </c>
      <c r="DV454" s="4" t="s">
        <v>970</v>
      </c>
      <c r="DW454" s="4" t="s">
        <v>323</v>
      </c>
      <c r="GN454" s="4" t="s">
        <v>1029</v>
      </c>
      <c r="HO454" s="4" t="s">
        <v>300</v>
      </c>
      <c r="HR454" s="4" t="s">
        <v>278</v>
      </c>
      <c r="HS454" s="4" t="s">
        <v>278</v>
      </c>
      <c r="HT454" s="4" t="s">
        <v>241</v>
      </c>
      <c r="HU454" s="4" t="s">
        <v>241</v>
      </c>
      <c r="HV454" s="4" t="s">
        <v>241</v>
      </c>
      <c r="HW454" s="4" t="s">
        <v>241</v>
      </c>
      <c r="HX454" s="4" t="s">
        <v>241</v>
      </c>
      <c r="HY454" s="4" t="s">
        <v>241</v>
      </c>
      <c r="HZ454" s="4" t="s">
        <v>241</v>
      </c>
      <c r="IA454" s="4" t="s">
        <v>241</v>
      </c>
      <c r="IB454" s="4" t="s">
        <v>241</v>
      </c>
      <c r="IC454" s="4" t="s">
        <v>241</v>
      </c>
      <c r="ID454" s="4" t="s">
        <v>241</v>
      </c>
      <c r="IE454" s="4" t="s">
        <v>241</v>
      </c>
      <c r="IF454" s="4" t="s">
        <v>241</v>
      </c>
    </row>
    <row r="455" spans="1:240" x14ac:dyDescent="0.4">
      <c r="A455" s="4">
        <v>2</v>
      </c>
      <c r="B455" s="4" t="s">
        <v>239</v>
      </c>
      <c r="C455" s="4">
        <v>486</v>
      </c>
      <c r="D455" s="4">
        <v>1</v>
      </c>
      <c r="E455" s="4">
        <v>1</v>
      </c>
      <c r="F455" s="4" t="s">
        <v>240</v>
      </c>
      <c r="G455" s="4" t="s">
        <v>241</v>
      </c>
      <c r="H455" s="4" t="s">
        <v>241</v>
      </c>
      <c r="I455" s="4" t="s">
        <v>968</v>
      </c>
      <c r="J455" s="4" t="s">
        <v>653</v>
      </c>
      <c r="K455" s="4" t="s">
        <v>256</v>
      </c>
      <c r="L455" s="4" t="s">
        <v>454</v>
      </c>
      <c r="M455" s="5" t="s">
        <v>577</v>
      </c>
      <c r="N455" s="4" t="s">
        <v>454</v>
      </c>
      <c r="O455" s="6">
        <f>95</f>
        <v>95</v>
      </c>
      <c r="P455" s="4" t="s">
        <v>276</v>
      </c>
      <c r="Q455" s="6">
        <f>1</f>
        <v>1</v>
      </c>
      <c r="R455" s="6">
        <f>5700000</f>
        <v>5700000</v>
      </c>
      <c r="S455" s="5" t="s">
        <v>381</v>
      </c>
      <c r="T455" s="4" t="s">
        <v>441</v>
      </c>
      <c r="U455" s="4" t="s">
        <v>357</v>
      </c>
      <c r="W455" s="6">
        <f>5699999</f>
        <v>5699999</v>
      </c>
      <c r="X455" s="4" t="s">
        <v>243</v>
      </c>
      <c r="Y455" s="4" t="s">
        <v>244</v>
      </c>
      <c r="Z455" s="4" t="s">
        <v>465</v>
      </c>
      <c r="AA455" s="4" t="s">
        <v>241</v>
      </c>
      <c r="AD455" s="4" t="s">
        <v>241</v>
      </c>
      <c r="AF455" s="5" t="s">
        <v>241</v>
      </c>
      <c r="AI455" s="5" t="s">
        <v>375</v>
      </c>
      <c r="AJ455" s="4" t="s">
        <v>251</v>
      </c>
      <c r="AK455" s="4" t="s">
        <v>252</v>
      </c>
      <c r="BA455" s="4" t="s">
        <v>254</v>
      </c>
      <c r="BB455" s="4" t="s">
        <v>241</v>
      </c>
      <c r="BC455" s="4" t="s">
        <v>255</v>
      </c>
      <c r="BD455" s="4" t="s">
        <v>241</v>
      </c>
      <c r="BE455" s="4" t="s">
        <v>257</v>
      </c>
      <c r="BF455" s="4" t="s">
        <v>241</v>
      </c>
      <c r="BJ455" s="4" t="s">
        <v>259</v>
      </c>
      <c r="BK455" s="5" t="s">
        <v>260</v>
      </c>
      <c r="BL455" s="4" t="s">
        <v>261</v>
      </c>
      <c r="BM455" s="4" t="s">
        <v>262</v>
      </c>
      <c r="BN455" s="4" t="s">
        <v>241</v>
      </c>
      <c r="BO455" s="6">
        <f>0</f>
        <v>0</v>
      </c>
      <c r="BP455" s="6">
        <f>0</f>
        <v>0</v>
      </c>
      <c r="BQ455" s="4" t="s">
        <v>263</v>
      </c>
      <c r="BR455" s="4" t="s">
        <v>264</v>
      </c>
      <c r="CF455" s="4" t="s">
        <v>241</v>
      </c>
      <c r="CG455" s="4" t="s">
        <v>241</v>
      </c>
      <c r="CK455" s="4" t="s">
        <v>265</v>
      </c>
      <c r="CL455" s="4" t="s">
        <v>266</v>
      </c>
      <c r="CM455" s="4" t="s">
        <v>241</v>
      </c>
      <c r="CO455" s="4" t="s">
        <v>382</v>
      </c>
      <c r="CP455" s="5" t="s">
        <v>268</v>
      </c>
      <c r="CQ455" s="4" t="s">
        <v>269</v>
      </c>
      <c r="CR455" s="4" t="s">
        <v>270</v>
      </c>
      <c r="CS455" s="4" t="s">
        <v>241</v>
      </c>
      <c r="CT455" s="4" t="s">
        <v>241</v>
      </c>
      <c r="CU455" s="4">
        <v>0</v>
      </c>
      <c r="CV455" s="4" t="s">
        <v>271</v>
      </c>
      <c r="CW455" s="4" t="s">
        <v>455</v>
      </c>
      <c r="CX455" s="4" t="s">
        <v>487</v>
      </c>
      <c r="CZ455" s="6">
        <f>5700000</f>
        <v>5700000</v>
      </c>
      <c r="DA455" s="6">
        <f>0</f>
        <v>0</v>
      </c>
      <c r="DC455" s="4" t="s">
        <v>241</v>
      </c>
      <c r="DD455" s="4" t="s">
        <v>241</v>
      </c>
      <c r="DF455" s="4" t="s">
        <v>241</v>
      </c>
      <c r="DI455" s="4" t="s">
        <v>241</v>
      </c>
      <c r="DJ455" s="4" t="s">
        <v>241</v>
      </c>
      <c r="DK455" s="4" t="s">
        <v>241</v>
      </c>
      <c r="DL455" s="4" t="s">
        <v>241</v>
      </c>
      <c r="DM455" s="4" t="s">
        <v>277</v>
      </c>
      <c r="DN455" s="4" t="s">
        <v>278</v>
      </c>
      <c r="DO455" s="6">
        <f>95</f>
        <v>95</v>
      </c>
      <c r="DP455" s="4" t="s">
        <v>241</v>
      </c>
      <c r="DQ455" s="4" t="s">
        <v>241</v>
      </c>
      <c r="DR455" s="4" t="s">
        <v>241</v>
      </c>
      <c r="DS455" s="4" t="s">
        <v>241</v>
      </c>
      <c r="DV455" s="4" t="s">
        <v>970</v>
      </c>
      <c r="DW455" s="4" t="s">
        <v>297</v>
      </c>
      <c r="HO455" s="4" t="s">
        <v>277</v>
      </c>
      <c r="HR455" s="4" t="s">
        <v>278</v>
      </c>
      <c r="HS455" s="4" t="s">
        <v>278</v>
      </c>
    </row>
    <row r="456" spans="1:240" x14ac:dyDescent="0.4">
      <c r="A456" s="4">
        <v>2</v>
      </c>
      <c r="B456" s="4" t="s">
        <v>239</v>
      </c>
      <c r="C456" s="4">
        <v>487</v>
      </c>
      <c r="D456" s="4">
        <v>1</v>
      </c>
      <c r="E456" s="4">
        <v>1</v>
      </c>
      <c r="F456" s="4" t="s">
        <v>240</v>
      </c>
      <c r="G456" s="4" t="s">
        <v>241</v>
      </c>
      <c r="H456" s="4" t="s">
        <v>241</v>
      </c>
      <c r="I456" s="4" t="s">
        <v>968</v>
      </c>
      <c r="J456" s="4" t="s">
        <v>653</v>
      </c>
      <c r="K456" s="4" t="s">
        <v>256</v>
      </c>
      <c r="L456" s="4" t="s">
        <v>2529</v>
      </c>
      <c r="M456" s="5" t="s">
        <v>577</v>
      </c>
      <c r="N456" s="4" t="s">
        <v>2529</v>
      </c>
      <c r="O456" s="6">
        <f>141</f>
        <v>141</v>
      </c>
      <c r="P456" s="4" t="s">
        <v>276</v>
      </c>
      <c r="Q456" s="6">
        <f>1</f>
        <v>1</v>
      </c>
      <c r="R456" s="6">
        <f>22983000</f>
        <v>22983000</v>
      </c>
      <c r="S456" s="5" t="s">
        <v>1442</v>
      </c>
      <c r="T456" s="4" t="s">
        <v>348</v>
      </c>
      <c r="U456" s="4" t="s">
        <v>348</v>
      </c>
      <c r="W456" s="6">
        <f>22982999</f>
        <v>22982999</v>
      </c>
      <c r="X456" s="4" t="s">
        <v>243</v>
      </c>
      <c r="Y456" s="4" t="s">
        <v>244</v>
      </c>
      <c r="Z456" s="4" t="s">
        <v>465</v>
      </c>
      <c r="AA456" s="4" t="s">
        <v>241</v>
      </c>
      <c r="AD456" s="4" t="s">
        <v>241</v>
      </c>
      <c r="AF456" s="5" t="s">
        <v>241</v>
      </c>
      <c r="AI456" s="5" t="s">
        <v>249</v>
      </c>
      <c r="AJ456" s="4" t="s">
        <v>251</v>
      </c>
      <c r="AK456" s="4" t="s">
        <v>252</v>
      </c>
      <c r="BA456" s="4" t="s">
        <v>254</v>
      </c>
      <c r="BB456" s="4" t="s">
        <v>241</v>
      </c>
      <c r="BC456" s="4" t="s">
        <v>255</v>
      </c>
      <c r="BD456" s="4" t="s">
        <v>241</v>
      </c>
      <c r="BE456" s="4" t="s">
        <v>257</v>
      </c>
      <c r="BF456" s="4" t="s">
        <v>241</v>
      </c>
      <c r="BJ456" s="4" t="s">
        <v>367</v>
      </c>
      <c r="BK456" s="5" t="s">
        <v>249</v>
      </c>
      <c r="BL456" s="4" t="s">
        <v>261</v>
      </c>
      <c r="BM456" s="4" t="s">
        <v>290</v>
      </c>
      <c r="BN456" s="4" t="s">
        <v>241</v>
      </c>
      <c r="BO456" s="6">
        <f>0</f>
        <v>0</v>
      </c>
      <c r="BP456" s="6">
        <f>0</f>
        <v>0</v>
      </c>
      <c r="BQ456" s="4" t="s">
        <v>263</v>
      </c>
      <c r="BR456" s="4" t="s">
        <v>264</v>
      </c>
      <c r="CF456" s="4" t="s">
        <v>241</v>
      </c>
      <c r="CG456" s="4" t="s">
        <v>241</v>
      </c>
      <c r="CK456" s="4" t="s">
        <v>291</v>
      </c>
      <c r="CL456" s="4" t="s">
        <v>266</v>
      </c>
      <c r="CM456" s="4" t="s">
        <v>241</v>
      </c>
      <c r="CO456" s="4" t="s">
        <v>1444</v>
      </c>
      <c r="CP456" s="5" t="s">
        <v>268</v>
      </c>
      <c r="CQ456" s="4" t="s">
        <v>269</v>
      </c>
      <c r="CR456" s="4" t="s">
        <v>270</v>
      </c>
      <c r="CS456" s="4" t="s">
        <v>241</v>
      </c>
      <c r="CT456" s="4" t="s">
        <v>241</v>
      </c>
      <c r="CU456" s="4">
        <v>0</v>
      </c>
      <c r="CV456" s="4" t="s">
        <v>271</v>
      </c>
      <c r="CW456" s="4" t="s">
        <v>415</v>
      </c>
      <c r="CX456" s="4" t="s">
        <v>416</v>
      </c>
      <c r="CZ456" s="6">
        <f>22983000</f>
        <v>22983000</v>
      </c>
      <c r="DA456" s="6">
        <f>0</f>
        <v>0</v>
      </c>
      <c r="DC456" s="4" t="s">
        <v>241</v>
      </c>
      <c r="DD456" s="4" t="s">
        <v>241</v>
      </c>
      <c r="DF456" s="4" t="s">
        <v>241</v>
      </c>
      <c r="DI456" s="4" t="s">
        <v>241</v>
      </c>
      <c r="DJ456" s="4" t="s">
        <v>241</v>
      </c>
      <c r="DK456" s="4" t="s">
        <v>241</v>
      </c>
      <c r="DL456" s="4" t="s">
        <v>241</v>
      </c>
      <c r="DM456" s="4" t="s">
        <v>277</v>
      </c>
      <c r="DN456" s="4" t="s">
        <v>278</v>
      </c>
      <c r="DO456" s="6">
        <f>141</f>
        <v>141</v>
      </c>
      <c r="DP456" s="4" t="s">
        <v>241</v>
      </c>
      <c r="DQ456" s="4" t="s">
        <v>241</v>
      </c>
      <c r="DR456" s="4" t="s">
        <v>241</v>
      </c>
      <c r="DS456" s="4" t="s">
        <v>241</v>
      </c>
      <c r="DV456" s="4" t="s">
        <v>970</v>
      </c>
      <c r="DW456" s="4" t="s">
        <v>336</v>
      </c>
      <c r="HO456" s="4" t="s">
        <v>300</v>
      </c>
      <c r="HR456" s="4" t="s">
        <v>278</v>
      </c>
      <c r="HS456" s="4" t="s">
        <v>278</v>
      </c>
    </row>
    <row r="457" spans="1:240" x14ac:dyDescent="0.4">
      <c r="A457" s="4">
        <v>2</v>
      </c>
      <c r="B457" s="4" t="s">
        <v>239</v>
      </c>
      <c r="C457" s="4">
        <v>488</v>
      </c>
      <c r="D457" s="4">
        <v>1</v>
      </c>
      <c r="E457" s="4">
        <v>3</v>
      </c>
      <c r="F457" s="4" t="s">
        <v>326</v>
      </c>
      <c r="G457" s="4" t="s">
        <v>241</v>
      </c>
      <c r="H457" s="4" t="s">
        <v>241</v>
      </c>
      <c r="I457" s="4" t="s">
        <v>968</v>
      </c>
      <c r="J457" s="4" t="s">
        <v>653</v>
      </c>
      <c r="K457" s="4" t="s">
        <v>256</v>
      </c>
      <c r="L457" s="4" t="s">
        <v>2724</v>
      </c>
      <c r="M457" s="5" t="s">
        <v>577</v>
      </c>
      <c r="N457" s="4" t="s">
        <v>2761</v>
      </c>
      <c r="O457" s="6">
        <f>0</f>
        <v>0</v>
      </c>
      <c r="P457" s="4" t="s">
        <v>276</v>
      </c>
      <c r="Q457" s="6">
        <f>758450</f>
        <v>758450</v>
      </c>
      <c r="R457" s="6">
        <f>1036130</f>
        <v>1036130</v>
      </c>
      <c r="S457" s="5" t="s">
        <v>380</v>
      </c>
      <c r="T457" s="4" t="s">
        <v>348</v>
      </c>
      <c r="U457" s="4" t="s">
        <v>297</v>
      </c>
      <c r="V457" s="6">
        <f>69420</f>
        <v>69420</v>
      </c>
      <c r="W457" s="6">
        <f>277680</f>
        <v>277680</v>
      </c>
      <c r="X457" s="4" t="s">
        <v>243</v>
      </c>
      <c r="Y457" s="4" t="s">
        <v>244</v>
      </c>
      <c r="Z457" s="4" t="s">
        <v>465</v>
      </c>
      <c r="AA457" s="4" t="s">
        <v>241</v>
      </c>
      <c r="AD457" s="4" t="s">
        <v>241</v>
      </c>
      <c r="AE457" s="5" t="s">
        <v>241</v>
      </c>
      <c r="AF457" s="5" t="s">
        <v>241</v>
      </c>
      <c r="AH457" s="5" t="s">
        <v>241</v>
      </c>
      <c r="AI457" s="5" t="s">
        <v>249</v>
      </c>
      <c r="AJ457" s="4" t="s">
        <v>251</v>
      </c>
      <c r="AK457" s="4" t="s">
        <v>252</v>
      </c>
      <c r="AQ457" s="4" t="s">
        <v>241</v>
      </c>
      <c r="AR457" s="4" t="s">
        <v>241</v>
      </c>
      <c r="AS457" s="4" t="s">
        <v>241</v>
      </c>
      <c r="AT457" s="5" t="s">
        <v>241</v>
      </c>
      <c r="AU457" s="5" t="s">
        <v>241</v>
      </c>
      <c r="AV457" s="5" t="s">
        <v>241</v>
      </c>
      <c r="AY457" s="4" t="s">
        <v>286</v>
      </c>
      <c r="AZ457" s="4" t="s">
        <v>286</v>
      </c>
      <c r="BA457" s="4" t="s">
        <v>254</v>
      </c>
      <c r="BB457" s="4" t="s">
        <v>287</v>
      </c>
      <c r="BC457" s="4" t="s">
        <v>255</v>
      </c>
      <c r="BD457" s="4" t="s">
        <v>241</v>
      </c>
      <c r="BE457" s="4" t="s">
        <v>257</v>
      </c>
      <c r="BF457" s="4" t="s">
        <v>241</v>
      </c>
      <c r="BJ457" s="4" t="s">
        <v>288</v>
      </c>
      <c r="BK457" s="5" t="s">
        <v>289</v>
      </c>
      <c r="BL457" s="4" t="s">
        <v>290</v>
      </c>
      <c r="BM457" s="4" t="s">
        <v>290</v>
      </c>
      <c r="BN457" s="4" t="s">
        <v>241</v>
      </c>
      <c r="BP457" s="6">
        <f>-69420</f>
        <v>-69420</v>
      </c>
      <c r="BQ457" s="4" t="s">
        <v>263</v>
      </c>
      <c r="BR457" s="4" t="s">
        <v>264</v>
      </c>
      <c r="BS457" s="4" t="s">
        <v>241</v>
      </c>
      <c r="BT457" s="4" t="s">
        <v>241</v>
      </c>
      <c r="BU457" s="4" t="s">
        <v>241</v>
      </c>
      <c r="BV457" s="4" t="s">
        <v>241</v>
      </c>
      <c r="CE457" s="4" t="s">
        <v>264</v>
      </c>
      <c r="CF457" s="4" t="s">
        <v>241</v>
      </c>
      <c r="CG457" s="4" t="s">
        <v>241</v>
      </c>
      <c r="CK457" s="4" t="s">
        <v>291</v>
      </c>
      <c r="CL457" s="4" t="s">
        <v>266</v>
      </c>
      <c r="CM457" s="4" t="s">
        <v>241</v>
      </c>
      <c r="CO457" s="4" t="s">
        <v>413</v>
      </c>
      <c r="CP457" s="5" t="s">
        <v>268</v>
      </c>
      <c r="CQ457" s="4" t="s">
        <v>269</v>
      </c>
      <c r="CR457" s="4" t="s">
        <v>270</v>
      </c>
      <c r="CS457" s="4" t="s">
        <v>293</v>
      </c>
      <c r="CT457" s="4" t="s">
        <v>241</v>
      </c>
      <c r="CU457" s="4">
        <v>6.7000000000000004E-2</v>
      </c>
      <c r="CV457" s="4" t="s">
        <v>271</v>
      </c>
      <c r="CW457" s="4" t="s">
        <v>415</v>
      </c>
      <c r="CX457" s="4" t="s">
        <v>422</v>
      </c>
      <c r="CY457" s="6">
        <f>0</f>
        <v>0</v>
      </c>
      <c r="CZ457" s="6">
        <f>1036130</f>
        <v>1036130</v>
      </c>
      <c r="DA457" s="6">
        <f>758450</f>
        <v>758450</v>
      </c>
      <c r="DC457" s="4" t="s">
        <v>241</v>
      </c>
      <c r="DD457" s="4" t="s">
        <v>241</v>
      </c>
      <c r="DF457" s="4" t="s">
        <v>241</v>
      </c>
      <c r="DG457" s="6">
        <f>0</f>
        <v>0</v>
      </c>
      <c r="DI457" s="4" t="s">
        <v>241</v>
      </c>
      <c r="DJ457" s="4" t="s">
        <v>241</v>
      </c>
      <c r="DK457" s="4" t="s">
        <v>241</v>
      </c>
      <c r="DL457" s="4" t="s">
        <v>241</v>
      </c>
      <c r="DM457" s="4" t="s">
        <v>278</v>
      </c>
      <c r="DN457" s="4" t="s">
        <v>278</v>
      </c>
      <c r="DO457" s="6" t="s">
        <v>241</v>
      </c>
      <c r="DP457" s="4" t="s">
        <v>241</v>
      </c>
      <c r="DQ457" s="4" t="s">
        <v>241</v>
      </c>
      <c r="DR457" s="4" t="s">
        <v>241</v>
      </c>
      <c r="DS457" s="4" t="s">
        <v>241</v>
      </c>
      <c r="DV457" s="4" t="s">
        <v>970</v>
      </c>
      <c r="DW457" s="4" t="s">
        <v>351</v>
      </c>
      <c r="GN457" s="4" t="s">
        <v>2811</v>
      </c>
      <c r="HO457" s="4" t="s">
        <v>351</v>
      </c>
      <c r="HR457" s="4" t="s">
        <v>278</v>
      </c>
      <c r="HS457" s="4" t="s">
        <v>278</v>
      </c>
      <c r="HT457" s="4" t="s">
        <v>241</v>
      </c>
      <c r="HU457" s="4" t="s">
        <v>241</v>
      </c>
      <c r="HV457" s="4" t="s">
        <v>241</v>
      </c>
      <c r="HW457" s="4" t="s">
        <v>241</v>
      </c>
      <c r="HX457" s="4" t="s">
        <v>241</v>
      </c>
      <c r="HY457" s="4" t="s">
        <v>241</v>
      </c>
      <c r="HZ457" s="4" t="s">
        <v>241</v>
      </c>
      <c r="IA457" s="4" t="s">
        <v>241</v>
      </c>
      <c r="IB457" s="4" t="s">
        <v>241</v>
      </c>
      <c r="IC457" s="4" t="s">
        <v>241</v>
      </c>
      <c r="ID457" s="4" t="s">
        <v>241</v>
      </c>
      <c r="IE457" s="4" t="s">
        <v>241</v>
      </c>
      <c r="IF457" s="4" t="s">
        <v>241</v>
      </c>
    </row>
    <row r="458" spans="1:240" x14ac:dyDescent="0.4">
      <c r="A458" s="4">
        <v>2</v>
      </c>
      <c r="B458" s="4" t="s">
        <v>239</v>
      </c>
      <c r="C458" s="4">
        <v>489</v>
      </c>
      <c r="D458" s="4">
        <v>1</v>
      </c>
      <c r="E458" s="4">
        <v>3</v>
      </c>
      <c r="F458" s="4" t="s">
        <v>326</v>
      </c>
      <c r="G458" s="4" t="s">
        <v>241</v>
      </c>
      <c r="H458" s="4" t="s">
        <v>241</v>
      </c>
      <c r="I458" s="4" t="s">
        <v>968</v>
      </c>
      <c r="J458" s="4" t="s">
        <v>653</v>
      </c>
      <c r="K458" s="4" t="s">
        <v>256</v>
      </c>
      <c r="L458" s="4" t="s">
        <v>241</v>
      </c>
      <c r="M458" s="5" t="s">
        <v>577</v>
      </c>
      <c r="N458" s="4" t="s">
        <v>2747</v>
      </c>
      <c r="O458" s="6">
        <f>0</f>
        <v>0</v>
      </c>
      <c r="P458" s="4" t="s">
        <v>276</v>
      </c>
      <c r="Q458" s="6">
        <f>28342539</f>
        <v>28342539</v>
      </c>
      <c r="R458" s="6">
        <f>33501819</f>
        <v>33501819</v>
      </c>
      <c r="S458" s="5" t="s">
        <v>1104</v>
      </c>
      <c r="T458" s="4" t="s">
        <v>322</v>
      </c>
      <c r="U458" s="4" t="s">
        <v>277</v>
      </c>
      <c r="V458" s="6">
        <f>2579640</f>
        <v>2579640</v>
      </c>
      <c r="W458" s="6">
        <f>5159280</f>
        <v>5159280</v>
      </c>
      <c r="X458" s="4" t="s">
        <v>243</v>
      </c>
      <c r="Y458" s="4" t="s">
        <v>244</v>
      </c>
      <c r="Z458" s="4" t="s">
        <v>241</v>
      </c>
      <c r="AA458" s="4" t="s">
        <v>241</v>
      </c>
      <c r="AD458" s="4" t="s">
        <v>241</v>
      </c>
      <c r="AE458" s="5" t="s">
        <v>241</v>
      </c>
      <c r="AF458" s="5" t="s">
        <v>241</v>
      </c>
      <c r="AH458" s="5" t="s">
        <v>241</v>
      </c>
      <c r="AI458" s="5" t="s">
        <v>375</v>
      </c>
      <c r="AJ458" s="4" t="s">
        <v>251</v>
      </c>
      <c r="AK458" s="4" t="s">
        <v>252</v>
      </c>
      <c r="AQ458" s="4" t="s">
        <v>241</v>
      </c>
      <c r="AR458" s="4" t="s">
        <v>241</v>
      </c>
      <c r="AS458" s="4" t="s">
        <v>241</v>
      </c>
      <c r="AT458" s="5" t="s">
        <v>241</v>
      </c>
      <c r="AU458" s="5" t="s">
        <v>241</v>
      </c>
      <c r="AV458" s="5" t="s">
        <v>241</v>
      </c>
      <c r="AY458" s="4" t="s">
        <v>286</v>
      </c>
      <c r="AZ458" s="4" t="s">
        <v>286</v>
      </c>
      <c r="BA458" s="4" t="s">
        <v>254</v>
      </c>
      <c r="BB458" s="4" t="s">
        <v>287</v>
      </c>
      <c r="BC458" s="4" t="s">
        <v>255</v>
      </c>
      <c r="BD458" s="4" t="s">
        <v>241</v>
      </c>
      <c r="BE458" s="4" t="s">
        <v>257</v>
      </c>
      <c r="BF458" s="4" t="s">
        <v>241</v>
      </c>
      <c r="BJ458" s="4" t="s">
        <v>288</v>
      </c>
      <c r="BK458" s="5" t="s">
        <v>289</v>
      </c>
      <c r="BL458" s="4" t="s">
        <v>290</v>
      </c>
      <c r="BM458" s="4" t="s">
        <v>290</v>
      </c>
      <c r="BN458" s="4" t="s">
        <v>241</v>
      </c>
      <c r="BP458" s="6">
        <f>-2579640</f>
        <v>-2579640</v>
      </c>
      <c r="BQ458" s="4" t="s">
        <v>263</v>
      </c>
      <c r="BR458" s="4" t="s">
        <v>264</v>
      </c>
      <c r="BS458" s="4" t="s">
        <v>241</v>
      </c>
      <c r="BT458" s="4" t="s">
        <v>241</v>
      </c>
      <c r="BU458" s="4" t="s">
        <v>241</v>
      </c>
      <c r="BV458" s="4" t="s">
        <v>241</v>
      </c>
      <c r="CE458" s="4" t="s">
        <v>264</v>
      </c>
      <c r="CF458" s="4" t="s">
        <v>241</v>
      </c>
      <c r="CG458" s="4" t="s">
        <v>241</v>
      </c>
      <c r="CK458" s="4" t="s">
        <v>291</v>
      </c>
      <c r="CL458" s="4" t="s">
        <v>266</v>
      </c>
      <c r="CM458" s="4" t="s">
        <v>241</v>
      </c>
      <c r="CO458" s="4" t="s">
        <v>331</v>
      </c>
      <c r="CP458" s="5" t="s">
        <v>268</v>
      </c>
      <c r="CQ458" s="4" t="s">
        <v>269</v>
      </c>
      <c r="CR458" s="4" t="s">
        <v>270</v>
      </c>
      <c r="CS458" s="4" t="s">
        <v>293</v>
      </c>
      <c r="CT458" s="4" t="s">
        <v>241</v>
      </c>
      <c r="CU458" s="4">
        <v>7.6999999999999999E-2</v>
      </c>
      <c r="CV458" s="4" t="s">
        <v>271</v>
      </c>
      <c r="CW458" s="4" t="s">
        <v>415</v>
      </c>
      <c r="CX458" s="4" t="s">
        <v>428</v>
      </c>
      <c r="CY458" s="6">
        <f>0</f>
        <v>0</v>
      </c>
      <c r="CZ458" s="6">
        <f>33501819</f>
        <v>33501819</v>
      </c>
      <c r="DA458" s="6">
        <f>28342539</f>
        <v>28342539</v>
      </c>
      <c r="DC458" s="4" t="s">
        <v>241</v>
      </c>
      <c r="DD458" s="4" t="s">
        <v>241</v>
      </c>
      <c r="DF458" s="4" t="s">
        <v>241</v>
      </c>
      <c r="DG458" s="6">
        <f>0</f>
        <v>0</v>
      </c>
      <c r="DI458" s="4" t="s">
        <v>241</v>
      </c>
      <c r="DJ458" s="4" t="s">
        <v>241</v>
      </c>
      <c r="DK458" s="4" t="s">
        <v>241</v>
      </c>
      <c r="DL458" s="4" t="s">
        <v>241</v>
      </c>
      <c r="DM458" s="4" t="s">
        <v>278</v>
      </c>
      <c r="DN458" s="4" t="s">
        <v>278</v>
      </c>
      <c r="DO458" s="6" t="s">
        <v>241</v>
      </c>
      <c r="DP458" s="4" t="s">
        <v>241</v>
      </c>
      <c r="DQ458" s="4" t="s">
        <v>241</v>
      </c>
      <c r="DR458" s="4" t="s">
        <v>241</v>
      </c>
      <c r="DS458" s="4" t="s">
        <v>241</v>
      </c>
      <c r="DV458" s="4" t="s">
        <v>970</v>
      </c>
      <c r="DW458" s="4" t="s">
        <v>300</v>
      </c>
      <c r="GN458" s="4" t="s">
        <v>2810</v>
      </c>
      <c r="HO458" s="4" t="s">
        <v>297</v>
      </c>
      <c r="HR458" s="4" t="s">
        <v>278</v>
      </c>
      <c r="HS458" s="4" t="s">
        <v>278</v>
      </c>
      <c r="HT458" s="4" t="s">
        <v>241</v>
      </c>
      <c r="HU458" s="4" t="s">
        <v>241</v>
      </c>
      <c r="HV458" s="4" t="s">
        <v>241</v>
      </c>
      <c r="HW458" s="4" t="s">
        <v>241</v>
      </c>
      <c r="HX458" s="4" t="s">
        <v>241</v>
      </c>
      <c r="HY458" s="4" t="s">
        <v>241</v>
      </c>
      <c r="HZ458" s="4" t="s">
        <v>241</v>
      </c>
      <c r="IA458" s="4" t="s">
        <v>241</v>
      </c>
      <c r="IB458" s="4" t="s">
        <v>241</v>
      </c>
      <c r="IC458" s="4" t="s">
        <v>241</v>
      </c>
      <c r="ID458" s="4" t="s">
        <v>241</v>
      </c>
      <c r="IE458" s="4" t="s">
        <v>241</v>
      </c>
      <c r="IF458" s="4" t="s">
        <v>241</v>
      </c>
    </row>
    <row r="459" spans="1:240" x14ac:dyDescent="0.4">
      <c r="A459" s="4">
        <v>2</v>
      </c>
      <c r="B459" s="4" t="s">
        <v>239</v>
      </c>
      <c r="C459" s="4">
        <v>490</v>
      </c>
      <c r="D459" s="4">
        <v>1</v>
      </c>
      <c r="E459" s="4">
        <v>1</v>
      </c>
      <c r="F459" s="4" t="s">
        <v>240</v>
      </c>
      <c r="G459" s="4" t="s">
        <v>241</v>
      </c>
      <c r="H459" s="4" t="s">
        <v>241</v>
      </c>
      <c r="I459" s="4" t="s">
        <v>736</v>
      </c>
      <c r="J459" s="4" t="s">
        <v>653</v>
      </c>
      <c r="K459" s="4" t="s">
        <v>256</v>
      </c>
      <c r="L459" s="4" t="s">
        <v>651</v>
      </c>
      <c r="M459" s="5" t="s">
        <v>738</v>
      </c>
      <c r="N459" s="4" t="s">
        <v>651</v>
      </c>
      <c r="O459" s="6">
        <f>2321</f>
        <v>2321</v>
      </c>
      <c r="P459" s="4" t="s">
        <v>276</v>
      </c>
      <c r="Q459" s="6">
        <f>1</f>
        <v>1</v>
      </c>
      <c r="R459" s="6">
        <f>313335000</f>
        <v>313335000</v>
      </c>
      <c r="S459" s="5" t="s">
        <v>740</v>
      </c>
      <c r="T459" s="4" t="s">
        <v>668</v>
      </c>
      <c r="U459" s="4" t="s">
        <v>668</v>
      </c>
      <c r="W459" s="6">
        <f>313334999</f>
        <v>313334999</v>
      </c>
      <c r="X459" s="4" t="s">
        <v>243</v>
      </c>
      <c r="Y459" s="4" t="s">
        <v>244</v>
      </c>
      <c r="Z459" s="4" t="s">
        <v>465</v>
      </c>
      <c r="AA459" s="4" t="s">
        <v>241</v>
      </c>
      <c r="AD459" s="4" t="s">
        <v>241</v>
      </c>
      <c r="AF459" s="5" t="s">
        <v>241</v>
      </c>
      <c r="AI459" s="5" t="s">
        <v>375</v>
      </c>
      <c r="AJ459" s="4" t="s">
        <v>251</v>
      </c>
      <c r="AK459" s="4" t="s">
        <v>252</v>
      </c>
      <c r="BA459" s="4" t="s">
        <v>254</v>
      </c>
      <c r="BB459" s="4" t="s">
        <v>241</v>
      </c>
      <c r="BC459" s="4" t="s">
        <v>255</v>
      </c>
      <c r="BD459" s="4" t="s">
        <v>241</v>
      </c>
      <c r="BE459" s="4" t="s">
        <v>257</v>
      </c>
      <c r="BF459" s="4" t="s">
        <v>241</v>
      </c>
      <c r="BJ459" s="4" t="s">
        <v>374</v>
      </c>
      <c r="BK459" s="5" t="s">
        <v>375</v>
      </c>
      <c r="BL459" s="4" t="s">
        <v>261</v>
      </c>
      <c r="BM459" s="4" t="s">
        <v>290</v>
      </c>
      <c r="BN459" s="4" t="s">
        <v>241</v>
      </c>
      <c r="BO459" s="6">
        <f>0</f>
        <v>0</v>
      </c>
      <c r="BP459" s="6">
        <f>0</f>
        <v>0</v>
      </c>
      <c r="BQ459" s="4" t="s">
        <v>263</v>
      </c>
      <c r="BR459" s="4" t="s">
        <v>264</v>
      </c>
      <c r="CF459" s="4" t="s">
        <v>241</v>
      </c>
      <c r="CG459" s="4" t="s">
        <v>241</v>
      </c>
      <c r="CK459" s="4" t="s">
        <v>265</v>
      </c>
      <c r="CL459" s="4" t="s">
        <v>266</v>
      </c>
      <c r="CM459" s="4" t="s">
        <v>241</v>
      </c>
      <c r="CO459" s="4" t="s">
        <v>741</v>
      </c>
      <c r="CP459" s="5" t="s">
        <v>268</v>
      </c>
      <c r="CQ459" s="4" t="s">
        <v>269</v>
      </c>
      <c r="CR459" s="4" t="s">
        <v>270</v>
      </c>
      <c r="CS459" s="4" t="s">
        <v>241</v>
      </c>
      <c r="CT459" s="4" t="s">
        <v>241</v>
      </c>
      <c r="CU459" s="4">
        <v>0</v>
      </c>
      <c r="CV459" s="4" t="s">
        <v>271</v>
      </c>
      <c r="CW459" s="4" t="s">
        <v>655</v>
      </c>
      <c r="CX459" s="4" t="s">
        <v>295</v>
      </c>
      <c r="CZ459" s="6">
        <f>313335000</f>
        <v>313335000</v>
      </c>
      <c r="DA459" s="6">
        <f>0</f>
        <v>0</v>
      </c>
      <c r="DC459" s="4" t="s">
        <v>241</v>
      </c>
      <c r="DD459" s="4" t="s">
        <v>241</v>
      </c>
      <c r="DF459" s="4" t="s">
        <v>241</v>
      </c>
      <c r="DI459" s="4" t="s">
        <v>241</v>
      </c>
      <c r="DJ459" s="4" t="s">
        <v>241</v>
      </c>
      <c r="DK459" s="4" t="s">
        <v>241</v>
      </c>
      <c r="DL459" s="4" t="s">
        <v>241</v>
      </c>
      <c r="DM459" s="4" t="s">
        <v>323</v>
      </c>
      <c r="DN459" s="4" t="s">
        <v>278</v>
      </c>
      <c r="DO459" s="6">
        <f>2321</f>
        <v>2321</v>
      </c>
      <c r="DP459" s="4" t="s">
        <v>241</v>
      </c>
      <c r="DQ459" s="4" t="s">
        <v>241</v>
      </c>
      <c r="DR459" s="4" t="s">
        <v>241</v>
      </c>
      <c r="DS459" s="4" t="s">
        <v>241</v>
      </c>
      <c r="DV459" s="4" t="s">
        <v>739</v>
      </c>
      <c r="DW459" s="4" t="s">
        <v>277</v>
      </c>
      <c r="HO459" s="4" t="s">
        <v>297</v>
      </c>
      <c r="HR459" s="4" t="s">
        <v>278</v>
      </c>
      <c r="HS459" s="4" t="s">
        <v>278</v>
      </c>
    </row>
    <row r="460" spans="1:240" x14ac:dyDescent="0.4">
      <c r="A460" s="4">
        <v>2</v>
      </c>
      <c r="B460" s="4" t="s">
        <v>239</v>
      </c>
      <c r="C460" s="4">
        <v>491</v>
      </c>
      <c r="D460" s="4">
        <v>1</v>
      </c>
      <c r="E460" s="4">
        <v>1</v>
      </c>
      <c r="F460" s="4" t="s">
        <v>240</v>
      </c>
      <c r="G460" s="4" t="s">
        <v>241</v>
      </c>
      <c r="H460" s="4" t="s">
        <v>241</v>
      </c>
      <c r="I460" s="4" t="s">
        <v>736</v>
      </c>
      <c r="J460" s="4" t="s">
        <v>653</v>
      </c>
      <c r="K460" s="4" t="s">
        <v>256</v>
      </c>
      <c r="L460" s="4" t="s">
        <v>1003</v>
      </c>
      <c r="M460" s="5" t="s">
        <v>738</v>
      </c>
      <c r="N460" s="4" t="s">
        <v>1003</v>
      </c>
      <c r="O460" s="6">
        <f>546</f>
        <v>546</v>
      </c>
      <c r="P460" s="4" t="s">
        <v>276</v>
      </c>
      <c r="Q460" s="6">
        <f>1</f>
        <v>1</v>
      </c>
      <c r="R460" s="6">
        <f>43680000</f>
        <v>43680000</v>
      </c>
      <c r="S460" s="5" t="s">
        <v>1119</v>
      </c>
      <c r="T460" s="4" t="s">
        <v>357</v>
      </c>
      <c r="U460" s="4" t="s">
        <v>1096</v>
      </c>
      <c r="W460" s="6">
        <f>43679999</f>
        <v>43679999</v>
      </c>
      <c r="X460" s="4" t="s">
        <v>243</v>
      </c>
      <c r="Y460" s="4" t="s">
        <v>244</v>
      </c>
      <c r="Z460" s="4" t="s">
        <v>465</v>
      </c>
      <c r="AA460" s="4" t="s">
        <v>241</v>
      </c>
      <c r="AD460" s="4" t="s">
        <v>241</v>
      </c>
      <c r="AF460" s="5" t="s">
        <v>241</v>
      </c>
      <c r="AI460" s="5" t="s">
        <v>375</v>
      </c>
      <c r="AJ460" s="4" t="s">
        <v>251</v>
      </c>
      <c r="AK460" s="4" t="s">
        <v>252</v>
      </c>
      <c r="BA460" s="4" t="s">
        <v>254</v>
      </c>
      <c r="BB460" s="4" t="s">
        <v>241</v>
      </c>
      <c r="BC460" s="4" t="s">
        <v>255</v>
      </c>
      <c r="BD460" s="4" t="s">
        <v>241</v>
      </c>
      <c r="BE460" s="4" t="s">
        <v>257</v>
      </c>
      <c r="BF460" s="4" t="s">
        <v>241</v>
      </c>
      <c r="BJ460" s="4" t="s">
        <v>377</v>
      </c>
      <c r="BK460" s="5" t="s">
        <v>378</v>
      </c>
      <c r="BL460" s="4" t="s">
        <v>261</v>
      </c>
      <c r="BM460" s="4" t="s">
        <v>262</v>
      </c>
      <c r="BN460" s="4" t="s">
        <v>241</v>
      </c>
      <c r="BO460" s="6">
        <f>0</f>
        <v>0</v>
      </c>
      <c r="BP460" s="6">
        <f>0</f>
        <v>0</v>
      </c>
      <c r="BQ460" s="4" t="s">
        <v>263</v>
      </c>
      <c r="BR460" s="4" t="s">
        <v>264</v>
      </c>
      <c r="CF460" s="4" t="s">
        <v>241</v>
      </c>
      <c r="CG460" s="4" t="s">
        <v>241</v>
      </c>
      <c r="CK460" s="4" t="s">
        <v>265</v>
      </c>
      <c r="CL460" s="4" t="s">
        <v>266</v>
      </c>
      <c r="CM460" s="4" t="s">
        <v>241</v>
      </c>
      <c r="CO460" s="4" t="s">
        <v>1095</v>
      </c>
      <c r="CP460" s="5" t="s">
        <v>268</v>
      </c>
      <c r="CQ460" s="4" t="s">
        <v>269</v>
      </c>
      <c r="CR460" s="4" t="s">
        <v>270</v>
      </c>
      <c r="CS460" s="4" t="s">
        <v>241</v>
      </c>
      <c r="CT460" s="4" t="s">
        <v>241</v>
      </c>
      <c r="CU460" s="4">
        <v>0</v>
      </c>
      <c r="CV460" s="4" t="s">
        <v>271</v>
      </c>
      <c r="CW460" s="4" t="s">
        <v>1006</v>
      </c>
      <c r="CX460" s="4" t="s">
        <v>487</v>
      </c>
      <c r="CZ460" s="6">
        <f>43680000</f>
        <v>43680000</v>
      </c>
      <c r="DA460" s="6">
        <f>0</f>
        <v>0</v>
      </c>
      <c r="DC460" s="4" t="s">
        <v>241</v>
      </c>
      <c r="DD460" s="4" t="s">
        <v>241</v>
      </c>
      <c r="DF460" s="4" t="s">
        <v>241</v>
      </c>
      <c r="DI460" s="4" t="s">
        <v>241</v>
      </c>
      <c r="DJ460" s="4" t="s">
        <v>241</v>
      </c>
      <c r="DK460" s="4" t="s">
        <v>241</v>
      </c>
      <c r="DL460" s="4" t="s">
        <v>241</v>
      </c>
      <c r="DM460" s="4" t="s">
        <v>323</v>
      </c>
      <c r="DN460" s="4" t="s">
        <v>278</v>
      </c>
      <c r="DO460" s="6">
        <f>546</f>
        <v>546</v>
      </c>
      <c r="DP460" s="4" t="s">
        <v>241</v>
      </c>
      <c r="DQ460" s="4" t="s">
        <v>241</v>
      </c>
      <c r="DR460" s="4" t="s">
        <v>241</v>
      </c>
      <c r="DS460" s="4" t="s">
        <v>241</v>
      </c>
      <c r="DV460" s="4" t="s">
        <v>739</v>
      </c>
      <c r="DW460" s="4" t="s">
        <v>323</v>
      </c>
      <c r="HO460" s="4" t="s">
        <v>277</v>
      </c>
      <c r="HR460" s="4" t="s">
        <v>278</v>
      </c>
      <c r="HS460" s="4" t="s">
        <v>278</v>
      </c>
    </row>
    <row r="461" spans="1:240" x14ac:dyDescent="0.4">
      <c r="A461" s="4">
        <v>2</v>
      </c>
      <c r="B461" s="4" t="s">
        <v>239</v>
      </c>
      <c r="C461" s="4">
        <v>492</v>
      </c>
      <c r="D461" s="4">
        <v>1</v>
      </c>
      <c r="E461" s="4">
        <v>1</v>
      </c>
      <c r="F461" s="4" t="s">
        <v>240</v>
      </c>
      <c r="G461" s="4" t="s">
        <v>241</v>
      </c>
      <c r="H461" s="4" t="s">
        <v>241</v>
      </c>
      <c r="I461" s="4" t="s">
        <v>736</v>
      </c>
      <c r="J461" s="4" t="s">
        <v>653</v>
      </c>
      <c r="K461" s="4" t="s">
        <v>256</v>
      </c>
      <c r="L461" s="4" t="s">
        <v>414</v>
      </c>
      <c r="M461" s="5" t="s">
        <v>738</v>
      </c>
      <c r="N461" s="4" t="s">
        <v>414</v>
      </c>
      <c r="O461" s="6">
        <f>31</f>
        <v>31</v>
      </c>
      <c r="P461" s="4" t="s">
        <v>276</v>
      </c>
      <c r="Q461" s="6">
        <f>1</f>
        <v>1</v>
      </c>
      <c r="R461" s="6">
        <f>4030000</f>
        <v>4030000</v>
      </c>
      <c r="S461" s="5" t="s">
        <v>740</v>
      </c>
      <c r="T461" s="4" t="s">
        <v>348</v>
      </c>
      <c r="U461" s="4" t="s">
        <v>1071</v>
      </c>
      <c r="W461" s="6">
        <f>4029999</f>
        <v>4029999</v>
      </c>
      <c r="X461" s="4" t="s">
        <v>243</v>
      </c>
      <c r="Y461" s="4" t="s">
        <v>244</v>
      </c>
      <c r="Z461" s="4" t="s">
        <v>465</v>
      </c>
      <c r="AA461" s="4" t="s">
        <v>241</v>
      </c>
      <c r="AD461" s="4" t="s">
        <v>241</v>
      </c>
      <c r="AF461" s="5" t="s">
        <v>241</v>
      </c>
      <c r="AI461" s="5" t="s">
        <v>375</v>
      </c>
      <c r="AJ461" s="4" t="s">
        <v>251</v>
      </c>
      <c r="AK461" s="4" t="s">
        <v>252</v>
      </c>
      <c r="BA461" s="4" t="s">
        <v>254</v>
      </c>
      <c r="BB461" s="4" t="s">
        <v>241</v>
      </c>
      <c r="BC461" s="4" t="s">
        <v>255</v>
      </c>
      <c r="BD461" s="4" t="s">
        <v>241</v>
      </c>
      <c r="BE461" s="4" t="s">
        <v>257</v>
      </c>
      <c r="BF461" s="4" t="s">
        <v>241</v>
      </c>
      <c r="BJ461" s="4" t="s">
        <v>259</v>
      </c>
      <c r="BK461" s="5" t="s">
        <v>260</v>
      </c>
      <c r="BL461" s="4" t="s">
        <v>261</v>
      </c>
      <c r="BM461" s="4" t="s">
        <v>262</v>
      </c>
      <c r="BN461" s="4" t="s">
        <v>241</v>
      </c>
      <c r="BO461" s="6">
        <f>0</f>
        <v>0</v>
      </c>
      <c r="BP461" s="6">
        <f>0</f>
        <v>0</v>
      </c>
      <c r="BQ461" s="4" t="s">
        <v>263</v>
      </c>
      <c r="BR461" s="4" t="s">
        <v>264</v>
      </c>
      <c r="CF461" s="4" t="s">
        <v>241</v>
      </c>
      <c r="CG461" s="4" t="s">
        <v>241</v>
      </c>
      <c r="CK461" s="4" t="s">
        <v>265</v>
      </c>
      <c r="CL461" s="4" t="s">
        <v>266</v>
      </c>
      <c r="CM461" s="4" t="s">
        <v>241</v>
      </c>
      <c r="CO461" s="4" t="s">
        <v>741</v>
      </c>
      <c r="CP461" s="5" t="s">
        <v>268</v>
      </c>
      <c r="CQ461" s="4" t="s">
        <v>269</v>
      </c>
      <c r="CR461" s="4" t="s">
        <v>270</v>
      </c>
      <c r="CS461" s="4" t="s">
        <v>241</v>
      </c>
      <c r="CT461" s="4" t="s">
        <v>241</v>
      </c>
      <c r="CU461" s="4">
        <v>0</v>
      </c>
      <c r="CV461" s="4" t="s">
        <v>271</v>
      </c>
      <c r="CW461" s="4" t="s">
        <v>415</v>
      </c>
      <c r="CX461" s="4" t="s">
        <v>416</v>
      </c>
      <c r="CZ461" s="6">
        <f>4030000</f>
        <v>4030000</v>
      </c>
      <c r="DA461" s="6">
        <f>0</f>
        <v>0</v>
      </c>
      <c r="DC461" s="4" t="s">
        <v>241</v>
      </c>
      <c r="DD461" s="4" t="s">
        <v>241</v>
      </c>
      <c r="DF461" s="4" t="s">
        <v>241</v>
      </c>
      <c r="DI461" s="4" t="s">
        <v>241</v>
      </c>
      <c r="DJ461" s="4" t="s">
        <v>241</v>
      </c>
      <c r="DK461" s="4" t="s">
        <v>241</v>
      </c>
      <c r="DL461" s="4" t="s">
        <v>241</v>
      </c>
      <c r="DM461" s="4" t="s">
        <v>277</v>
      </c>
      <c r="DN461" s="4" t="s">
        <v>278</v>
      </c>
      <c r="DO461" s="6">
        <f>31</f>
        <v>31</v>
      </c>
      <c r="DP461" s="4" t="s">
        <v>241</v>
      </c>
      <c r="DQ461" s="4" t="s">
        <v>241</v>
      </c>
      <c r="DR461" s="4" t="s">
        <v>241</v>
      </c>
      <c r="DS461" s="4" t="s">
        <v>241</v>
      </c>
      <c r="DV461" s="4" t="s">
        <v>739</v>
      </c>
      <c r="DW461" s="4" t="s">
        <v>297</v>
      </c>
      <c r="HO461" s="4" t="s">
        <v>277</v>
      </c>
      <c r="HR461" s="4" t="s">
        <v>278</v>
      </c>
      <c r="HS461" s="4" t="s">
        <v>278</v>
      </c>
    </row>
    <row r="462" spans="1:240" x14ac:dyDescent="0.4">
      <c r="A462" s="4">
        <v>2</v>
      </c>
      <c r="B462" s="4" t="s">
        <v>239</v>
      </c>
      <c r="C462" s="4">
        <v>493</v>
      </c>
      <c r="D462" s="4">
        <v>1</v>
      </c>
      <c r="E462" s="4">
        <v>1</v>
      </c>
      <c r="F462" s="4" t="s">
        <v>240</v>
      </c>
      <c r="G462" s="4" t="s">
        <v>241</v>
      </c>
      <c r="H462" s="4" t="s">
        <v>241</v>
      </c>
      <c r="I462" s="4" t="s">
        <v>736</v>
      </c>
      <c r="J462" s="4" t="s">
        <v>653</v>
      </c>
      <c r="K462" s="4" t="s">
        <v>256</v>
      </c>
      <c r="L462" s="4" t="s">
        <v>651</v>
      </c>
      <c r="M462" s="5" t="s">
        <v>738</v>
      </c>
      <c r="N462" s="4" t="s">
        <v>735</v>
      </c>
      <c r="O462" s="6">
        <f>115</f>
        <v>115</v>
      </c>
      <c r="P462" s="4" t="s">
        <v>276</v>
      </c>
      <c r="Q462" s="6">
        <f>1</f>
        <v>1</v>
      </c>
      <c r="R462" s="6">
        <f>18745000</f>
        <v>18745000</v>
      </c>
      <c r="S462" s="5" t="s">
        <v>737</v>
      </c>
      <c r="T462" s="4" t="s">
        <v>314</v>
      </c>
      <c r="U462" s="4" t="s">
        <v>314</v>
      </c>
      <c r="W462" s="6">
        <f>18744999</f>
        <v>18744999</v>
      </c>
      <c r="X462" s="4" t="s">
        <v>243</v>
      </c>
      <c r="Y462" s="4" t="s">
        <v>244</v>
      </c>
      <c r="Z462" s="4" t="s">
        <v>465</v>
      </c>
      <c r="AA462" s="4" t="s">
        <v>241</v>
      </c>
      <c r="AD462" s="4" t="s">
        <v>241</v>
      </c>
      <c r="AF462" s="5" t="s">
        <v>241</v>
      </c>
      <c r="AI462" s="5" t="s">
        <v>375</v>
      </c>
      <c r="AJ462" s="4" t="s">
        <v>251</v>
      </c>
      <c r="AK462" s="4" t="s">
        <v>252</v>
      </c>
      <c r="BA462" s="4" t="s">
        <v>254</v>
      </c>
      <c r="BB462" s="4" t="s">
        <v>241</v>
      </c>
      <c r="BC462" s="4" t="s">
        <v>255</v>
      </c>
      <c r="BD462" s="4" t="s">
        <v>241</v>
      </c>
      <c r="BE462" s="4" t="s">
        <v>257</v>
      </c>
      <c r="BF462" s="4" t="s">
        <v>241</v>
      </c>
      <c r="BJ462" s="4" t="s">
        <v>374</v>
      </c>
      <c r="BK462" s="5" t="s">
        <v>375</v>
      </c>
      <c r="BL462" s="4" t="s">
        <v>261</v>
      </c>
      <c r="BM462" s="4" t="s">
        <v>290</v>
      </c>
      <c r="BN462" s="4" t="s">
        <v>241</v>
      </c>
      <c r="BO462" s="6">
        <f>0</f>
        <v>0</v>
      </c>
      <c r="BP462" s="6">
        <f>0</f>
        <v>0</v>
      </c>
      <c r="BQ462" s="4" t="s">
        <v>263</v>
      </c>
      <c r="BR462" s="4" t="s">
        <v>264</v>
      </c>
      <c r="CF462" s="4" t="s">
        <v>241</v>
      </c>
      <c r="CG462" s="4" t="s">
        <v>241</v>
      </c>
      <c r="CK462" s="4" t="s">
        <v>291</v>
      </c>
      <c r="CL462" s="4" t="s">
        <v>266</v>
      </c>
      <c r="CM462" s="4" t="s">
        <v>241</v>
      </c>
      <c r="CO462" s="4" t="s">
        <v>292</v>
      </c>
      <c r="CP462" s="5" t="s">
        <v>268</v>
      </c>
      <c r="CQ462" s="4" t="s">
        <v>269</v>
      </c>
      <c r="CR462" s="4" t="s">
        <v>270</v>
      </c>
      <c r="CS462" s="4" t="s">
        <v>241</v>
      </c>
      <c r="CT462" s="4" t="s">
        <v>241</v>
      </c>
      <c r="CU462" s="4">
        <v>0</v>
      </c>
      <c r="CV462" s="4" t="s">
        <v>271</v>
      </c>
      <c r="CW462" s="4" t="s">
        <v>655</v>
      </c>
      <c r="CX462" s="4" t="s">
        <v>347</v>
      </c>
      <c r="CZ462" s="6">
        <f>18745000</f>
        <v>18745000</v>
      </c>
      <c r="DA462" s="6">
        <f>0</f>
        <v>0</v>
      </c>
      <c r="DC462" s="4" t="s">
        <v>241</v>
      </c>
      <c r="DD462" s="4" t="s">
        <v>241</v>
      </c>
      <c r="DF462" s="4" t="s">
        <v>241</v>
      </c>
      <c r="DI462" s="4" t="s">
        <v>241</v>
      </c>
      <c r="DJ462" s="4" t="s">
        <v>241</v>
      </c>
      <c r="DK462" s="4" t="s">
        <v>241</v>
      </c>
      <c r="DL462" s="4" t="s">
        <v>241</v>
      </c>
      <c r="DM462" s="4" t="s">
        <v>277</v>
      </c>
      <c r="DN462" s="4" t="s">
        <v>278</v>
      </c>
      <c r="DO462" s="6">
        <f>115</f>
        <v>115</v>
      </c>
      <c r="DP462" s="4" t="s">
        <v>241</v>
      </c>
      <c r="DQ462" s="4" t="s">
        <v>241</v>
      </c>
      <c r="DR462" s="4" t="s">
        <v>241</v>
      </c>
      <c r="DS462" s="4" t="s">
        <v>241</v>
      </c>
      <c r="DV462" s="4" t="s">
        <v>739</v>
      </c>
      <c r="DW462" s="4" t="s">
        <v>336</v>
      </c>
      <c r="HO462" s="4" t="s">
        <v>336</v>
      </c>
      <c r="HR462" s="4" t="s">
        <v>278</v>
      </c>
      <c r="HS462" s="4" t="s">
        <v>278</v>
      </c>
    </row>
    <row r="463" spans="1:240" x14ac:dyDescent="0.4">
      <c r="A463" s="4">
        <v>2</v>
      </c>
      <c r="B463" s="4" t="s">
        <v>239</v>
      </c>
      <c r="C463" s="4">
        <v>494</v>
      </c>
      <c r="D463" s="4">
        <v>1</v>
      </c>
      <c r="E463" s="4">
        <v>1</v>
      </c>
      <c r="F463" s="4" t="s">
        <v>240</v>
      </c>
      <c r="G463" s="4" t="s">
        <v>241</v>
      </c>
      <c r="H463" s="4" t="s">
        <v>241</v>
      </c>
      <c r="I463" s="4" t="s">
        <v>736</v>
      </c>
      <c r="J463" s="4" t="s">
        <v>653</v>
      </c>
      <c r="K463" s="4" t="s">
        <v>256</v>
      </c>
      <c r="L463" s="4" t="s">
        <v>2529</v>
      </c>
      <c r="M463" s="5" t="s">
        <v>738</v>
      </c>
      <c r="N463" s="4" t="s">
        <v>2529</v>
      </c>
      <c r="O463" s="6">
        <f>63</f>
        <v>63</v>
      </c>
      <c r="P463" s="4" t="s">
        <v>276</v>
      </c>
      <c r="Q463" s="6">
        <f>1</f>
        <v>1</v>
      </c>
      <c r="R463" s="6">
        <f>3780000</f>
        <v>3780000</v>
      </c>
      <c r="S463" s="5" t="s">
        <v>2941</v>
      </c>
      <c r="T463" s="4" t="s">
        <v>348</v>
      </c>
      <c r="U463" s="4" t="s">
        <v>669</v>
      </c>
      <c r="W463" s="6">
        <f>3779999</f>
        <v>3779999</v>
      </c>
      <c r="X463" s="4" t="s">
        <v>243</v>
      </c>
      <c r="Y463" s="4" t="s">
        <v>244</v>
      </c>
      <c r="Z463" s="4" t="s">
        <v>465</v>
      </c>
      <c r="AA463" s="4" t="s">
        <v>241</v>
      </c>
      <c r="AD463" s="4" t="s">
        <v>241</v>
      </c>
      <c r="AF463" s="5" t="s">
        <v>241</v>
      </c>
      <c r="AI463" s="5" t="s">
        <v>375</v>
      </c>
      <c r="AJ463" s="4" t="s">
        <v>251</v>
      </c>
      <c r="AK463" s="4" t="s">
        <v>252</v>
      </c>
      <c r="BA463" s="4" t="s">
        <v>254</v>
      </c>
      <c r="BB463" s="4" t="s">
        <v>241</v>
      </c>
      <c r="BC463" s="4" t="s">
        <v>255</v>
      </c>
      <c r="BD463" s="4" t="s">
        <v>241</v>
      </c>
      <c r="BE463" s="4" t="s">
        <v>257</v>
      </c>
      <c r="BF463" s="4" t="s">
        <v>241</v>
      </c>
      <c r="BJ463" s="4" t="s">
        <v>374</v>
      </c>
      <c r="BK463" s="5" t="s">
        <v>375</v>
      </c>
      <c r="BL463" s="4" t="s">
        <v>261</v>
      </c>
      <c r="BM463" s="4" t="s">
        <v>262</v>
      </c>
      <c r="BN463" s="4" t="s">
        <v>241</v>
      </c>
      <c r="BO463" s="6">
        <f>0</f>
        <v>0</v>
      </c>
      <c r="BP463" s="6">
        <f>0</f>
        <v>0</v>
      </c>
      <c r="BQ463" s="4" t="s">
        <v>263</v>
      </c>
      <c r="BR463" s="4" t="s">
        <v>264</v>
      </c>
      <c r="CF463" s="4" t="s">
        <v>241</v>
      </c>
      <c r="CG463" s="4" t="s">
        <v>241</v>
      </c>
      <c r="CK463" s="4" t="s">
        <v>265</v>
      </c>
      <c r="CL463" s="4" t="s">
        <v>266</v>
      </c>
      <c r="CM463" s="4" t="s">
        <v>241</v>
      </c>
      <c r="CO463" s="4" t="s">
        <v>841</v>
      </c>
      <c r="CP463" s="5" t="s">
        <v>268</v>
      </c>
      <c r="CQ463" s="4" t="s">
        <v>269</v>
      </c>
      <c r="CR463" s="4" t="s">
        <v>270</v>
      </c>
      <c r="CS463" s="4" t="s">
        <v>241</v>
      </c>
      <c r="CT463" s="4" t="s">
        <v>241</v>
      </c>
      <c r="CU463" s="4">
        <v>0</v>
      </c>
      <c r="CV463" s="4" t="s">
        <v>271</v>
      </c>
      <c r="CW463" s="4" t="s">
        <v>415</v>
      </c>
      <c r="CX463" s="4" t="s">
        <v>416</v>
      </c>
      <c r="CZ463" s="6">
        <f>3780000</f>
        <v>3780000</v>
      </c>
      <c r="DA463" s="6">
        <f>0</f>
        <v>0</v>
      </c>
      <c r="DC463" s="4" t="s">
        <v>241</v>
      </c>
      <c r="DD463" s="4" t="s">
        <v>241</v>
      </c>
      <c r="DF463" s="4" t="s">
        <v>241</v>
      </c>
      <c r="DI463" s="4" t="s">
        <v>241</v>
      </c>
      <c r="DJ463" s="4" t="s">
        <v>241</v>
      </c>
      <c r="DK463" s="4" t="s">
        <v>241</v>
      </c>
      <c r="DL463" s="4" t="s">
        <v>241</v>
      </c>
      <c r="DM463" s="4" t="s">
        <v>277</v>
      </c>
      <c r="DN463" s="4" t="s">
        <v>278</v>
      </c>
      <c r="DO463" s="6">
        <f>63</f>
        <v>63</v>
      </c>
      <c r="DP463" s="4" t="s">
        <v>241</v>
      </c>
      <c r="DQ463" s="4" t="s">
        <v>241</v>
      </c>
      <c r="DR463" s="4" t="s">
        <v>241</v>
      </c>
      <c r="DS463" s="4" t="s">
        <v>241</v>
      </c>
      <c r="DV463" s="4" t="s">
        <v>739</v>
      </c>
      <c r="DW463" s="4" t="s">
        <v>351</v>
      </c>
      <c r="HO463" s="4" t="s">
        <v>277</v>
      </c>
      <c r="HR463" s="4" t="s">
        <v>278</v>
      </c>
      <c r="HS463" s="4" t="s">
        <v>278</v>
      </c>
    </row>
    <row r="464" spans="1:240" x14ac:dyDescent="0.4">
      <c r="A464" s="4">
        <v>2</v>
      </c>
      <c r="B464" s="4" t="s">
        <v>239</v>
      </c>
      <c r="C464" s="4">
        <v>495</v>
      </c>
      <c r="D464" s="4">
        <v>1</v>
      </c>
      <c r="E464" s="4">
        <v>1</v>
      </c>
      <c r="F464" s="4" t="s">
        <v>240</v>
      </c>
      <c r="G464" s="4" t="s">
        <v>241</v>
      </c>
      <c r="H464" s="4" t="s">
        <v>241</v>
      </c>
      <c r="I464" s="4" t="s">
        <v>736</v>
      </c>
      <c r="J464" s="4" t="s">
        <v>653</v>
      </c>
      <c r="K464" s="4" t="s">
        <v>256</v>
      </c>
      <c r="L464" s="4" t="s">
        <v>429</v>
      </c>
      <c r="M464" s="5" t="s">
        <v>738</v>
      </c>
      <c r="N464" s="4" t="s">
        <v>429</v>
      </c>
      <c r="O464" s="6">
        <f>20</f>
        <v>20</v>
      </c>
      <c r="P464" s="4" t="s">
        <v>276</v>
      </c>
      <c r="Q464" s="6">
        <f>1</f>
        <v>1</v>
      </c>
      <c r="R464" s="6">
        <f>1200000</f>
        <v>1200000</v>
      </c>
      <c r="S464" s="5" t="s">
        <v>2999</v>
      </c>
      <c r="T464" s="4" t="s">
        <v>274</v>
      </c>
      <c r="U464" s="4" t="s">
        <v>473</v>
      </c>
      <c r="W464" s="6">
        <f>1199999</f>
        <v>1199999</v>
      </c>
      <c r="X464" s="4" t="s">
        <v>243</v>
      </c>
      <c r="Y464" s="4" t="s">
        <v>244</v>
      </c>
      <c r="Z464" s="4" t="s">
        <v>465</v>
      </c>
      <c r="AA464" s="4" t="s">
        <v>241</v>
      </c>
      <c r="AD464" s="4" t="s">
        <v>241</v>
      </c>
      <c r="AF464" s="5" t="s">
        <v>241</v>
      </c>
      <c r="AI464" s="5" t="s">
        <v>375</v>
      </c>
      <c r="AJ464" s="4" t="s">
        <v>251</v>
      </c>
      <c r="AK464" s="4" t="s">
        <v>252</v>
      </c>
      <c r="BA464" s="4" t="s">
        <v>254</v>
      </c>
      <c r="BB464" s="4" t="s">
        <v>241</v>
      </c>
      <c r="BC464" s="4" t="s">
        <v>255</v>
      </c>
      <c r="BD464" s="4" t="s">
        <v>241</v>
      </c>
      <c r="BE464" s="4" t="s">
        <v>257</v>
      </c>
      <c r="BF464" s="4" t="s">
        <v>241</v>
      </c>
      <c r="BJ464" s="4" t="s">
        <v>377</v>
      </c>
      <c r="BK464" s="5" t="s">
        <v>378</v>
      </c>
      <c r="BL464" s="4" t="s">
        <v>261</v>
      </c>
      <c r="BM464" s="4" t="s">
        <v>262</v>
      </c>
      <c r="BN464" s="4" t="s">
        <v>241</v>
      </c>
      <c r="BO464" s="6">
        <f>0</f>
        <v>0</v>
      </c>
      <c r="BP464" s="6">
        <f>0</f>
        <v>0</v>
      </c>
      <c r="BQ464" s="4" t="s">
        <v>263</v>
      </c>
      <c r="BR464" s="4" t="s">
        <v>264</v>
      </c>
      <c r="CF464" s="4" t="s">
        <v>241</v>
      </c>
      <c r="CG464" s="4" t="s">
        <v>241</v>
      </c>
      <c r="CK464" s="4" t="s">
        <v>265</v>
      </c>
      <c r="CL464" s="4" t="s">
        <v>266</v>
      </c>
      <c r="CM464" s="4" t="s">
        <v>241</v>
      </c>
      <c r="CO464" s="4" t="s">
        <v>710</v>
      </c>
      <c r="CP464" s="5" t="s">
        <v>268</v>
      </c>
      <c r="CQ464" s="4" t="s">
        <v>269</v>
      </c>
      <c r="CR464" s="4" t="s">
        <v>270</v>
      </c>
      <c r="CS464" s="4" t="s">
        <v>241</v>
      </c>
      <c r="CT464" s="4" t="s">
        <v>241</v>
      </c>
      <c r="CU464" s="4">
        <v>0</v>
      </c>
      <c r="CV464" s="4" t="s">
        <v>271</v>
      </c>
      <c r="CW464" s="4" t="s">
        <v>272</v>
      </c>
      <c r="CX464" s="4" t="s">
        <v>273</v>
      </c>
      <c r="CZ464" s="6">
        <f>1200000</f>
        <v>1200000</v>
      </c>
      <c r="DA464" s="6">
        <f>0</f>
        <v>0</v>
      </c>
      <c r="DC464" s="4" t="s">
        <v>241</v>
      </c>
      <c r="DD464" s="4" t="s">
        <v>241</v>
      </c>
      <c r="DF464" s="4" t="s">
        <v>241</v>
      </c>
      <c r="DI464" s="4" t="s">
        <v>241</v>
      </c>
      <c r="DJ464" s="4" t="s">
        <v>241</v>
      </c>
      <c r="DK464" s="4" t="s">
        <v>241</v>
      </c>
      <c r="DL464" s="4" t="s">
        <v>241</v>
      </c>
      <c r="DM464" s="4" t="s">
        <v>277</v>
      </c>
      <c r="DN464" s="4" t="s">
        <v>278</v>
      </c>
      <c r="DO464" s="6">
        <f>20</f>
        <v>20</v>
      </c>
      <c r="DP464" s="4" t="s">
        <v>241</v>
      </c>
      <c r="DQ464" s="4" t="s">
        <v>241</v>
      </c>
      <c r="DR464" s="4" t="s">
        <v>241</v>
      </c>
      <c r="DS464" s="4" t="s">
        <v>241</v>
      </c>
      <c r="DV464" s="4" t="s">
        <v>739</v>
      </c>
      <c r="DW464" s="4" t="s">
        <v>300</v>
      </c>
      <c r="HO464" s="4" t="s">
        <v>277</v>
      </c>
      <c r="HR464" s="4" t="s">
        <v>278</v>
      </c>
      <c r="HS464" s="4" t="s">
        <v>278</v>
      </c>
    </row>
    <row r="465" spans="1:240" x14ac:dyDescent="0.4">
      <c r="A465" s="4">
        <v>2</v>
      </c>
      <c r="B465" s="4" t="s">
        <v>239</v>
      </c>
      <c r="C465" s="4">
        <v>496</v>
      </c>
      <c r="D465" s="4">
        <v>1</v>
      </c>
      <c r="E465" s="4">
        <v>1</v>
      </c>
      <c r="F465" s="4" t="s">
        <v>240</v>
      </c>
      <c r="G465" s="4" t="s">
        <v>241</v>
      </c>
      <c r="H465" s="4" t="s">
        <v>241</v>
      </c>
      <c r="I465" s="4" t="s">
        <v>736</v>
      </c>
      <c r="J465" s="4" t="s">
        <v>653</v>
      </c>
      <c r="K465" s="4" t="s">
        <v>256</v>
      </c>
      <c r="L465" s="4" t="s">
        <v>429</v>
      </c>
      <c r="M465" s="5" t="s">
        <v>738</v>
      </c>
      <c r="N465" s="4" t="s">
        <v>429</v>
      </c>
      <c r="O465" s="6">
        <f>35</f>
        <v>35</v>
      </c>
      <c r="P465" s="4" t="s">
        <v>276</v>
      </c>
      <c r="Q465" s="6">
        <f>1</f>
        <v>1</v>
      </c>
      <c r="R465" s="6">
        <f>3185000</f>
        <v>3185000</v>
      </c>
      <c r="S465" s="5" t="s">
        <v>3000</v>
      </c>
      <c r="T465" s="4" t="s">
        <v>348</v>
      </c>
      <c r="U465" s="4" t="s">
        <v>384</v>
      </c>
      <c r="W465" s="6">
        <f>3184999</f>
        <v>3184999</v>
      </c>
      <c r="X465" s="4" t="s">
        <v>243</v>
      </c>
      <c r="Y465" s="4" t="s">
        <v>244</v>
      </c>
      <c r="Z465" s="4" t="s">
        <v>465</v>
      </c>
      <c r="AA465" s="4" t="s">
        <v>241</v>
      </c>
      <c r="AD465" s="4" t="s">
        <v>241</v>
      </c>
      <c r="AF465" s="5" t="s">
        <v>241</v>
      </c>
      <c r="AI465" s="5" t="s">
        <v>375</v>
      </c>
      <c r="AJ465" s="4" t="s">
        <v>251</v>
      </c>
      <c r="AK465" s="4" t="s">
        <v>252</v>
      </c>
      <c r="BA465" s="4" t="s">
        <v>254</v>
      </c>
      <c r="BB465" s="4" t="s">
        <v>241</v>
      </c>
      <c r="BC465" s="4" t="s">
        <v>255</v>
      </c>
      <c r="BD465" s="4" t="s">
        <v>241</v>
      </c>
      <c r="BE465" s="4" t="s">
        <v>257</v>
      </c>
      <c r="BF465" s="4" t="s">
        <v>241</v>
      </c>
      <c r="BJ465" s="4" t="s">
        <v>259</v>
      </c>
      <c r="BK465" s="5" t="s">
        <v>260</v>
      </c>
      <c r="BL465" s="4" t="s">
        <v>261</v>
      </c>
      <c r="BM465" s="4" t="s">
        <v>262</v>
      </c>
      <c r="BN465" s="4" t="s">
        <v>241</v>
      </c>
      <c r="BO465" s="6">
        <f>0</f>
        <v>0</v>
      </c>
      <c r="BP465" s="6">
        <f>0</f>
        <v>0</v>
      </c>
      <c r="BQ465" s="4" t="s">
        <v>263</v>
      </c>
      <c r="BR465" s="4" t="s">
        <v>264</v>
      </c>
      <c r="CF465" s="4" t="s">
        <v>241</v>
      </c>
      <c r="CG465" s="4" t="s">
        <v>241</v>
      </c>
      <c r="CK465" s="4" t="s">
        <v>291</v>
      </c>
      <c r="CL465" s="4" t="s">
        <v>266</v>
      </c>
      <c r="CM465" s="4" t="s">
        <v>241</v>
      </c>
      <c r="CO465" s="4" t="s">
        <v>383</v>
      </c>
      <c r="CP465" s="5" t="s">
        <v>268</v>
      </c>
      <c r="CQ465" s="4" t="s">
        <v>269</v>
      </c>
      <c r="CR465" s="4" t="s">
        <v>270</v>
      </c>
      <c r="CS465" s="4" t="s">
        <v>241</v>
      </c>
      <c r="CT465" s="4" t="s">
        <v>241</v>
      </c>
      <c r="CU465" s="4">
        <v>0</v>
      </c>
      <c r="CV465" s="4" t="s">
        <v>271</v>
      </c>
      <c r="CW465" s="4" t="s">
        <v>272</v>
      </c>
      <c r="CX465" s="4" t="s">
        <v>347</v>
      </c>
      <c r="CZ465" s="6">
        <f>3185000</f>
        <v>3185000</v>
      </c>
      <c r="DA465" s="6">
        <f>0</f>
        <v>0</v>
      </c>
      <c r="DC465" s="4" t="s">
        <v>241</v>
      </c>
      <c r="DD465" s="4" t="s">
        <v>241</v>
      </c>
      <c r="DF465" s="4" t="s">
        <v>241</v>
      </c>
      <c r="DI465" s="4" t="s">
        <v>241</v>
      </c>
      <c r="DJ465" s="4" t="s">
        <v>241</v>
      </c>
      <c r="DK465" s="4" t="s">
        <v>241</v>
      </c>
      <c r="DL465" s="4" t="s">
        <v>241</v>
      </c>
      <c r="DM465" s="4" t="s">
        <v>277</v>
      </c>
      <c r="DN465" s="4" t="s">
        <v>278</v>
      </c>
      <c r="DO465" s="6">
        <f>35</f>
        <v>35</v>
      </c>
      <c r="DP465" s="4" t="s">
        <v>241</v>
      </c>
      <c r="DQ465" s="4" t="s">
        <v>241</v>
      </c>
      <c r="DR465" s="4" t="s">
        <v>241</v>
      </c>
      <c r="DS465" s="4" t="s">
        <v>241</v>
      </c>
      <c r="DV465" s="4" t="s">
        <v>739</v>
      </c>
      <c r="DW465" s="4" t="s">
        <v>341</v>
      </c>
      <c r="HO465" s="4" t="s">
        <v>277</v>
      </c>
      <c r="HR465" s="4" t="s">
        <v>278</v>
      </c>
      <c r="HS465" s="4" t="s">
        <v>278</v>
      </c>
    </row>
    <row r="466" spans="1:240" x14ac:dyDescent="0.4">
      <c r="A466" s="4">
        <v>2</v>
      </c>
      <c r="B466" s="4" t="s">
        <v>239</v>
      </c>
      <c r="C466" s="4">
        <v>497</v>
      </c>
      <c r="D466" s="4">
        <v>1</v>
      </c>
      <c r="E466" s="4">
        <v>1</v>
      </c>
      <c r="F466" s="4" t="s">
        <v>240</v>
      </c>
      <c r="G466" s="4" t="s">
        <v>241</v>
      </c>
      <c r="H466" s="4" t="s">
        <v>241</v>
      </c>
      <c r="I466" s="4" t="s">
        <v>736</v>
      </c>
      <c r="J466" s="4" t="s">
        <v>653</v>
      </c>
      <c r="K466" s="4" t="s">
        <v>256</v>
      </c>
      <c r="L466" s="4" t="s">
        <v>340</v>
      </c>
      <c r="M466" s="5" t="s">
        <v>738</v>
      </c>
      <c r="N466" s="4" t="s">
        <v>340</v>
      </c>
      <c r="O466" s="6">
        <f>9</f>
        <v>9</v>
      </c>
      <c r="P466" s="4" t="s">
        <v>276</v>
      </c>
      <c r="Q466" s="6">
        <f>1</f>
        <v>1</v>
      </c>
      <c r="R466" s="6">
        <f>810000</f>
        <v>810000</v>
      </c>
      <c r="S466" s="5" t="s">
        <v>1747</v>
      </c>
      <c r="T466" s="4" t="s">
        <v>348</v>
      </c>
      <c r="U466" s="4" t="s">
        <v>357</v>
      </c>
      <c r="W466" s="6">
        <f>809999</f>
        <v>809999</v>
      </c>
      <c r="X466" s="4" t="s">
        <v>243</v>
      </c>
      <c r="Y466" s="4" t="s">
        <v>244</v>
      </c>
      <c r="Z466" s="4" t="s">
        <v>465</v>
      </c>
      <c r="AA466" s="4" t="s">
        <v>241</v>
      </c>
      <c r="AD466" s="4" t="s">
        <v>241</v>
      </c>
      <c r="AF466" s="5" t="s">
        <v>241</v>
      </c>
      <c r="AI466" s="5" t="s">
        <v>375</v>
      </c>
      <c r="AJ466" s="4" t="s">
        <v>251</v>
      </c>
      <c r="AK466" s="4" t="s">
        <v>252</v>
      </c>
      <c r="BA466" s="4" t="s">
        <v>254</v>
      </c>
      <c r="BB466" s="4" t="s">
        <v>241</v>
      </c>
      <c r="BC466" s="4" t="s">
        <v>255</v>
      </c>
      <c r="BD466" s="4" t="s">
        <v>241</v>
      </c>
      <c r="BE466" s="4" t="s">
        <v>257</v>
      </c>
      <c r="BF466" s="4" t="s">
        <v>241</v>
      </c>
      <c r="BJ466" s="4" t="s">
        <v>374</v>
      </c>
      <c r="BK466" s="5" t="s">
        <v>375</v>
      </c>
      <c r="BL466" s="4" t="s">
        <v>261</v>
      </c>
      <c r="BM466" s="4" t="s">
        <v>262</v>
      </c>
      <c r="BN466" s="4" t="s">
        <v>241</v>
      </c>
      <c r="BO466" s="6">
        <f>0</f>
        <v>0</v>
      </c>
      <c r="BP466" s="6">
        <f>0</f>
        <v>0</v>
      </c>
      <c r="BQ466" s="4" t="s">
        <v>263</v>
      </c>
      <c r="BR466" s="4" t="s">
        <v>264</v>
      </c>
      <c r="CF466" s="4" t="s">
        <v>241</v>
      </c>
      <c r="CG466" s="4" t="s">
        <v>241</v>
      </c>
      <c r="CK466" s="4" t="s">
        <v>265</v>
      </c>
      <c r="CL466" s="4" t="s">
        <v>266</v>
      </c>
      <c r="CM466" s="4" t="s">
        <v>241</v>
      </c>
      <c r="CO466" s="4" t="s">
        <v>382</v>
      </c>
      <c r="CP466" s="5" t="s">
        <v>268</v>
      </c>
      <c r="CQ466" s="4" t="s">
        <v>269</v>
      </c>
      <c r="CR466" s="4" t="s">
        <v>270</v>
      </c>
      <c r="CS466" s="4" t="s">
        <v>241</v>
      </c>
      <c r="CT466" s="4" t="s">
        <v>241</v>
      </c>
      <c r="CU466" s="4">
        <v>0</v>
      </c>
      <c r="CV466" s="4" t="s">
        <v>271</v>
      </c>
      <c r="CW466" s="4" t="s">
        <v>332</v>
      </c>
      <c r="CX466" s="4" t="s">
        <v>347</v>
      </c>
      <c r="CZ466" s="6">
        <f>810000</f>
        <v>810000</v>
      </c>
      <c r="DA466" s="6">
        <f>0</f>
        <v>0</v>
      </c>
      <c r="DC466" s="4" t="s">
        <v>241</v>
      </c>
      <c r="DD466" s="4" t="s">
        <v>241</v>
      </c>
      <c r="DF466" s="4" t="s">
        <v>241</v>
      </c>
      <c r="DI466" s="4" t="s">
        <v>241</v>
      </c>
      <c r="DJ466" s="4" t="s">
        <v>241</v>
      </c>
      <c r="DK466" s="4" t="s">
        <v>241</v>
      </c>
      <c r="DL466" s="4" t="s">
        <v>241</v>
      </c>
      <c r="DM466" s="4" t="s">
        <v>277</v>
      </c>
      <c r="DN466" s="4" t="s">
        <v>278</v>
      </c>
      <c r="DO466" s="6">
        <f>9</f>
        <v>9</v>
      </c>
      <c r="DP466" s="4" t="s">
        <v>241</v>
      </c>
      <c r="DQ466" s="4" t="s">
        <v>241</v>
      </c>
      <c r="DR466" s="4" t="s">
        <v>241</v>
      </c>
      <c r="DS466" s="4" t="s">
        <v>241</v>
      </c>
      <c r="DV466" s="4" t="s">
        <v>739</v>
      </c>
      <c r="DW466" s="4" t="s">
        <v>343</v>
      </c>
      <c r="HO466" s="4" t="s">
        <v>277</v>
      </c>
      <c r="HR466" s="4" t="s">
        <v>278</v>
      </c>
      <c r="HS466" s="4" t="s">
        <v>278</v>
      </c>
    </row>
    <row r="467" spans="1:240" x14ac:dyDescent="0.4">
      <c r="A467" s="4">
        <v>2</v>
      </c>
      <c r="B467" s="4" t="s">
        <v>239</v>
      </c>
      <c r="C467" s="4">
        <v>498</v>
      </c>
      <c r="D467" s="4">
        <v>1</v>
      </c>
      <c r="E467" s="4">
        <v>3</v>
      </c>
      <c r="F467" s="4" t="s">
        <v>326</v>
      </c>
      <c r="G467" s="4" t="s">
        <v>241</v>
      </c>
      <c r="H467" s="4" t="s">
        <v>241</v>
      </c>
      <c r="I467" s="4" t="s">
        <v>736</v>
      </c>
      <c r="J467" s="4" t="s">
        <v>653</v>
      </c>
      <c r="K467" s="4" t="s">
        <v>256</v>
      </c>
      <c r="L467" s="4" t="s">
        <v>974</v>
      </c>
      <c r="M467" s="5" t="s">
        <v>738</v>
      </c>
      <c r="N467" s="4" t="s">
        <v>972</v>
      </c>
      <c r="O467" s="6">
        <f>0</f>
        <v>0</v>
      </c>
      <c r="P467" s="4" t="s">
        <v>276</v>
      </c>
      <c r="Q467" s="6">
        <f>669776</f>
        <v>669776</v>
      </c>
      <c r="R467" s="6">
        <f>734400</f>
        <v>734400</v>
      </c>
      <c r="S467" s="5" t="s">
        <v>973</v>
      </c>
      <c r="T467" s="4" t="s">
        <v>668</v>
      </c>
      <c r="U467" s="4" t="s">
        <v>297</v>
      </c>
      <c r="V467" s="6">
        <f>16156</f>
        <v>16156</v>
      </c>
      <c r="W467" s="6">
        <f>64624</f>
        <v>64624</v>
      </c>
      <c r="X467" s="4" t="s">
        <v>243</v>
      </c>
      <c r="Y467" s="4" t="s">
        <v>244</v>
      </c>
      <c r="Z467" s="4" t="s">
        <v>465</v>
      </c>
      <c r="AA467" s="4" t="s">
        <v>241</v>
      </c>
      <c r="AD467" s="4" t="s">
        <v>241</v>
      </c>
      <c r="AE467" s="5" t="s">
        <v>241</v>
      </c>
      <c r="AF467" s="5" t="s">
        <v>241</v>
      </c>
      <c r="AH467" s="5" t="s">
        <v>241</v>
      </c>
      <c r="AI467" s="5" t="s">
        <v>375</v>
      </c>
      <c r="AJ467" s="4" t="s">
        <v>251</v>
      </c>
      <c r="AK467" s="4" t="s">
        <v>252</v>
      </c>
      <c r="AQ467" s="4" t="s">
        <v>241</v>
      </c>
      <c r="AR467" s="4" t="s">
        <v>241</v>
      </c>
      <c r="AS467" s="4" t="s">
        <v>241</v>
      </c>
      <c r="AT467" s="5" t="s">
        <v>241</v>
      </c>
      <c r="AU467" s="5" t="s">
        <v>241</v>
      </c>
      <c r="AV467" s="5" t="s">
        <v>241</v>
      </c>
      <c r="AY467" s="4" t="s">
        <v>286</v>
      </c>
      <c r="AZ467" s="4" t="s">
        <v>286</v>
      </c>
      <c r="BA467" s="4" t="s">
        <v>254</v>
      </c>
      <c r="BB467" s="4" t="s">
        <v>287</v>
      </c>
      <c r="BC467" s="4" t="s">
        <v>255</v>
      </c>
      <c r="BD467" s="4" t="s">
        <v>241</v>
      </c>
      <c r="BE467" s="4" t="s">
        <v>257</v>
      </c>
      <c r="BF467" s="4" t="s">
        <v>241</v>
      </c>
      <c r="BJ467" s="4" t="s">
        <v>288</v>
      </c>
      <c r="BK467" s="5" t="s">
        <v>289</v>
      </c>
      <c r="BL467" s="4" t="s">
        <v>290</v>
      </c>
      <c r="BM467" s="4" t="s">
        <v>290</v>
      </c>
      <c r="BN467" s="4" t="s">
        <v>241</v>
      </c>
      <c r="BP467" s="6">
        <f>-16156</f>
        <v>-16156</v>
      </c>
      <c r="BQ467" s="4" t="s">
        <v>263</v>
      </c>
      <c r="BR467" s="4" t="s">
        <v>264</v>
      </c>
      <c r="BS467" s="4" t="s">
        <v>241</v>
      </c>
      <c r="BT467" s="4" t="s">
        <v>241</v>
      </c>
      <c r="BU467" s="4" t="s">
        <v>241</v>
      </c>
      <c r="BV467" s="4" t="s">
        <v>241</v>
      </c>
      <c r="CE467" s="4" t="s">
        <v>264</v>
      </c>
      <c r="CF467" s="4" t="s">
        <v>241</v>
      </c>
      <c r="CG467" s="4" t="s">
        <v>241</v>
      </c>
      <c r="CK467" s="4" t="s">
        <v>291</v>
      </c>
      <c r="CL467" s="4" t="s">
        <v>266</v>
      </c>
      <c r="CM467" s="4" t="s">
        <v>241</v>
      </c>
      <c r="CO467" s="4" t="s">
        <v>413</v>
      </c>
      <c r="CP467" s="5" t="s">
        <v>268</v>
      </c>
      <c r="CQ467" s="4" t="s">
        <v>269</v>
      </c>
      <c r="CR467" s="4" t="s">
        <v>270</v>
      </c>
      <c r="CS467" s="4" t="s">
        <v>293</v>
      </c>
      <c r="CT467" s="4" t="s">
        <v>241</v>
      </c>
      <c r="CU467" s="4">
        <v>2.1999999999999999E-2</v>
      </c>
      <c r="CV467" s="4" t="s">
        <v>271</v>
      </c>
      <c r="CW467" s="4" t="s">
        <v>655</v>
      </c>
      <c r="CX467" s="4" t="s">
        <v>295</v>
      </c>
      <c r="CY467" s="6">
        <f>0</f>
        <v>0</v>
      </c>
      <c r="CZ467" s="6">
        <f>734400</f>
        <v>734400</v>
      </c>
      <c r="DA467" s="6">
        <f>669776</f>
        <v>669776</v>
      </c>
      <c r="DC467" s="4" t="s">
        <v>241</v>
      </c>
      <c r="DD467" s="4" t="s">
        <v>241</v>
      </c>
      <c r="DF467" s="4" t="s">
        <v>241</v>
      </c>
      <c r="DG467" s="6">
        <f>0</f>
        <v>0</v>
      </c>
      <c r="DI467" s="4" t="s">
        <v>241</v>
      </c>
      <c r="DJ467" s="4" t="s">
        <v>241</v>
      </c>
      <c r="DK467" s="4" t="s">
        <v>241</v>
      </c>
      <c r="DL467" s="4" t="s">
        <v>241</v>
      </c>
      <c r="DM467" s="4" t="s">
        <v>278</v>
      </c>
      <c r="DN467" s="4" t="s">
        <v>278</v>
      </c>
      <c r="DO467" s="6" t="s">
        <v>241</v>
      </c>
      <c r="DP467" s="4" t="s">
        <v>241</v>
      </c>
      <c r="DQ467" s="4" t="s">
        <v>241</v>
      </c>
      <c r="DR467" s="4" t="s">
        <v>241</v>
      </c>
      <c r="DS467" s="4" t="s">
        <v>241</v>
      </c>
      <c r="DV467" s="4" t="s">
        <v>739</v>
      </c>
      <c r="DW467" s="4" t="s">
        <v>417</v>
      </c>
      <c r="GN467" s="4" t="s">
        <v>975</v>
      </c>
      <c r="HO467" s="4" t="s">
        <v>351</v>
      </c>
      <c r="HR467" s="4" t="s">
        <v>278</v>
      </c>
      <c r="HS467" s="4" t="s">
        <v>278</v>
      </c>
      <c r="HT467" s="4" t="s">
        <v>241</v>
      </c>
      <c r="HU467" s="4" t="s">
        <v>241</v>
      </c>
      <c r="HV467" s="4" t="s">
        <v>241</v>
      </c>
      <c r="HW467" s="4" t="s">
        <v>241</v>
      </c>
      <c r="HX467" s="4" t="s">
        <v>241</v>
      </c>
      <c r="HY467" s="4" t="s">
        <v>241</v>
      </c>
      <c r="HZ467" s="4" t="s">
        <v>241</v>
      </c>
      <c r="IA467" s="4" t="s">
        <v>241</v>
      </c>
      <c r="IB467" s="4" t="s">
        <v>241</v>
      </c>
      <c r="IC467" s="4" t="s">
        <v>241</v>
      </c>
      <c r="ID467" s="4" t="s">
        <v>241</v>
      </c>
      <c r="IE467" s="4" t="s">
        <v>241</v>
      </c>
      <c r="IF467" s="4" t="s">
        <v>241</v>
      </c>
    </row>
    <row r="468" spans="1:240" x14ac:dyDescent="0.4">
      <c r="A468" s="4">
        <v>2</v>
      </c>
      <c r="B468" s="4" t="s">
        <v>239</v>
      </c>
      <c r="C468" s="4">
        <v>499</v>
      </c>
      <c r="D468" s="4">
        <v>1</v>
      </c>
      <c r="E468" s="4">
        <v>3</v>
      </c>
      <c r="F468" s="4" t="s">
        <v>326</v>
      </c>
      <c r="G468" s="4" t="s">
        <v>241</v>
      </c>
      <c r="H468" s="4" t="s">
        <v>241</v>
      </c>
      <c r="I468" s="4" t="s">
        <v>736</v>
      </c>
      <c r="J468" s="4" t="s">
        <v>653</v>
      </c>
      <c r="K468" s="4" t="s">
        <v>256</v>
      </c>
      <c r="L468" s="4" t="s">
        <v>2724</v>
      </c>
      <c r="M468" s="5" t="s">
        <v>738</v>
      </c>
      <c r="N468" s="4" t="s">
        <v>2761</v>
      </c>
      <c r="O468" s="6">
        <f>0</f>
        <v>0</v>
      </c>
      <c r="P468" s="4" t="s">
        <v>276</v>
      </c>
      <c r="Q468" s="6">
        <f>466674</f>
        <v>466674</v>
      </c>
      <c r="R468" s="6">
        <f>637530</f>
        <v>637530</v>
      </c>
      <c r="S468" s="5" t="s">
        <v>380</v>
      </c>
      <c r="T468" s="4" t="s">
        <v>348</v>
      </c>
      <c r="U468" s="4" t="s">
        <v>297</v>
      </c>
      <c r="V468" s="6">
        <f>42714</f>
        <v>42714</v>
      </c>
      <c r="W468" s="6">
        <f>170856</f>
        <v>170856</v>
      </c>
      <c r="X468" s="4" t="s">
        <v>243</v>
      </c>
      <c r="Y468" s="4" t="s">
        <v>244</v>
      </c>
      <c r="Z468" s="4" t="s">
        <v>465</v>
      </c>
      <c r="AA468" s="4" t="s">
        <v>241</v>
      </c>
      <c r="AD468" s="4" t="s">
        <v>241</v>
      </c>
      <c r="AE468" s="5" t="s">
        <v>241</v>
      </c>
      <c r="AF468" s="5" t="s">
        <v>241</v>
      </c>
      <c r="AH468" s="5" t="s">
        <v>241</v>
      </c>
      <c r="AI468" s="5" t="s">
        <v>375</v>
      </c>
      <c r="AJ468" s="4" t="s">
        <v>251</v>
      </c>
      <c r="AK468" s="4" t="s">
        <v>252</v>
      </c>
      <c r="AQ468" s="4" t="s">
        <v>241</v>
      </c>
      <c r="AR468" s="4" t="s">
        <v>241</v>
      </c>
      <c r="AS468" s="4" t="s">
        <v>241</v>
      </c>
      <c r="AT468" s="5" t="s">
        <v>241</v>
      </c>
      <c r="AU468" s="5" t="s">
        <v>241</v>
      </c>
      <c r="AV468" s="5" t="s">
        <v>241</v>
      </c>
      <c r="AY468" s="4" t="s">
        <v>286</v>
      </c>
      <c r="AZ468" s="4" t="s">
        <v>286</v>
      </c>
      <c r="BA468" s="4" t="s">
        <v>254</v>
      </c>
      <c r="BB468" s="4" t="s">
        <v>287</v>
      </c>
      <c r="BC468" s="4" t="s">
        <v>255</v>
      </c>
      <c r="BD468" s="4" t="s">
        <v>241</v>
      </c>
      <c r="BE468" s="4" t="s">
        <v>257</v>
      </c>
      <c r="BF468" s="4" t="s">
        <v>241</v>
      </c>
      <c r="BJ468" s="4" t="s">
        <v>288</v>
      </c>
      <c r="BK468" s="5" t="s">
        <v>289</v>
      </c>
      <c r="BL468" s="4" t="s">
        <v>290</v>
      </c>
      <c r="BM468" s="4" t="s">
        <v>290</v>
      </c>
      <c r="BN468" s="4" t="s">
        <v>241</v>
      </c>
      <c r="BP468" s="6">
        <f>-42714</f>
        <v>-42714</v>
      </c>
      <c r="BQ468" s="4" t="s">
        <v>263</v>
      </c>
      <c r="BR468" s="4" t="s">
        <v>264</v>
      </c>
      <c r="BS468" s="4" t="s">
        <v>241</v>
      </c>
      <c r="BT468" s="4" t="s">
        <v>241</v>
      </c>
      <c r="BU468" s="4" t="s">
        <v>241</v>
      </c>
      <c r="BV468" s="4" t="s">
        <v>241</v>
      </c>
      <c r="CE468" s="4" t="s">
        <v>264</v>
      </c>
      <c r="CF468" s="4" t="s">
        <v>241</v>
      </c>
      <c r="CG468" s="4" t="s">
        <v>241</v>
      </c>
      <c r="CK468" s="4" t="s">
        <v>291</v>
      </c>
      <c r="CL468" s="4" t="s">
        <v>266</v>
      </c>
      <c r="CM468" s="4" t="s">
        <v>241</v>
      </c>
      <c r="CO468" s="4" t="s">
        <v>413</v>
      </c>
      <c r="CP468" s="5" t="s">
        <v>268</v>
      </c>
      <c r="CQ468" s="4" t="s">
        <v>269</v>
      </c>
      <c r="CR468" s="4" t="s">
        <v>270</v>
      </c>
      <c r="CS468" s="4" t="s">
        <v>293</v>
      </c>
      <c r="CT468" s="4" t="s">
        <v>241</v>
      </c>
      <c r="CU468" s="4">
        <v>6.7000000000000004E-2</v>
      </c>
      <c r="CV468" s="4" t="s">
        <v>271</v>
      </c>
      <c r="CW468" s="4" t="s">
        <v>415</v>
      </c>
      <c r="CX468" s="4" t="s">
        <v>422</v>
      </c>
      <c r="CY468" s="6">
        <f>0</f>
        <v>0</v>
      </c>
      <c r="CZ468" s="6">
        <f>637530</f>
        <v>637530</v>
      </c>
      <c r="DA468" s="6">
        <f>466674</f>
        <v>466674</v>
      </c>
      <c r="DC468" s="4" t="s">
        <v>241</v>
      </c>
      <c r="DD468" s="4" t="s">
        <v>241</v>
      </c>
      <c r="DF468" s="4" t="s">
        <v>241</v>
      </c>
      <c r="DG468" s="6">
        <f>0</f>
        <v>0</v>
      </c>
      <c r="DI468" s="4" t="s">
        <v>241</v>
      </c>
      <c r="DJ468" s="4" t="s">
        <v>241</v>
      </c>
      <c r="DK468" s="4" t="s">
        <v>241</v>
      </c>
      <c r="DL468" s="4" t="s">
        <v>241</v>
      </c>
      <c r="DM468" s="4" t="s">
        <v>278</v>
      </c>
      <c r="DN468" s="4" t="s">
        <v>278</v>
      </c>
      <c r="DO468" s="6" t="s">
        <v>241</v>
      </c>
      <c r="DP468" s="4" t="s">
        <v>241</v>
      </c>
      <c r="DQ468" s="4" t="s">
        <v>241</v>
      </c>
      <c r="DR468" s="4" t="s">
        <v>241</v>
      </c>
      <c r="DS468" s="4" t="s">
        <v>241</v>
      </c>
      <c r="DV468" s="4" t="s">
        <v>739</v>
      </c>
      <c r="DW468" s="4" t="s">
        <v>427</v>
      </c>
      <c r="GN468" s="4" t="s">
        <v>2809</v>
      </c>
      <c r="HO468" s="4" t="s">
        <v>351</v>
      </c>
      <c r="HR468" s="4" t="s">
        <v>278</v>
      </c>
      <c r="HS468" s="4" t="s">
        <v>278</v>
      </c>
      <c r="HT468" s="4" t="s">
        <v>241</v>
      </c>
      <c r="HU468" s="4" t="s">
        <v>241</v>
      </c>
      <c r="HV468" s="4" t="s">
        <v>241</v>
      </c>
      <c r="HW468" s="4" t="s">
        <v>241</v>
      </c>
      <c r="HX468" s="4" t="s">
        <v>241</v>
      </c>
      <c r="HY468" s="4" t="s">
        <v>241</v>
      </c>
      <c r="HZ468" s="4" t="s">
        <v>241</v>
      </c>
      <c r="IA468" s="4" t="s">
        <v>241</v>
      </c>
      <c r="IB468" s="4" t="s">
        <v>241</v>
      </c>
      <c r="IC468" s="4" t="s">
        <v>241</v>
      </c>
      <c r="ID468" s="4" t="s">
        <v>241</v>
      </c>
      <c r="IE468" s="4" t="s">
        <v>241</v>
      </c>
      <c r="IF468" s="4" t="s">
        <v>241</v>
      </c>
    </row>
    <row r="469" spans="1:240" x14ac:dyDescent="0.4">
      <c r="A469" s="4">
        <v>2</v>
      </c>
      <c r="B469" s="4" t="s">
        <v>239</v>
      </c>
      <c r="C469" s="4">
        <v>500</v>
      </c>
      <c r="D469" s="4">
        <v>1</v>
      </c>
      <c r="E469" s="4">
        <v>3</v>
      </c>
      <c r="F469" s="4" t="s">
        <v>326</v>
      </c>
      <c r="G469" s="4" t="s">
        <v>241</v>
      </c>
      <c r="H469" s="4" t="s">
        <v>241</v>
      </c>
      <c r="I469" s="4" t="s">
        <v>736</v>
      </c>
      <c r="J469" s="4" t="s">
        <v>653</v>
      </c>
      <c r="K469" s="4" t="s">
        <v>256</v>
      </c>
      <c r="L469" s="4" t="s">
        <v>241</v>
      </c>
      <c r="M469" s="5" t="s">
        <v>738</v>
      </c>
      <c r="N469" s="4" t="s">
        <v>2747</v>
      </c>
      <c r="O469" s="6">
        <f>0</f>
        <v>0</v>
      </c>
      <c r="P469" s="4" t="s">
        <v>276</v>
      </c>
      <c r="Q469" s="6">
        <f>28481339</f>
        <v>28481339</v>
      </c>
      <c r="R469" s="6">
        <f>33665883</f>
        <v>33665883</v>
      </c>
      <c r="S469" s="5" t="s">
        <v>1104</v>
      </c>
      <c r="T469" s="4" t="s">
        <v>322</v>
      </c>
      <c r="U469" s="4" t="s">
        <v>277</v>
      </c>
      <c r="V469" s="6">
        <f>2592272</f>
        <v>2592272</v>
      </c>
      <c r="W469" s="6">
        <f>5184544</f>
        <v>5184544</v>
      </c>
      <c r="X469" s="4" t="s">
        <v>243</v>
      </c>
      <c r="Y469" s="4" t="s">
        <v>244</v>
      </c>
      <c r="Z469" s="4" t="s">
        <v>241</v>
      </c>
      <c r="AA469" s="4" t="s">
        <v>241</v>
      </c>
      <c r="AD469" s="4" t="s">
        <v>241</v>
      </c>
      <c r="AE469" s="5" t="s">
        <v>241</v>
      </c>
      <c r="AF469" s="5" t="s">
        <v>241</v>
      </c>
      <c r="AH469" s="5" t="s">
        <v>241</v>
      </c>
      <c r="AI469" s="5" t="s">
        <v>375</v>
      </c>
      <c r="AJ469" s="4" t="s">
        <v>251</v>
      </c>
      <c r="AK469" s="4" t="s">
        <v>252</v>
      </c>
      <c r="AQ469" s="4" t="s">
        <v>241</v>
      </c>
      <c r="AR469" s="4" t="s">
        <v>241</v>
      </c>
      <c r="AS469" s="4" t="s">
        <v>241</v>
      </c>
      <c r="AT469" s="5" t="s">
        <v>241</v>
      </c>
      <c r="AU469" s="5" t="s">
        <v>241</v>
      </c>
      <c r="AV469" s="5" t="s">
        <v>241</v>
      </c>
      <c r="AY469" s="4" t="s">
        <v>286</v>
      </c>
      <c r="AZ469" s="4" t="s">
        <v>286</v>
      </c>
      <c r="BA469" s="4" t="s">
        <v>254</v>
      </c>
      <c r="BB469" s="4" t="s">
        <v>287</v>
      </c>
      <c r="BC469" s="4" t="s">
        <v>255</v>
      </c>
      <c r="BD469" s="4" t="s">
        <v>241</v>
      </c>
      <c r="BE469" s="4" t="s">
        <v>257</v>
      </c>
      <c r="BF469" s="4" t="s">
        <v>241</v>
      </c>
      <c r="BJ469" s="4" t="s">
        <v>288</v>
      </c>
      <c r="BK469" s="5" t="s">
        <v>289</v>
      </c>
      <c r="BL469" s="4" t="s">
        <v>290</v>
      </c>
      <c r="BM469" s="4" t="s">
        <v>290</v>
      </c>
      <c r="BN469" s="4" t="s">
        <v>241</v>
      </c>
      <c r="BP469" s="6">
        <f>-2592272</f>
        <v>-2592272</v>
      </c>
      <c r="BQ469" s="4" t="s">
        <v>263</v>
      </c>
      <c r="BR469" s="4" t="s">
        <v>264</v>
      </c>
      <c r="BS469" s="4" t="s">
        <v>241</v>
      </c>
      <c r="BT469" s="4" t="s">
        <v>241</v>
      </c>
      <c r="BU469" s="4" t="s">
        <v>241</v>
      </c>
      <c r="BV469" s="4" t="s">
        <v>241</v>
      </c>
      <c r="CE469" s="4" t="s">
        <v>264</v>
      </c>
      <c r="CF469" s="4" t="s">
        <v>241</v>
      </c>
      <c r="CG469" s="4" t="s">
        <v>241</v>
      </c>
      <c r="CK469" s="4" t="s">
        <v>291</v>
      </c>
      <c r="CL469" s="4" t="s">
        <v>266</v>
      </c>
      <c r="CM469" s="4" t="s">
        <v>241</v>
      </c>
      <c r="CO469" s="4" t="s">
        <v>331</v>
      </c>
      <c r="CP469" s="5" t="s">
        <v>268</v>
      </c>
      <c r="CQ469" s="4" t="s">
        <v>269</v>
      </c>
      <c r="CR469" s="4" t="s">
        <v>270</v>
      </c>
      <c r="CS469" s="4" t="s">
        <v>293</v>
      </c>
      <c r="CT469" s="4" t="s">
        <v>241</v>
      </c>
      <c r="CU469" s="4">
        <v>7.6999999999999999E-2</v>
      </c>
      <c r="CV469" s="4" t="s">
        <v>271</v>
      </c>
      <c r="CW469" s="4" t="s">
        <v>415</v>
      </c>
      <c r="CX469" s="4" t="s">
        <v>428</v>
      </c>
      <c r="CY469" s="6">
        <f>0</f>
        <v>0</v>
      </c>
      <c r="CZ469" s="6">
        <f>33665883</f>
        <v>33665883</v>
      </c>
      <c r="DA469" s="6">
        <f>28481339</f>
        <v>28481339</v>
      </c>
      <c r="DC469" s="4" t="s">
        <v>241</v>
      </c>
      <c r="DD469" s="4" t="s">
        <v>241</v>
      </c>
      <c r="DF469" s="4" t="s">
        <v>241</v>
      </c>
      <c r="DG469" s="6">
        <f>0</f>
        <v>0</v>
      </c>
      <c r="DI469" s="4" t="s">
        <v>241</v>
      </c>
      <c r="DJ469" s="4" t="s">
        <v>241</v>
      </c>
      <c r="DK469" s="4" t="s">
        <v>241</v>
      </c>
      <c r="DL469" s="4" t="s">
        <v>241</v>
      </c>
      <c r="DM469" s="4" t="s">
        <v>278</v>
      </c>
      <c r="DN469" s="4" t="s">
        <v>278</v>
      </c>
      <c r="DO469" s="6" t="s">
        <v>241</v>
      </c>
      <c r="DP469" s="4" t="s">
        <v>241</v>
      </c>
      <c r="DQ469" s="4" t="s">
        <v>241</v>
      </c>
      <c r="DR469" s="4" t="s">
        <v>241</v>
      </c>
      <c r="DS469" s="4" t="s">
        <v>241</v>
      </c>
      <c r="DV469" s="4" t="s">
        <v>739</v>
      </c>
      <c r="DW469" s="4" t="s">
        <v>353</v>
      </c>
      <c r="GN469" s="4" t="s">
        <v>2808</v>
      </c>
      <c r="HO469" s="4" t="s">
        <v>297</v>
      </c>
      <c r="HR469" s="4" t="s">
        <v>278</v>
      </c>
      <c r="HS469" s="4" t="s">
        <v>278</v>
      </c>
      <c r="HT469" s="4" t="s">
        <v>241</v>
      </c>
      <c r="HU469" s="4" t="s">
        <v>241</v>
      </c>
      <c r="HV469" s="4" t="s">
        <v>241</v>
      </c>
      <c r="HW469" s="4" t="s">
        <v>241</v>
      </c>
      <c r="HX469" s="4" t="s">
        <v>241</v>
      </c>
      <c r="HY469" s="4" t="s">
        <v>241</v>
      </c>
      <c r="HZ469" s="4" t="s">
        <v>241</v>
      </c>
      <c r="IA469" s="4" t="s">
        <v>241</v>
      </c>
      <c r="IB469" s="4" t="s">
        <v>241</v>
      </c>
      <c r="IC469" s="4" t="s">
        <v>241</v>
      </c>
      <c r="ID469" s="4" t="s">
        <v>241</v>
      </c>
      <c r="IE469" s="4" t="s">
        <v>241</v>
      </c>
      <c r="IF469" s="4" t="s">
        <v>241</v>
      </c>
    </row>
    <row r="470" spans="1:240" x14ac:dyDescent="0.4">
      <c r="A470" s="4">
        <v>2</v>
      </c>
      <c r="B470" s="4" t="s">
        <v>239</v>
      </c>
      <c r="C470" s="4">
        <v>501</v>
      </c>
      <c r="D470" s="4">
        <v>1</v>
      </c>
      <c r="E470" s="4">
        <v>1</v>
      </c>
      <c r="F470" s="4" t="s">
        <v>240</v>
      </c>
      <c r="G470" s="4" t="s">
        <v>241</v>
      </c>
      <c r="H470" s="4" t="s">
        <v>241</v>
      </c>
      <c r="I470" s="4" t="s">
        <v>713</v>
      </c>
      <c r="J470" s="4" t="s">
        <v>653</v>
      </c>
      <c r="K470" s="4" t="s">
        <v>256</v>
      </c>
      <c r="L470" s="4" t="s">
        <v>651</v>
      </c>
      <c r="M470" s="5" t="s">
        <v>715</v>
      </c>
      <c r="N470" s="4" t="s">
        <v>651</v>
      </c>
      <c r="O470" s="6">
        <f>2026</f>
        <v>2026</v>
      </c>
      <c r="P470" s="4" t="s">
        <v>276</v>
      </c>
      <c r="Q470" s="6">
        <f>1</f>
        <v>1</v>
      </c>
      <c r="R470" s="6">
        <f>273510000</f>
        <v>273510000</v>
      </c>
      <c r="S470" s="5" t="s">
        <v>714</v>
      </c>
      <c r="T470" s="4" t="s">
        <v>668</v>
      </c>
      <c r="U470" s="4" t="s">
        <v>668</v>
      </c>
      <c r="W470" s="6">
        <f>273509999</f>
        <v>273509999</v>
      </c>
      <c r="X470" s="4" t="s">
        <v>243</v>
      </c>
      <c r="Y470" s="4" t="s">
        <v>244</v>
      </c>
      <c r="Z470" s="4" t="s">
        <v>465</v>
      </c>
      <c r="AA470" s="4" t="s">
        <v>241</v>
      </c>
      <c r="AD470" s="4" t="s">
        <v>241</v>
      </c>
      <c r="AF470" s="5" t="s">
        <v>241</v>
      </c>
      <c r="AI470" s="5" t="s">
        <v>378</v>
      </c>
      <c r="AJ470" s="4" t="s">
        <v>251</v>
      </c>
      <c r="AK470" s="4" t="s">
        <v>252</v>
      </c>
      <c r="BA470" s="4" t="s">
        <v>254</v>
      </c>
      <c r="BB470" s="4" t="s">
        <v>241</v>
      </c>
      <c r="BC470" s="4" t="s">
        <v>255</v>
      </c>
      <c r="BD470" s="4" t="s">
        <v>241</v>
      </c>
      <c r="BE470" s="4" t="s">
        <v>257</v>
      </c>
      <c r="BF470" s="4" t="s">
        <v>241</v>
      </c>
      <c r="BJ470" s="4" t="s">
        <v>377</v>
      </c>
      <c r="BK470" s="5" t="s">
        <v>378</v>
      </c>
      <c r="BL470" s="4" t="s">
        <v>261</v>
      </c>
      <c r="BM470" s="4" t="s">
        <v>290</v>
      </c>
      <c r="BN470" s="4" t="s">
        <v>241</v>
      </c>
      <c r="BO470" s="6">
        <f>0</f>
        <v>0</v>
      </c>
      <c r="BP470" s="6">
        <f>0</f>
        <v>0</v>
      </c>
      <c r="BQ470" s="4" t="s">
        <v>263</v>
      </c>
      <c r="BR470" s="4" t="s">
        <v>264</v>
      </c>
      <c r="CF470" s="4" t="s">
        <v>241</v>
      </c>
      <c r="CG470" s="4" t="s">
        <v>241</v>
      </c>
      <c r="CK470" s="4" t="s">
        <v>265</v>
      </c>
      <c r="CL470" s="4" t="s">
        <v>266</v>
      </c>
      <c r="CM470" s="4" t="s">
        <v>241</v>
      </c>
      <c r="CO470" s="4" t="s">
        <v>436</v>
      </c>
      <c r="CP470" s="5" t="s">
        <v>268</v>
      </c>
      <c r="CQ470" s="4" t="s">
        <v>269</v>
      </c>
      <c r="CR470" s="4" t="s">
        <v>270</v>
      </c>
      <c r="CS470" s="4" t="s">
        <v>241</v>
      </c>
      <c r="CT470" s="4" t="s">
        <v>241</v>
      </c>
      <c r="CU470" s="4">
        <v>0</v>
      </c>
      <c r="CV470" s="4" t="s">
        <v>271</v>
      </c>
      <c r="CW470" s="4" t="s">
        <v>655</v>
      </c>
      <c r="CX470" s="4" t="s">
        <v>295</v>
      </c>
      <c r="CZ470" s="6">
        <f>273510000</f>
        <v>273510000</v>
      </c>
      <c r="DA470" s="6">
        <f>0</f>
        <v>0</v>
      </c>
      <c r="DC470" s="4" t="s">
        <v>241</v>
      </c>
      <c r="DD470" s="4" t="s">
        <v>241</v>
      </c>
      <c r="DF470" s="4" t="s">
        <v>241</v>
      </c>
      <c r="DI470" s="4" t="s">
        <v>241</v>
      </c>
      <c r="DJ470" s="4" t="s">
        <v>241</v>
      </c>
      <c r="DK470" s="4" t="s">
        <v>241</v>
      </c>
      <c r="DL470" s="4" t="s">
        <v>241</v>
      </c>
      <c r="DM470" s="4" t="s">
        <v>323</v>
      </c>
      <c r="DN470" s="4" t="s">
        <v>278</v>
      </c>
      <c r="DO470" s="6">
        <f>2026</f>
        <v>2026</v>
      </c>
      <c r="DP470" s="4" t="s">
        <v>241</v>
      </c>
      <c r="DQ470" s="4" t="s">
        <v>241</v>
      </c>
      <c r="DR470" s="4" t="s">
        <v>241</v>
      </c>
      <c r="DS470" s="4" t="s">
        <v>241</v>
      </c>
      <c r="DV470" s="4" t="s">
        <v>716</v>
      </c>
      <c r="DW470" s="4" t="s">
        <v>277</v>
      </c>
      <c r="HO470" s="4" t="s">
        <v>300</v>
      </c>
      <c r="HR470" s="4" t="s">
        <v>278</v>
      </c>
      <c r="HS470" s="4" t="s">
        <v>278</v>
      </c>
    </row>
    <row r="471" spans="1:240" x14ac:dyDescent="0.4">
      <c r="A471" s="4">
        <v>2</v>
      </c>
      <c r="B471" s="4" t="s">
        <v>239</v>
      </c>
      <c r="C471" s="4">
        <v>502</v>
      </c>
      <c r="D471" s="4">
        <v>1</v>
      </c>
      <c r="E471" s="4">
        <v>1</v>
      </c>
      <c r="F471" s="4" t="s">
        <v>240</v>
      </c>
      <c r="G471" s="4" t="s">
        <v>241</v>
      </c>
      <c r="H471" s="4" t="s">
        <v>241</v>
      </c>
      <c r="I471" s="4" t="s">
        <v>713</v>
      </c>
      <c r="J471" s="4" t="s">
        <v>653</v>
      </c>
      <c r="K471" s="4" t="s">
        <v>256</v>
      </c>
      <c r="L471" s="4" t="s">
        <v>1003</v>
      </c>
      <c r="M471" s="5" t="s">
        <v>715</v>
      </c>
      <c r="N471" s="4" t="s">
        <v>1003</v>
      </c>
      <c r="O471" s="6">
        <f>558</f>
        <v>558</v>
      </c>
      <c r="P471" s="4" t="s">
        <v>276</v>
      </c>
      <c r="Q471" s="6">
        <f>1</f>
        <v>1</v>
      </c>
      <c r="R471" s="6">
        <f>44640000</f>
        <v>44640000</v>
      </c>
      <c r="S471" s="5" t="s">
        <v>1017</v>
      </c>
      <c r="T471" s="4" t="s">
        <v>357</v>
      </c>
      <c r="U471" s="4" t="s">
        <v>514</v>
      </c>
      <c r="W471" s="6">
        <f>44639999</f>
        <v>44639999</v>
      </c>
      <c r="X471" s="4" t="s">
        <v>243</v>
      </c>
      <c r="Y471" s="4" t="s">
        <v>244</v>
      </c>
      <c r="Z471" s="4" t="s">
        <v>465</v>
      </c>
      <c r="AA471" s="4" t="s">
        <v>241</v>
      </c>
      <c r="AD471" s="4" t="s">
        <v>241</v>
      </c>
      <c r="AF471" s="5" t="s">
        <v>241</v>
      </c>
      <c r="AI471" s="5" t="s">
        <v>378</v>
      </c>
      <c r="AJ471" s="4" t="s">
        <v>251</v>
      </c>
      <c r="AK471" s="4" t="s">
        <v>252</v>
      </c>
      <c r="BA471" s="4" t="s">
        <v>254</v>
      </c>
      <c r="BB471" s="4" t="s">
        <v>241</v>
      </c>
      <c r="BC471" s="4" t="s">
        <v>255</v>
      </c>
      <c r="BD471" s="4" t="s">
        <v>241</v>
      </c>
      <c r="BE471" s="4" t="s">
        <v>257</v>
      </c>
      <c r="BF471" s="4" t="s">
        <v>241</v>
      </c>
      <c r="BJ471" s="4" t="s">
        <v>377</v>
      </c>
      <c r="BK471" s="5" t="s">
        <v>378</v>
      </c>
      <c r="BL471" s="4" t="s">
        <v>261</v>
      </c>
      <c r="BM471" s="4" t="s">
        <v>262</v>
      </c>
      <c r="BN471" s="4" t="s">
        <v>241</v>
      </c>
      <c r="BO471" s="6">
        <f>0</f>
        <v>0</v>
      </c>
      <c r="BP471" s="6">
        <f>0</f>
        <v>0</v>
      </c>
      <c r="BQ471" s="4" t="s">
        <v>263</v>
      </c>
      <c r="BR471" s="4" t="s">
        <v>264</v>
      </c>
      <c r="CF471" s="4" t="s">
        <v>241</v>
      </c>
      <c r="CG471" s="4" t="s">
        <v>241</v>
      </c>
      <c r="CK471" s="4" t="s">
        <v>265</v>
      </c>
      <c r="CL471" s="4" t="s">
        <v>266</v>
      </c>
      <c r="CM471" s="4" t="s">
        <v>241</v>
      </c>
      <c r="CO471" s="4" t="s">
        <v>1018</v>
      </c>
      <c r="CP471" s="5" t="s">
        <v>268</v>
      </c>
      <c r="CQ471" s="4" t="s">
        <v>269</v>
      </c>
      <c r="CR471" s="4" t="s">
        <v>270</v>
      </c>
      <c r="CS471" s="4" t="s">
        <v>241</v>
      </c>
      <c r="CT471" s="4" t="s">
        <v>241</v>
      </c>
      <c r="CU471" s="4">
        <v>0</v>
      </c>
      <c r="CV471" s="4" t="s">
        <v>271</v>
      </c>
      <c r="CW471" s="4" t="s">
        <v>1006</v>
      </c>
      <c r="CX471" s="4" t="s">
        <v>487</v>
      </c>
      <c r="CZ471" s="6">
        <f>44640000</f>
        <v>44640000</v>
      </c>
      <c r="DA471" s="6">
        <f>0</f>
        <v>0</v>
      </c>
      <c r="DC471" s="4" t="s">
        <v>241</v>
      </c>
      <c r="DD471" s="4" t="s">
        <v>241</v>
      </c>
      <c r="DF471" s="4" t="s">
        <v>241</v>
      </c>
      <c r="DI471" s="4" t="s">
        <v>241</v>
      </c>
      <c r="DJ471" s="4" t="s">
        <v>241</v>
      </c>
      <c r="DK471" s="4" t="s">
        <v>241</v>
      </c>
      <c r="DL471" s="4" t="s">
        <v>241</v>
      </c>
      <c r="DM471" s="4" t="s">
        <v>323</v>
      </c>
      <c r="DN471" s="4" t="s">
        <v>278</v>
      </c>
      <c r="DO471" s="6">
        <f>558</f>
        <v>558</v>
      </c>
      <c r="DP471" s="4" t="s">
        <v>241</v>
      </c>
      <c r="DQ471" s="4" t="s">
        <v>241</v>
      </c>
      <c r="DR471" s="4" t="s">
        <v>241</v>
      </c>
      <c r="DS471" s="4" t="s">
        <v>241</v>
      </c>
      <c r="DV471" s="4" t="s">
        <v>716</v>
      </c>
      <c r="DW471" s="4" t="s">
        <v>323</v>
      </c>
      <c r="HO471" s="4" t="s">
        <v>277</v>
      </c>
      <c r="HR471" s="4" t="s">
        <v>278</v>
      </c>
      <c r="HS471" s="4" t="s">
        <v>278</v>
      </c>
    </row>
    <row r="472" spans="1:240" x14ac:dyDescent="0.4">
      <c r="A472" s="4">
        <v>2</v>
      </c>
      <c r="B472" s="4" t="s">
        <v>239</v>
      </c>
      <c r="C472" s="4">
        <v>503</v>
      </c>
      <c r="D472" s="4">
        <v>1</v>
      </c>
      <c r="E472" s="4">
        <v>1</v>
      </c>
      <c r="F472" s="4" t="s">
        <v>240</v>
      </c>
      <c r="G472" s="4" t="s">
        <v>241</v>
      </c>
      <c r="H472" s="4" t="s">
        <v>241</v>
      </c>
      <c r="I472" s="4" t="s">
        <v>713</v>
      </c>
      <c r="J472" s="4" t="s">
        <v>653</v>
      </c>
      <c r="K472" s="4" t="s">
        <v>256</v>
      </c>
      <c r="L472" s="4" t="s">
        <v>2529</v>
      </c>
      <c r="M472" s="5" t="s">
        <v>715</v>
      </c>
      <c r="N472" s="4" t="s">
        <v>2529</v>
      </c>
      <c r="O472" s="6">
        <f>78</f>
        <v>78</v>
      </c>
      <c r="P472" s="4" t="s">
        <v>276</v>
      </c>
      <c r="Q472" s="6">
        <f>1</f>
        <v>1</v>
      </c>
      <c r="R472" s="6">
        <f>4680000</f>
        <v>4680000</v>
      </c>
      <c r="S472" s="5" t="s">
        <v>1821</v>
      </c>
      <c r="T472" s="4" t="s">
        <v>348</v>
      </c>
      <c r="U472" s="4" t="s">
        <v>1042</v>
      </c>
      <c r="W472" s="6">
        <f>4679999</f>
        <v>4679999</v>
      </c>
      <c r="X472" s="4" t="s">
        <v>243</v>
      </c>
      <c r="Y472" s="4" t="s">
        <v>244</v>
      </c>
      <c r="Z472" s="4" t="s">
        <v>465</v>
      </c>
      <c r="AA472" s="4" t="s">
        <v>241</v>
      </c>
      <c r="AD472" s="4" t="s">
        <v>241</v>
      </c>
      <c r="AF472" s="5" t="s">
        <v>241</v>
      </c>
      <c r="AI472" s="5" t="s">
        <v>378</v>
      </c>
      <c r="AJ472" s="4" t="s">
        <v>251</v>
      </c>
      <c r="AK472" s="4" t="s">
        <v>252</v>
      </c>
      <c r="BA472" s="4" t="s">
        <v>254</v>
      </c>
      <c r="BB472" s="4" t="s">
        <v>241</v>
      </c>
      <c r="BC472" s="4" t="s">
        <v>255</v>
      </c>
      <c r="BD472" s="4" t="s">
        <v>241</v>
      </c>
      <c r="BE472" s="4" t="s">
        <v>257</v>
      </c>
      <c r="BF472" s="4" t="s">
        <v>241</v>
      </c>
      <c r="BJ472" s="4" t="s">
        <v>259</v>
      </c>
      <c r="BK472" s="5" t="s">
        <v>260</v>
      </c>
      <c r="BL472" s="4" t="s">
        <v>261</v>
      </c>
      <c r="BM472" s="4" t="s">
        <v>262</v>
      </c>
      <c r="BN472" s="4" t="s">
        <v>241</v>
      </c>
      <c r="BO472" s="6">
        <f>0</f>
        <v>0</v>
      </c>
      <c r="BP472" s="6">
        <f>0</f>
        <v>0</v>
      </c>
      <c r="BQ472" s="4" t="s">
        <v>263</v>
      </c>
      <c r="BR472" s="4" t="s">
        <v>264</v>
      </c>
      <c r="CF472" s="4" t="s">
        <v>241</v>
      </c>
      <c r="CG472" s="4" t="s">
        <v>241</v>
      </c>
      <c r="CK472" s="4" t="s">
        <v>265</v>
      </c>
      <c r="CL472" s="4" t="s">
        <v>266</v>
      </c>
      <c r="CM472" s="4" t="s">
        <v>241</v>
      </c>
      <c r="CO472" s="4" t="s">
        <v>914</v>
      </c>
      <c r="CP472" s="5" t="s">
        <v>268</v>
      </c>
      <c r="CQ472" s="4" t="s">
        <v>269</v>
      </c>
      <c r="CR472" s="4" t="s">
        <v>270</v>
      </c>
      <c r="CS472" s="4" t="s">
        <v>241</v>
      </c>
      <c r="CT472" s="4" t="s">
        <v>241</v>
      </c>
      <c r="CU472" s="4">
        <v>0</v>
      </c>
      <c r="CV472" s="4" t="s">
        <v>271</v>
      </c>
      <c r="CW472" s="4" t="s">
        <v>415</v>
      </c>
      <c r="CX472" s="4" t="s">
        <v>416</v>
      </c>
      <c r="CZ472" s="6">
        <f>4680000</f>
        <v>4680000</v>
      </c>
      <c r="DA472" s="6">
        <f>0</f>
        <v>0</v>
      </c>
      <c r="DC472" s="4" t="s">
        <v>241</v>
      </c>
      <c r="DD472" s="4" t="s">
        <v>241</v>
      </c>
      <c r="DF472" s="4" t="s">
        <v>241</v>
      </c>
      <c r="DI472" s="4" t="s">
        <v>241</v>
      </c>
      <c r="DJ472" s="4" t="s">
        <v>241</v>
      </c>
      <c r="DK472" s="4" t="s">
        <v>241</v>
      </c>
      <c r="DL472" s="4" t="s">
        <v>241</v>
      </c>
      <c r="DM472" s="4" t="s">
        <v>277</v>
      </c>
      <c r="DN472" s="4" t="s">
        <v>278</v>
      </c>
      <c r="DO472" s="6">
        <f>78</f>
        <v>78</v>
      </c>
      <c r="DP472" s="4" t="s">
        <v>241</v>
      </c>
      <c r="DQ472" s="4" t="s">
        <v>241</v>
      </c>
      <c r="DR472" s="4" t="s">
        <v>241</v>
      </c>
      <c r="DS472" s="4" t="s">
        <v>241</v>
      </c>
      <c r="DV472" s="4" t="s">
        <v>716</v>
      </c>
      <c r="DW472" s="4" t="s">
        <v>297</v>
      </c>
      <c r="HO472" s="4" t="s">
        <v>277</v>
      </c>
      <c r="HR472" s="4" t="s">
        <v>278</v>
      </c>
      <c r="HS472" s="4" t="s">
        <v>278</v>
      </c>
    </row>
    <row r="473" spans="1:240" x14ac:dyDescent="0.4">
      <c r="A473" s="4">
        <v>2</v>
      </c>
      <c r="B473" s="4" t="s">
        <v>239</v>
      </c>
      <c r="C473" s="4">
        <v>504</v>
      </c>
      <c r="D473" s="4">
        <v>1</v>
      </c>
      <c r="E473" s="4">
        <v>1</v>
      </c>
      <c r="F473" s="4" t="s">
        <v>240</v>
      </c>
      <c r="G473" s="4" t="s">
        <v>241</v>
      </c>
      <c r="H473" s="4" t="s">
        <v>241</v>
      </c>
      <c r="I473" s="4" t="s">
        <v>713</v>
      </c>
      <c r="J473" s="4" t="s">
        <v>653</v>
      </c>
      <c r="K473" s="4" t="s">
        <v>256</v>
      </c>
      <c r="L473" s="4" t="s">
        <v>429</v>
      </c>
      <c r="M473" s="5" t="s">
        <v>715</v>
      </c>
      <c r="N473" s="4" t="s">
        <v>429</v>
      </c>
      <c r="O473" s="6">
        <f>26</f>
        <v>26</v>
      </c>
      <c r="P473" s="4" t="s">
        <v>276</v>
      </c>
      <c r="Q473" s="6">
        <f>1</f>
        <v>1</v>
      </c>
      <c r="R473" s="6">
        <f>1560000</f>
        <v>1560000</v>
      </c>
      <c r="S473" s="5" t="s">
        <v>3737</v>
      </c>
      <c r="T473" s="4" t="s">
        <v>348</v>
      </c>
      <c r="U473" s="4" t="s">
        <v>796</v>
      </c>
      <c r="W473" s="6">
        <f>1559999</f>
        <v>1559999</v>
      </c>
      <c r="X473" s="4" t="s">
        <v>243</v>
      </c>
      <c r="Y473" s="4" t="s">
        <v>244</v>
      </c>
      <c r="Z473" s="4" t="s">
        <v>465</v>
      </c>
      <c r="AA473" s="4" t="s">
        <v>241</v>
      </c>
      <c r="AD473" s="4" t="s">
        <v>241</v>
      </c>
      <c r="AF473" s="5" t="s">
        <v>241</v>
      </c>
      <c r="AI473" s="5" t="s">
        <v>378</v>
      </c>
      <c r="AJ473" s="4" t="s">
        <v>251</v>
      </c>
      <c r="AK473" s="4" t="s">
        <v>252</v>
      </c>
      <c r="BA473" s="4" t="s">
        <v>254</v>
      </c>
      <c r="BB473" s="4" t="s">
        <v>241</v>
      </c>
      <c r="BC473" s="4" t="s">
        <v>255</v>
      </c>
      <c r="BD473" s="4" t="s">
        <v>241</v>
      </c>
      <c r="BE473" s="4" t="s">
        <v>257</v>
      </c>
      <c r="BF473" s="4" t="s">
        <v>241</v>
      </c>
      <c r="BJ473" s="4" t="s">
        <v>377</v>
      </c>
      <c r="BK473" s="5" t="s">
        <v>378</v>
      </c>
      <c r="BL473" s="4" t="s">
        <v>261</v>
      </c>
      <c r="BM473" s="4" t="s">
        <v>262</v>
      </c>
      <c r="BN473" s="4" t="s">
        <v>241</v>
      </c>
      <c r="BO473" s="6">
        <f>0</f>
        <v>0</v>
      </c>
      <c r="BP473" s="6">
        <f>0</f>
        <v>0</v>
      </c>
      <c r="BQ473" s="4" t="s">
        <v>263</v>
      </c>
      <c r="BR473" s="4" t="s">
        <v>264</v>
      </c>
      <c r="CF473" s="4" t="s">
        <v>241</v>
      </c>
      <c r="CG473" s="4" t="s">
        <v>241</v>
      </c>
      <c r="CK473" s="4" t="s">
        <v>265</v>
      </c>
      <c r="CL473" s="4" t="s">
        <v>266</v>
      </c>
      <c r="CM473" s="4" t="s">
        <v>241</v>
      </c>
      <c r="CO473" s="4" t="s">
        <v>795</v>
      </c>
      <c r="CP473" s="5" t="s">
        <v>268</v>
      </c>
      <c r="CQ473" s="4" t="s">
        <v>269</v>
      </c>
      <c r="CR473" s="4" t="s">
        <v>270</v>
      </c>
      <c r="CS473" s="4" t="s">
        <v>241</v>
      </c>
      <c r="CT473" s="4" t="s">
        <v>241</v>
      </c>
      <c r="CU473" s="4">
        <v>0</v>
      </c>
      <c r="CV473" s="4" t="s">
        <v>271</v>
      </c>
      <c r="CW473" s="4" t="s">
        <v>272</v>
      </c>
      <c r="CX473" s="4" t="s">
        <v>347</v>
      </c>
      <c r="CZ473" s="6">
        <f>1560000</f>
        <v>1560000</v>
      </c>
      <c r="DA473" s="6">
        <f>0</f>
        <v>0</v>
      </c>
      <c r="DC473" s="4" t="s">
        <v>241</v>
      </c>
      <c r="DD473" s="4" t="s">
        <v>241</v>
      </c>
      <c r="DF473" s="4" t="s">
        <v>241</v>
      </c>
      <c r="DI473" s="4" t="s">
        <v>241</v>
      </c>
      <c r="DJ473" s="4" t="s">
        <v>241</v>
      </c>
      <c r="DK473" s="4" t="s">
        <v>241</v>
      </c>
      <c r="DL473" s="4" t="s">
        <v>241</v>
      </c>
      <c r="DM473" s="4" t="s">
        <v>277</v>
      </c>
      <c r="DN473" s="4" t="s">
        <v>278</v>
      </c>
      <c r="DO473" s="6">
        <f>26</f>
        <v>26</v>
      </c>
      <c r="DP473" s="4" t="s">
        <v>241</v>
      </c>
      <c r="DQ473" s="4" t="s">
        <v>241</v>
      </c>
      <c r="DR473" s="4" t="s">
        <v>241</v>
      </c>
      <c r="DS473" s="4" t="s">
        <v>241</v>
      </c>
      <c r="DV473" s="4" t="s">
        <v>716</v>
      </c>
      <c r="DW473" s="4" t="s">
        <v>336</v>
      </c>
      <c r="HO473" s="4" t="s">
        <v>277</v>
      </c>
      <c r="HR473" s="4" t="s">
        <v>278</v>
      </c>
      <c r="HS473" s="4" t="s">
        <v>278</v>
      </c>
    </row>
    <row r="474" spans="1:240" x14ac:dyDescent="0.4">
      <c r="A474" s="4">
        <v>2</v>
      </c>
      <c r="B474" s="4" t="s">
        <v>239</v>
      </c>
      <c r="C474" s="4">
        <v>505</v>
      </c>
      <c r="D474" s="4">
        <v>1</v>
      </c>
      <c r="E474" s="4">
        <v>1</v>
      </c>
      <c r="F474" s="4" t="s">
        <v>240</v>
      </c>
      <c r="G474" s="4" t="s">
        <v>241</v>
      </c>
      <c r="H474" s="4" t="s">
        <v>241</v>
      </c>
      <c r="I474" s="4" t="s">
        <v>713</v>
      </c>
      <c r="J474" s="4" t="s">
        <v>653</v>
      </c>
      <c r="K474" s="4" t="s">
        <v>256</v>
      </c>
      <c r="L474" s="4" t="s">
        <v>429</v>
      </c>
      <c r="M474" s="5" t="s">
        <v>715</v>
      </c>
      <c r="N474" s="4" t="s">
        <v>429</v>
      </c>
      <c r="O474" s="6">
        <f>20</f>
        <v>20</v>
      </c>
      <c r="P474" s="4" t="s">
        <v>276</v>
      </c>
      <c r="Q474" s="6">
        <f>1</f>
        <v>1</v>
      </c>
      <c r="R474" s="6">
        <f>1820000</f>
        <v>1820000</v>
      </c>
      <c r="S474" s="5" t="s">
        <v>3584</v>
      </c>
      <c r="T474" s="4" t="s">
        <v>348</v>
      </c>
      <c r="U474" s="4" t="s">
        <v>314</v>
      </c>
      <c r="W474" s="6">
        <f>1819999</f>
        <v>1819999</v>
      </c>
      <c r="X474" s="4" t="s">
        <v>243</v>
      </c>
      <c r="Y474" s="4" t="s">
        <v>244</v>
      </c>
      <c r="Z474" s="4" t="s">
        <v>465</v>
      </c>
      <c r="AA474" s="4" t="s">
        <v>241</v>
      </c>
      <c r="AD474" s="4" t="s">
        <v>241</v>
      </c>
      <c r="AF474" s="5" t="s">
        <v>241</v>
      </c>
      <c r="AI474" s="5" t="s">
        <v>378</v>
      </c>
      <c r="AJ474" s="4" t="s">
        <v>251</v>
      </c>
      <c r="AK474" s="4" t="s">
        <v>252</v>
      </c>
      <c r="BA474" s="4" t="s">
        <v>254</v>
      </c>
      <c r="BB474" s="4" t="s">
        <v>241</v>
      </c>
      <c r="BC474" s="4" t="s">
        <v>255</v>
      </c>
      <c r="BD474" s="4" t="s">
        <v>241</v>
      </c>
      <c r="BE474" s="4" t="s">
        <v>257</v>
      </c>
      <c r="BF474" s="4" t="s">
        <v>241</v>
      </c>
      <c r="BJ474" s="4" t="s">
        <v>377</v>
      </c>
      <c r="BK474" s="5" t="s">
        <v>378</v>
      </c>
      <c r="BL474" s="4" t="s">
        <v>261</v>
      </c>
      <c r="BM474" s="4" t="s">
        <v>262</v>
      </c>
      <c r="BN474" s="4" t="s">
        <v>241</v>
      </c>
      <c r="BO474" s="6">
        <f>0</f>
        <v>0</v>
      </c>
      <c r="BP474" s="6">
        <f>0</f>
        <v>0</v>
      </c>
      <c r="BQ474" s="4" t="s">
        <v>263</v>
      </c>
      <c r="BR474" s="4" t="s">
        <v>264</v>
      </c>
      <c r="CF474" s="4" t="s">
        <v>241</v>
      </c>
      <c r="CG474" s="4" t="s">
        <v>241</v>
      </c>
      <c r="CK474" s="4" t="s">
        <v>291</v>
      </c>
      <c r="CL474" s="4" t="s">
        <v>266</v>
      </c>
      <c r="CM474" s="4" t="s">
        <v>241</v>
      </c>
      <c r="CO474" s="4" t="s">
        <v>355</v>
      </c>
      <c r="CP474" s="5" t="s">
        <v>268</v>
      </c>
      <c r="CQ474" s="4" t="s">
        <v>269</v>
      </c>
      <c r="CR474" s="4" t="s">
        <v>270</v>
      </c>
      <c r="CS474" s="4" t="s">
        <v>241</v>
      </c>
      <c r="CT474" s="4" t="s">
        <v>241</v>
      </c>
      <c r="CU474" s="4">
        <v>0</v>
      </c>
      <c r="CV474" s="4" t="s">
        <v>271</v>
      </c>
      <c r="CW474" s="4" t="s">
        <v>272</v>
      </c>
      <c r="CX474" s="4" t="s">
        <v>347</v>
      </c>
      <c r="CZ474" s="6">
        <f>1820000</f>
        <v>1820000</v>
      </c>
      <c r="DA474" s="6">
        <f>0</f>
        <v>0</v>
      </c>
      <c r="DC474" s="4" t="s">
        <v>241</v>
      </c>
      <c r="DD474" s="4" t="s">
        <v>241</v>
      </c>
      <c r="DF474" s="4" t="s">
        <v>241</v>
      </c>
      <c r="DI474" s="4" t="s">
        <v>241</v>
      </c>
      <c r="DJ474" s="4" t="s">
        <v>241</v>
      </c>
      <c r="DK474" s="4" t="s">
        <v>241</v>
      </c>
      <c r="DL474" s="4" t="s">
        <v>241</v>
      </c>
      <c r="DM474" s="4" t="s">
        <v>277</v>
      </c>
      <c r="DN474" s="4" t="s">
        <v>278</v>
      </c>
      <c r="DO474" s="6">
        <f>20</f>
        <v>20</v>
      </c>
      <c r="DP474" s="4" t="s">
        <v>241</v>
      </c>
      <c r="DQ474" s="4" t="s">
        <v>241</v>
      </c>
      <c r="DR474" s="4" t="s">
        <v>241</v>
      </c>
      <c r="DS474" s="4" t="s">
        <v>241</v>
      </c>
      <c r="DV474" s="4" t="s">
        <v>716</v>
      </c>
      <c r="DW474" s="4" t="s">
        <v>351</v>
      </c>
      <c r="HO474" s="4" t="s">
        <v>277</v>
      </c>
      <c r="HR474" s="4" t="s">
        <v>278</v>
      </c>
      <c r="HS474" s="4" t="s">
        <v>278</v>
      </c>
    </row>
    <row r="475" spans="1:240" x14ac:dyDescent="0.4">
      <c r="A475" s="4">
        <v>2</v>
      </c>
      <c r="B475" s="4" t="s">
        <v>239</v>
      </c>
      <c r="C475" s="4">
        <v>506</v>
      </c>
      <c r="D475" s="4">
        <v>1</v>
      </c>
      <c r="E475" s="4">
        <v>1</v>
      </c>
      <c r="F475" s="4" t="s">
        <v>240</v>
      </c>
      <c r="G475" s="4" t="s">
        <v>241</v>
      </c>
      <c r="H475" s="4" t="s">
        <v>241</v>
      </c>
      <c r="I475" s="4" t="s">
        <v>713</v>
      </c>
      <c r="J475" s="4" t="s">
        <v>653</v>
      </c>
      <c r="K475" s="4" t="s">
        <v>256</v>
      </c>
      <c r="L475" s="4" t="s">
        <v>340</v>
      </c>
      <c r="M475" s="5" t="s">
        <v>715</v>
      </c>
      <c r="N475" s="4" t="s">
        <v>340</v>
      </c>
      <c r="O475" s="6">
        <f>8</f>
        <v>8</v>
      </c>
      <c r="P475" s="4" t="s">
        <v>276</v>
      </c>
      <c r="Q475" s="6">
        <f>1</f>
        <v>1</v>
      </c>
      <c r="R475" s="6">
        <f>720000</f>
        <v>720000</v>
      </c>
      <c r="S475" s="5" t="s">
        <v>1821</v>
      </c>
      <c r="T475" s="4" t="s">
        <v>348</v>
      </c>
      <c r="U475" s="4" t="s">
        <v>1042</v>
      </c>
      <c r="W475" s="6">
        <f>719999</f>
        <v>719999</v>
      </c>
      <c r="X475" s="4" t="s">
        <v>243</v>
      </c>
      <c r="Y475" s="4" t="s">
        <v>244</v>
      </c>
      <c r="Z475" s="4" t="s">
        <v>465</v>
      </c>
      <c r="AA475" s="4" t="s">
        <v>241</v>
      </c>
      <c r="AD475" s="4" t="s">
        <v>241</v>
      </c>
      <c r="AF475" s="5" t="s">
        <v>241</v>
      </c>
      <c r="AI475" s="5" t="s">
        <v>378</v>
      </c>
      <c r="AJ475" s="4" t="s">
        <v>251</v>
      </c>
      <c r="AK475" s="4" t="s">
        <v>252</v>
      </c>
      <c r="BA475" s="4" t="s">
        <v>254</v>
      </c>
      <c r="BB475" s="4" t="s">
        <v>241</v>
      </c>
      <c r="BC475" s="4" t="s">
        <v>255</v>
      </c>
      <c r="BD475" s="4" t="s">
        <v>241</v>
      </c>
      <c r="BE475" s="4" t="s">
        <v>257</v>
      </c>
      <c r="BF475" s="4" t="s">
        <v>241</v>
      </c>
      <c r="BJ475" s="4" t="s">
        <v>259</v>
      </c>
      <c r="BK475" s="5" t="s">
        <v>260</v>
      </c>
      <c r="BL475" s="4" t="s">
        <v>261</v>
      </c>
      <c r="BM475" s="4" t="s">
        <v>262</v>
      </c>
      <c r="BN475" s="4" t="s">
        <v>241</v>
      </c>
      <c r="BO475" s="6">
        <f>0</f>
        <v>0</v>
      </c>
      <c r="BP475" s="6">
        <f>0</f>
        <v>0</v>
      </c>
      <c r="BQ475" s="4" t="s">
        <v>263</v>
      </c>
      <c r="BR475" s="4" t="s">
        <v>264</v>
      </c>
      <c r="CF475" s="4" t="s">
        <v>241</v>
      </c>
      <c r="CG475" s="4" t="s">
        <v>241</v>
      </c>
      <c r="CK475" s="4" t="s">
        <v>265</v>
      </c>
      <c r="CL475" s="4" t="s">
        <v>266</v>
      </c>
      <c r="CM475" s="4" t="s">
        <v>241</v>
      </c>
      <c r="CO475" s="4" t="s">
        <v>914</v>
      </c>
      <c r="CP475" s="5" t="s">
        <v>268</v>
      </c>
      <c r="CQ475" s="4" t="s">
        <v>269</v>
      </c>
      <c r="CR475" s="4" t="s">
        <v>270</v>
      </c>
      <c r="CS475" s="4" t="s">
        <v>241</v>
      </c>
      <c r="CT475" s="4" t="s">
        <v>241</v>
      </c>
      <c r="CU475" s="4">
        <v>0</v>
      </c>
      <c r="CV475" s="4" t="s">
        <v>271</v>
      </c>
      <c r="CW475" s="4" t="s">
        <v>332</v>
      </c>
      <c r="CX475" s="4" t="s">
        <v>347</v>
      </c>
      <c r="CZ475" s="6">
        <f>720000</f>
        <v>720000</v>
      </c>
      <c r="DA475" s="6">
        <f>0</f>
        <v>0</v>
      </c>
      <c r="DC475" s="4" t="s">
        <v>241</v>
      </c>
      <c r="DD475" s="4" t="s">
        <v>241</v>
      </c>
      <c r="DF475" s="4" t="s">
        <v>241</v>
      </c>
      <c r="DI475" s="4" t="s">
        <v>241</v>
      </c>
      <c r="DJ475" s="4" t="s">
        <v>241</v>
      </c>
      <c r="DK475" s="4" t="s">
        <v>241</v>
      </c>
      <c r="DL475" s="4" t="s">
        <v>241</v>
      </c>
      <c r="DM475" s="4" t="s">
        <v>277</v>
      </c>
      <c r="DN475" s="4" t="s">
        <v>278</v>
      </c>
      <c r="DO475" s="6">
        <f>8</f>
        <v>8</v>
      </c>
      <c r="DP475" s="4" t="s">
        <v>241</v>
      </c>
      <c r="DQ475" s="4" t="s">
        <v>241</v>
      </c>
      <c r="DR475" s="4" t="s">
        <v>241</v>
      </c>
      <c r="DS475" s="4" t="s">
        <v>241</v>
      </c>
      <c r="DV475" s="4" t="s">
        <v>716</v>
      </c>
      <c r="DW475" s="4" t="s">
        <v>300</v>
      </c>
      <c r="HO475" s="4" t="s">
        <v>277</v>
      </c>
      <c r="HR475" s="4" t="s">
        <v>278</v>
      </c>
      <c r="HS475" s="4" t="s">
        <v>278</v>
      </c>
    </row>
    <row r="476" spans="1:240" x14ac:dyDescent="0.4">
      <c r="A476" s="4">
        <v>2</v>
      </c>
      <c r="B476" s="4" t="s">
        <v>239</v>
      </c>
      <c r="C476" s="4">
        <v>507</v>
      </c>
      <c r="D476" s="4">
        <v>1</v>
      </c>
      <c r="E476" s="4">
        <v>1</v>
      </c>
      <c r="F476" s="4" t="s">
        <v>240</v>
      </c>
      <c r="G476" s="4" t="s">
        <v>241</v>
      </c>
      <c r="H476" s="4" t="s">
        <v>241</v>
      </c>
      <c r="I476" s="4" t="s">
        <v>713</v>
      </c>
      <c r="J476" s="4" t="s">
        <v>653</v>
      </c>
      <c r="K476" s="4" t="s">
        <v>256</v>
      </c>
      <c r="L476" s="4" t="s">
        <v>651</v>
      </c>
      <c r="M476" s="5" t="s">
        <v>715</v>
      </c>
      <c r="N476" s="4" t="s">
        <v>651</v>
      </c>
      <c r="O476" s="6">
        <f>454</f>
        <v>454</v>
      </c>
      <c r="P476" s="4" t="s">
        <v>276</v>
      </c>
      <c r="Q476" s="6">
        <f>1</f>
        <v>1</v>
      </c>
      <c r="R476" s="6">
        <f>36320000</f>
        <v>36320000</v>
      </c>
      <c r="S476" s="5" t="s">
        <v>722</v>
      </c>
      <c r="T476" s="4" t="s">
        <v>357</v>
      </c>
      <c r="U476" s="4" t="s">
        <v>357</v>
      </c>
      <c r="W476" s="6">
        <f>36319999</f>
        <v>36319999</v>
      </c>
      <c r="X476" s="4" t="s">
        <v>243</v>
      </c>
      <c r="Y476" s="4" t="s">
        <v>244</v>
      </c>
      <c r="Z476" s="4" t="s">
        <v>465</v>
      </c>
      <c r="AA476" s="4" t="s">
        <v>241</v>
      </c>
      <c r="AD476" s="4" t="s">
        <v>241</v>
      </c>
      <c r="AF476" s="5" t="s">
        <v>241</v>
      </c>
      <c r="AI476" s="5" t="s">
        <v>723</v>
      </c>
      <c r="AJ476" s="4" t="s">
        <v>251</v>
      </c>
      <c r="AK476" s="4" t="s">
        <v>252</v>
      </c>
      <c r="BA476" s="4" t="s">
        <v>254</v>
      </c>
      <c r="BB476" s="4" t="s">
        <v>241</v>
      </c>
      <c r="BC476" s="4" t="s">
        <v>255</v>
      </c>
      <c r="BD476" s="4" t="s">
        <v>241</v>
      </c>
      <c r="BE476" s="4" t="s">
        <v>257</v>
      </c>
      <c r="BF476" s="4" t="s">
        <v>241</v>
      </c>
      <c r="BJ476" s="4" t="s">
        <v>377</v>
      </c>
      <c r="BK476" s="5" t="s">
        <v>723</v>
      </c>
      <c r="BL476" s="4" t="s">
        <v>261</v>
      </c>
      <c r="BM476" s="4" t="s">
        <v>290</v>
      </c>
      <c r="BN476" s="4" t="s">
        <v>241</v>
      </c>
      <c r="BO476" s="6">
        <f>0</f>
        <v>0</v>
      </c>
      <c r="BP476" s="6">
        <f>0</f>
        <v>0</v>
      </c>
      <c r="BQ476" s="4" t="s">
        <v>263</v>
      </c>
      <c r="BR476" s="4" t="s">
        <v>264</v>
      </c>
      <c r="CF476" s="4" t="s">
        <v>241</v>
      </c>
      <c r="CG476" s="4" t="s">
        <v>241</v>
      </c>
      <c r="CK476" s="4" t="s">
        <v>265</v>
      </c>
      <c r="CL476" s="4" t="s">
        <v>266</v>
      </c>
      <c r="CM476" s="4" t="s">
        <v>241</v>
      </c>
      <c r="CO476" s="4" t="s">
        <v>724</v>
      </c>
      <c r="CP476" s="5" t="s">
        <v>268</v>
      </c>
      <c r="CQ476" s="4" t="s">
        <v>269</v>
      </c>
      <c r="CR476" s="4" t="s">
        <v>270</v>
      </c>
      <c r="CS476" s="4" t="s">
        <v>241</v>
      </c>
      <c r="CT476" s="4" t="s">
        <v>241</v>
      </c>
      <c r="CU476" s="4">
        <v>0</v>
      </c>
      <c r="CV476" s="4" t="s">
        <v>271</v>
      </c>
      <c r="CW476" s="4" t="s">
        <v>655</v>
      </c>
      <c r="CX476" s="4" t="s">
        <v>487</v>
      </c>
      <c r="CZ476" s="6">
        <f>36320000</f>
        <v>36320000</v>
      </c>
      <c r="DA476" s="6">
        <f>0</f>
        <v>0</v>
      </c>
      <c r="DC476" s="4" t="s">
        <v>241</v>
      </c>
      <c r="DD476" s="4" t="s">
        <v>241</v>
      </c>
      <c r="DF476" s="4" t="s">
        <v>241</v>
      </c>
      <c r="DI476" s="4" t="s">
        <v>241</v>
      </c>
      <c r="DJ476" s="4" t="s">
        <v>241</v>
      </c>
      <c r="DK476" s="4" t="s">
        <v>241</v>
      </c>
      <c r="DL476" s="4" t="s">
        <v>241</v>
      </c>
      <c r="DM476" s="4" t="s">
        <v>297</v>
      </c>
      <c r="DN476" s="4" t="s">
        <v>278</v>
      </c>
      <c r="DO476" s="6">
        <f>454</f>
        <v>454</v>
      </c>
      <c r="DP476" s="4" t="s">
        <v>241</v>
      </c>
      <c r="DQ476" s="4" t="s">
        <v>241</v>
      </c>
      <c r="DR476" s="4" t="s">
        <v>241</v>
      </c>
      <c r="DS476" s="4" t="s">
        <v>241</v>
      </c>
      <c r="DV476" s="4" t="s">
        <v>716</v>
      </c>
      <c r="DW476" s="4" t="s">
        <v>341</v>
      </c>
      <c r="HO476" s="4" t="s">
        <v>336</v>
      </c>
      <c r="HR476" s="4" t="s">
        <v>278</v>
      </c>
      <c r="HS476" s="4" t="s">
        <v>278</v>
      </c>
    </row>
    <row r="477" spans="1:240" x14ac:dyDescent="0.4">
      <c r="A477" s="4">
        <v>2</v>
      </c>
      <c r="B477" s="4" t="s">
        <v>239</v>
      </c>
      <c r="C477" s="4">
        <v>508</v>
      </c>
      <c r="D477" s="4">
        <v>1</v>
      </c>
      <c r="E477" s="4">
        <v>3</v>
      </c>
      <c r="F477" s="4" t="s">
        <v>326</v>
      </c>
      <c r="G477" s="4" t="s">
        <v>241</v>
      </c>
      <c r="H477" s="4" t="s">
        <v>241</v>
      </c>
      <c r="I477" s="4" t="s">
        <v>713</v>
      </c>
      <c r="J477" s="4" t="s">
        <v>653</v>
      </c>
      <c r="K477" s="4" t="s">
        <v>256</v>
      </c>
      <c r="L477" s="4" t="s">
        <v>241</v>
      </c>
      <c r="M477" s="5" t="s">
        <v>715</v>
      </c>
      <c r="N477" s="4" t="s">
        <v>2749</v>
      </c>
      <c r="O477" s="6">
        <f>0</f>
        <v>0</v>
      </c>
      <c r="P477" s="4" t="s">
        <v>276</v>
      </c>
      <c r="Q477" s="6">
        <f>1033572</f>
        <v>1033572</v>
      </c>
      <c r="R477" s="6">
        <f>1193500</f>
        <v>1193500</v>
      </c>
      <c r="S477" s="5" t="s">
        <v>2806</v>
      </c>
      <c r="T477" s="4" t="s">
        <v>348</v>
      </c>
      <c r="U477" s="4" t="s">
        <v>277</v>
      </c>
      <c r="V477" s="6">
        <f>79964</f>
        <v>79964</v>
      </c>
      <c r="W477" s="6">
        <f>159928</f>
        <v>159928</v>
      </c>
      <c r="X477" s="4" t="s">
        <v>243</v>
      </c>
      <c r="Y477" s="4" t="s">
        <v>244</v>
      </c>
      <c r="Z477" s="4" t="s">
        <v>241</v>
      </c>
      <c r="AA477" s="4" t="s">
        <v>241</v>
      </c>
      <c r="AD477" s="4" t="s">
        <v>241</v>
      </c>
      <c r="AE477" s="5" t="s">
        <v>241</v>
      </c>
      <c r="AF477" s="5" t="s">
        <v>241</v>
      </c>
      <c r="AH477" s="5" t="s">
        <v>241</v>
      </c>
      <c r="AI477" s="5" t="s">
        <v>723</v>
      </c>
      <c r="AJ477" s="4" t="s">
        <v>251</v>
      </c>
      <c r="AK477" s="4" t="s">
        <v>252</v>
      </c>
      <c r="AQ477" s="4" t="s">
        <v>241</v>
      </c>
      <c r="AR477" s="4" t="s">
        <v>241</v>
      </c>
      <c r="AS477" s="4" t="s">
        <v>241</v>
      </c>
      <c r="AT477" s="5" t="s">
        <v>241</v>
      </c>
      <c r="AU477" s="5" t="s">
        <v>241</v>
      </c>
      <c r="AV477" s="5" t="s">
        <v>241</v>
      </c>
      <c r="AY477" s="4" t="s">
        <v>286</v>
      </c>
      <c r="AZ477" s="4" t="s">
        <v>286</v>
      </c>
      <c r="BA477" s="4" t="s">
        <v>254</v>
      </c>
      <c r="BB477" s="4" t="s">
        <v>287</v>
      </c>
      <c r="BC477" s="4" t="s">
        <v>255</v>
      </c>
      <c r="BD477" s="4" t="s">
        <v>241</v>
      </c>
      <c r="BE477" s="4" t="s">
        <v>257</v>
      </c>
      <c r="BF477" s="4" t="s">
        <v>241</v>
      </c>
      <c r="BJ477" s="4" t="s">
        <v>288</v>
      </c>
      <c r="BK477" s="5" t="s">
        <v>289</v>
      </c>
      <c r="BL477" s="4" t="s">
        <v>290</v>
      </c>
      <c r="BM477" s="4" t="s">
        <v>290</v>
      </c>
      <c r="BN477" s="4" t="s">
        <v>241</v>
      </c>
      <c r="BP477" s="6">
        <f>-79964</f>
        <v>-79964</v>
      </c>
      <c r="BQ477" s="4" t="s">
        <v>263</v>
      </c>
      <c r="BR477" s="4" t="s">
        <v>264</v>
      </c>
      <c r="BS477" s="4" t="s">
        <v>241</v>
      </c>
      <c r="BT477" s="4" t="s">
        <v>241</v>
      </c>
      <c r="BU477" s="4" t="s">
        <v>241</v>
      </c>
      <c r="BV477" s="4" t="s">
        <v>241</v>
      </c>
      <c r="CE477" s="4" t="s">
        <v>264</v>
      </c>
      <c r="CF477" s="4" t="s">
        <v>241</v>
      </c>
      <c r="CG477" s="4" t="s">
        <v>241</v>
      </c>
      <c r="CK477" s="4" t="s">
        <v>291</v>
      </c>
      <c r="CL477" s="4" t="s">
        <v>266</v>
      </c>
      <c r="CM477" s="4" t="s">
        <v>241</v>
      </c>
      <c r="CO477" s="4" t="s">
        <v>331</v>
      </c>
      <c r="CP477" s="5" t="s">
        <v>268</v>
      </c>
      <c r="CQ477" s="4" t="s">
        <v>269</v>
      </c>
      <c r="CR477" s="4" t="s">
        <v>270</v>
      </c>
      <c r="CS477" s="4" t="s">
        <v>293</v>
      </c>
      <c r="CT477" s="4" t="s">
        <v>241</v>
      </c>
      <c r="CU477" s="4">
        <v>6.7000000000000004E-2</v>
      </c>
      <c r="CV477" s="4" t="s">
        <v>271</v>
      </c>
      <c r="CW477" s="4" t="s">
        <v>415</v>
      </c>
      <c r="CX477" s="4" t="s">
        <v>422</v>
      </c>
      <c r="CY477" s="6">
        <f>0</f>
        <v>0</v>
      </c>
      <c r="CZ477" s="6">
        <f>1193500</f>
        <v>1193500</v>
      </c>
      <c r="DA477" s="6">
        <f>1033572</f>
        <v>1033572</v>
      </c>
      <c r="DC477" s="4" t="s">
        <v>241</v>
      </c>
      <c r="DD477" s="4" t="s">
        <v>241</v>
      </c>
      <c r="DF477" s="4" t="s">
        <v>241</v>
      </c>
      <c r="DG477" s="6">
        <f>0</f>
        <v>0</v>
      </c>
      <c r="DI477" s="4" t="s">
        <v>241</v>
      </c>
      <c r="DJ477" s="4" t="s">
        <v>241</v>
      </c>
      <c r="DK477" s="4" t="s">
        <v>241</v>
      </c>
      <c r="DL477" s="4" t="s">
        <v>241</v>
      </c>
      <c r="DM477" s="4" t="s">
        <v>278</v>
      </c>
      <c r="DN477" s="4" t="s">
        <v>278</v>
      </c>
      <c r="DO477" s="6" t="s">
        <v>241</v>
      </c>
      <c r="DP477" s="4" t="s">
        <v>241</v>
      </c>
      <c r="DQ477" s="4" t="s">
        <v>241</v>
      </c>
      <c r="DR477" s="4" t="s">
        <v>241</v>
      </c>
      <c r="DS477" s="4" t="s">
        <v>241</v>
      </c>
      <c r="DV477" s="4" t="s">
        <v>716</v>
      </c>
      <c r="DW477" s="4" t="s">
        <v>343</v>
      </c>
      <c r="GN477" s="4" t="s">
        <v>2807</v>
      </c>
      <c r="HO477" s="4" t="s">
        <v>297</v>
      </c>
      <c r="HR477" s="4" t="s">
        <v>278</v>
      </c>
      <c r="HS477" s="4" t="s">
        <v>278</v>
      </c>
      <c r="HT477" s="4" t="s">
        <v>241</v>
      </c>
      <c r="HU477" s="4" t="s">
        <v>241</v>
      </c>
      <c r="HV477" s="4" t="s">
        <v>241</v>
      </c>
      <c r="HW477" s="4" t="s">
        <v>241</v>
      </c>
      <c r="HX477" s="4" t="s">
        <v>241</v>
      </c>
      <c r="HY477" s="4" t="s">
        <v>241</v>
      </c>
      <c r="HZ477" s="4" t="s">
        <v>241</v>
      </c>
      <c r="IA477" s="4" t="s">
        <v>241</v>
      </c>
      <c r="IB477" s="4" t="s">
        <v>241</v>
      </c>
      <c r="IC477" s="4" t="s">
        <v>241</v>
      </c>
      <c r="ID477" s="4" t="s">
        <v>241</v>
      </c>
      <c r="IE477" s="4" t="s">
        <v>241</v>
      </c>
      <c r="IF477" s="4" t="s">
        <v>241</v>
      </c>
    </row>
    <row r="478" spans="1:240" x14ac:dyDescent="0.4">
      <c r="A478" s="4">
        <v>2</v>
      </c>
      <c r="B478" s="4" t="s">
        <v>239</v>
      </c>
      <c r="C478" s="4">
        <v>509</v>
      </c>
      <c r="D478" s="4">
        <v>1</v>
      </c>
      <c r="E478" s="4">
        <v>3</v>
      </c>
      <c r="F478" s="4" t="s">
        <v>326</v>
      </c>
      <c r="G478" s="4" t="s">
        <v>241</v>
      </c>
      <c r="H478" s="4" t="s">
        <v>241</v>
      </c>
      <c r="I478" s="4" t="s">
        <v>713</v>
      </c>
      <c r="J478" s="4" t="s">
        <v>653</v>
      </c>
      <c r="K478" s="4" t="s">
        <v>256</v>
      </c>
      <c r="L478" s="4" t="s">
        <v>241</v>
      </c>
      <c r="M478" s="5" t="s">
        <v>715</v>
      </c>
      <c r="N478" s="4" t="s">
        <v>2747</v>
      </c>
      <c r="O478" s="6">
        <f>0</f>
        <v>0</v>
      </c>
      <c r="P478" s="4" t="s">
        <v>276</v>
      </c>
      <c r="Q478" s="6">
        <f>29885552</f>
        <v>29885552</v>
      </c>
      <c r="R478" s="6">
        <f>35325710</f>
        <v>35325710</v>
      </c>
      <c r="S478" s="5" t="s">
        <v>1104</v>
      </c>
      <c r="T478" s="4" t="s">
        <v>322</v>
      </c>
      <c r="U478" s="4" t="s">
        <v>277</v>
      </c>
      <c r="V478" s="6">
        <f>2720079</f>
        <v>2720079</v>
      </c>
      <c r="W478" s="6">
        <f>5440158</f>
        <v>5440158</v>
      </c>
      <c r="X478" s="4" t="s">
        <v>243</v>
      </c>
      <c r="Y478" s="4" t="s">
        <v>244</v>
      </c>
      <c r="Z478" s="4" t="s">
        <v>241</v>
      </c>
      <c r="AA478" s="4" t="s">
        <v>241</v>
      </c>
      <c r="AD478" s="4" t="s">
        <v>241</v>
      </c>
      <c r="AE478" s="5" t="s">
        <v>241</v>
      </c>
      <c r="AF478" s="5" t="s">
        <v>241</v>
      </c>
      <c r="AH478" s="5" t="s">
        <v>241</v>
      </c>
      <c r="AI478" s="5" t="s">
        <v>723</v>
      </c>
      <c r="AJ478" s="4" t="s">
        <v>251</v>
      </c>
      <c r="AK478" s="4" t="s">
        <v>252</v>
      </c>
      <c r="AQ478" s="4" t="s">
        <v>241</v>
      </c>
      <c r="AR478" s="4" t="s">
        <v>241</v>
      </c>
      <c r="AS478" s="4" t="s">
        <v>241</v>
      </c>
      <c r="AT478" s="5" t="s">
        <v>241</v>
      </c>
      <c r="AU478" s="5" t="s">
        <v>241</v>
      </c>
      <c r="AV478" s="5" t="s">
        <v>241</v>
      </c>
      <c r="AY478" s="4" t="s">
        <v>286</v>
      </c>
      <c r="AZ478" s="4" t="s">
        <v>286</v>
      </c>
      <c r="BA478" s="4" t="s">
        <v>254</v>
      </c>
      <c r="BB478" s="4" t="s">
        <v>287</v>
      </c>
      <c r="BC478" s="4" t="s">
        <v>255</v>
      </c>
      <c r="BD478" s="4" t="s">
        <v>241</v>
      </c>
      <c r="BE478" s="4" t="s">
        <v>257</v>
      </c>
      <c r="BF478" s="4" t="s">
        <v>241</v>
      </c>
      <c r="BJ478" s="4" t="s">
        <v>288</v>
      </c>
      <c r="BK478" s="5" t="s">
        <v>289</v>
      </c>
      <c r="BL478" s="4" t="s">
        <v>290</v>
      </c>
      <c r="BM478" s="4" t="s">
        <v>290</v>
      </c>
      <c r="BN478" s="4" t="s">
        <v>241</v>
      </c>
      <c r="BP478" s="6">
        <f>-2720079</f>
        <v>-2720079</v>
      </c>
      <c r="BQ478" s="4" t="s">
        <v>263</v>
      </c>
      <c r="BR478" s="4" t="s">
        <v>264</v>
      </c>
      <c r="BS478" s="4" t="s">
        <v>241</v>
      </c>
      <c r="BT478" s="4" t="s">
        <v>241</v>
      </c>
      <c r="BU478" s="4" t="s">
        <v>241</v>
      </c>
      <c r="BV478" s="4" t="s">
        <v>241</v>
      </c>
      <c r="CE478" s="4" t="s">
        <v>264</v>
      </c>
      <c r="CF478" s="4" t="s">
        <v>241</v>
      </c>
      <c r="CG478" s="4" t="s">
        <v>241</v>
      </c>
      <c r="CK478" s="4" t="s">
        <v>291</v>
      </c>
      <c r="CL478" s="4" t="s">
        <v>266</v>
      </c>
      <c r="CM478" s="4" t="s">
        <v>241</v>
      </c>
      <c r="CO478" s="4" t="s">
        <v>331</v>
      </c>
      <c r="CP478" s="5" t="s">
        <v>268</v>
      </c>
      <c r="CQ478" s="4" t="s">
        <v>269</v>
      </c>
      <c r="CR478" s="4" t="s">
        <v>270</v>
      </c>
      <c r="CS478" s="4" t="s">
        <v>293</v>
      </c>
      <c r="CT478" s="4" t="s">
        <v>241</v>
      </c>
      <c r="CU478" s="4">
        <v>7.6999999999999999E-2</v>
      </c>
      <c r="CV478" s="4" t="s">
        <v>271</v>
      </c>
      <c r="CW478" s="4" t="s">
        <v>415</v>
      </c>
      <c r="CX478" s="4" t="s">
        <v>428</v>
      </c>
      <c r="CY478" s="6">
        <f>0</f>
        <v>0</v>
      </c>
      <c r="CZ478" s="6">
        <f>35325710</f>
        <v>35325710</v>
      </c>
      <c r="DA478" s="6">
        <f>29885552</f>
        <v>29885552</v>
      </c>
      <c r="DC478" s="4" t="s">
        <v>241</v>
      </c>
      <c r="DD478" s="4" t="s">
        <v>241</v>
      </c>
      <c r="DF478" s="4" t="s">
        <v>241</v>
      </c>
      <c r="DG478" s="6">
        <f>0</f>
        <v>0</v>
      </c>
      <c r="DI478" s="4" t="s">
        <v>241</v>
      </c>
      <c r="DJ478" s="4" t="s">
        <v>241</v>
      </c>
      <c r="DK478" s="4" t="s">
        <v>241</v>
      </c>
      <c r="DL478" s="4" t="s">
        <v>241</v>
      </c>
      <c r="DM478" s="4" t="s">
        <v>278</v>
      </c>
      <c r="DN478" s="4" t="s">
        <v>278</v>
      </c>
      <c r="DO478" s="6" t="s">
        <v>241</v>
      </c>
      <c r="DP478" s="4" t="s">
        <v>241</v>
      </c>
      <c r="DQ478" s="4" t="s">
        <v>241</v>
      </c>
      <c r="DR478" s="4" t="s">
        <v>241</v>
      </c>
      <c r="DS478" s="4" t="s">
        <v>241</v>
      </c>
      <c r="DV478" s="4" t="s">
        <v>716</v>
      </c>
      <c r="DW478" s="4" t="s">
        <v>417</v>
      </c>
      <c r="GN478" s="4" t="s">
        <v>2805</v>
      </c>
      <c r="HO478" s="4" t="s">
        <v>297</v>
      </c>
      <c r="HR478" s="4" t="s">
        <v>278</v>
      </c>
      <c r="HS478" s="4" t="s">
        <v>278</v>
      </c>
      <c r="HT478" s="4" t="s">
        <v>241</v>
      </c>
      <c r="HU478" s="4" t="s">
        <v>241</v>
      </c>
      <c r="HV478" s="4" t="s">
        <v>241</v>
      </c>
      <c r="HW478" s="4" t="s">
        <v>241</v>
      </c>
      <c r="HX478" s="4" t="s">
        <v>241</v>
      </c>
      <c r="HY478" s="4" t="s">
        <v>241</v>
      </c>
      <c r="HZ478" s="4" t="s">
        <v>241</v>
      </c>
      <c r="IA478" s="4" t="s">
        <v>241</v>
      </c>
      <c r="IB478" s="4" t="s">
        <v>241</v>
      </c>
      <c r="IC478" s="4" t="s">
        <v>241</v>
      </c>
      <c r="ID478" s="4" t="s">
        <v>241</v>
      </c>
      <c r="IE478" s="4" t="s">
        <v>241</v>
      </c>
      <c r="IF478" s="4" t="s">
        <v>241</v>
      </c>
    </row>
    <row r="479" spans="1:240" x14ac:dyDescent="0.4">
      <c r="A479" s="4">
        <v>2</v>
      </c>
      <c r="B479" s="4" t="s">
        <v>239</v>
      </c>
      <c r="C479" s="4">
        <v>510</v>
      </c>
      <c r="D479" s="4">
        <v>1</v>
      </c>
      <c r="E479" s="4">
        <v>1</v>
      </c>
      <c r="F479" s="4" t="s">
        <v>240</v>
      </c>
      <c r="G479" s="4" t="s">
        <v>241</v>
      </c>
      <c r="H479" s="4" t="s">
        <v>241</v>
      </c>
      <c r="I479" s="4" t="s">
        <v>717</v>
      </c>
      <c r="J479" s="4" t="s">
        <v>653</v>
      </c>
      <c r="K479" s="4" t="s">
        <v>256</v>
      </c>
      <c r="L479" s="4" t="s">
        <v>651</v>
      </c>
      <c r="M479" s="5" t="s">
        <v>720</v>
      </c>
      <c r="N479" s="4" t="s">
        <v>651</v>
      </c>
      <c r="O479" s="6">
        <f>1525</f>
        <v>1525</v>
      </c>
      <c r="P479" s="4" t="s">
        <v>276</v>
      </c>
      <c r="Q479" s="6">
        <f>1</f>
        <v>1</v>
      </c>
      <c r="R479" s="6">
        <f>205875000</f>
        <v>205875000</v>
      </c>
      <c r="S479" s="5" t="s">
        <v>718</v>
      </c>
      <c r="T479" s="4" t="s">
        <v>668</v>
      </c>
      <c r="U479" s="4" t="s">
        <v>306</v>
      </c>
      <c r="W479" s="6">
        <f>205874999</f>
        <v>205874999</v>
      </c>
      <c r="X479" s="4" t="s">
        <v>243</v>
      </c>
      <c r="Y479" s="4" t="s">
        <v>244</v>
      </c>
      <c r="Z479" s="4" t="s">
        <v>465</v>
      </c>
      <c r="AA479" s="4" t="s">
        <v>241</v>
      </c>
      <c r="AD479" s="4" t="s">
        <v>241</v>
      </c>
      <c r="AF479" s="5" t="s">
        <v>241</v>
      </c>
      <c r="AI479" s="5" t="s">
        <v>719</v>
      </c>
      <c r="AJ479" s="4" t="s">
        <v>251</v>
      </c>
      <c r="AK479" s="4" t="s">
        <v>252</v>
      </c>
      <c r="BA479" s="4" t="s">
        <v>254</v>
      </c>
      <c r="BB479" s="4" t="s">
        <v>241</v>
      </c>
      <c r="BC479" s="4" t="s">
        <v>255</v>
      </c>
      <c r="BD479" s="4" t="s">
        <v>241</v>
      </c>
      <c r="BE479" s="4" t="s">
        <v>257</v>
      </c>
      <c r="BF479" s="4" t="s">
        <v>241</v>
      </c>
      <c r="BJ479" s="4" t="s">
        <v>377</v>
      </c>
      <c r="BK479" s="5" t="s">
        <v>719</v>
      </c>
      <c r="BL479" s="4" t="s">
        <v>261</v>
      </c>
      <c r="BM479" s="4" t="s">
        <v>290</v>
      </c>
      <c r="BN479" s="4" t="s">
        <v>241</v>
      </c>
      <c r="BO479" s="6">
        <f>0</f>
        <v>0</v>
      </c>
      <c r="BP479" s="6">
        <f>0</f>
        <v>0</v>
      </c>
      <c r="BQ479" s="4" t="s">
        <v>263</v>
      </c>
      <c r="BR479" s="4" t="s">
        <v>264</v>
      </c>
      <c r="CF479" s="4" t="s">
        <v>241</v>
      </c>
      <c r="CG479" s="4" t="s">
        <v>241</v>
      </c>
      <c r="CK479" s="4" t="s">
        <v>265</v>
      </c>
      <c r="CL479" s="4" t="s">
        <v>266</v>
      </c>
      <c r="CM479" s="4" t="s">
        <v>241</v>
      </c>
      <c r="CO479" s="4" t="s">
        <v>305</v>
      </c>
      <c r="CP479" s="5" t="s">
        <v>268</v>
      </c>
      <c r="CQ479" s="4" t="s">
        <v>269</v>
      </c>
      <c r="CR479" s="4" t="s">
        <v>270</v>
      </c>
      <c r="CS479" s="4" t="s">
        <v>241</v>
      </c>
      <c r="CT479" s="4" t="s">
        <v>241</v>
      </c>
      <c r="CU479" s="4">
        <v>0</v>
      </c>
      <c r="CV479" s="4" t="s">
        <v>271</v>
      </c>
      <c r="CW479" s="4" t="s">
        <v>655</v>
      </c>
      <c r="CX479" s="4" t="s">
        <v>295</v>
      </c>
      <c r="CZ479" s="6">
        <f>205875000</f>
        <v>205875000</v>
      </c>
      <c r="DA479" s="6">
        <f>0</f>
        <v>0</v>
      </c>
      <c r="DC479" s="4" t="s">
        <v>241</v>
      </c>
      <c r="DD479" s="4" t="s">
        <v>241</v>
      </c>
      <c r="DF479" s="4" t="s">
        <v>241</v>
      </c>
      <c r="DI479" s="4" t="s">
        <v>241</v>
      </c>
      <c r="DJ479" s="4" t="s">
        <v>241</v>
      </c>
      <c r="DK479" s="4" t="s">
        <v>241</v>
      </c>
      <c r="DL479" s="4" t="s">
        <v>241</v>
      </c>
      <c r="DM479" s="4" t="s">
        <v>323</v>
      </c>
      <c r="DN479" s="4" t="s">
        <v>278</v>
      </c>
      <c r="DO479" s="6">
        <f>1525</f>
        <v>1525</v>
      </c>
      <c r="DP479" s="4" t="s">
        <v>241</v>
      </c>
      <c r="DQ479" s="4" t="s">
        <v>241</v>
      </c>
      <c r="DR479" s="4" t="s">
        <v>241</v>
      </c>
      <c r="DS479" s="4" t="s">
        <v>241</v>
      </c>
      <c r="DV479" s="4" t="s">
        <v>721</v>
      </c>
      <c r="DW479" s="4" t="s">
        <v>277</v>
      </c>
      <c r="HO479" s="4" t="s">
        <v>300</v>
      </c>
      <c r="HR479" s="4" t="s">
        <v>278</v>
      </c>
      <c r="HS479" s="4" t="s">
        <v>278</v>
      </c>
    </row>
    <row r="480" spans="1:240" x14ac:dyDescent="0.4">
      <c r="A480" s="4">
        <v>2</v>
      </c>
      <c r="B480" s="4" t="s">
        <v>239</v>
      </c>
      <c r="C480" s="4">
        <v>511</v>
      </c>
      <c r="D480" s="4">
        <v>1</v>
      </c>
      <c r="E480" s="4">
        <v>1</v>
      </c>
      <c r="F480" s="4" t="s">
        <v>240</v>
      </c>
      <c r="G480" s="4" t="s">
        <v>241</v>
      </c>
      <c r="H480" s="4" t="s">
        <v>241</v>
      </c>
      <c r="I480" s="4" t="s">
        <v>717</v>
      </c>
      <c r="J480" s="4" t="s">
        <v>653</v>
      </c>
      <c r="K480" s="4" t="s">
        <v>256</v>
      </c>
      <c r="L480" s="4" t="s">
        <v>1003</v>
      </c>
      <c r="M480" s="5" t="s">
        <v>720</v>
      </c>
      <c r="N480" s="4" t="s">
        <v>1003</v>
      </c>
      <c r="O480" s="6">
        <f>538</f>
        <v>538</v>
      </c>
      <c r="P480" s="4" t="s">
        <v>276</v>
      </c>
      <c r="Q480" s="6">
        <f>1</f>
        <v>1</v>
      </c>
      <c r="R480" s="6">
        <f>43040000</f>
        <v>43040000</v>
      </c>
      <c r="S480" s="5" t="s">
        <v>1020</v>
      </c>
      <c r="T480" s="4" t="s">
        <v>357</v>
      </c>
      <c r="U480" s="4" t="s">
        <v>668</v>
      </c>
      <c r="W480" s="6">
        <f>43039999</f>
        <v>43039999</v>
      </c>
      <c r="X480" s="4" t="s">
        <v>243</v>
      </c>
      <c r="Y480" s="4" t="s">
        <v>244</v>
      </c>
      <c r="Z480" s="4" t="s">
        <v>465</v>
      </c>
      <c r="AA480" s="4" t="s">
        <v>241</v>
      </c>
      <c r="AD480" s="4" t="s">
        <v>241</v>
      </c>
      <c r="AF480" s="5" t="s">
        <v>241</v>
      </c>
      <c r="AI480" s="5" t="s">
        <v>719</v>
      </c>
      <c r="AJ480" s="4" t="s">
        <v>251</v>
      </c>
      <c r="AK480" s="4" t="s">
        <v>252</v>
      </c>
      <c r="BA480" s="4" t="s">
        <v>254</v>
      </c>
      <c r="BB480" s="4" t="s">
        <v>241</v>
      </c>
      <c r="BC480" s="4" t="s">
        <v>255</v>
      </c>
      <c r="BD480" s="4" t="s">
        <v>241</v>
      </c>
      <c r="BE480" s="4" t="s">
        <v>257</v>
      </c>
      <c r="BF480" s="4" t="s">
        <v>241</v>
      </c>
      <c r="BJ480" s="4" t="s">
        <v>377</v>
      </c>
      <c r="BK480" s="5" t="s">
        <v>378</v>
      </c>
      <c r="BL480" s="4" t="s">
        <v>261</v>
      </c>
      <c r="BM480" s="4" t="s">
        <v>262</v>
      </c>
      <c r="BN480" s="4" t="s">
        <v>241</v>
      </c>
      <c r="BO480" s="6">
        <f>0</f>
        <v>0</v>
      </c>
      <c r="BP480" s="6">
        <f>0</f>
        <v>0</v>
      </c>
      <c r="BQ480" s="4" t="s">
        <v>263</v>
      </c>
      <c r="BR480" s="4" t="s">
        <v>264</v>
      </c>
      <c r="CF480" s="4" t="s">
        <v>241</v>
      </c>
      <c r="CG480" s="4" t="s">
        <v>241</v>
      </c>
      <c r="CK480" s="4" t="s">
        <v>265</v>
      </c>
      <c r="CL480" s="4" t="s">
        <v>266</v>
      </c>
      <c r="CM480" s="4" t="s">
        <v>241</v>
      </c>
      <c r="CO480" s="4" t="s">
        <v>1021</v>
      </c>
      <c r="CP480" s="5" t="s">
        <v>268</v>
      </c>
      <c r="CQ480" s="4" t="s">
        <v>269</v>
      </c>
      <c r="CR480" s="4" t="s">
        <v>270</v>
      </c>
      <c r="CS480" s="4" t="s">
        <v>241</v>
      </c>
      <c r="CT480" s="4" t="s">
        <v>241</v>
      </c>
      <c r="CU480" s="4">
        <v>0</v>
      </c>
      <c r="CV480" s="4" t="s">
        <v>271</v>
      </c>
      <c r="CW480" s="4" t="s">
        <v>1006</v>
      </c>
      <c r="CX480" s="4" t="s">
        <v>487</v>
      </c>
      <c r="CZ480" s="6">
        <f>43040000</f>
        <v>43040000</v>
      </c>
      <c r="DA480" s="6">
        <f>0</f>
        <v>0</v>
      </c>
      <c r="DC480" s="4" t="s">
        <v>241</v>
      </c>
      <c r="DD480" s="4" t="s">
        <v>241</v>
      </c>
      <c r="DF480" s="4" t="s">
        <v>241</v>
      </c>
      <c r="DI480" s="4" t="s">
        <v>241</v>
      </c>
      <c r="DJ480" s="4" t="s">
        <v>241</v>
      </c>
      <c r="DK480" s="4" t="s">
        <v>241</v>
      </c>
      <c r="DL480" s="4" t="s">
        <v>241</v>
      </c>
      <c r="DM480" s="4" t="s">
        <v>323</v>
      </c>
      <c r="DN480" s="4" t="s">
        <v>278</v>
      </c>
      <c r="DO480" s="6">
        <f>538</f>
        <v>538</v>
      </c>
      <c r="DP480" s="4" t="s">
        <v>241</v>
      </c>
      <c r="DQ480" s="4" t="s">
        <v>241</v>
      </c>
      <c r="DR480" s="4" t="s">
        <v>241</v>
      </c>
      <c r="DS480" s="4" t="s">
        <v>241</v>
      </c>
      <c r="DV480" s="4" t="s">
        <v>721</v>
      </c>
      <c r="DW480" s="4" t="s">
        <v>323</v>
      </c>
      <c r="HO480" s="4" t="s">
        <v>277</v>
      </c>
      <c r="HR480" s="4" t="s">
        <v>278</v>
      </c>
      <c r="HS480" s="4" t="s">
        <v>278</v>
      </c>
    </row>
    <row r="481" spans="1:240" x14ac:dyDescent="0.4">
      <c r="A481" s="4">
        <v>2</v>
      </c>
      <c r="B481" s="4" t="s">
        <v>239</v>
      </c>
      <c r="C481" s="4">
        <v>512</v>
      </c>
      <c r="D481" s="4">
        <v>1</v>
      </c>
      <c r="E481" s="4">
        <v>1</v>
      </c>
      <c r="F481" s="4" t="s">
        <v>240</v>
      </c>
      <c r="G481" s="4" t="s">
        <v>241</v>
      </c>
      <c r="H481" s="4" t="s">
        <v>241</v>
      </c>
      <c r="I481" s="4" t="s">
        <v>717</v>
      </c>
      <c r="J481" s="4" t="s">
        <v>653</v>
      </c>
      <c r="K481" s="4" t="s">
        <v>256</v>
      </c>
      <c r="L481" s="4" t="s">
        <v>2529</v>
      </c>
      <c r="M481" s="5" t="s">
        <v>720</v>
      </c>
      <c r="N481" s="4" t="s">
        <v>2529</v>
      </c>
      <c r="O481" s="6">
        <f>52</f>
        <v>52</v>
      </c>
      <c r="P481" s="4" t="s">
        <v>276</v>
      </c>
      <c r="Q481" s="6">
        <f>1</f>
        <v>1</v>
      </c>
      <c r="R481" s="6">
        <f>3120000</f>
        <v>3120000</v>
      </c>
      <c r="S481" s="5" t="s">
        <v>2940</v>
      </c>
      <c r="T481" s="4" t="s">
        <v>348</v>
      </c>
      <c r="U481" s="4" t="s">
        <v>357</v>
      </c>
      <c r="W481" s="6">
        <f>3119999</f>
        <v>3119999</v>
      </c>
      <c r="X481" s="4" t="s">
        <v>243</v>
      </c>
      <c r="Y481" s="4" t="s">
        <v>244</v>
      </c>
      <c r="Z481" s="4" t="s">
        <v>465</v>
      </c>
      <c r="AA481" s="4" t="s">
        <v>241</v>
      </c>
      <c r="AD481" s="4" t="s">
        <v>241</v>
      </c>
      <c r="AF481" s="5" t="s">
        <v>241</v>
      </c>
      <c r="AI481" s="5" t="s">
        <v>719</v>
      </c>
      <c r="AJ481" s="4" t="s">
        <v>251</v>
      </c>
      <c r="AK481" s="4" t="s">
        <v>252</v>
      </c>
      <c r="BA481" s="4" t="s">
        <v>254</v>
      </c>
      <c r="BB481" s="4" t="s">
        <v>241</v>
      </c>
      <c r="BC481" s="4" t="s">
        <v>255</v>
      </c>
      <c r="BD481" s="4" t="s">
        <v>241</v>
      </c>
      <c r="BE481" s="4" t="s">
        <v>257</v>
      </c>
      <c r="BF481" s="4" t="s">
        <v>241</v>
      </c>
      <c r="BJ481" s="4" t="s">
        <v>259</v>
      </c>
      <c r="BK481" s="5" t="s">
        <v>260</v>
      </c>
      <c r="BL481" s="4" t="s">
        <v>261</v>
      </c>
      <c r="BM481" s="4" t="s">
        <v>262</v>
      </c>
      <c r="BN481" s="4" t="s">
        <v>241</v>
      </c>
      <c r="BO481" s="6">
        <f>0</f>
        <v>0</v>
      </c>
      <c r="BP481" s="6">
        <f>0</f>
        <v>0</v>
      </c>
      <c r="BQ481" s="4" t="s">
        <v>263</v>
      </c>
      <c r="BR481" s="4" t="s">
        <v>264</v>
      </c>
      <c r="CF481" s="4" t="s">
        <v>241</v>
      </c>
      <c r="CG481" s="4" t="s">
        <v>241</v>
      </c>
      <c r="CK481" s="4" t="s">
        <v>265</v>
      </c>
      <c r="CL481" s="4" t="s">
        <v>266</v>
      </c>
      <c r="CM481" s="4" t="s">
        <v>241</v>
      </c>
      <c r="CO481" s="4" t="s">
        <v>382</v>
      </c>
      <c r="CP481" s="5" t="s">
        <v>268</v>
      </c>
      <c r="CQ481" s="4" t="s">
        <v>269</v>
      </c>
      <c r="CR481" s="4" t="s">
        <v>270</v>
      </c>
      <c r="CS481" s="4" t="s">
        <v>241</v>
      </c>
      <c r="CT481" s="4" t="s">
        <v>241</v>
      </c>
      <c r="CU481" s="4">
        <v>0</v>
      </c>
      <c r="CV481" s="4" t="s">
        <v>271</v>
      </c>
      <c r="CW481" s="4" t="s">
        <v>415</v>
      </c>
      <c r="CX481" s="4" t="s">
        <v>416</v>
      </c>
      <c r="CZ481" s="6">
        <f>3120000</f>
        <v>3120000</v>
      </c>
      <c r="DA481" s="6">
        <f>0</f>
        <v>0</v>
      </c>
      <c r="DC481" s="4" t="s">
        <v>241</v>
      </c>
      <c r="DD481" s="4" t="s">
        <v>241</v>
      </c>
      <c r="DF481" s="4" t="s">
        <v>241</v>
      </c>
      <c r="DI481" s="4" t="s">
        <v>241</v>
      </c>
      <c r="DJ481" s="4" t="s">
        <v>241</v>
      </c>
      <c r="DK481" s="4" t="s">
        <v>241</v>
      </c>
      <c r="DL481" s="4" t="s">
        <v>241</v>
      </c>
      <c r="DM481" s="4" t="s">
        <v>277</v>
      </c>
      <c r="DN481" s="4" t="s">
        <v>278</v>
      </c>
      <c r="DO481" s="6">
        <f>52</f>
        <v>52</v>
      </c>
      <c r="DP481" s="4" t="s">
        <v>241</v>
      </c>
      <c r="DQ481" s="4" t="s">
        <v>241</v>
      </c>
      <c r="DR481" s="4" t="s">
        <v>241</v>
      </c>
      <c r="DS481" s="4" t="s">
        <v>241</v>
      </c>
      <c r="DV481" s="4" t="s">
        <v>721</v>
      </c>
      <c r="DW481" s="4" t="s">
        <v>297</v>
      </c>
      <c r="HO481" s="4" t="s">
        <v>277</v>
      </c>
      <c r="HR481" s="4" t="s">
        <v>278</v>
      </c>
      <c r="HS481" s="4" t="s">
        <v>278</v>
      </c>
    </row>
    <row r="482" spans="1:240" x14ac:dyDescent="0.4">
      <c r="A482" s="4">
        <v>2</v>
      </c>
      <c r="B482" s="4" t="s">
        <v>239</v>
      </c>
      <c r="C482" s="4">
        <v>513</v>
      </c>
      <c r="D482" s="4">
        <v>1</v>
      </c>
      <c r="E482" s="4">
        <v>1</v>
      </c>
      <c r="F482" s="4" t="s">
        <v>240</v>
      </c>
      <c r="G482" s="4" t="s">
        <v>241</v>
      </c>
      <c r="H482" s="4" t="s">
        <v>241</v>
      </c>
      <c r="I482" s="4" t="s">
        <v>717</v>
      </c>
      <c r="J482" s="4" t="s">
        <v>653</v>
      </c>
      <c r="K482" s="4" t="s">
        <v>256</v>
      </c>
      <c r="L482" s="4" t="s">
        <v>429</v>
      </c>
      <c r="M482" s="5" t="s">
        <v>720</v>
      </c>
      <c r="N482" s="4" t="s">
        <v>429</v>
      </c>
      <c r="O482" s="6">
        <f>20</f>
        <v>20</v>
      </c>
      <c r="P482" s="4" t="s">
        <v>276</v>
      </c>
      <c r="Q482" s="6">
        <f>1</f>
        <v>1</v>
      </c>
      <c r="R482" s="6">
        <f>1200000</f>
        <v>1200000</v>
      </c>
      <c r="S482" s="5" t="s">
        <v>2999</v>
      </c>
      <c r="T482" s="4" t="s">
        <v>274</v>
      </c>
      <c r="U482" s="4" t="s">
        <v>473</v>
      </c>
      <c r="W482" s="6">
        <f>1199999</f>
        <v>1199999</v>
      </c>
      <c r="X482" s="4" t="s">
        <v>243</v>
      </c>
      <c r="Y482" s="4" t="s">
        <v>244</v>
      </c>
      <c r="Z482" s="4" t="s">
        <v>465</v>
      </c>
      <c r="AA482" s="4" t="s">
        <v>241</v>
      </c>
      <c r="AD482" s="4" t="s">
        <v>241</v>
      </c>
      <c r="AF482" s="5" t="s">
        <v>241</v>
      </c>
      <c r="AI482" s="5" t="s">
        <v>757</v>
      </c>
      <c r="AJ482" s="4" t="s">
        <v>251</v>
      </c>
      <c r="AK482" s="4" t="s">
        <v>252</v>
      </c>
      <c r="BA482" s="4" t="s">
        <v>254</v>
      </c>
      <c r="BB482" s="4" t="s">
        <v>241</v>
      </c>
      <c r="BC482" s="4" t="s">
        <v>255</v>
      </c>
      <c r="BD482" s="4" t="s">
        <v>241</v>
      </c>
      <c r="BE482" s="4" t="s">
        <v>257</v>
      </c>
      <c r="BF482" s="4" t="s">
        <v>241</v>
      </c>
      <c r="BJ482" s="4" t="s">
        <v>259</v>
      </c>
      <c r="BK482" s="5" t="s">
        <v>757</v>
      </c>
      <c r="BL482" s="4" t="s">
        <v>261</v>
      </c>
      <c r="BM482" s="4" t="s">
        <v>262</v>
      </c>
      <c r="BN482" s="4" t="s">
        <v>241</v>
      </c>
      <c r="BO482" s="6">
        <f>0</f>
        <v>0</v>
      </c>
      <c r="BP482" s="6">
        <f>0</f>
        <v>0</v>
      </c>
      <c r="BQ482" s="4" t="s">
        <v>263</v>
      </c>
      <c r="BR482" s="4" t="s">
        <v>264</v>
      </c>
      <c r="CF482" s="4" t="s">
        <v>241</v>
      </c>
      <c r="CG482" s="4" t="s">
        <v>241</v>
      </c>
      <c r="CK482" s="4" t="s">
        <v>265</v>
      </c>
      <c r="CL482" s="4" t="s">
        <v>266</v>
      </c>
      <c r="CM482" s="4" t="s">
        <v>241</v>
      </c>
      <c r="CO482" s="4" t="s">
        <v>710</v>
      </c>
      <c r="CP482" s="5" t="s">
        <v>268</v>
      </c>
      <c r="CQ482" s="4" t="s">
        <v>269</v>
      </c>
      <c r="CR482" s="4" t="s">
        <v>270</v>
      </c>
      <c r="CS482" s="4" t="s">
        <v>241</v>
      </c>
      <c r="CT482" s="4" t="s">
        <v>241</v>
      </c>
      <c r="CU482" s="4">
        <v>0</v>
      </c>
      <c r="CV482" s="4" t="s">
        <v>271</v>
      </c>
      <c r="CW482" s="4" t="s">
        <v>272</v>
      </c>
      <c r="CX482" s="4" t="s">
        <v>273</v>
      </c>
      <c r="CZ482" s="6">
        <f>1200000</f>
        <v>1200000</v>
      </c>
      <c r="DA482" s="6">
        <f>0</f>
        <v>0</v>
      </c>
      <c r="DC482" s="4" t="s">
        <v>241</v>
      </c>
      <c r="DD482" s="4" t="s">
        <v>241</v>
      </c>
      <c r="DF482" s="4" t="s">
        <v>241</v>
      </c>
      <c r="DI482" s="4" t="s">
        <v>241</v>
      </c>
      <c r="DJ482" s="4" t="s">
        <v>241</v>
      </c>
      <c r="DK482" s="4" t="s">
        <v>241</v>
      </c>
      <c r="DL482" s="4" t="s">
        <v>241</v>
      </c>
      <c r="DM482" s="4" t="s">
        <v>277</v>
      </c>
      <c r="DN482" s="4" t="s">
        <v>278</v>
      </c>
      <c r="DO482" s="6">
        <f>20</f>
        <v>20</v>
      </c>
      <c r="DP482" s="4" t="s">
        <v>241</v>
      </c>
      <c r="DQ482" s="4" t="s">
        <v>241</v>
      </c>
      <c r="DR482" s="4" t="s">
        <v>241</v>
      </c>
      <c r="DS482" s="4" t="s">
        <v>241</v>
      </c>
      <c r="DV482" s="4" t="s">
        <v>721</v>
      </c>
      <c r="DW482" s="4" t="s">
        <v>336</v>
      </c>
      <c r="HO482" s="4" t="s">
        <v>277</v>
      </c>
      <c r="HR482" s="4" t="s">
        <v>278</v>
      </c>
      <c r="HS482" s="4" t="s">
        <v>278</v>
      </c>
    </row>
    <row r="483" spans="1:240" x14ac:dyDescent="0.4">
      <c r="A483" s="4">
        <v>2</v>
      </c>
      <c r="B483" s="4" t="s">
        <v>239</v>
      </c>
      <c r="C483" s="4">
        <v>514</v>
      </c>
      <c r="D483" s="4">
        <v>1</v>
      </c>
      <c r="E483" s="4">
        <v>1</v>
      </c>
      <c r="F483" s="4" t="s">
        <v>240</v>
      </c>
      <c r="G483" s="4" t="s">
        <v>241</v>
      </c>
      <c r="H483" s="4" t="s">
        <v>241</v>
      </c>
      <c r="I483" s="4" t="s">
        <v>717</v>
      </c>
      <c r="J483" s="4" t="s">
        <v>653</v>
      </c>
      <c r="K483" s="4" t="s">
        <v>256</v>
      </c>
      <c r="L483" s="4" t="s">
        <v>429</v>
      </c>
      <c r="M483" s="5" t="s">
        <v>720</v>
      </c>
      <c r="N483" s="4" t="s">
        <v>429</v>
      </c>
      <c r="O483" s="6">
        <f>14</f>
        <v>14</v>
      </c>
      <c r="P483" s="4" t="s">
        <v>276</v>
      </c>
      <c r="Q483" s="6">
        <f>1</f>
        <v>1</v>
      </c>
      <c r="R483" s="6">
        <f>4998000</f>
        <v>4998000</v>
      </c>
      <c r="S483" s="5" t="s">
        <v>1463</v>
      </c>
      <c r="T483" s="4" t="s">
        <v>274</v>
      </c>
      <c r="U483" s="4" t="s">
        <v>399</v>
      </c>
      <c r="W483" s="6">
        <f>4997999</f>
        <v>4997999</v>
      </c>
      <c r="X483" s="4" t="s">
        <v>243</v>
      </c>
      <c r="Y483" s="4" t="s">
        <v>244</v>
      </c>
      <c r="Z483" s="4" t="s">
        <v>465</v>
      </c>
      <c r="AA483" s="4" t="s">
        <v>241</v>
      </c>
      <c r="AD483" s="4" t="s">
        <v>241</v>
      </c>
      <c r="AF483" s="5" t="s">
        <v>241</v>
      </c>
      <c r="AI483" s="5" t="s">
        <v>757</v>
      </c>
      <c r="AJ483" s="4" t="s">
        <v>251</v>
      </c>
      <c r="AK483" s="4" t="s">
        <v>252</v>
      </c>
      <c r="BA483" s="4" t="s">
        <v>254</v>
      </c>
      <c r="BB483" s="4" t="s">
        <v>241</v>
      </c>
      <c r="BC483" s="4" t="s">
        <v>255</v>
      </c>
      <c r="BD483" s="4" t="s">
        <v>241</v>
      </c>
      <c r="BE483" s="4" t="s">
        <v>257</v>
      </c>
      <c r="BF483" s="4" t="s">
        <v>241</v>
      </c>
      <c r="BJ483" s="4" t="s">
        <v>259</v>
      </c>
      <c r="BK483" s="5" t="s">
        <v>260</v>
      </c>
      <c r="BL483" s="4" t="s">
        <v>261</v>
      </c>
      <c r="BM483" s="4" t="s">
        <v>262</v>
      </c>
      <c r="BN483" s="4" t="s">
        <v>241</v>
      </c>
      <c r="BO483" s="6">
        <f>0</f>
        <v>0</v>
      </c>
      <c r="BP483" s="6">
        <f>0</f>
        <v>0</v>
      </c>
      <c r="BQ483" s="4" t="s">
        <v>263</v>
      </c>
      <c r="BR483" s="4" t="s">
        <v>264</v>
      </c>
      <c r="CF483" s="4" t="s">
        <v>241</v>
      </c>
      <c r="CG483" s="4" t="s">
        <v>241</v>
      </c>
      <c r="CK483" s="4" t="s">
        <v>291</v>
      </c>
      <c r="CL483" s="4" t="s">
        <v>266</v>
      </c>
      <c r="CM483" s="4" t="s">
        <v>241</v>
      </c>
      <c r="CO483" s="4" t="s">
        <v>398</v>
      </c>
      <c r="CP483" s="5" t="s">
        <v>268</v>
      </c>
      <c r="CQ483" s="4" t="s">
        <v>269</v>
      </c>
      <c r="CR483" s="4" t="s">
        <v>270</v>
      </c>
      <c r="CS483" s="4" t="s">
        <v>241</v>
      </c>
      <c r="CT483" s="4" t="s">
        <v>241</v>
      </c>
      <c r="CU483" s="4">
        <v>0</v>
      </c>
      <c r="CV483" s="4" t="s">
        <v>271</v>
      </c>
      <c r="CW483" s="4" t="s">
        <v>272</v>
      </c>
      <c r="CX483" s="4" t="s">
        <v>273</v>
      </c>
      <c r="CZ483" s="6">
        <f>4998000</f>
        <v>4998000</v>
      </c>
      <c r="DA483" s="6">
        <f>0</f>
        <v>0</v>
      </c>
      <c r="DC483" s="4" t="s">
        <v>241</v>
      </c>
      <c r="DD483" s="4" t="s">
        <v>241</v>
      </c>
      <c r="DF483" s="4" t="s">
        <v>241</v>
      </c>
      <c r="DI483" s="4" t="s">
        <v>241</v>
      </c>
      <c r="DJ483" s="4" t="s">
        <v>241</v>
      </c>
      <c r="DK483" s="4" t="s">
        <v>241</v>
      </c>
      <c r="DL483" s="4" t="s">
        <v>241</v>
      </c>
      <c r="DM483" s="4" t="s">
        <v>277</v>
      </c>
      <c r="DN483" s="4" t="s">
        <v>278</v>
      </c>
      <c r="DO483" s="6">
        <f>14</f>
        <v>14</v>
      </c>
      <c r="DP483" s="4" t="s">
        <v>241</v>
      </c>
      <c r="DQ483" s="4" t="s">
        <v>241</v>
      </c>
      <c r="DR483" s="4" t="s">
        <v>241</v>
      </c>
      <c r="DS483" s="4" t="s">
        <v>241</v>
      </c>
      <c r="DV483" s="4" t="s">
        <v>721</v>
      </c>
      <c r="DW483" s="4" t="s">
        <v>351</v>
      </c>
      <c r="HO483" s="4" t="s">
        <v>277</v>
      </c>
      <c r="HR483" s="4" t="s">
        <v>278</v>
      </c>
      <c r="HS483" s="4" t="s">
        <v>278</v>
      </c>
    </row>
    <row r="484" spans="1:240" x14ac:dyDescent="0.4">
      <c r="A484" s="4">
        <v>2</v>
      </c>
      <c r="B484" s="4" t="s">
        <v>239</v>
      </c>
      <c r="C484" s="4">
        <v>515</v>
      </c>
      <c r="D484" s="4">
        <v>1</v>
      </c>
      <c r="E484" s="4">
        <v>3</v>
      </c>
      <c r="F484" s="4" t="s">
        <v>240</v>
      </c>
      <c r="G484" s="4" t="s">
        <v>241</v>
      </c>
      <c r="H484" s="4" t="s">
        <v>241</v>
      </c>
      <c r="I484" s="4" t="s">
        <v>717</v>
      </c>
      <c r="J484" s="4" t="s">
        <v>653</v>
      </c>
      <c r="K484" s="4" t="s">
        <v>256</v>
      </c>
      <c r="L484" s="4" t="s">
        <v>340</v>
      </c>
      <c r="M484" s="5" t="s">
        <v>720</v>
      </c>
      <c r="N484" s="4" t="s">
        <v>340</v>
      </c>
      <c r="O484" s="6">
        <f>23.18</f>
        <v>23.18</v>
      </c>
      <c r="P484" s="4" t="s">
        <v>276</v>
      </c>
      <c r="Q484" s="6">
        <f>4951575</f>
        <v>4951575</v>
      </c>
      <c r="R484" s="6">
        <f>9325000</f>
        <v>9325000</v>
      </c>
      <c r="S484" s="5" t="s">
        <v>1761</v>
      </c>
      <c r="T484" s="4" t="s">
        <v>348</v>
      </c>
      <c r="U484" s="4" t="s">
        <v>300</v>
      </c>
      <c r="V484" s="6">
        <f>624775</f>
        <v>624775</v>
      </c>
      <c r="W484" s="6">
        <f>4373425</f>
        <v>4373425</v>
      </c>
      <c r="X484" s="4" t="s">
        <v>243</v>
      </c>
      <c r="Y484" s="4" t="s">
        <v>244</v>
      </c>
      <c r="Z484" s="4" t="s">
        <v>465</v>
      </c>
      <c r="AA484" s="4" t="s">
        <v>241</v>
      </c>
      <c r="AD484" s="4" t="s">
        <v>241</v>
      </c>
      <c r="AE484" s="5" t="s">
        <v>241</v>
      </c>
      <c r="AF484" s="5" t="s">
        <v>241</v>
      </c>
      <c r="AH484" s="5" t="s">
        <v>241</v>
      </c>
      <c r="AI484" s="5" t="s">
        <v>249</v>
      </c>
      <c r="AJ484" s="4" t="s">
        <v>251</v>
      </c>
      <c r="AK484" s="4" t="s">
        <v>252</v>
      </c>
      <c r="AQ484" s="4" t="s">
        <v>241</v>
      </c>
      <c r="AR484" s="4" t="s">
        <v>241</v>
      </c>
      <c r="AS484" s="4" t="s">
        <v>241</v>
      </c>
      <c r="AT484" s="5" t="s">
        <v>241</v>
      </c>
      <c r="AU484" s="5" t="s">
        <v>241</v>
      </c>
      <c r="AV484" s="5" t="s">
        <v>241</v>
      </c>
      <c r="AY484" s="4" t="s">
        <v>286</v>
      </c>
      <c r="AZ484" s="4" t="s">
        <v>286</v>
      </c>
      <c r="BA484" s="4" t="s">
        <v>254</v>
      </c>
      <c r="BB484" s="4" t="s">
        <v>287</v>
      </c>
      <c r="BC484" s="4" t="s">
        <v>255</v>
      </c>
      <c r="BD484" s="4" t="s">
        <v>241</v>
      </c>
      <c r="BE484" s="4" t="s">
        <v>257</v>
      </c>
      <c r="BF484" s="4" t="s">
        <v>241</v>
      </c>
      <c r="BJ484" s="4" t="s">
        <v>288</v>
      </c>
      <c r="BK484" s="5" t="s">
        <v>289</v>
      </c>
      <c r="BL484" s="4" t="s">
        <v>290</v>
      </c>
      <c r="BM484" s="4" t="s">
        <v>290</v>
      </c>
      <c r="BN484" s="4" t="s">
        <v>241</v>
      </c>
      <c r="BO484" s="6">
        <f>0</f>
        <v>0</v>
      </c>
      <c r="BP484" s="6">
        <f>-624775</f>
        <v>-624775</v>
      </c>
      <c r="BQ484" s="4" t="s">
        <v>263</v>
      </c>
      <c r="BR484" s="4" t="s">
        <v>264</v>
      </c>
      <c r="BS484" s="4" t="s">
        <v>241</v>
      </c>
      <c r="BT484" s="4" t="s">
        <v>241</v>
      </c>
      <c r="BU484" s="4" t="s">
        <v>241</v>
      </c>
      <c r="BV484" s="4" t="s">
        <v>241</v>
      </c>
      <c r="CE484" s="4" t="s">
        <v>264</v>
      </c>
      <c r="CF484" s="4" t="s">
        <v>241</v>
      </c>
      <c r="CG484" s="4" t="s">
        <v>241</v>
      </c>
      <c r="CK484" s="4" t="s">
        <v>291</v>
      </c>
      <c r="CL484" s="4" t="s">
        <v>266</v>
      </c>
      <c r="CM484" s="4" t="s">
        <v>241</v>
      </c>
      <c r="CO484" s="4" t="s">
        <v>1542</v>
      </c>
      <c r="CP484" s="5" t="s">
        <v>268</v>
      </c>
      <c r="CQ484" s="4" t="s">
        <v>269</v>
      </c>
      <c r="CR484" s="4" t="s">
        <v>270</v>
      </c>
      <c r="CS484" s="4" t="s">
        <v>293</v>
      </c>
      <c r="CT484" s="4" t="s">
        <v>241</v>
      </c>
      <c r="CU484" s="4">
        <v>6.7000000000000004E-2</v>
      </c>
      <c r="CV484" s="4" t="s">
        <v>271</v>
      </c>
      <c r="CW484" s="4" t="s">
        <v>332</v>
      </c>
      <c r="CX484" s="4" t="s">
        <v>347</v>
      </c>
      <c r="CY484" s="6">
        <f>0</f>
        <v>0</v>
      </c>
      <c r="CZ484" s="6">
        <f>9325000</f>
        <v>9325000</v>
      </c>
      <c r="DA484" s="6">
        <f>4951575</f>
        <v>4951575</v>
      </c>
      <c r="DC484" s="4" t="s">
        <v>241</v>
      </c>
      <c r="DD484" s="4" t="s">
        <v>241</v>
      </c>
      <c r="DF484" s="4" t="s">
        <v>241</v>
      </c>
      <c r="DG484" s="6">
        <f>0</f>
        <v>0</v>
      </c>
      <c r="DI484" s="4" t="s">
        <v>241</v>
      </c>
      <c r="DJ484" s="4" t="s">
        <v>241</v>
      </c>
      <c r="DK484" s="4" t="s">
        <v>241</v>
      </c>
      <c r="DL484" s="4" t="s">
        <v>241</v>
      </c>
      <c r="DM484" s="4" t="s">
        <v>277</v>
      </c>
      <c r="DN484" s="4" t="s">
        <v>278</v>
      </c>
      <c r="DO484" s="6">
        <f>23.18</f>
        <v>23.18</v>
      </c>
      <c r="DP484" s="4" t="s">
        <v>241</v>
      </c>
      <c r="DQ484" s="4" t="s">
        <v>241</v>
      </c>
      <c r="DR484" s="4" t="s">
        <v>241</v>
      </c>
      <c r="DS484" s="4" t="s">
        <v>241</v>
      </c>
      <c r="DV484" s="4" t="s">
        <v>721</v>
      </c>
      <c r="DW484" s="4" t="s">
        <v>300</v>
      </c>
      <c r="GN484" s="4" t="s">
        <v>1762</v>
      </c>
      <c r="HO484" s="4" t="s">
        <v>300</v>
      </c>
      <c r="HR484" s="4" t="s">
        <v>278</v>
      </c>
      <c r="HS484" s="4" t="s">
        <v>278</v>
      </c>
      <c r="HT484" s="4" t="s">
        <v>241</v>
      </c>
      <c r="HU484" s="4" t="s">
        <v>241</v>
      </c>
      <c r="HV484" s="4" t="s">
        <v>241</v>
      </c>
      <c r="HW484" s="4" t="s">
        <v>241</v>
      </c>
      <c r="HX484" s="4" t="s">
        <v>241</v>
      </c>
      <c r="HY484" s="4" t="s">
        <v>241</v>
      </c>
      <c r="HZ484" s="4" t="s">
        <v>241</v>
      </c>
      <c r="IA484" s="4" t="s">
        <v>241</v>
      </c>
      <c r="IB484" s="4" t="s">
        <v>241</v>
      </c>
      <c r="IC484" s="4" t="s">
        <v>241</v>
      </c>
      <c r="ID484" s="4" t="s">
        <v>241</v>
      </c>
      <c r="IE484" s="4" t="s">
        <v>241</v>
      </c>
      <c r="IF484" s="4" t="s">
        <v>241</v>
      </c>
    </row>
    <row r="485" spans="1:240" x14ac:dyDescent="0.4">
      <c r="A485" s="4">
        <v>2</v>
      </c>
      <c r="B485" s="4" t="s">
        <v>239</v>
      </c>
      <c r="C485" s="4">
        <v>516</v>
      </c>
      <c r="D485" s="4">
        <v>1</v>
      </c>
      <c r="E485" s="4">
        <v>3</v>
      </c>
      <c r="F485" s="4" t="s">
        <v>326</v>
      </c>
      <c r="G485" s="4" t="s">
        <v>241</v>
      </c>
      <c r="H485" s="4" t="s">
        <v>241</v>
      </c>
      <c r="I485" s="4" t="s">
        <v>717</v>
      </c>
      <c r="J485" s="4" t="s">
        <v>653</v>
      </c>
      <c r="K485" s="4" t="s">
        <v>256</v>
      </c>
      <c r="L485" s="4" t="s">
        <v>241</v>
      </c>
      <c r="M485" s="5" t="s">
        <v>720</v>
      </c>
      <c r="N485" s="4" t="s">
        <v>976</v>
      </c>
      <c r="O485" s="6">
        <f>0</f>
        <v>0</v>
      </c>
      <c r="P485" s="4" t="s">
        <v>276</v>
      </c>
      <c r="Q485" s="6">
        <f>152319</f>
        <v>152319</v>
      </c>
      <c r="R485" s="6">
        <f>163080</f>
        <v>163080</v>
      </c>
      <c r="S485" s="5" t="s">
        <v>370</v>
      </c>
      <c r="T485" s="4" t="s">
        <v>668</v>
      </c>
      <c r="U485" s="4" t="s">
        <v>323</v>
      </c>
      <c r="V485" s="6">
        <f>3587</f>
        <v>3587</v>
      </c>
      <c r="W485" s="6">
        <f>10761</f>
        <v>10761</v>
      </c>
      <c r="X485" s="4" t="s">
        <v>243</v>
      </c>
      <c r="Y485" s="4" t="s">
        <v>244</v>
      </c>
      <c r="Z485" s="4" t="s">
        <v>241</v>
      </c>
      <c r="AA485" s="4" t="s">
        <v>241</v>
      </c>
      <c r="AD485" s="4" t="s">
        <v>241</v>
      </c>
      <c r="AE485" s="5" t="s">
        <v>241</v>
      </c>
      <c r="AF485" s="5" t="s">
        <v>241</v>
      </c>
      <c r="AH485" s="5" t="s">
        <v>241</v>
      </c>
      <c r="AI485" s="5" t="s">
        <v>249</v>
      </c>
      <c r="AJ485" s="4" t="s">
        <v>251</v>
      </c>
      <c r="AK485" s="4" t="s">
        <v>252</v>
      </c>
      <c r="AQ485" s="4" t="s">
        <v>241</v>
      </c>
      <c r="AR485" s="4" t="s">
        <v>241</v>
      </c>
      <c r="AS485" s="4" t="s">
        <v>241</v>
      </c>
      <c r="AT485" s="5" t="s">
        <v>241</v>
      </c>
      <c r="AU485" s="5" t="s">
        <v>241</v>
      </c>
      <c r="AV485" s="5" t="s">
        <v>241</v>
      </c>
      <c r="AY485" s="4" t="s">
        <v>286</v>
      </c>
      <c r="AZ485" s="4" t="s">
        <v>286</v>
      </c>
      <c r="BA485" s="4" t="s">
        <v>254</v>
      </c>
      <c r="BB485" s="4" t="s">
        <v>287</v>
      </c>
      <c r="BC485" s="4" t="s">
        <v>255</v>
      </c>
      <c r="BD485" s="4" t="s">
        <v>241</v>
      </c>
      <c r="BE485" s="4" t="s">
        <v>257</v>
      </c>
      <c r="BF485" s="4" t="s">
        <v>241</v>
      </c>
      <c r="BJ485" s="4" t="s">
        <v>288</v>
      </c>
      <c r="BK485" s="5" t="s">
        <v>289</v>
      </c>
      <c r="BL485" s="4" t="s">
        <v>290</v>
      </c>
      <c r="BM485" s="4" t="s">
        <v>290</v>
      </c>
      <c r="BN485" s="4" t="s">
        <v>241</v>
      </c>
      <c r="BP485" s="6">
        <f>-3587</f>
        <v>-3587</v>
      </c>
      <c r="BQ485" s="4" t="s">
        <v>263</v>
      </c>
      <c r="BR485" s="4" t="s">
        <v>264</v>
      </c>
      <c r="BS485" s="4" t="s">
        <v>241</v>
      </c>
      <c r="BT485" s="4" t="s">
        <v>241</v>
      </c>
      <c r="BU485" s="4" t="s">
        <v>241</v>
      </c>
      <c r="BV485" s="4" t="s">
        <v>241</v>
      </c>
      <c r="CE485" s="4" t="s">
        <v>264</v>
      </c>
      <c r="CF485" s="4" t="s">
        <v>241</v>
      </c>
      <c r="CG485" s="4" t="s">
        <v>241</v>
      </c>
      <c r="CK485" s="4" t="s">
        <v>291</v>
      </c>
      <c r="CL485" s="4" t="s">
        <v>266</v>
      </c>
      <c r="CM485" s="4" t="s">
        <v>241</v>
      </c>
      <c r="CO485" s="4" t="s">
        <v>421</v>
      </c>
      <c r="CP485" s="5" t="s">
        <v>268</v>
      </c>
      <c r="CQ485" s="4" t="s">
        <v>269</v>
      </c>
      <c r="CR485" s="4" t="s">
        <v>270</v>
      </c>
      <c r="CS485" s="4" t="s">
        <v>293</v>
      </c>
      <c r="CT485" s="4" t="s">
        <v>241</v>
      </c>
      <c r="CU485" s="4">
        <v>2.1999999999999999E-2</v>
      </c>
      <c r="CV485" s="4" t="s">
        <v>271</v>
      </c>
      <c r="CW485" s="4" t="s">
        <v>655</v>
      </c>
      <c r="CX485" s="4" t="s">
        <v>295</v>
      </c>
      <c r="CY485" s="6">
        <f>0</f>
        <v>0</v>
      </c>
      <c r="CZ485" s="6">
        <f>163080</f>
        <v>163080</v>
      </c>
      <c r="DA485" s="6">
        <f>152319</f>
        <v>152319</v>
      </c>
      <c r="DC485" s="4" t="s">
        <v>241</v>
      </c>
      <c r="DD485" s="4" t="s">
        <v>241</v>
      </c>
      <c r="DF485" s="4" t="s">
        <v>241</v>
      </c>
      <c r="DG485" s="6">
        <f>0</f>
        <v>0</v>
      </c>
      <c r="DI485" s="4" t="s">
        <v>241</v>
      </c>
      <c r="DJ485" s="4" t="s">
        <v>241</v>
      </c>
      <c r="DK485" s="4" t="s">
        <v>241</v>
      </c>
      <c r="DL485" s="4" t="s">
        <v>241</v>
      </c>
      <c r="DM485" s="4" t="s">
        <v>278</v>
      </c>
      <c r="DN485" s="4" t="s">
        <v>278</v>
      </c>
      <c r="DO485" s="6" t="s">
        <v>241</v>
      </c>
      <c r="DP485" s="4" t="s">
        <v>241</v>
      </c>
      <c r="DQ485" s="4" t="s">
        <v>241</v>
      </c>
      <c r="DR485" s="4" t="s">
        <v>241</v>
      </c>
      <c r="DS485" s="4" t="s">
        <v>241</v>
      </c>
      <c r="DV485" s="4" t="s">
        <v>721</v>
      </c>
      <c r="DW485" s="4" t="s">
        <v>341</v>
      </c>
      <c r="GN485" s="4" t="s">
        <v>977</v>
      </c>
      <c r="HO485" s="4" t="s">
        <v>336</v>
      </c>
      <c r="HR485" s="4" t="s">
        <v>278</v>
      </c>
      <c r="HS485" s="4" t="s">
        <v>278</v>
      </c>
      <c r="HT485" s="4" t="s">
        <v>241</v>
      </c>
      <c r="HU485" s="4" t="s">
        <v>241</v>
      </c>
      <c r="HV485" s="4" t="s">
        <v>241</v>
      </c>
      <c r="HW485" s="4" t="s">
        <v>241</v>
      </c>
      <c r="HX485" s="4" t="s">
        <v>241</v>
      </c>
      <c r="HY485" s="4" t="s">
        <v>241</v>
      </c>
      <c r="HZ485" s="4" t="s">
        <v>241</v>
      </c>
      <c r="IA485" s="4" t="s">
        <v>241</v>
      </c>
      <c r="IB485" s="4" t="s">
        <v>241</v>
      </c>
      <c r="IC485" s="4" t="s">
        <v>241</v>
      </c>
      <c r="ID485" s="4" t="s">
        <v>241</v>
      </c>
      <c r="IE485" s="4" t="s">
        <v>241</v>
      </c>
      <c r="IF485" s="4" t="s">
        <v>241</v>
      </c>
    </row>
    <row r="486" spans="1:240" x14ac:dyDescent="0.4">
      <c r="A486" s="4">
        <v>2</v>
      </c>
      <c r="B486" s="4" t="s">
        <v>239</v>
      </c>
      <c r="C486" s="4">
        <v>517</v>
      </c>
      <c r="D486" s="4">
        <v>1</v>
      </c>
      <c r="E486" s="4">
        <v>3</v>
      </c>
      <c r="F486" s="4" t="s">
        <v>326</v>
      </c>
      <c r="G486" s="4" t="s">
        <v>241</v>
      </c>
      <c r="H486" s="4" t="s">
        <v>241</v>
      </c>
      <c r="I486" s="4" t="s">
        <v>717</v>
      </c>
      <c r="J486" s="4" t="s">
        <v>653</v>
      </c>
      <c r="K486" s="4" t="s">
        <v>256</v>
      </c>
      <c r="L486" s="4" t="s">
        <v>241</v>
      </c>
      <c r="M486" s="5" t="s">
        <v>720</v>
      </c>
      <c r="N486" s="4" t="s">
        <v>2747</v>
      </c>
      <c r="O486" s="6">
        <f>0</f>
        <v>0</v>
      </c>
      <c r="P486" s="4" t="s">
        <v>276</v>
      </c>
      <c r="Q486" s="6">
        <f>26437447</f>
        <v>26437447</v>
      </c>
      <c r="R486" s="6">
        <f>31249935</f>
        <v>31249935</v>
      </c>
      <c r="S486" s="5" t="s">
        <v>1104</v>
      </c>
      <c r="T486" s="4" t="s">
        <v>322</v>
      </c>
      <c r="U486" s="4" t="s">
        <v>277</v>
      </c>
      <c r="V486" s="6">
        <f>2406244</f>
        <v>2406244</v>
      </c>
      <c r="W486" s="6">
        <f>4812488</f>
        <v>4812488</v>
      </c>
      <c r="X486" s="4" t="s">
        <v>243</v>
      </c>
      <c r="Y486" s="4" t="s">
        <v>244</v>
      </c>
      <c r="Z486" s="4" t="s">
        <v>241</v>
      </c>
      <c r="AA486" s="4" t="s">
        <v>241</v>
      </c>
      <c r="AD486" s="4" t="s">
        <v>241</v>
      </c>
      <c r="AE486" s="5" t="s">
        <v>241</v>
      </c>
      <c r="AF486" s="5" t="s">
        <v>241</v>
      </c>
      <c r="AH486" s="5" t="s">
        <v>241</v>
      </c>
      <c r="AI486" s="5" t="s">
        <v>249</v>
      </c>
      <c r="AJ486" s="4" t="s">
        <v>251</v>
      </c>
      <c r="AK486" s="4" t="s">
        <v>252</v>
      </c>
      <c r="AQ486" s="4" t="s">
        <v>241</v>
      </c>
      <c r="AR486" s="4" t="s">
        <v>241</v>
      </c>
      <c r="AS486" s="4" t="s">
        <v>241</v>
      </c>
      <c r="AT486" s="5" t="s">
        <v>241</v>
      </c>
      <c r="AU486" s="5" t="s">
        <v>241</v>
      </c>
      <c r="AV486" s="5" t="s">
        <v>241</v>
      </c>
      <c r="AY486" s="4" t="s">
        <v>286</v>
      </c>
      <c r="AZ486" s="4" t="s">
        <v>286</v>
      </c>
      <c r="BA486" s="4" t="s">
        <v>254</v>
      </c>
      <c r="BB486" s="4" t="s">
        <v>287</v>
      </c>
      <c r="BC486" s="4" t="s">
        <v>255</v>
      </c>
      <c r="BD486" s="4" t="s">
        <v>241</v>
      </c>
      <c r="BE486" s="4" t="s">
        <v>257</v>
      </c>
      <c r="BF486" s="4" t="s">
        <v>241</v>
      </c>
      <c r="BJ486" s="4" t="s">
        <v>288</v>
      </c>
      <c r="BK486" s="5" t="s">
        <v>289</v>
      </c>
      <c r="BL486" s="4" t="s">
        <v>290</v>
      </c>
      <c r="BM486" s="4" t="s">
        <v>290</v>
      </c>
      <c r="BN486" s="4" t="s">
        <v>241</v>
      </c>
      <c r="BP486" s="6">
        <f>-2406244</f>
        <v>-2406244</v>
      </c>
      <c r="BQ486" s="4" t="s">
        <v>263</v>
      </c>
      <c r="BR486" s="4" t="s">
        <v>264</v>
      </c>
      <c r="BS486" s="4" t="s">
        <v>241</v>
      </c>
      <c r="BT486" s="4" t="s">
        <v>241</v>
      </c>
      <c r="BU486" s="4" t="s">
        <v>241</v>
      </c>
      <c r="BV486" s="4" t="s">
        <v>241</v>
      </c>
      <c r="CE486" s="4" t="s">
        <v>264</v>
      </c>
      <c r="CF486" s="4" t="s">
        <v>241</v>
      </c>
      <c r="CG486" s="4" t="s">
        <v>241</v>
      </c>
      <c r="CK486" s="4" t="s">
        <v>291</v>
      </c>
      <c r="CL486" s="4" t="s">
        <v>266</v>
      </c>
      <c r="CM486" s="4" t="s">
        <v>241</v>
      </c>
      <c r="CO486" s="4" t="s">
        <v>331</v>
      </c>
      <c r="CP486" s="5" t="s">
        <v>268</v>
      </c>
      <c r="CQ486" s="4" t="s">
        <v>269</v>
      </c>
      <c r="CR486" s="4" t="s">
        <v>270</v>
      </c>
      <c r="CS486" s="4" t="s">
        <v>293</v>
      </c>
      <c r="CT486" s="4" t="s">
        <v>241</v>
      </c>
      <c r="CU486" s="4">
        <v>7.6999999999999999E-2</v>
      </c>
      <c r="CV486" s="4" t="s">
        <v>271</v>
      </c>
      <c r="CW486" s="4" t="s">
        <v>415</v>
      </c>
      <c r="CX486" s="4" t="s">
        <v>428</v>
      </c>
      <c r="CY486" s="6">
        <f>0</f>
        <v>0</v>
      </c>
      <c r="CZ486" s="6">
        <f>31249935</f>
        <v>31249935</v>
      </c>
      <c r="DA486" s="6">
        <f>26437447</f>
        <v>26437447</v>
      </c>
      <c r="DC486" s="4" t="s">
        <v>241</v>
      </c>
      <c r="DD486" s="4" t="s">
        <v>241</v>
      </c>
      <c r="DF486" s="4" t="s">
        <v>241</v>
      </c>
      <c r="DG486" s="6">
        <f>0</f>
        <v>0</v>
      </c>
      <c r="DI486" s="4" t="s">
        <v>241</v>
      </c>
      <c r="DJ486" s="4" t="s">
        <v>241</v>
      </c>
      <c r="DK486" s="4" t="s">
        <v>241</v>
      </c>
      <c r="DL486" s="4" t="s">
        <v>241</v>
      </c>
      <c r="DM486" s="4" t="s">
        <v>278</v>
      </c>
      <c r="DN486" s="4" t="s">
        <v>278</v>
      </c>
      <c r="DO486" s="6" t="s">
        <v>241</v>
      </c>
      <c r="DP486" s="4" t="s">
        <v>241</v>
      </c>
      <c r="DQ486" s="4" t="s">
        <v>241</v>
      </c>
      <c r="DR486" s="4" t="s">
        <v>241</v>
      </c>
      <c r="DS486" s="4" t="s">
        <v>241</v>
      </c>
      <c r="DV486" s="4" t="s">
        <v>721</v>
      </c>
      <c r="DW486" s="4" t="s">
        <v>343</v>
      </c>
      <c r="GN486" s="4" t="s">
        <v>2804</v>
      </c>
      <c r="HO486" s="4" t="s">
        <v>297</v>
      </c>
      <c r="HR486" s="4" t="s">
        <v>278</v>
      </c>
      <c r="HS486" s="4" t="s">
        <v>278</v>
      </c>
      <c r="HT486" s="4" t="s">
        <v>241</v>
      </c>
      <c r="HU486" s="4" t="s">
        <v>241</v>
      </c>
      <c r="HV486" s="4" t="s">
        <v>241</v>
      </c>
      <c r="HW486" s="4" t="s">
        <v>241</v>
      </c>
      <c r="HX486" s="4" t="s">
        <v>241</v>
      </c>
      <c r="HY486" s="4" t="s">
        <v>241</v>
      </c>
      <c r="HZ486" s="4" t="s">
        <v>241</v>
      </c>
      <c r="IA486" s="4" t="s">
        <v>241</v>
      </c>
      <c r="IB486" s="4" t="s">
        <v>241</v>
      </c>
      <c r="IC486" s="4" t="s">
        <v>241</v>
      </c>
      <c r="ID486" s="4" t="s">
        <v>241</v>
      </c>
      <c r="IE486" s="4" t="s">
        <v>241</v>
      </c>
      <c r="IF486" s="4" t="s">
        <v>241</v>
      </c>
    </row>
    <row r="487" spans="1:240" x14ac:dyDescent="0.4">
      <c r="A487" s="4">
        <v>2</v>
      </c>
      <c r="B487" s="4" t="s">
        <v>239</v>
      </c>
      <c r="C487" s="4">
        <v>518</v>
      </c>
      <c r="D487" s="4">
        <v>1</v>
      </c>
      <c r="E487" s="4">
        <v>3</v>
      </c>
      <c r="F487" s="4" t="s">
        <v>326</v>
      </c>
      <c r="G487" s="4" t="s">
        <v>241</v>
      </c>
      <c r="H487" s="4" t="s">
        <v>241</v>
      </c>
      <c r="I487" s="4" t="s">
        <v>717</v>
      </c>
      <c r="J487" s="4" t="s">
        <v>653</v>
      </c>
      <c r="K487" s="4" t="s">
        <v>256</v>
      </c>
      <c r="L487" s="4" t="s">
        <v>241</v>
      </c>
      <c r="M487" s="5" t="s">
        <v>720</v>
      </c>
      <c r="N487" s="4" t="s">
        <v>2744</v>
      </c>
      <c r="O487" s="6">
        <f>0</f>
        <v>0</v>
      </c>
      <c r="P487" s="4" t="s">
        <v>276</v>
      </c>
      <c r="Q487" s="6">
        <f>334034</f>
        <v>334034</v>
      </c>
      <c r="R487" s="6">
        <f>361900</f>
        <v>361900</v>
      </c>
      <c r="S487" s="5" t="s">
        <v>2802</v>
      </c>
      <c r="T487" s="4" t="s">
        <v>322</v>
      </c>
      <c r="U487" s="4" t="s">
        <v>278</v>
      </c>
      <c r="V487" s="6">
        <f>361899</f>
        <v>361899</v>
      </c>
      <c r="W487" s="6">
        <f>27866</f>
        <v>27866</v>
      </c>
      <c r="X487" s="4" t="s">
        <v>243</v>
      </c>
      <c r="Y487" s="4" t="s">
        <v>244</v>
      </c>
      <c r="Z487" s="4" t="s">
        <v>241</v>
      </c>
      <c r="AA487" s="4" t="s">
        <v>241</v>
      </c>
      <c r="AD487" s="4" t="s">
        <v>241</v>
      </c>
      <c r="AE487" s="5" t="s">
        <v>241</v>
      </c>
      <c r="AF487" s="5" t="s">
        <v>241</v>
      </c>
      <c r="AH487" s="5" t="s">
        <v>241</v>
      </c>
      <c r="AI487" s="5" t="s">
        <v>249</v>
      </c>
      <c r="AJ487" s="4" t="s">
        <v>251</v>
      </c>
      <c r="AK487" s="4" t="s">
        <v>252</v>
      </c>
      <c r="AQ487" s="4" t="s">
        <v>241</v>
      </c>
      <c r="AR487" s="4" t="s">
        <v>241</v>
      </c>
      <c r="AS487" s="4" t="s">
        <v>241</v>
      </c>
      <c r="AT487" s="5" t="s">
        <v>241</v>
      </c>
      <c r="AU487" s="5" t="s">
        <v>241</v>
      </c>
      <c r="AV487" s="5" t="s">
        <v>241</v>
      </c>
      <c r="AY487" s="4" t="s">
        <v>286</v>
      </c>
      <c r="AZ487" s="4" t="s">
        <v>286</v>
      </c>
      <c r="BA487" s="4" t="s">
        <v>254</v>
      </c>
      <c r="BB487" s="4" t="s">
        <v>287</v>
      </c>
      <c r="BC487" s="4" t="s">
        <v>255</v>
      </c>
      <c r="BD487" s="4" t="s">
        <v>241</v>
      </c>
      <c r="BE487" s="4" t="s">
        <v>257</v>
      </c>
      <c r="BF487" s="4" t="s">
        <v>241</v>
      </c>
      <c r="BJ487" s="4" t="s">
        <v>288</v>
      </c>
      <c r="BK487" s="5" t="s">
        <v>289</v>
      </c>
      <c r="BL487" s="4" t="s">
        <v>290</v>
      </c>
      <c r="BM487" s="4" t="s">
        <v>290</v>
      </c>
      <c r="BN487" s="4" t="s">
        <v>241</v>
      </c>
      <c r="BP487" s="6">
        <f>-27866</f>
        <v>-27866</v>
      </c>
      <c r="BQ487" s="4" t="s">
        <v>263</v>
      </c>
      <c r="BR487" s="4" t="s">
        <v>264</v>
      </c>
      <c r="BS487" s="4" t="s">
        <v>241</v>
      </c>
      <c r="BT487" s="4" t="s">
        <v>241</v>
      </c>
      <c r="BU487" s="4" t="s">
        <v>241</v>
      </c>
      <c r="BV487" s="4" t="s">
        <v>241</v>
      </c>
      <c r="CE487" s="4" t="s">
        <v>264</v>
      </c>
      <c r="CF487" s="4" t="s">
        <v>241</v>
      </c>
      <c r="CG487" s="4" t="s">
        <v>241</v>
      </c>
      <c r="CK487" s="4" t="s">
        <v>291</v>
      </c>
      <c r="CL487" s="4" t="s">
        <v>266</v>
      </c>
      <c r="CM487" s="4" t="s">
        <v>241</v>
      </c>
      <c r="CO487" s="4" t="s">
        <v>426</v>
      </c>
      <c r="CP487" s="5" t="s">
        <v>268</v>
      </c>
      <c r="CQ487" s="4" t="s">
        <v>269</v>
      </c>
      <c r="CR487" s="4" t="s">
        <v>270</v>
      </c>
      <c r="CS487" s="4" t="s">
        <v>293</v>
      </c>
      <c r="CT487" s="4" t="s">
        <v>241</v>
      </c>
      <c r="CU487" s="4">
        <v>7.6999999999999999E-2</v>
      </c>
      <c r="CV487" s="4" t="s">
        <v>271</v>
      </c>
      <c r="CW487" s="4" t="s">
        <v>415</v>
      </c>
      <c r="CX487" s="4" t="s">
        <v>428</v>
      </c>
      <c r="CY487" s="6">
        <f>0</f>
        <v>0</v>
      </c>
      <c r="CZ487" s="6">
        <f>361900</f>
        <v>361900</v>
      </c>
      <c r="DA487" s="6">
        <f>1</f>
        <v>1</v>
      </c>
      <c r="DC487" s="4" t="s">
        <v>241</v>
      </c>
      <c r="DD487" s="4" t="s">
        <v>241</v>
      </c>
      <c r="DF487" s="4" t="s">
        <v>241</v>
      </c>
      <c r="DG487" s="6">
        <f>0</f>
        <v>0</v>
      </c>
      <c r="DI487" s="4" t="s">
        <v>241</v>
      </c>
      <c r="DJ487" s="4" t="s">
        <v>241</v>
      </c>
      <c r="DK487" s="4" t="s">
        <v>241</v>
      </c>
      <c r="DL487" s="4" t="s">
        <v>241</v>
      </c>
      <c r="DM487" s="4" t="s">
        <v>278</v>
      </c>
      <c r="DN487" s="4" t="s">
        <v>278</v>
      </c>
      <c r="DO487" s="6" t="s">
        <v>241</v>
      </c>
      <c r="DP487" s="4" t="s">
        <v>241</v>
      </c>
      <c r="DQ487" s="4" t="s">
        <v>241</v>
      </c>
      <c r="DR487" s="4" t="s">
        <v>241</v>
      </c>
      <c r="DS487" s="4" t="s">
        <v>241</v>
      </c>
      <c r="DV487" s="4" t="s">
        <v>721</v>
      </c>
      <c r="DW487" s="4" t="s">
        <v>417</v>
      </c>
      <c r="GN487" s="4" t="s">
        <v>2803</v>
      </c>
      <c r="HO487" s="4" t="s">
        <v>323</v>
      </c>
      <c r="HR487" s="4" t="s">
        <v>278</v>
      </c>
      <c r="HS487" s="4" t="s">
        <v>278</v>
      </c>
      <c r="HT487" s="4" t="s">
        <v>241</v>
      </c>
      <c r="HU487" s="4" t="s">
        <v>241</v>
      </c>
      <c r="HV487" s="4" t="s">
        <v>241</v>
      </c>
      <c r="HW487" s="4" t="s">
        <v>241</v>
      </c>
      <c r="HX487" s="4" t="s">
        <v>241</v>
      </c>
      <c r="HY487" s="4" t="s">
        <v>241</v>
      </c>
      <c r="HZ487" s="4" t="s">
        <v>241</v>
      </c>
      <c r="IA487" s="4" t="s">
        <v>241</v>
      </c>
      <c r="IB487" s="4" t="s">
        <v>241</v>
      </c>
      <c r="IC487" s="4" t="s">
        <v>241</v>
      </c>
      <c r="ID487" s="4" t="s">
        <v>241</v>
      </c>
      <c r="IE487" s="4" t="s">
        <v>241</v>
      </c>
      <c r="IF487" s="4" t="s">
        <v>241</v>
      </c>
    </row>
    <row r="488" spans="1:240" x14ac:dyDescent="0.4">
      <c r="A488" s="4">
        <v>2</v>
      </c>
      <c r="B488" s="4" t="s">
        <v>239</v>
      </c>
      <c r="C488" s="4">
        <v>519</v>
      </c>
      <c r="D488" s="4">
        <v>1</v>
      </c>
      <c r="E488" s="4">
        <v>3</v>
      </c>
      <c r="F488" s="4" t="s">
        <v>326</v>
      </c>
      <c r="G488" s="4" t="s">
        <v>241</v>
      </c>
      <c r="H488" s="4" t="s">
        <v>241</v>
      </c>
      <c r="I488" s="4" t="s">
        <v>717</v>
      </c>
      <c r="J488" s="4" t="s">
        <v>653</v>
      </c>
      <c r="K488" s="4" t="s">
        <v>256</v>
      </c>
      <c r="L488" s="4" t="s">
        <v>241</v>
      </c>
      <c r="M488" s="5" t="s">
        <v>720</v>
      </c>
      <c r="N488" s="4" t="s">
        <v>978</v>
      </c>
      <c r="O488" s="6">
        <f>0</f>
        <v>0</v>
      </c>
      <c r="P488" s="4" t="s">
        <v>276</v>
      </c>
      <c r="Q488" s="6">
        <f>710028</f>
        <v>710028</v>
      </c>
      <c r="R488" s="6">
        <f>726000</f>
        <v>726000</v>
      </c>
      <c r="S488" s="5" t="s">
        <v>979</v>
      </c>
      <c r="T488" s="4" t="s">
        <v>668</v>
      </c>
      <c r="U488" s="4" t="s">
        <v>278</v>
      </c>
      <c r="V488" s="6">
        <f>15972</f>
        <v>15972</v>
      </c>
      <c r="W488" s="6">
        <f>15972</f>
        <v>15972</v>
      </c>
      <c r="X488" s="4" t="s">
        <v>243</v>
      </c>
      <c r="Y488" s="4" t="s">
        <v>244</v>
      </c>
      <c r="Z488" s="4" t="s">
        <v>241</v>
      </c>
      <c r="AA488" s="4" t="s">
        <v>241</v>
      </c>
      <c r="AD488" s="4" t="s">
        <v>241</v>
      </c>
      <c r="AE488" s="5" t="s">
        <v>241</v>
      </c>
      <c r="AF488" s="5" t="s">
        <v>241</v>
      </c>
      <c r="AH488" s="5" t="s">
        <v>241</v>
      </c>
      <c r="AI488" s="5" t="s">
        <v>249</v>
      </c>
      <c r="AJ488" s="4" t="s">
        <v>251</v>
      </c>
      <c r="AK488" s="4" t="s">
        <v>252</v>
      </c>
      <c r="AQ488" s="4" t="s">
        <v>241</v>
      </c>
      <c r="AR488" s="4" t="s">
        <v>241</v>
      </c>
      <c r="AS488" s="4" t="s">
        <v>241</v>
      </c>
      <c r="AT488" s="5" t="s">
        <v>241</v>
      </c>
      <c r="AU488" s="5" t="s">
        <v>241</v>
      </c>
      <c r="AV488" s="5" t="s">
        <v>241</v>
      </c>
      <c r="AY488" s="4" t="s">
        <v>286</v>
      </c>
      <c r="AZ488" s="4" t="s">
        <v>286</v>
      </c>
      <c r="BA488" s="4" t="s">
        <v>254</v>
      </c>
      <c r="BB488" s="4" t="s">
        <v>287</v>
      </c>
      <c r="BC488" s="4" t="s">
        <v>255</v>
      </c>
      <c r="BD488" s="4" t="s">
        <v>241</v>
      </c>
      <c r="BE488" s="4" t="s">
        <v>257</v>
      </c>
      <c r="BF488" s="4" t="s">
        <v>241</v>
      </c>
      <c r="BJ488" s="4" t="s">
        <v>288</v>
      </c>
      <c r="BK488" s="5" t="s">
        <v>289</v>
      </c>
      <c r="BL488" s="4" t="s">
        <v>290</v>
      </c>
      <c r="BM488" s="4" t="s">
        <v>290</v>
      </c>
      <c r="BN488" s="4" t="s">
        <v>241</v>
      </c>
      <c r="BP488" s="6">
        <f>-15972</f>
        <v>-15972</v>
      </c>
      <c r="BQ488" s="4" t="s">
        <v>263</v>
      </c>
      <c r="BR488" s="4" t="s">
        <v>264</v>
      </c>
      <c r="BS488" s="4" t="s">
        <v>241</v>
      </c>
      <c r="BT488" s="4" t="s">
        <v>241</v>
      </c>
      <c r="BU488" s="4" t="s">
        <v>241</v>
      </c>
      <c r="BV488" s="4" t="s">
        <v>241</v>
      </c>
      <c r="CE488" s="4" t="s">
        <v>264</v>
      </c>
      <c r="CF488" s="4" t="s">
        <v>241</v>
      </c>
      <c r="CG488" s="4" t="s">
        <v>241</v>
      </c>
      <c r="CK488" s="4" t="s">
        <v>291</v>
      </c>
      <c r="CL488" s="4" t="s">
        <v>266</v>
      </c>
      <c r="CM488" s="4" t="s">
        <v>241</v>
      </c>
      <c r="CO488" s="4" t="s">
        <v>426</v>
      </c>
      <c r="CP488" s="5" t="s">
        <v>268</v>
      </c>
      <c r="CQ488" s="4" t="s">
        <v>269</v>
      </c>
      <c r="CR488" s="4" t="s">
        <v>270</v>
      </c>
      <c r="CS488" s="4" t="s">
        <v>293</v>
      </c>
      <c r="CT488" s="4" t="s">
        <v>241</v>
      </c>
      <c r="CU488" s="4">
        <v>2.1999999999999999E-2</v>
      </c>
      <c r="CV488" s="4" t="s">
        <v>271</v>
      </c>
      <c r="CW488" s="4" t="s">
        <v>655</v>
      </c>
      <c r="CX488" s="4" t="s">
        <v>295</v>
      </c>
      <c r="CY488" s="6">
        <f>0</f>
        <v>0</v>
      </c>
      <c r="CZ488" s="6">
        <f>726000</f>
        <v>726000</v>
      </c>
      <c r="DA488" s="6">
        <f>198924</f>
        <v>198924</v>
      </c>
      <c r="DC488" s="4" t="s">
        <v>241</v>
      </c>
      <c r="DD488" s="4" t="s">
        <v>241</v>
      </c>
      <c r="DF488" s="4" t="s">
        <v>241</v>
      </c>
      <c r="DG488" s="6">
        <f>0</f>
        <v>0</v>
      </c>
      <c r="DI488" s="4" t="s">
        <v>241</v>
      </c>
      <c r="DJ488" s="4" t="s">
        <v>241</v>
      </c>
      <c r="DK488" s="4" t="s">
        <v>241</v>
      </c>
      <c r="DL488" s="4" t="s">
        <v>241</v>
      </c>
      <c r="DM488" s="4" t="s">
        <v>278</v>
      </c>
      <c r="DN488" s="4" t="s">
        <v>278</v>
      </c>
      <c r="DO488" s="6" t="s">
        <v>241</v>
      </c>
      <c r="DP488" s="4" t="s">
        <v>241</v>
      </c>
      <c r="DQ488" s="4" t="s">
        <v>241</v>
      </c>
      <c r="DR488" s="4" t="s">
        <v>241</v>
      </c>
      <c r="DS488" s="4" t="s">
        <v>241</v>
      </c>
      <c r="DV488" s="4" t="s">
        <v>721</v>
      </c>
      <c r="DW488" s="4" t="s">
        <v>427</v>
      </c>
      <c r="GN488" s="4" t="s">
        <v>980</v>
      </c>
      <c r="HO488" s="4" t="s">
        <v>323</v>
      </c>
      <c r="HR488" s="4" t="s">
        <v>278</v>
      </c>
      <c r="HS488" s="4" t="s">
        <v>278</v>
      </c>
      <c r="HT488" s="4" t="s">
        <v>241</v>
      </c>
      <c r="HU488" s="4" t="s">
        <v>241</v>
      </c>
      <c r="HV488" s="4" t="s">
        <v>241</v>
      </c>
      <c r="HW488" s="4" t="s">
        <v>241</v>
      </c>
      <c r="HX488" s="4" t="s">
        <v>241</v>
      </c>
      <c r="HY488" s="4" t="s">
        <v>241</v>
      </c>
      <c r="HZ488" s="4" t="s">
        <v>241</v>
      </c>
      <c r="IA488" s="4" t="s">
        <v>241</v>
      </c>
      <c r="IB488" s="4" t="s">
        <v>241</v>
      </c>
      <c r="IC488" s="4" t="s">
        <v>241</v>
      </c>
      <c r="ID488" s="4" t="s">
        <v>241</v>
      </c>
      <c r="IE488" s="4" t="s">
        <v>241</v>
      </c>
      <c r="IF488" s="4" t="s">
        <v>241</v>
      </c>
    </row>
    <row r="489" spans="1:240" x14ac:dyDescent="0.4">
      <c r="A489" s="4">
        <v>2</v>
      </c>
      <c r="B489" s="4" t="s">
        <v>239</v>
      </c>
      <c r="C489" s="4">
        <v>520</v>
      </c>
      <c r="D489" s="4">
        <v>1</v>
      </c>
      <c r="E489" s="4">
        <v>1</v>
      </c>
      <c r="F489" s="4" t="s">
        <v>240</v>
      </c>
      <c r="G489" s="4" t="s">
        <v>241</v>
      </c>
      <c r="H489" s="4" t="s">
        <v>241</v>
      </c>
      <c r="I489" s="4" t="s">
        <v>923</v>
      </c>
      <c r="J489" s="4" t="s">
        <v>653</v>
      </c>
      <c r="K489" s="4" t="s">
        <v>256</v>
      </c>
      <c r="L489" s="4" t="s">
        <v>651</v>
      </c>
      <c r="M489" s="5" t="s">
        <v>925</v>
      </c>
      <c r="N489" s="4" t="s">
        <v>651</v>
      </c>
      <c r="O489" s="6">
        <f>1872</f>
        <v>1872</v>
      </c>
      <c r="P489" s="4" t="s">
        <v>276</v>
      </c>
      <c r="Q489" s="6">
        <f>1</f>
        <v>1</v>
      </c>
      <c r="R489" s="6">
        <f>149760000</f>
        <v>149760000</v>
      </c>
      <c r="S489" s="5" t="s">
        <v>366</v>
      </c>
      <c r="T489" s="4" t="s">
        <v>357</v>
      </c>
      <c r="U489" s="4" t="s">
        <v>333</v>
      </c>
      <c r="W489" s="6">
        <f>149759999</f>
        <v>149759999</v>
      </c>
      <c r="X489" s="4" t="s">
        <v>243</v>
      </c>
      <c r="Y489" s="4" t="s">
        <v>244</v>
      </c>
      <c r="Z489" s="4" t="s">
        <v>465</v>
      </c>
      <c r="AA489" s="4" t="s">
        <v>241</v>
      </c>
      <c r="AD489" s="4" t="s">
        <v>241</v>
      </c>
      <c r="AF489" s="5" t="s">
        <v>241</v>
      </c>
      <c r="AI489" s="5" t="s">
        <v>249</v>
      </c>
      <c r="AJ489" s="4" t="s">
        <v>251</v>
      </c>
      <c r="AK489" s="4" t="s">
        <v>252</v>
      </c>
      <c r="BA489" s="4" t="s">
        <v>254</v>
      </c>
      <c r="BB489" s="4" t="s">
        <v>241</v>
      </c>
      <c r="BC489" s="4" t="s">
        <v>255</v>
      </c>
      <c r="BD489" s="4" t="s">
        <v>241</v>
      </c>
      <c r="BE489" s="4" t="s">
        <v>257</v>
      </c>
      <c r="BF489" s="4" t="s">
        <v>241</v>
      </c>
      <c r="BJ489" s="4" t="s">
        <v>259</v>
      </c>
      <c r="BK489" s="5" t="s">
        <v>260</v>
      </c>
      <c r="BL489" s="4" t="s">
        <v>261</v>
      </c>
      <c r="BM489" s="4" t="s">
        <v>262</v>
      </c>
      <c r="BN489" s="4" t="s">
        <v>241</v>
      </c>
      <c r="BO489" s="6">
        <f>0</f>
        <v>0</v>
      </c>
      <c r="BP489" s="6">
        <f>0</f>
        <v>0</v>
      </c>
      <c r="BQ489" s="4" t="s">
        <v>263</v>
      </c>
      <c r="BR489" s="4" t="s">
        <v>264</v>
      </c>
      <c r="CF489" s="4" t="s">
        <v>241</v>
      </c>
      <c r="CG489" s="4" t="s">
        <v>241</v>
      </c>
      <c r="CK489" s="4" t="s">
        <v>265</v>
      </c>
      <c r="CL489" s="4" t="s">
        <v>266</v>
      </c>
      <c r="CM489" s="4" t="s">
        <v>241</v>
      </c>
      <c r="CO489" s="4" t="s">
        <v>368</v>
      </c>
      <c r="CP489" s="5" t="s">
        <v>268</v>
      </c>
      <c r="CQ489" s="4" t="s">
        <v>269</v>
      </c>
      <c r="CR489" s="4" t="s">
        <v>270</v>
      </c>
      <c r="CS489" s="4" t="s">
        <v>241</v>
      </c>
      <c r="CT489" s="4" t="s">
        <v>241</v>
      </c>
      <c r="CU489" s="4">
        <v>0</v>
      </c>
      <c r="CV489" s="4" t="s">
        <v>271</v>
      </c>
      <c r="CW489" s="4" t="s">
        <v>655</v>
      </c>
      <c r="CX489" s="4" t="s">
        <v>487</v>
      </c>
      <c r="CZ489" s="6">
        <f>149760000</f>
        <v>149760000</v>
      </c>
      <c r="DA489" s="6">
        <f>0</f>
        <v>0</v>
      </c>
      <c r="DC489" s="4" t="s">
        <v>241</v>
      </c>
      <c r="DD489" s="4" t="s">
        <v>241</v>
      </c>
      <c r="DF489" s="4" t="s">
        <v>241</v>
      </c>
      <c r="DI489" s="4" t="s">
        <v>241</v>
      </c>
      <c r="DJ489" s="4" t="s">
        <v>241</v>
      </c>
      <c r="DK489" s="4" t="s">
        <v>241</v>
      </c>
      <c r="DL489" s="4" t="s">
        <v>241</v>
      </c>
      <c r="DM489" s="4" t="s">
        <v>297</v>
      </c>
      <c r="DN489" s="4" t="s">
        <v>278</v>
      </c>
      <c r="DO489" s="6">
        <f>1872</f>
        <v>1872</v>
      </c>
      <c r="DP489" s="4" t="s">
        <v>241</v>
      </c>
      <c r="DQ489" s="4" t="s">
        <v>241</v>
      </c>
      <c r="DR489" s="4" t="s">
        <v>241</v>
      </c>
      <c r="DS489" s="4" t="s">
        <v>241</v>
      </c>
      <c r="DV489" s="4" t="s">
        <v>928</v>
      </c>
      <c r="DW489" s="4" t="s">
        <v>277</v>
      </c>
      <c r="HO489" s="4" t="s">
        <v>277</v>
      </c>
      <c r="HR489" s="4" t="s">
        <v>278</v>
      </c>
      <c r="HS489" s="4" t="s">
        <v>278</v>
      </c>
    </row>
    <row r="490" spans="1:240" x14ac:dyDescent="0.4">
      <c r="A490" s="4">
        <v>2</v>
      </c>
      <c r="B490" s="4" t="s">
        <v>239</v>
      </c>
      <c r="C490" s="4">
        <v>521</v>
      </c>
      <c r="D490" s="4">
        <v>1</v>
      </c>
      <c r="E490" s="4">
        <v>1</v>
      </c>
      <c r="F490" s="4" t="s">
        <v>240</v>
      </c>
      <c r="G490" s="4" t="s">
        <v>241</v>
      </c>
      <c r="H490" s="4" t="s">
        <v>241</v>
      </c>
      <c r="I490" s="4" t="s">
        <v>923</v>
      </c>
      <c r="J490" s="4" t="s">
        <v>653</v>
      </c>
      <c r="K490" s="4" t="s">
        <v>256</v>
      </c>
      <c r="L490" s="4" t="s">
        <v>651</v>
      </c>
      <c r="M490" s="5" t="s">
        <v>925</v>
      </c>
      <c r="N490" s="4" t="s">
        <v>651</v>
      </c>
      <c r="O490" s="6">
        <f>12</f>
        <v>12</v>
      </c>
      <c r="P490" s="4" t="s">
        <v>276</v>
      </c>
      <c r="Q490" s="6">
        <f>1</f>
        <v>1</v>
      </c>
      <c r="R490" s="6">
        <f>1080000</f>
        <v>1080000</v>
      </c>
      <c r="S490" s="5" t="s">
        <v>924</v>
      </c>
      <c r="T490" s="4" t="s">
        <v>314</v>
      </c>
      <c r="U490" s="4" t="s">
        <v>927</v>
      </c>
      <c r="W490" s="6">
        <f>1079999</f>
        <v>1079999</v>
      </c>
      <c r="X490" s="4" t="s">
        <v>243</v>
      </c>
      <c r="Y490" s="4" t="s">
        <v>244</v>
      </c>
      <c r="Z490" s="4" t="s">
        <v>465</v>
      </c>
      <c r="AA490" s="4" t="s">
        <v>241</v>
      </c>
      <c r="AD490" s="4" t="s">
        <v>241</v>
      </c>
      <c r="AF490" s="5" t="s">
        <v>241</v>
      </c>
      <c r="AI490" s="5" t="s">
        <v>249</v>
      </c>
      <c r="AJ490" s="4" t="s">
        <v>251</v>
      </c>
      <c r="AK490" s="4" t="s">
        <v>252</v>
      </c>
      <c r="BA490" s="4" t="s">
        <v>254</v>
      </c>
      <c r="BB490" s="4" t="s">
        <v>241</v>
      </c>
      <c r="BC490" s="4" t="s">
        <v>255</v>
      </c>
      <c r="BD490" s="4" t="s">
        <v>241</v>
      </c>
      <c r="BE490" s="4" t="s">
        <v>257</v>
      </c>
      <c r="BF490" s="4" t="s">
        <v>241</v>
      </c>
      <c r="BJ490" s="4" t="s">
        <v>367</v>
      </c>
      <c r="BK490" s="5" t="s">
        <v>249</v>
      </c>
      <c r="BL490" s="4" t="s">
        <v>261</v>
      </c>
      <c r="BM490" s="4" t="s">
        <v>262</v>
      </c>
      <c r="BN490" s="4" t="s">
        <v>241</v>
      </c>
      <c r="BO490" s="6">
        <f>0</f>
        <v>0</v>
      </c>
      <c r="BP490" s="6">
        <f>0</f>
        <v>0</v>
      </c>
      <c r="BQ490" s="4" t="s">
        <v>263</v>
      </c>
      <c r="BR490" s="4" t="s">
        <v>264</v>
      </c>
      <c r="CF490" s="4" t="s">
        <v>241</v>
      </c>
      <c r="CG490" s="4" t="s">
        <v>241</v>
      </c>
      <c r="CK490" s="4" t="s">
        <v>265</v>
      </c>
      <c r="CL490" s="4" t="s">
        <v>266</v>
      </c>
      <c r="CM490" s="4" t="s">
        <v>241</v>
      </c>
      <c r="CO490" s="4" t="s">
        <v>926</v>
      </c>
      <c r="CP490" s="5" t="s">
        <v>268</v>
      </c>
      <c r="CQ490" s="4" t="s">
        <v>269</v>
      </c>
      <c r="CR490" s="4" t="s">
        <v>270</v>
      </c>
      <c r="CS490" s="4" t="s">
        <v>241</v>
      </c>
      <c r="CT490" s="4" t="s">
        <v>241</v>
      </c>
      <c r="CU490" s="4">
        <v>0</v>
      </c>
      <c r="CV490" s="4" t="s">
        <v>271</v>
      </c>
      <c r="CW490" s="4" t="s">
        <v>655</v>
      </c>
      <c r="CX490" s="4" t="s">
        <v>347</v>
      </c>
      <c r="CZ490" s="6">
        <f>1080000</f>
        <v>1080000</v>
      </c>
      <c r="DA490" s="6">
        <f>0</f>
        <v>0</v>
      </c>
      <c r="DC490" s="4" t="s">
        <v>241</v>
      </c>
      <c r="DD490" s="4" t="s">
        <v>241</v>
      </c>
      <c r="DF490" s="4" t="s">
        <v>241</v>
      </c>
      <c r="DI490" s="4" t="s">
        <v>241</v>
      </c>
      <c r="DJ490" s="4" t="s">
        <v>241</v>
      </c>
      <c r="DK490" s="4" t="s">
        <v>241</v>
      </c>
      <c r="DL490" s="4" t="s">
        <v>241</v>
      </c>
      <c r="DM490" s="4" t="s">
        <v>277</v>
      </c>
      <c r="DN490" s="4" t="s">
        <v>278</v>
      </c>
      <c r="DO490" s="6">
        <f>12</f>
        <v>12</v>
      </c>
      <c r="DP490" s="4" t="s">
        <v>241</v>
      </c>
      <c r="DQ490" s="4" t="s">
        <v>241</v>
      </c>
      <c r="DR490" s="4" t="s">
        <v>241</v>
      </c>
      <c r="DS490" s="4" t="s">
        <v>241</v>
      </c>
      <c r="DV490" s="4" t="s">
        <v>928</v>
      </c>
      <c r="DW490" s="4" t="s">
        <v>323</v>
      </c>
      <c r="HO490" s="4" t="s">
        <v>277</v>
      </c>
      <c r="HR490" s="4" t="s">
        <v>278</v>
      </c>
      <c r="HS490" s="4" t="s">
        <v>278</v>
      </c>
    </row>
    <row r="491" spans="1:240" x14ac:dyDescent="0.4">
      <c r="A491" s="4">
        <v>2</v>
      </c>
      <c r="B491" s="4" t="s">
        <v>239</v>
      </c>
      <c r="C491" s="4">
        <v>522</v>
      </c>
      <c r="D491" s="4">
        <v>1</v>
      </c>
      <c r="E491" s="4">
        <v>1</v>
      </c>
      <c r="F491" s="4" t="s">
        <v>240</v>
      </c>
      <c r="G491" s="4" t="s">
        <v>241</v>
      </c>
      <c r="H491" s="4" t="s">
        <v>241</v>
      </c>
      <c r="I491" s="4" t="s">
        <v>923</v>
      </c>
      <c r="J491" s="4" t="s">
        <v>653</v>
      </c>
      <c r="K491" s="4" t="s">
        <v>256</v>
      </c>
      <c r="L491" s="4" t="s">
        <v>429</v>
      </c>
      <c r="M491" s="5" t="s">
        <v>925</v>
      </c>
      <c r="N491" s="4" t="s">
        <v>429</v>
      </c>
      <c r="O491" s="6">
        <f>63</f>
        <v>63</v>
      </c>
      <c r="P491" s="4" t="s">
        <v>276</v>
      </c>
      <c r="Q491" s="6">
        <f>1</f>
        <v>1</v>
      </c>
      <c r="R491" s="6">
        <f>3780000</f>
        <v>3780000</v>
      </c>
      <c r="S491" s="5" t="s">
        <v>1601</v>
      </c>
      <c r="T491" s="4" t="s">
        <v>348</v>
      </c>
      <c r="U491" s="4" t="s">
        <v>306</v>
      </c>
      <c r="W491" s="6">
        <f>3779999</f>
        <v>3779999</v>
      </c>
      <c r="X491" s="4" t="s">
        <v>243</v>
      </c>
      <c r="Y491" s="4" t="s">
        <v>244</v>
      </c>
      <c r="Z491" s="4" t="s">
        <v>465</v>
      </c>
      <c r="AA491" s="4" t="s">
        <v>241</v>
      </c>
      <c r="AD491" s="4" t="s">
        <v>241</v>
      </c>
      <c r="AF491" s="5" t="s">
        <v>241</v>
      </c>
      <c r="AI491" s="5" t="s">
        <v>249</v>
      </c>
      <c r="AJ491" s="4" t="s">
        <v>251</v>
      </c>
      <c r="AK491" s="4" t="s">
        <v>252</v>
      </c>
      <c r="BA491" s="4" t="s">
        <v>254</v>
      </c>
      <c r="BB491" s="4" t="s">
        <v>241</v>
      </c>
      <c r="BC491" s="4" t="s">
        <v>255</v>
      </c>
      <c r="BD491" s="4" t="s">
        <v>241</v>
      </c>
      <c r="BE491" s="4" t="s">
        <v>257</v>
      </c>
      <c r="BF491" s="4" t="s">
        <v>241</v>
      </c>
      <c r="BJ491" s="4" t="s">
        <v>374</v>
      </c>
      <c r="BK491" s="5" t="s">
        <v>375</v>
      </c>
      <c r="BL491" s="4" t="s">
        <v>261</v>
      </c>
      <c r="BM491" s="4" t="s">
        <v>262</v>
      </c>
      <c r="BN491" s="4" t="s">
        <v>241</v>
      </c>
      <c r="BO491" s="6">
        <f>0</f>
        <v>0</v>
      </c>
      <c r="BP491" s="6">
        <f>0</f>
        <v>0</v>
      </c>
      <c r="BQ491" s="4" t="s">
        <v>263</v>
      </c>
      <c r="BR491" s="4" t="s">
        <v>264</v>
      </c>
      <c r="CF491" s="4" t="s">
        <v>241</v>
      </c>
      <c r="CG491" s="4" t="s">
        <v>241</v>
      </c>
      <c r="CK491" s="4" t="s">
        <v>265</v>
      </c>
      <c r="CL491" s="4" t="s">
        <v>266</v>
      </c>
      <c r="CM491" s="4" t="s">
        <v>241</v>
      </c>
      <c r="CO491" s="4" t="s">
        <v>1603</v>
      </c>
      <c r="CP491" s="5" t="s">
        <v>268</v>
      </c>
      <c r="CQ491" s="4" t="s">
        <v>269</v>
      </c>
      <c r="CR491" s="4" t="s">
        <v>270</v>
      </c>
      <c r="CS491" s="4" t="s">
        <v>241</v>
      </c>
      <c r="CT491" s="4" t="s">
        <v>241</v>
      </c>
      <c r="CU491" s="4">
        <v>0</v>
      </c>
      <c r="CV491" s="4" t="s">
        <v>271</v>
      </c>
      <c r="CW491" s="4" t="s">
        <v>272</v>
      </c>
      <c r="CX491" s="4" t="s">
        <v>347</v>
      </c>
      <c r="CZ491" s="6">
        <f>3780000</f>
        <v>3780000</v>
      </c>
      <c r="DA491" s="6">
        <f>0</f>
        <v>0</v>
      </c>
      <c r="DC491" s="4" t="s">
        <v>241</v>
      </c>
      <c r="DD491" s="4" t="s">
        <v>241</v>
      </c>
      <c r="DF491" s="4" t="s">
        <v>241</v>
      </c>
      <c r="DI491" s="4" t="s">
        <v>241</v>
      </c>
      <c r="DJ491" s="4" t="s">
        <v>241</v>
      </c>
      <c r="DK491" s="4" t="s">
        <v>241</v>
      </c>
      <c r="DL491" s="4" t="s">
        <v>241</v>
      </c>
      <c r="DM491" s="4" t="s">
        <v>277</v>
      </c>
      <c r="DN491" s="4" t="s">
        <v>278</v>
      </c>
      <c r="DO491" s="6">
        <f>63</f>
        <v>63</v>
      </c>
      <c r="DP491" s="4" t="s">
        <v>241</v>
      </c>
      <c r="DQ491" s="4" t="s">
        <v>241</v>
      </c>
      <c r="DR491" s="4" t="s">
        <v>241</v>
      </c>
      <c r="DS491" s="4" t="s">
        <v>241</v>
      </c>
      <c r="DV491" s="4" t="s">
        <v>928</v>
      </c>
      <c r="DW491" s="4" t="s">
        <v>297</v>
      </c>
      <c r="HO491" s="4" t="s">
        <v>277</v>
      </c>
      <c r="HR491" s="4" t="s">
        <v>278</v>
      </c>
      <c r="HS491" s="4" t="s">
        <v>278</v>
      </c>
    </row>
    <row r="492" spans="1:240" x14ac:dyDescent="0.4">
      <c r="A492" s="4">
        <v>2</v>
      </c>
      <c r="B492" s="4" t="s">
        <v>239</v>
      </c>
      <c r="C492" s="4">
        <v>523</v>
      </c>
      <c r="D492" s="4">
        <v>1</v>
      </c>
      <c r="E492" s="4">
        <v>1</v>
      </c>
      <c r="F492" s="4" t="s">
        <v>240</v>
      </c>
      <c r="G492" s="4" t="s">
        <v>241</v>
      </c>
      <c r="H492" s="4" t="s">
        <v>241</v>
      </c>
      <c r="I492" s="4" t="s">
        <v>923</v>
      </c>
      <c r="J492" s="4" t="s">
        <v>653</v>
      </c>
      <c r="K492" s="4" t="s">
        <v>256</v>
      </c>
      <c r="L492" s="4" t="s">
        <v>414</v>
      </c>
      <c r="M492" s="5" t="s">
        <v>925</v>
      </c>
      <c r="N492" s="4" t="s">
        <v>414</v>
      </c>
      <c r="O492" s="6">
        <f>21</f>
        <v>21</v>
      </c>
      <c r="P492" s="4" t="s">
        <v>276</v>
      </c>
      <c r="Q492" s="6">
        <f>1</f>
        <v>1</v>
      </c>
      <c r="R492" s="6">
        <f>1260000</f>
        <v>1260000</v>
      </c>
      <c r="S492" s="5" t="s">
        <v>366</v>
      </c>
      <c r="T492" s="4" t="s">
        <v>348</v>
      </c>
      <c r="U492" s="4" t="s">
        <v>333</v>
      </c>
      <c r="W492" s="6">
        <f>1259999</f>
        <v>1259999</v>
      </c>
      <c r="X492" s="4" t="s">
        <v>243</v>
      </c>
      <c r="Y492" s="4" t="s">
        <v>244</v>
      </c>
      <c r="Z492" s="4" t="s">
        <v>465</v>
      </c>
      <c r="AA492" s="4" t="s">
        <v>241</v>
      </c>
      <c r="AD492" s="4" t="s">
        <v>241</v>
      </c>
      <c r="AF492" s="5" t="s">
        <v>241</v>
      </c>
      <c r="AI492" s="5" t="s">
        <v>249</v>
      </c>
      <c r="AJ492" s="4" t="s">
        <v>251</v>
      </c>
      <c r="AK492" s="4" t="s">
        <v>252</v>
      </c>
      <c r="BA492" s="4" t="s">
        <v>254</v>
      </c>
      <c r="BB492" s="4" t="s">
        <v>241</v>
      </c>
      <c r="BC492" s="4" t="s">
        <v>255</v>
      </c>
      <c r="BD492" s="4" t="s">
        <v>241</v>
      </c>
      <c r="BE492" s="4" t="s">
        <v>257</v>
      </c>
      <c r="BF492" s="4" t="s">
        <v>241</v>
      </c>
      <c r="BJ492" s="4" t="s">
        <v>377</v>
      </c>
      <c r="BK492" s="5" t="s">
        <v>378</v>
      </c>
      <c r="BL492" s="4" t="s">
        <v>261</v>
      </c>
      <c r="BM492" s="4" t="s">
        <v>262</v>
      </c>
      <c r="BN492" s="4" t="s">
        <v>241</v>
      </c>
      <c r="BO492" s="6">
        <f>0</f>
        <v>0</v>
      </c>
      <c r="BP492" s="6">
        <f>0</f>
        <v>0</v>
      </c>
      <c r="BQ492" s="4" t="s">
        <v>263</v>
      </c>
      <c r="BR492" s="4" t="s">
        <v>264</v>
      </c>
      <c r="CF492" s="4" t="s">
        <v>241</v>
      </c>
      <c r="CG492" s="4" t="s">
        <v>241</v>
      </c>
      <c r="CK492" s="4" t="s">
        <v>265</v>
      </c>
      <c r="CL492" s="4" t="s">
        <v>266</v>
      </c>
      <c r="CM492" s="4" t="s">
        <v>241</v>
      </c>
      <c r="CO492" s="4" t="s">
        <v>368</v>
      </c>
      <c r="CP492" s="5" t="s">
        <v>268</v>
      </c>
      <c r="CQ492" s="4" t="s">
        <v>269</v>
      </c>
      <c r="CR492" s="4" t="s">
        <v>270</v>
      </c>
      <c r="CS492" s="4" t="s">
        <v>241</v>
      </c>
      <c r="CT492" s="4" t="s">
        <v>241</v>
      </c>
      <c r="CU492" s="4">
        <v>0</v>
      </c>
      <c r="CV492" s="4" t="s">
        <v>271</v>
      </c>
      <c r="CW492" s="4" t="s">
        <v>415</v>
      </c>
      <c r="CX492" s="4" t="s">
        <v>416</v>
      </c>
      <c r="CZ492" s="6">
        <f>1260000</f>
        <v>1260000</v>
      </c>
      <c r="DA492" s="6">
        <f>0</f>
        <v>0</v>
      </c>
      <c r="DC492" s="4" t="s">
        <v>241</v>
      </c>
      <c r="DD492" s="4" t="s">
        <v>241</v>
      </c>
      <c r="DF492" s="4" t="s">
        <v>241</v>
      </c>
      <c r="DI492" s="4" t="s">
        <v>241</v>
      </c>
      <c r="DJ492" s="4" t="s">
        <v>241</v>
      </c>
      <c r="DK492" s="4" t="s">
        <v>241</v>
      </c>
      <c r="DL492" s="4" t="s">
        <v>241</v>
      </c>
      <c r="DM492" s="4" t="s">
        <v>277</v>
      </c>
      <c r="DN492" s="4" t="s">
        <v>278</v>
      </c>
      <c r="DO492" s="6">
        <f>21</f>
        <v>21</v>
      </c>
      <c r="DP492" s="4" t="s">
        <v>241</v>
      </c>
      <c r="DQ492" s="4" t="s">
        <v>241</v>
      </c>
      <c r="DR492" s="4" t="s">
        <v>241</v>
      </c>
      <c r="DS492" s="4" t="s">
        <v>241</v>
      </c>
      <c r="DV492" s="4" t="s">
        <v>928</v>
      </c>
      <c r="DW492" s="4" t="s">
        <v>336</v>
      </c>
      <c r="HO492" s="4" t="s">
        <v>277</v>
      </c>
      <c r="HR492" s="4" t="s">
        <v>278</v>
      </c>
      <c r="HS492" s="4" t="s">
        <v>278</v>
      </c>
    </row>
    <row r="493" spans="1:240" x14ac:dyDescent="0.4">
      <c r="A493" s="4">
        <v>2</v>
      </c>
      <c r="B493" s="4" t="s">
        <v>239</v>
      </c>
      <c r="C493" s="4">
        <v>524</v>
      </c>
      <c r="D493" s="4">
        <v>1</v>
      </c>
      <c r="E493" s="4">
        <v>1</v>
      </c>
      <c r="F493" s="4" t="s">
        <v>240</v>
      </c>
      <c r="G493" s="4" t="s">
        <v>241</v>
      </c>
      <c r="H493" s="4" t="s">
        <v>241</v>
      </c>
      <c r="I493" s="4" t="s">
        <v>923</v>
      </c>
      <c r="J493" s="4" t="s">
        <v>653</v>
      </c>
      <c r="K493" s="4" t="s">
        <v>256</v>
      </c>
      <c r="L493" s="4" t="s">
        <v>1003</v>
      </c>
      <c r="M493" s="5" t="s">
        <v>925</v>
      </c>
      <c r="N493" s="4" t="s">
        <v>1003</v>
      </c>
      <c r="O493" s="6">
        <f>639</f>
        <v>639</v>
      </c>
      <c r="P493" s="4" t="s">
        <v>276</v>
      </c>
      <c r="Q493" s="6">
        <f>1</f>
        <v>1</v>
      </c>
      <c r="R493" s="6">
        <f>86265000</f>
        <v>86265000</v>
      </c>
      <c r="S493" s="5" t="s">
        <v>1148</v>
      </c>
      <c r="T493" s="4" t="s">
        <v>668</v>
      </c>
      <c r="U493" s="4" t="s">
        <v>1096</v>
      </c>
      <c r="W493" s="6">
        <f>86264999</f>
        <v>86264999</v>
      </c>
      <c r="X493" s="4" t="s">
        <v>243</v>
      </c>
      <c r="Y493" s="4" t="s">
        <v>244</v>
      </c>
      <c r="Z493" s="4" t="s">
        <v>465</v>
      </c>
      <c r="AA493" s="4" t="s">
        <v>241</v>
      </c>
      <c r="AD493" s="4" t="s">
        <v>241</v>
      </c>
      <c r="AF493" s="5" t="s">
        <v>241</v>
      </c>
      <c r="AI493" s="5" t="s">
        <v>249</v>
      </c>
      <c r="AJ493" s="4" t="s">
        <v>251</v>
      </c>
      <c r="AK493" s="4" t="s">
        <v>252</v>
      </c>
      <c r="BA493" s="4" t="s">
        <v>254</v>
      </c>
      <c r="BB493" s="4" t="s">
        <v>241</v>
      </c>
      <c r="BC493" s="4" t="s">
        <v>255</v>
      </c>
      <c r="BD493" s="4" t="s">
        <v>241</v>
      </c>
      <c r="BE493" s="4" t="s">
        <v>257</v>
      </c>
      <c r="BF493" s="4" t="s">
        <v>241</v>
      </c>
      <c r="BJ493" s="4" t="s">
        <v>259</v>
      </c>
      <c r="BK493" s="5" t="s">
        <v>260</v>
      </c>
      <c r="BL493" s="4" t="s">
        <v>261</v>
      </c>
      <c r="BM493" s="4" t="s">
        <v>262</v>
      </c>
      <c r="BN493" s="4" t="s">
        <v>241</v>
      </c>
      <c r="BO493" s="6">
        <f>0</f>
        <v>0</v>
      </c>
      <c r="BP493" s="6">
        <f>0</f>
        <v>0</v>
      </c>
      <c r="BQ493" s="4" t="s">
        <v>263</v>
      </c>
      <c r="BR493" s="4" t="s">
        <v>264</v>
      </c>
      <c r="CF493" s="4" t="s">
        <v>241</v>
      </c>
      <c r="CG493" s="4" t="s">
        <v>241</v>
      </c>
      <c r="CK493" s="4" t="s">
        <v>265</v>
      </c>
      <c r="CL493" s="4" t="s">
        <v>266</v>
      </c>
      <c r="CM493" s="4" t="s">
        <v>241</v>
      </c>
      <c r="CO493" s="4" t="s">
        <v>1095</v>
      </c>
      <c r="CP493" s="5" t="s">
        <v>268</v>
      </c>
      <c r="CQ493" s="4" t="s">
        <v>269</v>
      </c>
      <c r="CR493" s="4" t="s">
        <v>270</v>
      </c>
      <c r="CS493" s="4" t="s">
        <v>241</v>
      </c>
      <c r="CT493" s="4" t="s">
        <v>241</v>
      </c>
      <c r="CU493" s="4">
        <v>0</v>
      </c>
      <c r="CV493" s="4" t="s">
        <v>271</v>
      </c>
      <c r="CW493" s="4" t="s">
        <v>1006</v>
      </c>
      <c r="CX493" s="4" t="s">
        <v>295</v>
      </c>
      <c r="CZ493" s="6">
        <f>86265000</f>
        <v>86265000</v>
      </c>
      <c r="DA493" s="6">
        <f>0</f>
        <v>0</v>
      </c>
      <c r="DC493" s="4" t="s">
        <v>241</v>
      </c>
      <c r="DD493" s="4" t="s">
        <v>241</v>
      </c>
      <c r="DF493" s="4" t="s">
        <v>241</v>
      </c>
      <c r="DI493" s="4" t="s">
        <v>241</v>
      </c>
      <c r="DJ493" s="4" t="s">
        <v>241</v>
      </c>
      <c r="DK493" s="4" t="s">
        <v>241</v>
      </c>
      <c r="DL493" s="4" t="s">
        <v>241</v>
      </c>
      <c r="DM493" s="4" t="s">
        <v>277</v>
      </c>
      <c r="DN493" s="4" t="s">
        <v>278</v>
      </c>
      <c r="DO493" s="6">
        <f>639</f>
        <v>639</v>
      </c>
      <c r="DP493" s="4" t="s">
        <v>241</v>
      </c>
      <c r="DQ493" s="4" t="s">
        <v>241</v>
      </c>
      <c r="DR493" s="4" t="s">
        <v>241</v>
      </c>
      <c r="DS493" s="4" t="s">
        <v>241</v>
      </c>
      <c r="DV493" s="4" t="s">
        <v>928</v>
      </c>
      <c r="DW493" s="4" t="s">
        <v>351</v>
      </c>
      <c r="HO493" s="4" t="s">
        <v>277</v>
      </c>
      <c r="HR493" s="4" t="s">
        <v>278</v>
      </c>
      <c r="HS493" s="4" t="s">
        <v>278</v>
      </c>
    </row>
    <row r="494" spans="1:240" x14ac:dyDescent="0.4">
      <c r="A494" s="4">
        <v>2</v>
      </c>
      <c r="B494" s="4" t="s">
        <v>239</v>
      </c>
      <c r="C494" s="4">
        <v>525</v>
      </c>
      <c r="D494" s="4">
        <v>1</v>
      </c>
      <c r="E494" s="4">
        <v>1</v>
      </c>
      <c r="F494" s="4" t="s">
        <v>240</v>
      </c>
      <c r="G494" s="4" t="s">
        <v>241</v>
      </c>
      <c r="H494" s="4" t="s">
        <v>241</v>
      </c>
      <c r="I494" s="4" t="s">
        <v>923</v>
      </c>
      <c r="J494" s="4" t="s">
        <v>653</v>
      </c>
      <c r="K494" s="4" t="s">
        <v>256</v>
      </c>
      <c r="L494" s="4" t="s">
        <v>429</v>
      </c>
      <c r="M494" s="5" t="s">
        <v>925</v>
      </c>
      <c r="N494" s="4" t="s">
        <v>429</v>
      </c>
      <c r="O494" s="6">
        <f>60</f>
        <v>60</v>
      </c>
      <c r="P494" s="4" t="s">
        <v>276</v>
      </c>
      <c r="Q494" s="6">
        <f>1</f>
        <v>1</v>
      </c>
      <c r="R494" s="6">
        <f>3600000</f>
        <v>3600000</v>
      </c>
      <c r="S494" s="5" t="s">
        <v>3004</v>
      </c>
      <c r="T494" s="4" t="s">
        <v>441</v>
      </c>
      <c r="U494" s="4" t="s">
        <v>669</v>
      </c>
      <c r="W494" s="6">
        <f>3599999</f>
        <v>3599999</v>
      </c>
      <c r="X494" s="4" t="s">
        <v>243</v>
      </c>
      <c r="Y494" s="4" t="s">
        <v>244</v>
      </c>
      <c r="Z494" s="4" t="s">
        <v>465</v>
      </c>
      <c r="AA494" s="4" t="s">
        <v>241</v>
      </c>
      <c r="AD494" s="4" t="s">
        <v>241</v>
      </c>
      <c r="AF494" s="5" t="s">
        <v>241</v>
      </c>
      <c r="AI494" s="5" t="s">
        <v>249</v>
      </c>
      <c r="AJ494" s="4" t="s">
        <v>251</v>
      </c>
      <c r="AK494" s="4" t="s">
        <v>252</v>
      </c>
      <c r="BA494" s="4" t="s">
        <v>254</v>
      </c>
      <c r="BB494" s="4" t="s">
        <v>241</v>
      </c>
      <c r="BC494" s="4" t="s">
        <v>255</v>
      </c>
      <c r="BD494" s="4" t="s">
        <v>241</v>
      </c>
      <c r="BE494" s="4" t="s">
        <v>257</v>
      </c>
      <c r="BF494" s="4" t="s">
        <v>241</v>
      </c>
      <c r="BJ494" s="4" t="s">
        <v>367</v>
      </c>
      <c r="BK494" s="5" t="s">
        <v>249</v>
      </c>
      <c r="BL494" s="4" t="s">
        <v>261</v>
      </c>
      <c r="BM494" s="4" t="s">
        <v>262</v>
      </c>
      <c r="BN494" s="4" t="s">
        <v>241</v>
      </c>
      <c r="BO494" s="6">
        <f>0</f>
        <v>0</v>
      </c>
      <c r="BP494" s="6">
        <f>0</f>
        <v>0</v>
      </c>
      <c r="BQ494" s="4" t="s">
        <v>263</v>
      </c>
      <c r="BR494" s="4" t="s">
        <v>264</v>
      </c>
      <c r="CF494" s="4" t="s">
        <v>241</v>
      </c>
      <c r="CG494" s="4" t="s">
        <v>241</v>
      </c>
      <c r="CK494" s="4" t="s">
        <v>265</v>
      </c>
      <c r="CL494" s="4" t="s">
        <v>266</v>
      </c>
      <c r="CM494" s="4" t="s">
        <v>241</v>
      </c>
      <c r="CO494" s="4" t="s">
        <v>841</v>
      </c>
      <c r="CP494" s="5" t="s">
        <v>268</v>
      </c>
      <c r="CQ494" s="4" t="s">
        <v>269</v>
      </c>
      <c r="CR494" s="4" t="s">
        <v>270</v>
      </c>
      <c r="CS494" s="4" t="s">
        <v>241</v>
      </c>
      <c r="CT494" s="4" t="s">
        <v>241</v>
      </c>
      <c r="CU494" s="4">
        <v>0</v>
      </c>
      <c r="CV494" s="4" t="s">
        <v>271</v>
      </c>
      <c r="CW494" s="4" t="s">
        <v>272</v>
      </c>
      <c r="CX494" s="4" t="s">
        <v>487</v>
      </c>
      <c r="CZ494" s="6">
        <f>3600000</f>
        <v>3600000</v>
      </c>
      <c r="DA494" s="6">
        <f>0</f>
        <v>0</v>
      </c>
      <c r="DC494" s="4" t="s">
        <v>241</v>
      </c>
      <c r="DD494" s="4" t="s">
        <v>241</v>
      </c>
      <c r="DF494" s="4" t="s">
        <v>241</v>
      </c>
      <c r="DI494" s="4" t="s">
        <v>241</v>
      </c>
      <c r="DJ494" s="4" t="s">
        <v>241</v>
      </c>
      <c r="DK494" s="4" t="s">
        <v>241</v>
      </c>
      <c r="DL494" s="4" t="s">
        <v>241</v>
      </c>
      <c r="DM494" s="4" t="s">
        <v>277</v>
      </c>
      <c r="DN494" s="4" t="s">
        <v>278</v>
      </c>
      <c r="DO494" s="6">
        <f>60</f>
        <v>60</v>
      </c>
      <c r="DP494" s="4" t="s">
        <v>241</v>
      </c>
      <c r="DQ494" s="4" t="s">
        <v>241</v>
      </c>
      <c r="DR494" s="4" t="s">
        <v>241</v>
      </c>
      <c r="DS494" s="4" t="s">
        <v>241</v>
      </c>
      <c r="DV494" s="4" t="s">
        <v>928</v>
      </c>
      <c r="DW494" s="4" t="s">
        <v>300</v>
      </c>
      <c r="HO494" s="4" t="s">
        <v>277</v>
      </c>
      <c r="HR494" s="4" t="s">
        <v>278</v>
      </c>
      <c r="HS494" s="4" t="s">
        <v>278</v>
      </c>
    </row>
    <row r="495" spans="1:240" x14ac:dyDescent="0.4">
      <c r="A495" s="4">
        <v>2</v>
      </c>
      <c r="B495" s="4" t="s">
        <v>239</v>
      </c>
      <c r="C495" s="4">
        <v>526</v>
      </c>
      <c r="D495" s="4">
        <v>1</v>
      </c>
      <c r="E495" s="4">
        <v>1</v>
      </c>
      <c r="F495" s="4" t="s">
        <v>240</v>
      </c>
      <c r="G495" s="4" t="s">
        <v>241</v>
      </c>
      <c r="H495" s="4" t="s">
        <v>241</v>
      </c>
      <c r="I495" s="4" t="s">
        <v>923</v>
      </c>
      <c r="J495" s="4" t="s">
        <v>653</v>
      </c>
      <c r="K495" s="4" t="s">
        <v>256</v>
      </c>
      <c r="L495" s="4" t="s">
        <v>429</v>
      </c>
      <c r="M495" s="5" t="s">
        <v>925</v>
      </c>
      <c r="N495" s="4" t="s">
        <v>429</v>
      </c>
      <c r="O495" s="6">
        <f>10</f>
        <v>10</v>
      </c>
      <c r="P495" s="4" t="s">
        <v>276</v>
      </c>
      <c r="Q495" s="6">
        <f>1</f>
        <v>1</v>
      </c>
      <c r="R495" s="6">
        <f>950000</f>
        <v>950000</v>
      </c>
      <c r="S495" s="5" t="s">
        <v>442</v>
      </c>
      <c r="T495" s="4" t="s">
        <v>348</v>
      </c>
      <c r="U495" s="4" t="s">
        <v>348</v>
      </c>
      <c r="W495" s="6">
        <f>949999</f>
        <v>949999</v>
      </c>
      <c r="X495" s="4" t="s">
        <v>243</v>
      </c>
      <c r="Y495" s="4" t="s">
        <v>244</v>
      </c>
      <c r="Z495" s="4" t="s">
        <v>465</v>
      </c>
      <c r="AA495" s="4" t="s">
        <v>241</v>
      </c>
      <c r="AD495" s="4" t="s">
        <v>241</v>
      </c>
      <c r="AF495" s="5" t="s">
        <v>241</v>
      </c>
      <c r="AI495" s="5" t="s">
        <v>249</v>
      </c>
      <c r="AJ495" s="4" t="s">
        <v>251</v>
      </c>
      <c r="AK495" s="4" t="s">
        <v>252</v>
      </c>
      <c r="BA495" s="4" t="s">
        <v>254</v>
      </c>
      <c r="BB495" s="4" t="s">
        <v>241</v>
      </c>
      <c r="BC495" s="4" t="s">
        <v>255</v>
      </c>
      <c r="BD495" s="4" t="s">
        <v>241</v>
      </c>
      <c r="BE495" s="4" t="s">
        <v>257</v>
      </c>
      <c r="BF495" s="4" t="s">
        <v>241</v>
      </c>
      <c r="BJ495" s="4" t="s">
        <v>374</v>
      </c>
      <c r="BK495" s="5" t="s">
        <v>375</v>
      </c>
      <c r="BL495" s="4" t="s">
        <v>261</v>
      </c>
      <c r="BM495" s="4" t="s">
        <v>290</v>
      </c>
      <c r="BN495" s="4" t="s">
        <v>241</v>
      </c>
      <c r="BO495" s="6">
        <f>0</f>
        <v>0</v>
      </c>
      <c r="BP495" s="6">
        <f>0</f>
        <v>0</v>
      </c>
      <c r="BQ495" s="4" t="s">
        <v>263</v>
      </c>
      <c r="BR495" s="4" t="s">
        <v>264</v>
      </c>
      <c r="CF495" s="4" t="s">
        <v>241</v>
      </c>
      <c r="CG495" s="4" t="s">
        <v>241</v>
      </c>
      <c r="CK495" s="4" t="s">
        <v>291</v>
      </c>
      <c r="CL495" s="4" t="s">
        <v>266</v>
      </c>
      <c r="CM495" s="4" t="s">
        <v>241</v>
      </c>
      <c r="CO495" s="4" t="s">
        <v>446</v>
      </c>
      <c r="CP495" s="5" t="s">
        <v>268</v>
      </c>
      <c r="CQ495" s="4" t="s">
        <v>269</v>
      </c>
      <c r="CR495" s="4" t="s">
        <v>270</v>
      </c>
      <c r="CS495" s="4" t="s">
        <v>241</v>
      </c>
      <c r="CT495" s="4" t="s">
        <v>241</v>
      </c>
      <c r="CU495" s="4">
        <v>0</v>
      </c>
      <c r="CV495" s="4" t="s">
        <v>271</v>
      </c>
      <c r="CW495" s="4" t="s">
        <v>272</v>
      </c>
      <c r="CX495" s="4" t="s">
        <v>347</v>
      </c>
      <c r="CZ495" s="6">
        <f>950000</f>
        <v>950000</v>
      </c>
      <c r="DA495" s="6">
        <f>0</f>
        <v>0</v>
      </c>
      <c r="DC495" s="4" t="s">
        <v>241</v>
      </c>
      <c r="DD495" s="4" t="s">
        <v>241</v>
      </c>
      <c r="DF495" s="4" t="s">
        <v>241</v>
      </c>
      <c r="DI495" s="4" t="s">
        <v>241</v>
      </c>
      <c r="DJ495" s="4" t="s">
        <v>241</v>
      </c>
      <c r="DK495" s="4" t="s">
        <v>241</v>
      </c>
      <c r="DL495" s="4" t="s">
        <v>241</v>
      </c>
      <c r="DM495" s="4" t="s">
        <v>277</v>
      </c>
      <c r="DN495" s="4" t="s">
        <v>278</v>
      </c>
      <c r="DO495" s="6">
        <f>10</f>
        <v>10</v>
      </c>
      <c r="DP495" s="4" t="s">
        <v>241</v>
      </c>
      <c r="DQ495" s="4" t="s">
        <v>241</v>
      </c>
      <c r="DR495" s="4" t="s">
        <v>241</v>
      </c>
      <c r="DS495" s="4" t="s">
        <v>241</v>
      </c>
      <c r="DV495" s="4" t="s">
        <v>928</v>
      </c>
      <c r="DW495" s="4" t="s">
        <v>341</v>
      </c>
      <c r="HO495" s="4" t="s">
        <v>336</v>
      </c>
      <c r="HR495" s="4" t="s">
        <v>278</v>
      </c>
      <c r="HS495" s="4" t="s">
        <v>278</v>
      </c>
    </row>
    <row r="496" spans="1:240" x14ac:dyDescent="0.4">
      <c r="A496" s="4">
        <v>2</v>
      </c>
      <c r="B496" s="4" t="s">
        <v>239</v>
      </c>
      <c r="C496" s="4">
        <v>527</v>
      </c>
      <c r="D496" s="4">
        <v>1</v>
      </c>
      <c r="E496" s="4">
        <v>1</v>
      </c>
      <c r="F496" s="4" t="s">
        <v>240</v>
      </c>
      <c r="G496" s="4" t="s">
        <v>241</v>
      </c>
      <c r="H496" s="4" t="s">
        <v>241</v>
      </c>
      <c r="I496" s="4" t="s">
        <v>923</v>
      </c>
      <c r="J496" s="4" t="s">
        <v>653</v>
      </c>
      <c r="K496" s="4" t="s">
        <v>256</v>
      </c>
      <c r="L496" s="4" t="s">
        <v>2000</v>
      </c>
      <c r="M496" s="5" t="s">
        <v>925</v>
      </c>
      <c r="N496" s="4" t="s">
        <v>2000</v>
      </c>
      <c r="O496" s="6">
        <f>7</f>
        <v>7</v>
      </c>
      <c r="P496" s="4" t="s">
        <v>276</v>
      </c>
      <c r="Q496" s="6">
        <f>1</f>
        <v>1</v>
      </c>
      <c r="R496" s="6">
        <f>420000</f>
        <v>420000</v>
      </c>
      <c r="S496" s="5" t="s">
        <v>2059</v>
      </c>
      <c r="T496" s="4" t="s">
        <v>441</v>
      </c>
      <c r="U496" s="4" t="s">
        <v>296</v>
      </c>
      <c r="W496" s="6">
        <f>419999</f>
        <v>419999</v>
      </c>
      <c r="X496" s="4" t="s">
        <v>243</v>
      </c>
      <c r="Y496" s="4" t="s">
        <v>244</v>
      </c>
      <c r="Z496" s="4" t="s">
        <v>465</v>
      </c>
      <c r="AA496" s="4" t="s">
        <v>241</v>
      </c>
      <c r="AD496" s="4" t="s">
        <v>241</v>
      </c>
      <c r="AF496" s="5" t="s">
        <v>241</v>
      </c>
      <c r="AI496" s="5" t="s">
        <v>249</v>
      </c>
      <c r="AJ496" s="4" t="s">
        <v>251</v>
      </c>
      <c r="AK496" s="4" t="s">
        <v>252</v>
      </c>
      <c r="BA496" s="4" t="s">
        <v>254</v>
      </c>
      <c r="BB496" s="4" t="s">
        <v>241</v>
      </c>
      <c r="BC496" s="4" t="s">
        <v>255</v>
      </c>
      <c r="BD496" s="4" t="s">
        <v>241</v>
      </c>
      <c r="BE496" s="4" t="s">
        <v>257</v>
      </c>
      <c r="BF496" s="4" t="s">
        <v>241</v>
      </c>
      <c r="BJ496" s="4" t="s">
        <v>377</v>
      </c>
      <c r="BK496" s="5" t="s">
        <v>378</v>
      </c>
      <c r="BL496" s="4" t="s">
        <v>261</v>
      </c>
      <c r="BM496" s="4" t="s">
        <v>262</v>
      </c>
      <c r="BN496" s="4" t="s">
        <v>241</v>
      </c>
      <c r="BO496" s="6">
        <f>0</f>
        <v>0</v>
      </c>
      <c r="BP496" s="6">
        <f>0</f>
        <v>0</v>
      </c>
      <c r="BQ496" s="4" t="s">
        <v>263</v>
      </c>
      <c r="BR496" s="4" t="s">
        <v>264</v>
      </c>
      <c r="CF496" s="4" t="s">
        <v>241</v>
      </c>
      <c r="CG496" s="4" t="s">
        <v>241</v>
      </c>
      <c r="CK496" s="4" t="s">
        <v>265</v>
      </c>
      <c r="CL496" s="4" t="s">
        <v>266</v>
      </c>
      <c r="CM496" s="4" t="s">
        <v>241</v>
      </c>
      <c r="CO496" s="4" t="s">
        <v>733</v>
      </c>
      <c r="CP496" s="5" t="s">
        <v>268</v>
      </c>
      <c r="CQ496" s="4" t="s">
        <v>269</v>
      </c>
      <c r="CR496" s="4" t="s">
        <v>270</v>
      </c>
      <c r="CS496" s="4" t="s">
        <v>241</v>
      </c>
      <c r="CT496" s="4" t="s">
        <v>241</v>
      </c>
      <c r="CU496" s="4">
        <v>0</v>
      </c>
      <c r="CV496" s="4" t="s">
        <v>271</v>
      </c>
      <c r="CW496" s="4" t="s">
        <v>1986</v>
      </c>
      <c r="CX496" s="4" t="s">
        <v>487</v>
      </c>
      <c r="CZ496" s="6">
        <f>420000</f>
        <v>420000</v>
      </c>
      <c r="DA496" s="6">
        <f>0</f>
        <v>0</v>
      </c>
      <c r="DC496" s="4" t="s">
        <v>241</v>
      </c>
      <c r="DD496" s="4" t="s">
        <v>241</v>
      </c>
      <c r="DF496" s="4" t="s">
        <v>241</v>
      </c>
      <c r="DI496" s="4" t="s">
        <v>241</v>
      </c>
      <c r="DJ496" s="4" t="s">
        <v>241</v>
      </c>
      <c r="DK496" s="4" t="s">
        <v>241</v>
      </c>
      <c r="DL496" s="4" t="s">
        <v>241</v>
      </c>
      <c r="DM496" s="4" t="s">
        <v>277</v>
      </c>
      <c r="DN496" s="4" t="s">
        <v>278</v>
      </c>
      <c r="DO496" s="6">
        <f>7</f>
        <v>7</v>
      </c>
      <c r="DP496" s="4" t="s">
        <v>241</v>
      </c>
      <c r="DQ496" s="4" t="s">
        <v>241</v>
      </c>
      <c r="DR496" s="4" t="s">
        <v>241</v>
      </c>
      <c r="DS496" s="4" t="s">
        <v>241</v>
      </c>
      <c r="DV496" s="4" t="s">
        <v>928</v>
      </c>
      <c r="DW496" s="4" t="s">
        <v>343</v>
      </c>
      <c r="HO496" s="4" t="s">
        <v>277</v>
      </c>
      <c r="HR496" s="4" t="s">
        <v>278</v>
      </c>
      <c r="HS496" s="4" t="s">
        <v>278</v>
      </c>
    </row>
    <row r="497" spans="1:240" x14ac:dyDescent="0.4">
      <c r="A497" s="4">
        <v>2</v>
      </c>
      <c r="B497" s="4" t="s">
        <v>239</v>
      </c>
      <c r="C497" s="4">
        <v>528</v>
      </c>
      <c r="D497" s="4">
        <v>1</v>
      </c>
      <c r="E497" s="4">
        <v>1</v>
      </c>
      <c r="F497" s="4" t="s">
        <v>240</v>
      </c>
      <c r="G497" s="4" t="s">
        <v>241</v>
      </c>
      <c r="H497" s="4" t="s">
        <v>241</v>
      </c>
      <c r="I497" s="4" t="s">
        <v>923</v>
      </c>
      <c r="J497" s="4" t="s">
        <v>653</v>
      </c>
      <c r="K497" s="4" t="s">
        <v>256</v>
      </c>
      <c r="L497" s="4" t="s">
        <v>2529</v>
      </c>
      <c r="M497" s="5" t="s">
        <v>925</v>
      </c>
      <c r="N497" s="4" t="s">
        <v>2529</v>
      </c>
      <c r="O497" s="6">
        <f>53</f>
        <v>53</v>
      </c>
      <c r="P497" s="4" t="s">
        <v>276</v>
      </c>
      <c r="Q497" s="6">
        <f>1</f>
        <v>1</v>
      </c>
      <c r="R497" s="6">
        <f>8639000</f>
        <v>8639000</v>
      </c>
      <c r="S497" s="5" t="s">
        <v>442</v>
      </c>
      <c r="T497" s="4" t="s">
        <v>348</v>
      </c>
      <c r="U497" s="4" t="s">
        <v>348</v>
      </c>
      <c r="W497" s="6">
        <f>8638999</f>
        <v>8638999</v>
      </c>
      <c r="X497" s="4" t="s">
        <v>243</v>
      </c>
      <c r="Y497" s="4" t="s">
        <v>244</v>
      </c>
      <c r="Z497" s="4" t="s">
        <v>465</v>
      </c>
      <c r="AA497" s="4" t="s">
        <v>241</v>
      </c>
      <c r="AD497" s="4" t="s">
        <v>241</v>
      </c>
      <c r="AF497" s="5" t="s">
        <v>241</v>
      </c>
      <c r="AI497" s="5" t="s">
        <v>249</v>
      </c>
      <c r="AJ497" s="4" t="s">
        <v>251</v>
      </c>
      <c r="AK497" s="4" t="s">
        <v>252</v>
      </c>
      <c r="BA497" s="4" t="s">
        <v>254</v>
      </c>
      <c r="BB497" s="4" t="s">
        <v>241</v>
      </c>
      <c r="BC497" s="4" t="s">
        <v>255</v>
      </c>
      <c r="BD497" s="4" t="s">
        <v>241</v>
      </c>
      <c r="BE497" s="4" t="s">
        <v>257</v>
      </c>
      <c r="BF497" s="4" t="s">
        <v>241</v>
      </c>
      <c r="BJ497" s="4" t="s">
        <v>259</v>
      </c>
      <c r="BK497" s="5" t="s">
        <v>260</v>
      </c>
      <c r="BL497" s="4" t="s">
        <v>261</v>
      </c>
      <c r="BM497" s="4" t="s">
        <v>290</v>
      </c>
      <c r="BN497" s="4" t="s">
        <v>241</v>
      </c>
      <c r="BO497" s="6">
        <f>0</f>
        <v>0</v>
      </c>
      <c r="BP497" s="6">
        <f>0</f>
        <v>0</v>
      </c>
      <c r="BQ497" s="4" t="s">
        <v>263</v>
      </c>
      <c r="BR497" s="4" t="s">
        <v>264</v>
      </c>
      <c r="CF497" s="4" t="s">
        <v>241</v>
      </c>
      <c r="CG497" s="4" t="s">
        <v>241</v>
      </c>
      <c r="CK497" s="4" t="s">
        <v>291</v>
      </c>
      <c r="CL497" s="4" t="s">
        <v>266</v>
      </c>
      <c r="CM497" s="4" t="s">
        <v>241</v>
      </c>
      <c r="CO497" s="4" t="s">
        <v>446</v>
      </c>
      <c r="CP497" s="5" t="s">
        <v>268</v>
      </c>
      <c r="CQ497" s="4" t="s">
        <v>269</v>
      </c>
      <c r="CR497" s="4" t="s">
        <v>270</v>
      </c>
      <c r="CS497" s="4" t="s">
        <v>241</v>
      </c>
      <c r="CT497" s="4" t="s">
        <v>241</v>
      </c>
      <c r="CU497" s="4">
        <v>0</v>
      </c>
      <c r="CV497" s="4" t="s">
        <v>271</v>
      </c>
      <c r="CW497" s="4" t="s">
        <v>415</v>
      </c>
      <c r="CX497" s="4" t="s">
        <v>416</v>
      </c>
      <c r="CZ497" s="6">
        <f>8639000</f>
        <v>8639000</v>
      </c>
      <c r="DA497" s="6">
        <f>0</f>
        <v>0</v>
      </c>
      <c r="DC497" s="4" t="s">
        <v>241</v>
      </c>
      <c r="DD497" s="4" t="s">
        <v>241</v>
      </c>
      <c r="DF497" s="4" t="s">
        <v>241</v>
      </c>
      <c r="DI497" s="4" t="s">
        <v>241</v>
      </c>
      <c r="DJ497" s="4" t="s">
        <v>241</v>
      </c>
      <c r="DK497" s="4" t="s">
        <v>241</v>
      </c>
      <c r="DL497" s="4" t="s">
        <v>241</v>
      </c>
      <c r="DM497" s="4" t="s">
        <v>277</v>
      </c>
      <c r="DN497" s="4" t="s">
        <v>278</v>
      </c>
      <c r="DO497" s="6">
        <f>53</f>
        <v>53</v>
      </c>
      <c r="DP497" s="4" t="s">
        <v>241</v>
      </c>
      <c r="DQ497" s="4" t="s">
        <v>241</v>
      </c>
      <c r="DR497" s="4" t="s">
        <v>241</v>
      </c>
      <c r="DS497" s="4" t="s">
        <v>241</v>
      </c>
      <c r="DV497" s="4" t="s">
        <v>928</v>
      </c>
      <c r="DW497" s="4" t="s">
        <v>417</v>
      </c>
      <c r="HO497" s="4" t="s">
        <v>336</v>
      </c>
      <c r="HR497" s="4" t="s">
        <v>278</v>
      </c>
      <c r="HS497" s="4" t="s">
        <v>278</v>
      </c>
    </row>
    <row r="498" spans="1:240" x14ac:dyDescent="0.4">
      <c r="A498" s="4">
        <v>2</v>
      </c>
      <c r="B498" s="4" t="s">
        <v>239</v>
      </c>
      <c r="C498" s="4">
        <v>529</v>
      </c>
      <c r="D498" s="4">
        <v>1</v>
      </c>
      <c r="E498" s="4">
        <v>3</v>
      </c>
      <c r="F498" s="4" t="s">
        <v>326</v>
      </c>
      <c r="G498" s="4" t="s">
        <v>241</v>
      </c>
      <c r="H498" s="4" t="s">
        <v>241</v>
      </c>
      <c r="I498" s="4" t="s">
        <v>923</v>
      </c>
      <c r="J498" s="4" t="s">
        <v>653</v>
      </c>
      <c r="K498" s="4" t="s">
        <v>256</v>
      </c>
      <c r="L498" s="4" t="s">
        <v>2724</v>
      </c>
      <c r="M498" s="5" t="s">
        <v>925</v>
      </c>
      <c r="N498" s="4" t="s">
        <v>2761</v>
      </c>
      <c r="O498" s="6">
        <f>0</f>
        <v>0</v>
      </c>
      <c r="P498" s="4" t="s">
        <v>276</v>
      </c>
      <c r="Q498" s="6">
        <f>1335150</f>
        <v>1335150</v>
      </c>
      <c r="R498" s="6">
        <f>1823970</f>
        <v>1823970</v>
      </c>
      <c r="S498" s="5" t="s">
        <v>380</v>
      </c>
      <c r="T498" s="4" t="s">
        <v>348</v>
      </c>
      <c r="U498" s="4" t="s">
        <v>297</v>
      </c>
      <c r="V498" s="6">
        <f>122205</f>
        <v>122205</v>
      </c>
      <c r="W498" s="6">
        <f>488820</f>
        <v>488820</v>
      </c>
      <c r="X498" s="4" t="s">
        <v>243</v>
      </c>
      <c r="Y498" s="4" t="s">
        <v>244</v>
      </c>
      <c r="Z498" s="4" t="s">
        <v>465</v>
      </c>
      <c r="AA498" s="4" t="s">
        <v>241</v>
      </c>
      <c r="AD498" s="4" t="s">
        <v>241</v>
      </c>
      <c r="AE498" s="5" t="s">
        <v>241</v>
      </c>
      <c r="AF498" s="5" t="s">
        <v>241</v>
      </c>
      <c r="AH498" s="5" t="s">
        <v>241</v>
      </c>
      <c r="AI498" s="5" t="s">
        <v>249</v>
      </c>
      <c r="AJ498" s="4" t="s">
        <v>251</v>
      </c>
      <c r="AK498" s="4" t="s">
        <v>252</v>
      </c>
      <c r="AQ498" s="4" t="s">
        <v>241</v>
      </c>
      <c r="AR498" s="4" t="s">
        <v>241</v>
      </c>
      <c r="AS498" s="4" t="s">
        <v>241</v>
      </c>
      <c r="AT498" s="5" t="s">
        <v>241</v>
      </c>
      <c r="AU498" s="5" t="s">
        <v>241</v>
      </c>
      <c r="AV498" s="5" t="s">
        <v>241</v>
      </c>
      <c r="AY498" s="4" t="s">
        <v>286</v>
      </c>
      <c r="AZ498" s="4" t="s">
        <v>286</v>
      </c>
      <c r="BA498" s="4" t="s">
        <v>254</v>
      </c>
      <c r="BB498" s="4" t="s">
        <v>287</v>
      </c>
      <c r="BC498" s="4" t="s">
        <v>255</v>
      </c>
      <c r="BD498" s="4" t="s">
        <v>241</v>
      </c>
      <c r="BE498" s="4" t="s">
        <v>257</v>
      </c>
      <c r="BF498" s="4" t="s">
        <v>241</v>
      </c>
      <c r="BJ498" s="4" t="s">
        <v>288</v>
      </c>
      <c r="BK498" s="5" t="s">
        <v>289</v>
      </c>
      <c r="BL498" s="4" t="s">
        <v>290</v>
      </c>
      <c r="BM498" s="4" t="s">
        <v>290</v>
      </c>
      <c r="BN498" s="4" t="s">
        <v>241</v>
      </c>
      <c r="BP498" s="6">
        <f>-122205</f>
        <v>-122205</v>
      </c>
      <c r="BQ498" s="4" t="s">
        <v>263</v>
      </c>
      <c r="BR498" s="4" t="s">
        <v>264</v>
      </c>
      <c r="BS498" s="4" t="s">
        <v>241</v>
      </c>
      <c r="BT498" s="4" t="s">
        <v>241</v>
      </c>
      <c r="BU498" s="4" t="s">
        <v>241</v>
      </c>
      <c r="BV498" s="4" t="s">
        <v>241</v>
      </c>
      <c r="CE498" s="4" t="s">
        <v>264</v>
      </c>
      <c r="CF498" s="4" t="s">
        <v>241</v>
      </c>
      <c r="CG498" s="4" t="s">
        <v>241</v>
      </c>
      <c r="CK498" s="4" t="s">
        <v>291</v>
      </c>
      <c r="CL498" s="4" t="s">
        <v>266</v>
      </c>
      <c r="CM498" s="4" t="s">
        <v>241</v>
      </c>
      <c r="CO498" s="4" t="s">
        <v>413</v>
      </c>
      <c r="CP498" s="5" t="s">
        <v>268</v>
      </c>
      <c r="CQ498" s="4" t="s">
        <v>269</v>
      </c>
      <c r="CR498" s="4" t="s">
        <v>270</v>
      </c>
      <c r="CS498" s="4" t="s">
        <v>293</v>
      </c>
      <c r="CT498" s="4" t="s">
        <v>241</v>
      </c>
      <c r="CU498" s="4">
        <v>6.7000000000000004E-2</v>
      </c>
      <c r="CV498" s="4" t="s">
        <v>271</v>
      </c>
      <c r="CW498" s="4" t="s">
        <v>415</v>
      </c>
      <c r="CX498" s="4" t="s">
        <v>2719</v>
      </c>
      <c r="CY498" s="6">
        <f>0</f>
        <v>0</v>
      </c>
      <c r="CZ498" s="6">
        <f>1823970</f>
        <v>1823970</v>
      </c>
      <c r="DA498" s="6">
        <f>1335150</f>
        <v>1335150</v>
      </c>
      <c r="DC498" s="4" t="s">
        <v>241</v>
      </c>
      <c r="DD498" s="4" t="s">
        <v>241</v>
      </c>
      <c r="DF498" s="4" t="s">
        <v>241</v>
      </c>
      <c r="DG498" s="6">
        <f>0</f>
        <v>0</v>
      </c>
      <c r="DI498" s="4" t="s">
        <v>241</v>
      </c>
      <c r="DJ498" s="4" t="s">
        <v>241</v>
      </c>
      <c r="DK498" s="4" t="s">
        <v>241</v>
      </c>
      <c r="DL498" s="4" t="s">
        <v>241</v>
      </c>
      <c r="DM498" s="4" t="s">
        <v>278</v>
      </c>
      <c r="DN498" s="4" t="s">
        <v>278</v>
      </c>
      <c r="DO498" s="6" t="s">
        <v>241</v>
      </c>
      <c r="DP498" s="4" t="s">
        <v>241</v>
      </c>
      <c r="DQ498" s="4" t="s">
        <v>241</v>
      </c>
      <c r="DR498" s="4" t="s">
        <v>241</v>
      </c>
      <c r="DS498" s="4" t="s">
        <v>241</v>
      </c>
      <c r="DV498" s="4" t="s">
        <v>928</v>
      </c>
      <c r="DW498" s="4" t="s">
        <v>427</v>
      </c>
      <c r="GN498" s="4" t="s">
        <v>2801</v>
      </c>
      <c r="HO498" s="4" t="s">
        <v>351</v>
      </c>
      <c r="HR498" s="4" t="s">
        <v>278</v>
      </c>
      <c r="HS498" s="4" t="s">
        <v>278</v>
      </c>
      <c r="HT498" s="4" t="s">
        <v>241</v>
      </c>
      <c r="HU498" s="4" t="s">
        <v>241</v>
      </c>
      <c r="HV498" s="4" t="s">
        <v>241</v>
      </c>
      <c r="HW498" s="4" t="s">
        <v>241</v>
      </c>
      <c r="HX498" s="4" t="s">
        <v>241</v>
      </c>
      <c r="HY498" s="4" t="s">
        <v>241</v>
      </c>
      <c r="HZ498" s="4" t="s">
        <v>241</v>
      </c>
      <c r="IA498" s="4" t="s">
        <v>241</v>
      </c>
      <c r="IB498" s="4" t="s">
        <v>241</v>
      </c>
      <c r="IC498" s="4" t="s">
        <v>241</v>
      </c>
      <c r="ID498" s="4" t="s">
        <v>241</v>
      </c>
      <c r="IE498" s="4" t="s">
        <v>241</v>
      </c>
      <c r="IF498" s="4" t="s">
        <v>241</v>
      </c>
    </row>
    <row r="499" spans="1:240" x14ac:dyDescent="0.4">
      <c r="A499" s="4">
        <v>2</v>
      </c>
      <c r="B499" s="4" t="s">
        <v>239</v>
      </c>
      <c r="C499" s="4">
        <v>530</v>
      </c>
      <c r="D499" s="4">
        <v>1</v>
      </c>
      <c r="E499" s="4">
        <v>3</v>
      </c>
      <c r="F499" s="4" t="s">
        <v>326</v>
      </c>
      <c r="G499" s="4" t="s">
        <v>241</v>
      </c>
      <c r="H499" s="4" t="s">
        <v>241</v>
      </c>
      <c r="I499" s="4" t="s">
        <v>923</v>
      </c>
      <c r="J499" s="4" t="s">
        <v>653</v>
      </c>
      <c r="K499" s="4" t="s">
        <v>256</v>
      </c>
      <c r="L499" s="4" t="s">
        <v>241</v>
      </c>
      <c r="M499" s="5" t="s">
        <v>925</v>
      </c>
      <c r="N499" s="4" t="s">
        <v>2747</v>
      </c>
      <c r="O499" s="6">
        <f>0</f>
        <v>0</v>
      </c>
      <c r="P499" s="4" t="s">
        <v>276</v>
      </c>
      <c r="Q499" s="6">
        <f>30821930</f>
        <v>30821930</v>
      </c>
      <c r="R499" s="6">
        <f>36432540</f>
        <v>36432540</v>
      </c>
      <c r="S499" s="5" t="s">
        <v>1104</v>
      </c>
      <c r="T499" s="4" t="s">
        <v>322</v>
      </c>
      <c r="U499" s="4" t="s">
        <v>277</v>
      </c>
      <c r="V499" s="6">
        <f>2805305</f>
        <v>2805305</v>
      </c>
      <c r="W499" s="6">
        <f>5610610</f>
        <v>5610610</v>
      </c>
      <c r="X499" s="4" t="s">
        <v>243</v>
      </c>
      <c r="Y499" s="4" t="s">
        <v>244</v>
      </c>
      <c r="Z499" s="4" t="s">
        <v>241</v>
      </c>
      <c r="AA499" s="4" t="s">
        <v>241</v>
      </c>
      <c r="AD499" s="4" t="s">
        <v>241</v>
      </c>
      <c r="AE499" s="5" t="s">
        <v>241</v>
      </c>
      <c r="AF499" s="5" t="s">
        <v>241</v>
      </c>
      <c r="AH499" s="5" t="s">
        <v>241</v>
      </c>
      <c r="AI499" s="5" t="s">
        <v>249</v>
      </c>
      <c r="AJ499" s="4" t="s">
        <v>251</v>
      </c>
      <c r="AK499" s="4" t="s">
        <v>252</v>
      </c>
      <c r="AQ499" s="4" t="s">
        <v>241</v>
      </c>
      <c r="AR499" s="4" t="s">
        <v>241</v>
      </c>
      <c r="AS499" s="4" t="s">
        <v>241</v>
      </c>
      <c r="AT499" s="5" t="s">
        <v>241</v>
      </c>
      <c r="AU499" s="5" t="s">
        <v>241</v>
      </c>
      <c r="AV499" s="5" t="s">
        <v>241</v>
      </c>
      <c r="AY499" s="4" t="s">
        <v>286</v>
      </c>
      <c r="AZ499" s="4" t="s">
        <v>286</v>
      </c>
      <c r="BA499" s="4" t="s">
        <v>254</v>
      </c>
      <c r="BB499" s="4" t="s">
        <v>287</v>
      </c>
      <c r="BC499" s="4" t="s">
        <v>255</v>
      </c>
      <c r="BD499" s="4" t="s">
        <v>241</v>
      </c>
      <c r="BE499" s="4" t="s">
        <v>257</v>
      </c>
      <c r="BF499" s="4" t="s">
        <v>241</v>
      </c>
      <c r="BJ499" s="4" t="s">
        <v>288</v>
      </c>
      <c r="BK499" s="5" t="s">
        <v>289</v>
      </c>
      <c r="BL499" s="4" t="s">
        <v>290</v>
      </c>
      <c r="BM499" s="4" t="s">
        <v>290</v>
      </c>
      <c r="BN499" s="4" t="s">
        <v>241</v>
      </c>
      <c r="BP499" s="6">
        <f>-2805305</f>
        <v>-2805305</v>
      </c>
      <c r="BQ499" s="4" t="s">
        <v>263</v>
      </c>
      <c r="BR499" s="4" t="s">
        <v>264</v>
      </c>
      <c r="BS499" s="4" t="s">
        <v>241</v>
      </c>
      <c r="BT499" s="4" t="s">
        <v>241</v>
      </c>
      <c r="BU499" s="4" t="s">
        <v>241</v>
      </c>
      <c r="BV499" s="4" t="s">
        <v>241</v>
      </c>
      <c r="CE499" s="4" t="s">
        <v>264</v>
      </c>
      <c r="CF499" s="4" t="s">
        <v>241</v>
      </c>
      <c r="CG499" s="4" t="s">
        <v>241</v>
      </c>
      <c r="CK499" s="4" t="s">
        <v>291</v>
      </c>
      <c r="CL499" s="4" t="s">
        <v>266</v>
      </c>
      <c r="CM499" s="4" t="s">
        <v>241</v>
      </c>
      <c r="CO499" s="4" t="s">
        <v>331</v>
      </c>
      <c r="CP499" s="5" t="s">
        <v>268</v>
      </c>
      <c r="CQ499" s="4" t="s">
        <v>269</v>
      </c>
      <c r="CR499" s="4" t="s">
        <v>270</v>
      </c>
      <c r="CS499" s="4" t="s">
        <v>293</v>
      </c>
      <c r="CT499" s="4" t="s">
        <v>241</v>
      </c>
      <c r="CU499" s="4">
        <v>7.6999999999999999E-2</v>
      </c>
      <c r="CV499" s="4" t="s">
        <v>271</v>
      </c>
      <c r="CW499" s="4" t="s">
        <v>415</v>
      </c>
      <c r="CX499" s="4" t="s">
        <v>428</v>
      </c>
      <c r="CY499" s="6">
        <f>0</f>
        <v>0</v>
      </c>
      <c r="CZ499" s="6">
        <f>36432540</f>
        <v>36432540</v>
      </c>
      <c r="DA499" s="6">
        <f>30821930</f>
        <v>30821930</v>
      </c>
      <c r="DC499" s="4" t="s">
        <v>241</v>
      </c>
      <c r="DD499" s="4" t="s">
        <v>241</v>
      </c>
      <c r="DF499" s="4" t="s">
        <v>241</v>
      </c>
      <c r="DG499" s="6">
        <f>0</f>
        <v>0</v>
      </c>
      <c r="DI499" s="4" t="s">
        <v>241</v>
      </c>
      <c r="DJ499" s="4" t="s">
        <v>241</v>
      </c>
      <c r="DK499" s="4" t="s">
        <v>241</v>
      </c>
      <c r="DL499" s="4" t="s">
        <v>241</v>
      </c>
      <c r="DM499" s="4" t="s">
        <v>278</v>
      </c>
      <c r="DN499" s="4" t="s">
        <v>278</v>
      </c>
      <c r="DO499" s="6" t="s">
        <v>241</v>
      </c>
      <c r="DP499" s="4" t="s">
        <v>241</v>
      </c>
      <c r="DQ499" s="4" t="s">
        <v>241</v>
      </c>
      <c r="DR499" s="4" t="s">
        <v>241</v>
      </c>
      <c r="DS499" s="4" t="s">
        <v>241</v>
      </c>
      <c r="DV499" s="4" t="s">
        <v>928</v>
      </c>
      <c r="DW499" s="4" t="s">
        <v>353</v>
      </c>
      <c r="GN499" s="4" t="s">
        <v>2800</v>
      </c>
      <c r="HO499" s="4" t="s">
        <v>297</v>
      </c>
      <c r="HR499" s="4" t="s">
        <v>278</v>
      </c>
      <c r="HS499" s="4" t="s">
        <v>278</v>
      </c>
      <c r="HT499" s="4" t="s">
        <v>241</v>
      </c>
      <c r="HU499" s="4" t="s">
        <v>241</v>
      </c>
      <c r="HV499" s="4" t="s">
        <v>241</v>
      </c>
      <c r="HW499" s="4" t="s">
        <v>241</v>
      </c>
      <c r="HX499" s="4" t="s">
        <v>241</v>
      </c>
      <c r="HY499" s="4" t="s">
        <v>241</v>
      </c>
      <c r="HZ499" s="4" t="s">
        <v>241</v>
      </c>
      <c r="IA499" s="4" t="s">
        <v>241</v>
      </c>
      <c r="IB499" s="4" t="s">
        <v>241</v>
      </c>
      <c r="IC499" s="4" t="s">
        <v>241</v>
      </c>
      <c r="ID499" s="4" t="s">
        <v>241</v>
      </c>
      <c r="IE499" s="4" t="s">
        <v>241</v>
      </c>
      <c r="IF499" s="4" t="s">
        <v>241</v>
      </c>
    </row>
    <row r="500" spans="1:240" x14ac:dyDescent="0.4">
      <c r="A500" s="4">
        <v>2</v>
      </c>
      <c r="B500" s="4" t="s">
        <v>239</v>
      </c>
      <c r="C500" s="4">
        <v>531</v>
      </c>
      <c r="D500" s="4">
        <v>1</v>
      </c>
      <c r="E500" s="4">
        <v>3</v>
      </c>
      <c r="F500" s="4" t="s">
        <v>240</v>
      </c>
      <c r="G500" s="4" t="s">
        <v>241</v>
      </c>
      <c r="H500" s="4" t="s">
        <v>241</v>
      </c>
      <c r="I500" s="4" t="s">
        <v>981</v>
      </c>
      <c r="J500" s="4" t="s">
        <v>653</v>
      </c>
      <c r="K500" s="4" t="s">
        <v>256</v>
      </c>
      <c r="L500" s="4" t="s">
        <v>651</v>
      </c>
      <c r="M500" s="5" t="s">
        <v>982</v>
      </c>
      <c r="N500" s="4" t="s">
        <v>651</v>
      </c>
      <c r="O500" s="6">
        <f>2150</f>
        <v>2150</v>
      </c>
      <c r="P500" s="4" t="s">
        <v>276</v>
      </c>
      <c r="Q500" s="6">
        <f>28444500</f>
        <v>28444500</v>
      </c>
      <c r="R500" s="6">
        <f>290250000</f>
        <v>290250000</v>
      </c>
      <c r="S500" s="5" t="s">
        <v>839</v>
      </c>
      <c r="T500" s="4" t="s">
        <v>668</v>
      </c>
      <c r="U500" s="4" t="s">
        <v>412</v>
      </c>
      <c r="V500" s="6">
        <f>6385500</f>
        <v>6385500</v>
      </c>
      <c r="W500" s="6">
        <f>261805500</f>
        <v>261805500</v>
      </c>
      <c r="X500" s="4" t="s">
        <v>243</v>
      </c>
      <c r="Y500" s="4" t="s">
        <v>244</v>
      </c>
      <c r="Z500" s="4" t="s">
        <v>465</v>
      </c>
      <c r="AA500" s="4" t="s">
        <v>241</v>
      </c>
      <c r="AD500" s="4" t="s">
        <v>241</v>
      </c>
      <c r="AE500" s="5" t="s">
        <v>241</v>
      </c>
      <c r="AF500" s="5" t="s">
        <v>241</v>
      </c>
      <c r="AH500" s="5" t="s">
        <v>241</v>
      </c>
      <c r="AI500" s="5" t="s">
        <v>249</v>
      </c>
      <c r="AJ500" s="4" t="s">
        <v>251</v>
      </c>
      <c r="AK500" s="4" t="s">
        <v>252</v>
      </c>
      <c r="AQ500" s="4" t="s">
        <v>241</v>
      </c>
      <c r="AR500" s="4" t="s">
        <v>241</v>
      </c>
      <c r="AS500" s="4" t="s">
        <v>241</v>
      </c>
      <c r="AT500" s="5" t="s">
        <v>241</v>
      </c>
      <c r="AU500" s="5" t="s">
        <v>241</v>
      </c>
      <c r="AV500" s="5" t="s">
        <v>241</v>
      </c>
      <c r="AY500" s="4" t="s">
        <v>286</v>
      </c>
      <c r="AZ500" s="4" t="s">
        <v>286</v>
      </c>
      <c r="BA500" s="4" t="s">
        <v>254</v>
      </c>
      <c r="BB500" s="4" t="s">
        <v>287</v>
      </c>
      <c r="BC500" s="4" t="s">
        <v>255</v>
      </c>
      <c r="BD500" s="4" t="s">
        <v>241</v>
      </c>
      <c r="BE500" s="4" t="s">
        <v>257</v>
      </c>
      <c r="BF500" s="4" t="s">
        <v>241</v>
      </c>
      <c r="BH500" s="4" t="s">
        <v>750</v>
      </c>
      <c r="BJ500" s="4" t="s">
        <v>288</v>
      </c>
      <c r="BK500" s="5" t="s">
        <v>289</v>
      </c>
      <c r="BL500" s="4" t="s">
        <v>290</v>
      </c>
      <c r="BM500" s="4" t="s">
        <v>290</v>
      </c>
      <c r="BN500" s="4" t="s">
        <v>241</v>
      </c>
      <c r="BO500" s="6">
        <f>0</f>
        <v>0</v>
      </c>
      <c r="BP500" s="6">
        <f>-6385500</f>
        <v>-6385500</v>
      </c>
      <c r="BQ500" s="4" t="s">
        <v>263</v>
      </c>
      <c r="BR500" s="4" t="s">
        <v>264</v>
      </c>
      <c r="BS500" s="4" t="s">
        <v>241</v>
      </c>
      <c r="BT500" s="4" t="s">
        <v>241</v>
      </c>
      <c r="BU500" s="4" t="s">
        <v>241</v>
      </c>
      <c r="BV500" s="4" t="s">
        <v>241</v>
      </c>
      <c r="CE500" s="4" t="s">
        <v>264</v>
      </c>
      <c r="CF500" s="4" t="s">
        <v>241</v>
      </c>
      <c r="CG500" s="4" t="s">
        <v>241</v>
      </c>
      <c r="CK500" s="4" t="s">
        <v>265</v>
      </c>
      <c r="CL500" s="4" t="s">
        <v>266</v>
      </c>
      <c r="CM500" s="4" t="s">
        <v>241</v>
      </c>
      <c r="CO500" s="4" t="s">
        <v>841</v>
      </c>
      <c r="CP500" s="5" t="s">
        <v>268</v>
      </c>
      <c r="CQ500" s="4" t="s">
        <v>269</v>
      </c>
      <c r="CR500" s="4" t="s">
        <v>270</v>
      </c>
      <c r="CS500" s="4" t="s">
        <v>293</v>
      </c>
      <c r="CT500" s="4" t="s">
        <v>241</v>
      </c>
      <c r="CU500" s="4">
        <v>2.1999999999999999E-2</v>
      </c>
      <c r="CV500" s="4" t="s">
        <v>271</v>
      </c>
      <c r="CW500" s="4" t="s">
        <v>655</v>
      </c>
      <c r="CX500" s="4" t="s">
        <v>295</v>
      </c>
      <c r="CY500" s="6">
        <f>0</f>
        <v>0</v>
      </c>
      <c r="CZ500" s="6">
        <f>290250000</f>
        <v>290250000</v>
      </c>
      <c r="DA500" s="6">
        <f>28444500</f>
        <v>28444500</v>
      </c>
      <c r="DC500" s="4" t="s">
        <v>241</v>
      </c>
      <c r="DD500" s="4" t="s">
        <v>241</v>
      </c>
      <c r="DF500" s="4" t="s">
        <v>241</v>
      </c>
      <c r="DG500" s="6">
        <f>0</f>
        <v>0</v>
      </c>
      <c r="DI500" s="4" t="s">
        <v>241</v>
      </c>
      <c r="DJ500" s="4" t="s">
        <v>241</v>
      </c>
      <c r="DK500" s="4" t="s">
        <v>241</v>
      </c>
      <c r="DL500" s="4" t="s">
        <v>241</v>
      </c>
      <c r="DM500" s="4" t="s">
        <v>323</v>
      </c>
      <c r="DN500" s="4" t="s">
        <v>278</v>
      </c>
      <c r="DO500" s="6">
        <f>2150</f>
        <v>2150</v>
      </c>
      <c r="DP500" s="4" t="s">
        <v>241</v>
      </c>
      <c r="DQ500" s="4" t="s">
        <v>241</v>
      </c>
      <c r="DR500" s="4" t="s">
        <v>241</v>
      </c>
      <c r="DS500" s="4" t="s">
        <v>241</v>
      </c>
      <c r="DV500" s="4" t="s">
        <v>983</v>
      </c>
      <c r="DW500" s="4" t="s">
        <v>277</v>
      </c>
      <c r="GN500" s="4" t="s">
        <v>984</v>
      </c>
      <c r="HO500" s="4" t="s">
        <v>300</v>
      </c>
      <c r="HR500" s="4" t="s">
        <v>278</v>
      </c>
      <c r="HS500" s="4" t="s">
        <v>278</v>
      </c>
      <c r="HT500" s="4" t="s">
        <v>241</v>
      </c>
      <c r="HU500" s="4" t="s">
        <v>241</v>
      </c>
      <c r="HV500" s="4" t="s">
        <v>241</v>
      </c>
      <c r="HW500" s="4" t="s">
        <v>241</v>
      </c>
      <c r="HX500" s="4" t="s">
        <v>241</v>
      </c>
      <c r="HY500" s="4" t="s">
        <v>241</v>
      </c>
      <c r="HZ500" s="4" t="s">
        <v>241</v>
      </c>
      <c r="IA500" s="4" t="s">
        <v>241</v>
      </c>
      <c r="IB500" s="4" t="s">
        <v>241</v>
      </c>
      <c r="IC500" s="4" t="s">
        <v>241</v>
      </c>
      <c r="ID500" s="4" t="s">
        <v>241</v>
      </c>
      <c r="IE500" s="4" t="s">
        <v>241</v>
      </c>
      <c r="IF500" s="4" t="s">
        <v>241</v>
      </c>
    </row>
    <row r="501" spans="1:240" x14ac:dyDescent="0.4">
      <c r="A501" s="4">
        <v>2</v>
      </c>
      <c r="B501" s="4" t="s">
        <v>239</v>
      </c>
      <c r="C501" s="4">
        <v>532</v>
      </c>
      <c r="D501" s="4">
        <v>1</v>
      </c>
      <c r="E501" s="4">
        <v>3</v>
      </c>
      <c r="F501" s="4" t="s">
        <v>240</v>
      </c>
      <c r="G501" s="4" t="s">
        <v>241</v>
      </c>
      <c r="H501" s="4" t="s">
        <v>241</v>
      </c>
      <c r="I501" s="4" t="s">
        <v>981</v>
      </c>
      <c r="J501" s="4" t="s">
        <v>653</v>
      </c>
      <c r="K501" s="4" t="s">
        <v>256</v>
      </c>
      <c r="L501" s="4" t="s">
        <v>1003</v>
      </c>
      <c r="M501" s="5" t="s">
        <v>982</v>
      </c>
      <c r="N501" s="4" t="s">
        <v>1003</v>
      </c>
      <c r="O501" s="6">
        <f>1040</f>
        <v>1040</v>
      </c>
      <c r="P501" s="4" t="s">
        <v>276</v>
      </c>
      <c r="Q501" s="6">
        <f>65540800</f>
        <v>65540800</v>
      </c>
      <c r="R501" s="6">
        <f>239200000</f>
        <v>239200000</v>
      </c>
      <c r="S501" s="5" t="s">
        <v>1132</v>
      </c>
      <c r="T501" s="4" t="s">
        <v>668</v>
      </c>
      <c r="U501" s="4" t="s">
        <v>552</v>
      </c>
      <c r="V501" s="6">
        <f>5262400</f>
        <v>5262400</v>
      </c>
      <c r="W501" s="6">
        <f>173659200</f>
        <v>173659200</v>
      </c>
      <c r="X501" s="4" t="s">
        <v>243</v>
      </c>
      <c r="Y501" s="4" t="s">
        <v>244</v>
      </c>
      <c r="Z501" s="4" t="s">
        <v>465</v>
      </c>
      <c r="AA501" s="4" t="s">
        <v>241</v>
      </c>
      <c r="AD501" s="4" t="s">
        <v>241</v>
      </c>
      <c r="AE501" s="5" t="s">
        <v>241</v>
      </c>
      <c r="AF501" s="5" t="s">
        <v>241</v>
      </c>
      <c r="AH501" s="5" t="s">
        <v>241</v>
      </c>
      <c r="AI501" s="5" t="s">
        <v>249</v>
      </c>
      <c r="AJ501" s="4" t="s">
        <v>251</v>
      </c>
      <c r="AK501" s="4" t="s">
        <v>252</v>
      </c>
      <c r="AQ501" s="4" t="s">
        <v>241</v>
      </c>
      <c r="AR501" s="4" t="s">
        <v>241</v>
      </c>
      <c r="AS501" s="4" t="s">
        <v>241</v>
      </c>
      <c r="AT501" s="5" t="s">
        <v>241</v>
      </c>
      <c r="AU501" s="5" t="s">
        <v>241</v>
      </c>
      <c r="AV501" s="5" t="s">
        <v>241</v>
      </c>
      <c r="AY501" s="4" t="s">
        <v>286</v>
      </c>
      <c r="AZ501" s="4" t="s">
        <v>286</v>
      </c>
      <c r="BA501" s="4" t="s">
        <v>254</v>
      </c>
      <c r="BB501" s="4" t="s">
        <v>287</v>
      </c>
      <c r="BC501" s="4" t="s">
        <v>255</v>
      </c>
      <c r="BD501" s="4" t="s">
        <v>241</v>
      </c>
      <c r="BE501" s="4" t="s">
        <v>257</v>
      </c>
      <c r="BF501" s="4" t="s">
        <v>241</v>
      </c>
      <c r="BJ501" s="4" t="s">
        <v>288</v>
      </c>
      <c r="BK501" s="5" t="s">
        <v>289</v>
      </c>
      <c r="BL501" s="4" t="s">
        <v>290</v>
      </c>
      <c r="BM501" s="4" t="s">
        <v>290</v>
      </c>
      <c r="BN501" s="4" t="s">
        <v>241</v>
      </c>
      <c r="BO501" s="6">
        <f>0</f>
        <v>0</v>
      </c>
      <c r="BP501" s="6">
        <f>-5262400</f>
        <v>-5262400</v>
      </c>
      <c r="BQ501" s="4" t="s">
        <v>263</v>
      </c>
      <c r="BR501" s="4" t="s">
        <v>264</v>
      </c>
      <c r="BS501" s="4" t="s">
        <v>241</v>
      </c>
      <c r="BT501" s="4" t="s">
        <v>241</v>
      </c>
      <c r="BU501" s="4" t="s">
        <v>241</v>
      </c>
      <c r="BV501" s="4" t="s">
        <v>241</v>
      </c>
      <c r="CE501" s="4" t="s">
        <v>264</v>
      </c>
      <c r="CF501" s="4" t="s">
        <v>241</v>
      </c>
      <c r="CG501" s="4" t="s">
        <v>241</v>
      </c>
      <c r="CK501" s="4" t="s">
        <v>291</v>
      </c>
      <c r="CL501" s="4" t="s">
        <v>266</v>
      </c>
      <c r="CM501" s="4" t="s">
        <v>241</v>
      </c>
      <c r="CO501" s="4" t="s">
        <v>551</v>
      </c>
      <c r="CP501" s="5" t="s">
        <v>268</v>
      </c>
      <c r="CQ501" s="4" t="s">
        <v>269</v>
      </c>
      <c r="CR501" s="4" t="s">
        <v>270</v>
      </c>
      <c r="CS501" s="4" t="s">
        <v>293</v>
      </c>
      <c r="CT501" s="4" t="s">
        <v>241</v>
      </c>
      <c r="CU501" s="4">
        <v>2.1999999999999999E-2</v>
      </c>
      <c r="CV501" s="4" t="s">
        <v>271</v>
      </c>
      <c r="CW501" s="4" t="s">
        <v>1006</v>
      </c>
      <c r="CX501" s="4" t="s">
        <v>295</v>
      </c>
      <c r="CY501" s="6">
        <f>0</f>
        <v>0</v>
      </c>
      <c r="CZ501" s="6">
        <f>239200000</f>
        <v>239200000</v>
      </c>
      <c r="DA501" s="6">
        <f>65540800</f>
        <v>65540800</v>
      </c>
      <c r="DC501" s="4" t="s">
        <v>241</v>
      </c>
      <c r="DD501" s="4" t="s">
        <v>241</v>
      </c>
      <c r="DF501" s="4" t="s">
        <v>241</v>
      </c>
      <c r="DG501" s="6">
        <f>0</f>
        <v>0</v>
      </c>
      <c r="DI501" s="4" t="s">
        <v>241</v>
      </c>
      <c r="DJ501" s="4" t="s">
        <v>241</v>
      </c>
      <c r="DK501" s="4" t="s">
        <v>241</v>
      </c>
      <c r="DL501" s="4" t="s">
        <v>241</v>
      </c>
      <c r="DM501" s="4" t="s">
        <v>323</v>
      </c>
      <c r="DN501" s="4" t="s">
        <v>278</v>
      </c>
      <c r="DO501" s="6">
        <f>1040</f>
        <v>1040</v>
      </c>
      <c r="DP501" s="4" t="s">
        <v>241</v>
      </c>
      <c r="DQ501" s="4" t="s">
        <v>241</v>
      </c>
      <c r="DR501" s="4" t="s">
        <v>241</v>
      </c>
      <c r="DS501" s="4" t="s">
        <v>241</v>
      </c>
      <c r="DV501" s="4" t="s">
        <v>983</v>
      </c>
      <c r="DW501" s="4" t="s">
        <v>323</v>
      </c>
      <c r="GN501" s="4" t="s">
        <v>1133</v>
      </c>
      <c r="HO501" s="4" t="s">
        <v>300</v>
      </c>
      <c r="HR501" s="4" t="s">
        <v>278</v>
      </c>
      <c r="HS501" s="4" t="s">
        <v>278</v>
      </c>
      <c r="HT501" s="4" t="s">
        <v>241</v>
      </c>
      <c r="HU501" s="4" t="s">
        <v>241</v>
      </c>
      <c r="HV501" s="4" t="s">
        <v>241</v>
      </c>
      <c r="HW501" s="4" t="s">
        <v>241</v>
      </c>
      <c r="HX501" s="4" t="s">
        <v>241</v>
      </c>
      <c r="HY501" s="4" t="s">
        <v>241</v>
      </c>
      <c r="HZ501" s="4" t="s">
        <v>241</v>
      </c>
      <c r="IA501" s="4" t="s">
        <v>241</v>
      </c>
      <c r="IB501" s="4" t="s">
        <v>241</v>
      </c>
      <c r="IC501" s="4" t="s">
        <v>241</v>
      </c>
      <c r="ID501" s="4" t="s">
        <v>241</v>
      </c>
      <c r="IE501" s="4" t="s">
        <v>241</v>
      </c>
      <c r="IF501" s="4" t="s">
        <v>241</v>
      </c>
    </row>
    <row r="502" spans="1:240" x14ac:dyDescent="0.4">
      <c r="A502" s="4">
        <v>2</v>
      </c>
      <c r="B502" s="4" t="s">
        <v>239</v>
      </c>
      <c r="C502" s="4">
        <v>533</v>
      </c>
      <c r="D502" s="4">
        <v>1</v>
      </c>
      <c r="E502" s="4">
        <v>1</v>
      </c>
      <c r="F502" s="4" t="s">
        <v>240</v>
      </c>
      <c r="G502" s="4" t="s">
        <v>241</v>
      </c>
      <c r="H502" s="4" t="s">
        <v>241</v>
      </c>
      <c r="I502" s="4" t="s">
        <v>981</v>
      </c>
      <c r="J502" s="4" t="s">
        <v>653</v>
      </c>
      <c r="K502" s="4" t="s">
        <v>256</v>
      </c>
      <c r="L502" s="4" t="s">
        <v>429</v>
      </c>
      <c r="M502" s="5" t="s">
        <v>982</v>
      </c>
      <c r="N502" s="4" t="s">
        <v>429</v>
      </c>
      <c r="O502" s="6">
        <f>7</f>
        <v>7</v>
      </c>
      <c r="P502" s="4" t="s">
        <v>276</v>
      </c>
      <c r="Q502" s="6">
        <f>1</f>
        <v>1</v>
      </c>
      <c r="R502" s="6">
        <f>490000</f>
        <v>490000</v>
      </c>
      <c r="S502" s="5" t="s">
        <v>2059</v>
      </c>
      <c r="T502" s="4" t="s">
        <v>357</v>
      </c>
      <c r="U502" s="4" t="s">
        <v>296</v>
      </c>
      <c r="W502" s="6">
        <f>489999</f>
        <v>489999</v>
      </c>
      <c r="X502" s="4" t="s">
        <v>243</v>
      </c>
      <c r="Y502" s="4" t="s">
        <v>244</v>
      </c>
      <c r="Z502" s="4" t="s">
        <v>465</v>
      </c>
      <c r="AA502" s="4" t="s">
        <v>241</v>
      </c>
      <c r="AD502" s="4" t="s">
        <v>241</v>
      </c>
      <c r="AF502" s="5" t="s">
        <v>241</v>
      </c>
      <c r="AI502" s="5" t="s">
        <v>249</v>
      </c>
      <c r="AJ502" s="4" t="s">
        <v>251</v>
      </c>
      <c r="AK502" s="4" t="s">
        <v>252</v>
      </c>
      <c r="BA502" s="4" t="s">
        <v>254</v>
      </c>
      <c r="BB502" s="4" t="s">
        <v>241</v>
      </c>
      <c r="BC502" s="4" t="s">
        <v>255</v>
      </c>
      <c r="BD502" s="4" t="s">
        <v>241</v>
      </c>
      <c r="BE502" s="4" t="s">
        <v>257</v>
      </c>
      <c r="BF502" s="4" t="s">
        <v>241</v>
      </c>
      <c r="BJ502" s="4" t="s">
        <v>367</v>
      </c>
      <c r="BK502" s="5" t="s">
        <v>249</v>
      </c>
      <c r="BL502" s="4" t="s">
        <v>261</v>
      </c>
      <c r="BM502" s="4" t="s">
        <v>262</v>
      </c>
      <c r="BN502" s="4" t="s">
        <v>241</v>
      </c>
      <c r="BO502" s="6">
        <f>0</f>
        <v>0</v>
      </c>
      <c r="BP502" s="6">
        <f>0</f>
        <v>0</v>
      </c>
      <c r="BQ502" s="4" t="s">
        <v>263</v>
      </c>
      <c r="BR502" s="4" t="s">
        <v>264</v>
      </c>
      <c r="CF502" s="4" t="s">
        <v>241</v>
      </c>
      <c r="CG502" s="4" t="s">
        <v>241</v>
      </c>
      <c r="CK502" s="4" t="s">
        <v>265</v>
      </c>
      <c r="CL502" s="4" t="s">
        <v>266</v>
      </c>
      <c r="CM502" s="4" t="s">
        <v>241</v>
      </c>
      <c r="CO502" s="4" t="s">
        <v>733</v>
      </c>
      <c r="CP502" s="5" t="s">
        <v>268</v>
      </c>
      <c r="CQ502" s="4" t="s">
        <v>269</v>
      </c>
      <c r="CR502" s="4" t="s">
        <v>270</v>
      </c>
      <c r="CS502" s="4" t="s">
        <v>241</v>
      </c>
      <c r="CT502" s="4" t="s">
        <v>241</v>
      </c>
      <c r="CU502" s="4">
        <v>0</v>
      </c>
      <c r="CV502" s="4" t="s">
        <v>271</v>
      </c>
      <c r="CW502" s="4" t="s">
        <v>272</v>
      </c>
      <c r="CX502" s="4" t="s">
        <v>356</v>
      </c>
      <c r="CZ502" s="6">
        <f>490000</f>
        <v>490000</v>
      </c>
      <c r="DA502" s="6">
        <f>0</f>
        <v>0</v>
      </c>
      <c r="DC502" s="4" t="s">
        <v>241</v>
      </c>
      <c r="DD502" s="4" t="s">
        <v>241</v>
      </c>
      <c r="DF502" s="4" t="s">
        <v>241</v>
      </c>
      <c r="DI502" s="4" t="s">
        <v>241</v>
      </c>
      <c r="DJ502" s="4" t="s">
        <v>241</v>
      </c>
      <c r="DK502" s="4" t="s">
        <v>241</v>
      </c>
      <c r="DL502" s="4" t="s">
        <v>241</v>
      </c>
      <c r="DM502" s="4" t="s">
        <v>277</v>
      </c>
      <c r="DN502" s="4" t="s">
        <v>278</v>
      </c>
      <c r="DO502" s="6">
        <f>7</f>
        <v>7</v>
      </c>
      <c r="DP502" s="4" t="s">
        <v>241</v>
      </c>
      <c r="DQ502" s="4" t="s">
        <v>241</v>
      </c>
      <c r="DR502" s="4" t="s">
        <v>241</v>
      </c>
      <c r="DS502" s="4" t="s">
        <v>241</v>
      </c>
      <c r="DV502" s="4" t="s">
        <v>983</v>
      </c>
      <c r="DW502" s="4" t="s">
        <v>297</v>
      </c>
      <c r="HO502" s="4" t="s">
        <v>277</v>
      </c>
      <c r="HR502" s="4" t="s">
        <v>278</v>
      </c>
      <c r="HS502" s="4" t="s">
        <v>278</v>
      </c>
    </row>
    <row r="503" spans="1:240" x14ac:dyDescent="0.4">
      <c r="A503" s="4">
        <v>2</v>
      </c>
      <c r="B503" s="4" t="s">
        <v>239</v>
      </c>
      <c r="C503" s="4">
        <v>534</v>
      </c>
      <c r="D503" s="4">
        <v>1</v>
      </c>
      <c r="E503" s="4">
        <v>1</v>
      </c>
      <c r="F503" s="4" t="s">
        <v>240</v>
      </c>
      <c r="G503" s="4" t="s">
        <v>241</v>
      </c>
      <c r="H503" s="4" t="s">
        <v>241</v>
      </c>
      <c r="I503" s="4" t="s">
        <v>981</v>
      </c>
      <c r="J503" s="4" t="s">
        <v>653</v>
      </c>
      <c r="K503" s="4" t="s">
        <v>256</v>
      </c>
      <c r="L503" s="4" t="s">
        <v>414</v>
      </c>
      <c r="M503" s="5" t="s">
        <v>982</v>
      </c>
      <c r="N503" s="4" t="s">
        <v>414</v>
      </c>
      <c r="O503" s="6">
        <f>24</f>
        <v>24</v>
      </c>
      <c r="P503" s="4" t="s">
        <v>276</v>
      </c>
      <c r="Q503" s="6">
        <f>1</f>
        <v>1</v>
      </c>
      <c r="R503" s="6">
        <f>1680000</f>
        <v>1680000</v>
      </c>
      <c r="S503" s="5" t="s">
        <v>839</v>
      </c>
      <c r="T503" s="4" t="s">
        <v>348</v>
      </c>
      <c r="U503" s="4" t="s">
        <v>669</v>
      </c>
      <c r="W503" s="6">
        <f>1679999</f>
        <v>1679999</v>
      </c>
      <c r="X503" s="4" t="s">
        <v>243</v>
      </c>
      <c r="Y503" s="4" t="s">
        <v>244</v>
      </c>
      <c r="Z503" s="4" t="s">
        <v>465</v>
      </c>
      <c r="AA503" s="4" t="s">
        <v>241</v>
      </c>
      <c r="AD503" s="4" t="s">
        <v>241</v>
      </c>
      <c r="AF503" s="5" t="s">
        <v>241</v>
      </c>
      <c r="AI503" s="5" t="s">
        <v>249</v>
      </c>
      <c r="AJ503" s="4" t="s">
        <v>251</v>
      </c>
      <c r="AK503" s="4" t="s">
        <v>252</v>
      </c>
      <c r="BA503" s="4" t="s">
        <v>254</v>
      </c>
      <c r="BB503" s="4" t="s">
        <v>241</v>
      </c>
      <c r="BC503" s="4" t="s">
        <v>255</v>
      </c>
      <c r="BD503" s="4" t="s">
        <v>241</v>
      </c>
      <c r="BE503" s="4" t="s">
        <v>257</v>
      </c>
      <c r="BF503" s="4" t="s">
        <v>241</v>
      </c>
      <c r="BJ503" s="4" t="s">
        <v>374</v>
      </c>
      <c r="BK503" s="5" t="s">
        <v>375</v>
      </c>
      <c r="BL503" s="4" t="s">
        <v>261</v>
      </c>
      <c r="BM503" s="4" t="s">
        <v>262</v>
      </c>
      <c r="BN503" s="4" t="s">
        <v>241</v>
      </c>
      <c r="BO503" s="6">
        <f>0</f>
        <v>0</v>
      </c>
      <c r="BP503" s="6">
        <f>0</f>
        <v>0</v>
      </c>
      <c r="BQ503" s="4" t="s">
        <v>263</v>
      </c>
      <c r="BR503" s="4" t="s">
        <v>264</v>
      </c>
      <c r="CF503" s="4" t="s">
        <v>241</v>
      </c>
      <c r="CG503" s="4" t="s">
        <v>241</v>
      </c>
      <c r="CK503" s="4" t="s">
        <v>265</v>
      </c>
      <c r="CL503" s="4" t="s">
        <v>266</v>
      </c>
      <c r="CM503" s="4" t="s">
        <v>241</v>
      </c>
      <c r="CO503" s="4" t="s">
        <v>841</v>
      </c>
      <c r="CP503" s="5" t="s">
        <v>268</v>
      </c>
      <c r="CQ503" s="4" t="s">
        <v>269</v>
      </c>
      <c r="CR503" s="4" t="s">
        <v>270</v>
      </c>
      <c r="CS503" s="4" t="s">
        <v>241</v>
      </c>
      <c r="CT503" s="4" t="s">
        <v>241</v>
      </c>
      <c r="CU503" s="4">
        <v>0</v>
      </c>
      <c r="CV503" s="4" t="s">
        <v>271</v>
      </c>
      <c r="CW503" s="4" t="s">
        <v>415</v>
      </c>
      <c r="CX503" s="4" t="s">
        <v>416</v>
      </c>
      <c r="CZ503" s="6">
        <f>1680000</f>
        <v>1680000</v>
      </c>
      <c r="DA503" s="6">
        <f>0</f>
        <v>0</v>
      </c>
      <c r="DC503" s="4" t="s">
        <v>241</v>
      </c>
      <c r="DD503" s="4" t="s">
        <v>241</v>
      </c>
      <c r="DF503" s="4" t="s">
        <v>241</v>
      </c>
      <c r="DI503" s="4" t="s">
        <v>241</v>
      </c>
      <c r="DJ503" s="4" t="s">
        <v>241</v>
      </c>
      <c r="DK503" s="4" t="s">
        <v>241</v>
      </c>
      <c r="DL503" s="4" t="s">
        <v>241</v>
      </c>
      <c r="DM503" s="4" t="s">
        <v>277</v>
      </c>
      <c r="DN503" s="4" t="s">
        <v>278</v>
      </c>
      <c r="DO503" s="6">
        <f>24</f>
        <v>24</v>
      </c>
      <c r="DP503" s="4" t="s">
        <v>241</v>
      </c>
      <c r="DQ503" s="4" t="s">
        <v>241</v>
      </c>
      <c r="DR503" s="4" t="s">
        <v>241</v>
      </c>
      <c r="DS503" s="4" t="s">
        <v>241</v>
      </c>
      <c r="DV503" s="4" t="s">
        <v>983</v>
      </c>
      <c r="DW503" s="4" t="s">
        <v>336</v>
      </c>
      <c r="HO503" s="4" t="s">
        <v>277</v>
      </c>
      <c r="HR503" s="4" t="s">
        <v>278</v>
      </c>
      <c r="HS503" s="4" t="s">
        <v>278</v>
      </c>
    </row>
    <row r="504" spans="1:240" x14ac:dyDescent="0.4">
      <c r="A504" s="4">
        <v>2</v>
      </c>
      <c r="B504" s="4" t="s">
        <v>239</v>
      </c>
      <c r="C504" s="4">
        <v>535</v>
      </c>
      <c r="D504" s="4">
        <v>1</v>
      </c>
      <c r="E504" s="4">
        <v>3</v>
      </c>
      <c r="F504" s="4" t="s">
        <v>326</v>
      </c>
      <c r="G504" s="4" t="s">
        <v>241</v>
      </c>
      <c r="H504" s="4" t="s">
        <v>241</v>
      </c>
      <c r="I504" s="4" t="s">
        <v>981</v>
      </c>
      <c r="J504" s="4" t="s">
        <v>653</v>
      </c>
      <c r="K504" s="4" t="s">
        <v>256</v>
      </c>
      <c r="L504" s="4" t="s">
        <v>2752</v>
      </c>
      <c r="M504" s="5" t="s">
        <v>982</v>
      </c>
      <c r="N504" s="4" t="s">
        <v>2751</v>
      </c>
      <c r="O504" s="6">
        <f>0</f>
        <v>0</v>
      </c>
      <c r="P504" s="4" t="s">
        <v>276</v>
      </c>
      <c r="Q504" s="6">
        <f>739086</f>
        <v>739086</v>
      </c>
      <c r="R504" s="6">
        <f>1231810</f>
        <v>1231810</v>
      </c>
      <c r="S504" s="5" t="s">
        <v>388</v>
      </c>
      <c r="T504" s="4" t="s">
        <v>427</v>
      </c>
      <c r="U504" s="4" t="s">
        <v>297</v>
      </c>
      <c r="V504" s="6">
        <f>123181</f>
        <v>123181</v>
      </c>
      <c r="W504" s="6">
        <f>492724</f>
        <v>492724</v>
      </c>
      <c r="X504" s="4" t="s">
        <v>243</v>
      </c>
      <c r="Y504" s="4" t="s">
        <v>244</v>
      </c>
      <c r="Z504" s="4" t="s">
        <v>465</v>
      </c>
      <c r="AA504" s="4" t="s">
        <v>241</v>
      </c>
      <c r="AD504" s="4" t="s">
        <v>241</v>
      </c>
      <c r="AE504" s="5" t="s">
        <v>241</v>
      </c>
      <c r="AF504" s="5" t="s">
        <v>241</v>
      </c>
      <c r="AH504" s="5" t="s">
        <v>241</v>
      </c>
      <c r="AI504" s="5" t="s">
        <v>249</v>
      </c>
      <c r="AJ504" s="4" t="s">
        <v>251</v>
      </c>
      <c r="AK504" s="4" t="s">
        <v>252</v>
      </c>
      <c r="AQ504" s="4" t="s">
        <v>241</v>
      </c>
      <c r="AR504" s="4" t="s">
        <v>241</v>
      </c>
      <c r="AS504" s="4" t="s">
        <v>241</v>
      </c>
      <c r="AT504" s="5" t="s">
        <v>241</v>
      </c>
      <c r="AU504" s="5" t="s">
        <v>241</v>
      </c>
      <c r="AV504" s="5" t="s">
        <v>241</v>
      </c>
      <c r="AY504" s="4" t="s">
        <v>286</v>
      </c>
      <c r="AZ504" s="4" t="s">
        <v>286</v>
      </c>
      <c r="BA504" s="4" t="s">
        <v>254</v>
      </c>
      <c r="BB504" s="4" t="s">
        <v>287</v>
      </c>
      <c r="BC504" s="4" t="s">
        <v>255</v>
      </c>
      <c r="BD504" s="4" t="s">
        <v>241</v>
      </c>
      <c r="BE504" s="4" t="s">
        <v>257</v>
      </c>
      <c r="BF504" s="4" t="s">
        <v>241</v>
      </c>
      <c r="BJ504" s="4" t="s">
        <v>288</v>
      </c>
      <c r="BK504" s="5" t="s">
        <v>289</v>
      </c>
      <c r="BL504" s="4" t="s">
        <v>290</v>
      </c>
      <c r="BM504" s="4" t="s">
        <v>290</v>
      </c>
      <c r="BN504" s="4" t="s">
        <v>241</v>
      </c>
      <c r="BP504" s="6">
        <f>-123181</f>
        <v>-123181</v>
      </c>
      <c r="BQ504" s="4" t="s">
        <v>263</v>
      </c>
      <c r="BR504" s="4" t="s">
        <v>264</v>
      </c>
      <c r="BS504" s="4" t="s">
        <v>241</v>
      </c>
      <c r="BT504" s="4" t="s">
        <v>241</v>
      </c>
      <c r="BU504" s="4" t="s">
        <v>241</v>
      </c>
      <c r="BV504" s="4" t="s">
        <v>241</v>
      </c>
      <c r="CE504" s="4" t="s">
        <v>264</v>
      </c>
      <c r="CF504" s="4" t="s">
        <v>241</v>
      </c>
      <c r="CG504" s="4" t="s">
        <v>241</v>
      </c>
      <c r="CK504" s="4" t="s">
        <v>291</v>
      </c>
      <c r="CL504" s="4" t="s">
        <v>266</v>
      </c>
      <c r="CM504" s="4" t="s">
        <v>241</v>
      </c>
      <c r="CO504" s="4" t="s">
        <v>413</v>
      </c>
      <c r="CP504" s="5" t="s">
        <v>268</v>
      </c>
      <c r="CQ504" s="4" t="s">
        <v>269</v>
      </c>
      <c r="CR504" s="4" t="s">
        <v>270</v>
      </c>
      <c r="CS504" s="4" t="s">
        <v>293</v>
      </c>
      <c r="CT504" s="4" t="s">
        <v>241</v>
      </c>
      <c r="CU504" s="4">
        <v>0.1</v>
      </c>
      <c r="CV504" s="4" t="s">
        <v>271</v>
      </c>
      <c r="CW504" s="4" t="s">
        <v>415</v>
      </c>
      <c r="CX504" s="4" t="s">
        <v>2714</v>
      </c>
      <c r="CY504" s="6">
        <f>0</f>
        <v>0</v>
      </c>
      <c r="CZ504" s="6">
        <f>1231810</f>
        <v>1231810</v>
      </c>
      <c r="DA504" s="6">
        <f>739086</f>
        <v>739086</v>
      </c>
      <c r="DC504" s="4" t="s">
        <v>241</v>
      </c>
      <c r="DD504" s="4" t="s">
        <v>241</v>
      </c>
      <c r="DF504" s="4" t="s">
        <v>241</v>
      </c>
      <c r="DG504" s="6">
        <f>0</f>
        <v>0</v>
      </c>
      <c r="DI504" s="4" t="s">
        <v>241</v>
      </c>
      <c r="DJ504" s="4" t="s">
        <v>241</v>
      </c>
      <c r="DK504" s="4" t="s">
        <v>241</v>
      </c>
      <c r="DL504" s="4" t="s">
        <v>241</v>
      </c>
      <c r="DM504" s="4" t="s">
        <v>278</v>
      </c>
      <c r="DN504" s="4" t="s">
        <v>278</v>
      </c>
      <c r="DO504" s="6" t="s">
        <v>241</v>
      </c>
      <c r="DP504" s="4" t="s">
        <v>241</v>
      </c>
      <c r="DQ504" s="4" t="s">
        <v>241</v>
      </c>
      <c r="DR504" s="4" t="s">
        <v>241</v>
      </c>
      <c r="DS504" s="4" t="s">
        <v>241</v>
      </c>
      <c r="DV504" s="4" t="s">
        <v>983</v>
      </c>
      <c r="DW504" s="4" t="s">
        <v>351</v>
      </c>
      <c r="GN504" s="4" t="s">
        <v>2799</v>
      </c>
      <c r="HO504" s="4" t="s">
        <v>351</v>
      </c>
      <c r="HR504" s="4" t="s">
        <v>278</v>
      </c>
      <c r="HS504" s="4" t="s">
        <v>278</v>
      </c>
      <c r="HT504" s="4" t="s">
        <v>241</v>
      </c>
      <c r="HU504" s="4" t="s">
        <v>241</v>
      </c>
      <c r="HV504" s="4" t="s">
        <v>241</v>
      </c>
      <c r="HW504" s="4" t="s">
        <v>241</v>
      </c>
      <c r="HX504" s="4" t="s">
        <v>241</v>
      </c>
      <c r="HY504" s="4" t="s">
        <v>241</v>
      </c>
      <c r="HZ504" s="4" t="s">
        <v>241</v>
      </c>
      <c r="IA504" s="4" t="s">
        <v>241</v>
      </c>
      <c r="IB504" s="4" t="s">
        <v>241</v>
      </c>
      <c r="IC504" s="4" t="s">
        <v>241</v>
      </c>
      <c r="ID504" s="4" t="s">
        <v>241</v>
      </c>
      <c r="IE504" s="4" t="s">
        <v>241</v>
      </c>
      <c r="IF504" s="4" t="s">
        <v>241</v>
      </c>
    </row>
    <row r="505" spans="1:240" x14ac:dyDescent="0.4">
      <c r="A505" s="4">
        <v>2</v>
      </c>
      <c r="B505" s="4" t="s">
        <v>239</v>
      </c>
      <c r="C505" s="4">
        <v>536</v>
      </c>
      <c r="D505" s="4">
        <v>1</v>
      </c>
      <c r="E505" s="4">
        <v>3</v>
      </c>
      <c r="F505" s="4" t="s">
        <v>326</v>
      </c>
      <c r="G505" s="4" t="s">
        <v>241</v>
      </c>
      <c r="H505" s="4" t="s">
        <v>241</v>
      </c>
      <c r="I505" s="4" t="s">
        <v>981</v>
      </c>
      <c r="J505" s="4" t="s">
        <v>653</v>
      </c>
      <c r="K505" s="4" t="s">
        <v>256</v>
      </c>
      <c r="L505" s="4" t="s">
        <v>241</v>
      </c>
      <c r="M505" s="5" t="s">
        <v>982</v>
      </c>
      <c r="N505" s="4" t="s">
        <v>2747</v>
      </c>
      <c r="O505" s="6">
        <f>0</f>
        <v>0</v>
      </c>
      <c r="P505" s="4" t="s">
        <v>276</v>
      </c>
      <c r="Q505" s="6">
        <f>27644922</f>
        <v>27644922</v>
      </c>
      <c r="R505" s="6">
        <f>32677212</f>
        <v>32677212</v>
      </c>
      <c r="S505" s="5" t="s">
        <v>1104</v>
      </c>
      <c r="T505" s="4" t="s">
        <v>322</v>
      </c>
      <c r="U505" s="4" t="s">
        <v>277</v>
      </c>
      <c r="V505" s="6">
        <f>2516145</f>
        <v>2516145</v>
      </c>
      <c r="W505" s="6">
        <f>5032290</f>
        <v>5032290</v>
      </c>
      <c r="X505" s="4" t="s">
        <v>243</v>
      </c>
      <c r="Y505" s="4" t="s">
        <v>244</v>
      </c>
      <c r="Z505" s="4" t="s">
        <v>241</v>
      </c>
      <c r="AA505" s="4" t="s">
        <v>241</v>
      </c>
      <c r="AD505" s="4" t="s">
        <v>241</v>
      </c>
      <c r="AE505" s="5" t="s">
        <v>241</v>
      </c>
      <c r="AF505" s="5" t="s">
        <v>241</v>
      </c>
      <c r="AH505" s="5" t="s">
        <v>241</v>
      </c>
      <c r="AI505" s="5" t="s">
        <v>249</v>
      </c>
      <c r="AJ505" s="4" t="s">
        <v>251</v>
      </c>
      <c r="AK505" s="4" t="s">
        <v>252</v>
      </c>
      <c r="AQ505" s="4" t="s">
        <v>241</v>
      </c>
      <c r="AR505" s="4" t="s">
        <v>241</v>
      </c>
      <c r="AS505" s="4" t="s">
        <v>241</v>
      </c>
      <c r="AT505" s="5" t="s">
        <v>241</v>
      </c>
      <c r="AU505" s="5" t="s">
        <v>241</v>
      </c>
      <c r="AV505" s="5" t="s">
        <v>241</v>
      </c>
      <c r="AY505" s="4" t="s">
        <v>286</v>
      </c>
      <c r="AZ505" s="4" t="s">
        <v>286</v>
      </c>
      <c r="BA505" s="4" t="s">
        <v>254</v>
      </c>
      <c r="BB505" s="4" t="s">
        <v>287</v>
      </c>
      <c r="BC505" s="4" t="s">
        <v>255</v>
      </c>
      <c r="BD505" s="4" t="s">
        <v>241</v>
      </c>
      <c r="BE505" s="4" t="s">
        <v>257</v>
      </c>
      <c r="BF505" s="4" t="s">
        <v>241</v>
      </c>
      <c r="BJ505" s="4" t="s">
        <v>288</v>
      </c>
      <c r="BK505" s="5" t="s">
        <v>289</v>
      </c>
      <c r="BL505" s="4" t="s">
        <v>290</v>
      </c>
      <c r="BM505" s="4" t="s">
        <v>290</v>
      </c>
      <c r="BN505" s="4" t="s">
        <v>241</v>
      </c>
      <c r="BP505" s="6">
        <f>-2516145</f>
        <v>-2516145</v>
      </c>
      <c r="BQ505" s="4" t="s">
        <v>263</v>
      </c>
      <c r="BR505" s="4" t="s">
        <v>264</v>
      </c>
      <c r="BS505" s="4" t="s">
        <v>241</v>
      </c>
      <c r="BT505" s="4" t="s">
        <v>241</v>
      </c>
      <c r="BU505" s="4" t="s">
        <v>241</v>
      </c>
      <c r="BV505" s="4" t="s">
        <v>241</v>
      </c>
      <c r="CE505" s="4" t="s">
        <v>264</v>
      </c>
      <c r="CF505" s="4" t="s">
        <v>241</v>
      </c>
      <c r="CG505" s="4" t="s">
        <v>241</v>
      </c>
      <c r="CK505" s="4" t="s">
        <v>291</v>
      </c>
      <c r="CL505" s="4" t="s">
        <v>266</v>
      </c>
      <c r="CM505" s="4" t="s">
        <v>241</v>
      </c>
      <c r="CO505" s="4" t="s">
        <v>331</v>
      </c>
      <c r="CP505" s="5" t="s">
        <v>268</v>
      </c>
      <c r="CQ505" s="4" t="s">
        <v>269</v>
      </c>
      <c r="CR505" s="4" t="s">
        <v>270</v>
      </c>
      <c r="CS505" s="4" t="s">
        <v>293</v>
      </c>
      <c r="CT505" s="4" t="s">
        <v>241</v>
      </c>
      <c r="CU505" s="4">
        <v>7.6999999999999999E-2</v>
      </c>
      <c r="CV505" s="4" t="s">
        <v>271</v>
      </c>
      <c r="CW505" s="4" t="s">
        <v>415</v>
      </c>
      <c r="CX505" s="4" t="s">
        <v>428</v>
      </c>
      <c r="CY505" s="6">
        <f>0</f>
        <v>0</v>
      </c>
      <c r="CZ505" s="6">
        <f>32677212</f>
        <v>32677212</v>
      </c>
      <c r="DA505" s="6">
        <f>27644922</f>
        <v>27644922</v>
      </c>
      <c r="DC505" s="4" t="s">
        <v>241</v>
      </c>
      <c r="DD505" s="4" t="s">
        <v>241</v>
      </c>
      <c r="DF505" s="4" t="s">
        <v>241</v>
      </c>
      <c r="DG505" s="6">
        <f>0</f>
        <v>0</v>
      </c>
      <c r="DI505" s="4" t="s">
        <v>241</v>
      </c>
      <c r="DJ505" s="4" t="s">
        <v>241</v>
      </c>
      <c r="DK505" s="4" t="s">
        <v>241</v>
      </c>
      <c r="DL505" s="4" t="s">
        <v>241</v>
      </c>
      <c r="DM505" s="4" t="s">
        <v>278</v>
      </c>
      <c r="DN505" s="4" t="s">
        <v>278</v>
      </c>
      <c r="DO505" s="6" t="s">
        <v>241</v>
      </c>
      <c r="DP505" s="4" t="s">
        <v>241</v>
      </c>
      <c r="DQ505" s="4" t="s">
        <v>241</v>
      </c>
      <c r="DR505" s="4" t="s">
        <v>241</v>
      </c>
      <c r="DS505" s="4" t="s">
        <v>241</v>
      </c>
      <c r="DV505" s="4" t="s">
        <v>983</v>
      </c>
      <c r="DW505" s="4" t="s">
        <v>300</v>
      </c>
      <c r="GN505" s="4" t="s">
        <v>2798</v>
      </c>
      <c r="HO505" s="4" t="s">
        <v>297</v>
      </c>
      <c r="HR505" s="4" t="s">
        <v>278</v>
      </c>
      <c r="HS505" s="4" t="s">
        <v>278</v>
      </c>
      <c r="HT505" s="4" t="s">
        <v>241</v>
      </c>
      <c r="HU505" s="4" t="s">
        <v>241</v>
      </c>
      <c r="HV505" s="4" t="s">
        <v>241</v>
      </c>
      <c r="HW505" s="4" t="s">
        <v>241</v>
      </c>
      <c r="HX505" s="4" t="s">
        <v>241</v>
      </c>
      <c r="HY505" s="4" t="s">
        <v>241</v>
      </c>
      <c r="HZ505" s="4" t="s">
        <v>241</v>
      </c>
      <c r="IA505" s="4" t="s">
        <v>241</v>
      </c>
      <c r="IB505" s="4" t="s">
        <v>241</v>
      </c>
      <c r="IC505" s="4" t="s">
        <v>241</v>
      </c>
      <c r="ID505" s="4" t="s">
        <v>241</v>
      </c>
      <c r="IE505" s="4" t="s">
        <v>241</v>
      </c>
      <c r="IF505" s="4" t="s">
        <v>241</v>
      </c>
    </row>
    <row r="506" spans="1:240" x14ac:dyDescent="0.4">
      <c r="A506" s="4">
        <v>2</v>
      </c>
      <c r="B506" s="4" t="s">
        <v>239</v>
      </c>
      <c r="C506" s="4">
        <v>537</v>
      </c>
      <c r="D506" s="4">
        <v>1</v>
      </c>
      <c r="E506" s="4">
        <v>3</v>
      </c>
      <c r="F506" s="4" t="s">
        <v>326</v>
      </c>
      <c r="G506" s="4" t="s">
        <v>241</v>
      </c>
      <c r="H506" s="4" t="s">
        <v>241</v>
      </c>
      <c r="I506" s="4" t="s">
        <v>713</v>
      </c>
      <c r="J506" s="4" t="s">
        <v>944</v>
      </c>
      <c r="K506" s="4" t="s">
        <v>256</v>
      </c>
      <c r="L506" s="4" t="s">
        <v>241</v>
      </c>
      <c r="M506" s="5" t="s">
        <v>715</v>
      </c>
      <c r="N506" s="4" t="s">
        <v>2795</v>
      </c>
      <c r="O506" s="6">
        <f>0</f>
        <v>0</v>
      </c>
      <c r="P506" s="4" t="s">
        <v>276</v>
      </c>
      <c r="Q506" s="6">
        <f>338405</f>
        <v>338405</v>
      </c>
      <c r="R506" s="6">
        <f>440057</f>
        <v>440057</v>
      </c>
      <c r="S506" s="5" t="s">
        <v>389</v>
      </c>
      <c r="T506" s="4" t="s">
        <v>322</v>
      </c>
      <c r="U506" s="4" t="s">
        <v>323</v>
      </c>
      <c r="V506" s="6">
        <f>33884</f>
        <v>33884</v>
      </c>
      <c r="W506" s="6">
        <f>101652</f>
        <v>101652</v>
      </c>
      <c r="X506" s="4" t="s">
        <v>243</v>
      </c>
      <c r="Y506" s="4" t="s">
        <v>244</v>
      </c>
      <c r="Z506" s="4" t="s">
        <v>241</v>
      </c>
      <c r="AA506" s="4" t="s">
        <v>241</v>
      </c>
      <c r="AD506" s="4" t="s">
        <v>241</v>
      </c>
      <c r="AE506" s="5" t="s">
        <v>241</v>
      </c>
      <c r="AF506" s="5" t="s">
        <v>241</v>
      </c>
      <c r="AH506" s="5" t="s">
        <v>241</v>
      </c>
      <c r="AI506" s="5" t="s">
        <v>987</v>
      </c>
      <c r="AJ506" s="4" t="s">
        <v>251</v>
      </c>
      <c r="AK506" s="4" t="s">
        <v>252</v>
      </c>
      <c r="AQ506" s="4" t="s">
        <v>241</v>
      </c>
      <c r="AR506" s="4" t="s">
        <v>241</v>
      </c>
      <c r="AS506" s="4" t="s">
        <v>241</v>
      </c>
      <c r="AT506" s="5" t="s">
        <v>241</v>
      </c>
      <c r="AU506" s="5" t="s">
        <v>241</v>
      </c>
      <c r="AV506" s="5" t="s">
        <v>241</v>
      </c>
      <c r="AY506" s="4" t="s">
        <v>286</v>
      </c>
      <c r="AZ506" s="4" t="s">
        <v>286</v>
      </c>
      <c r="BA506" s="4" t="s">
        <v>254</v>
      </c>
      <c r="BB506" s="4" t="s">
        <v>287</v>
      </c>
      <c r="BC506" s="4" t="s">
        <v>255</v>
      </c>
      <c r="BD506" s="4" t="s">
        <v>241</v>
      </c>
      <c r="BE506" s="4" t="s">
        <v>257</v>
      </c>
      <c r="BF506" s="4" t="s">
        <v>241</v>
      </c>
      <c r="BJ506" s="4" t="s">
        <v>288</v>
      </c>
      <c r="BK506" s="5" t="s">
        <v>289</v>
      </c>
      <c r="BL506" s="4" t="s">
        <v>290</v>
      </c>
      <c r="BM506" s="4" t="s">
        <v>290</v>
      </c>
      <c r="BN506" s="4" t="s">
        <v>241</v>
      </c>
      <c r="BP506" s="6">
        <f>-33884</f>
        <v>-33884</v>
      </c>
      <c r="BQ506" s="4" t="s">
        <v>263</v>
      </c>
      <c r="BR506" s="4" t="s">
        <v>264</v>
      </c>
      <c r="BS506" s="4" t="s">
        <v>241</v>
      </c>
      <c r="BT506" s="4" t="s">
        <v>241</v>
      </c>
      <c r="BU506" s="4" t="s">
        <v>241</v>
      </c>
      <c r="BV506" s="4" t="s">
        <v>241</v>
      </c>
      <c r="CE506" s="4" t="s">
        <v>264</v>
      </c>
      <c r="CF506" s="4" t="s">
        <v>241</v>
      </c>
      <c r="CG506" s="4" t="s">
        <v>241</v>
      </c>
      <c r="CK506" s="4" t="s">
        <v>291</v>
      </c>
      <c r="CL506" s="4" t="s">
        <v>266</v>
      </c>
      <c r="CM506" s="4" t="s">
        <v>241</v>
      </c>
      <c r="CO506" s="4" t="s">
        <v>421</v>
      </c>
      <c r="CP506" s="5" t="s">
        <v>268</v>
      </c>
      <c r="CQ506" s="4" t="s">
        <v>269</v>
      </c>
      <c r="CR506" s="4" t="s">
        <v>270</v>
      </c>
      <c r="CS506" s="4" t="s">
        <v>293</v>
      </c>
      <c r="CT506" s="4" t="s">
        <v>241</v>
      </c>
      <c r="CU506" s="4">
        <v>7.6999999999999999E-2</v>
      </c>
      <c r="CV506" s="4" t="s">
        <v>271</v>
      </c>
      <c r="CW506" s="4" t="s">
        <v>415</v>
      </c>
      <c r="CX506" s="4" t="s">
        <v>428</v>
      </c>
      <c r="CY506" s="6">
        <f>0</f>
        <v>0</v>
      </c>
      <c r="CZ506" s="6">
        <f>440057</f>
        <v>440057</v>
      </c>
      <c r="DA506" s="6">
        <f>338405</f>
        <v>338405</v>
      </c>
      <c r="DC506" s="4" t="s">
        <v>241</v>
      </c>
      <c r="DD506" s="4" t="s">
        <v>241</v>
      </c>
      <c r="DF506" s="4" t="s">
        <v>241</v>
      </c>
      <c r="DG506" s="6">
        <f>0</f>
        <v>0</v>
      </c>
      <c r="DI506" s="4" t="s">
        <v>241</v>
      </c>
      <c r="DJ506" s="4" t="s">
        <v>241</v>
      </c>
      <c r="DK506" s="4" t="s">
        <v>241</v>
      </c>
      <c r="DL506" s="4" t="s">
        <v>241</v>
      </c>
      <c r="DM506" s="4" t="s">
        <v>278</v>
      </c>
      <c r="DN506" s="4" t="s">
        <v>278</v>
      </c>
      <c r="DO506" s="6" t="s">
        <v>241</v>
      </c>
      <c r="DP506" s="4" t="s">
        <v>241</v>
      </c>
      <c r="DQ506" s="4" t="s">
        <v>241</v>
      </c>
      <c r="DR506" s="4" t="s">
        <v>241</v>
      </c>
      <c r="DS506" s="4" t="s">
        <v>241</v>
      </c>
      <c r="DV506" s="4" t="s">
        <v>2796</v>
      </c>
      <c r="DW506" s="4" t="s">
        <v>277</v>
      </c>
      <c r="GN506" s="4" t="s">
        <v>2797</v>
      </c>
      <c r="HO506" s="4" t="s">
        <v>336</v>
      </c>
      <c r="HR506" s="4" t="s">
        <v>278</v>
      </c>
      <c r="HS506" s="4" t="s">
        <v>278</v>
      </c>
      <c r="HT506" s="4" t="s">
        <v>241</v>
      </c>
      <c r="HU506" s="4" t="s">
        <v>241</v>
      </c>
      <c r="HV506" s="4" t="s">
        <v>241</v>
      </c>
      <c r="HW506" s="4" t="s">
        <v>241</v>
      </c>
      <c r="HX506" s="4" t="s">
        <v>241</v>
      </c>
      <c r="HY506" s="4" t="s">
        <v>241</v>
      </c>
      <c r="HZ506" s="4" t="s">
        <v>241</v>
      </c>
      <c r="IA506" s="4" t="s">
        <v>241</v>
      </c>
      <c r="IB506" s="4" t="s">
        <v>241</v>
      </c>
      <c r="IC506" s="4" t="s">
        <v>241</v>
      </c>
      <c r="ID506" s="4" t="s">
        <v>241</v>
      </c>
      <c r="IE506" s="4" t="s">
        <v>241</v>
      </c>
      <c r="IF506" s="4" t="s">
        <v>241</v>
      </c>
    </row>
    <row r="507" spans="1:240" x14ac:dyDescent="0.4">
      <c r="A507" s="4">
        <v>2</v>
      </c>
      <c r="B507" s="4" t="s">
        <v>239</v>
      </c>
      <c r="C507" s="4">
        <v>538</v>
      </c>
      <c r="D507" s="4">
        <v>1</v>
      </c>
      <c r="E507" s="4">
        <v>3</v>
      </c>
      <c r="F507" s="4" t="s">
        <v>240</v>
      </c>
      <c r="G507" s="4" t="s">
        <v>241</v>
      </c>
      <c r="H507" s="4" t="s">
        <v>241</v>
      </c>
      <c r="I507" s="4" t="s">
        <v>985</v>
      </c>
      <c r="J507" s="4" t="s">
        <v>653</v>
      </c>
      <c r="K507" s="4" t="s">
        <v>256</v>
      </c>
      <c r="L507" s="4" t="s">
        <v>651</v>
      </c>
      <c r="M507" s="5" t="s">
        <v>988</v>
      </c>
      <c r="N507" s="4" t="s">
        <v>651</v>
      </c>
      <c r="O507" s="6">
        <f>6482</f>
        <v>6482</v>
      </c>
      <c r="P507" s="4" t="s">
        <v>276</v>
      </c>
      <c r="Q507" s="6">
        <f>565813780</f>
        <v>565813780</v>
      </c>
      <c r="R507" s="6">
        <f>1393630000</f>
        <v>1393630000</v>
      </c>
      <c r="S507" s="5" t="s">
        <v>986</v>
      </c>
      <c r="T507" s="4" t="s">
        <v>668</v>
      </c>
      <c r="U507" s="4" t="s">
        <v>384</v>
      </c>
      <c r="V507" s="6">
        <f>30659860</f>
        <v>30659860</v>
      </c>
      <c r="W507" s="6">
        <f>827816220</f>
        <v>827816220</v>
      </c>
      <c r="X507" s="4" t="s">
        <v>243</v>
      </c>
      <c r="Y507" s="4" t="s">
        <v>244</v>
      </c>
      <c r="Z507" s="4" t="s">
        <v>465</v>
      </c>
      <c r="AA507" s="4" t="s">
        <v>241</v>
      </c>
      <c r="AD507" s="4" t="s">
        <v>241</v>
      </c>
      <c r="AE507" s="5" t="s">
        <v>241</v>
      </c>
      <c r="AF507" s="5" t="s">
        <v>241</v>
      </c>
      <c r="AH507" s="5" t="s">
        <v>241</v>
      </c>
      <c r="AI507" s="5" t="s">
        <v>987</v>
      </c>
      <c r="AJ507" s="4" t="s">
        <v>251</v>
      </c>
      <c r="AK507" s="4" t="s">
        <v>252</v>
      </c>
      <c r="AQ507" s="4" t="s">
        <v>241</v>
      </c>
      <c r="AR507" s="4" t="s">
        <v>241</v>
      </c>
      <c r="AS507" s="4" t="s">
        <v>241</v>
      </c>
      <c r="AT507" s="5" t="s">
        <v>241</v>
      </c>
      <c r="AU507" s="5" t="s">
        <v>241</v>
      </c>
      <c r="AV507" s="5" t="s">
        <v>241</v>
      </c>
      <c r="AY507" s="4" t="s">
        <v>286</v>
      </c>
      <c r="AZ507" s="4" t="s">
        <v>286</v>
      </c>
      <c r="BA507" s="4" t="s">
        <v>254</v>
      </c>
      <c r="BB507" s="4" t="s">
        <v>287</v>
      </c>
      <c r="BC507" s="4" t="s">
        <v>255</v>
      </c>
      <c r="BD507" s="4" t="s">
        <v>241</v>
      </c>
      <c r="BE507" s="4" t="s">
        <v>257</v>
      </c>
      <c r="BF507" s="4" t="s">
        <v>241</v>
      </c>
      <c r="BJ507" s="4" t="s">
        <v>288</v>
      </c>
      <c r="BK507" s="5" t="s">
        <v>289</v>
      </c>
      <c r="BL507" s="4" t="s">
        <v>290</v>
      </c>
      <c r="BM507" s="4" t="s">
        <v>290</v>
      </c>
      <c r="BN507" s="4" t="s">
        <v>241</v>
      </c>
      <c r="BO507" s="6">
        <f>0</f>
        <v>0</v>
      </c>
      <c r="BP507" s="6">
        <f>-30659860</f>
        <v>-30659860</v>
      </c>
      <c r="BQ507" s="4" t="s">
        <v>263</v>
      </c>
      <c r="BR507" s="4" t="s">
        <v>264</v>
      </c>
      <c r="BS507" s="4" t="s">
        <v>241</v>
      </c>
      <c r="BT507" s="4" t="s">
        <v>241</v>
      </c>
      <c r="BU507" s="4" t="s">
        <v>241</v>
      </c>
      <c r="BV507" s="4" t="s">
        <v>241</v>
      </c>
      <c r="CE507" s="4" t="s">
        <v>264</v>
      </c>
      <c r="CF507" s="4" t="s">
        <v>241</v>
      </c>
      <c r="CG507" s="4" t="s">
        <v>241</v>
      </c>
      <c r="CK507" s="4" t="s">
        <v>291</v>
      </c>
      <c r="CL507" s="4" t="s">
        <v>266</v>
      </c>
      <c r="CM507" s="4" t="s">
        <v>241</v>
      </c>
      <c r="CO507" s="4" t="s">
        <v>376</v>
      </c>
      <c r="CP507" s="5" t="s">
        <v>268</v>
      </c>
      <c r="CQ507" s="4" t="s">
        <v>269</v>
      </c>
      <c r="CR507" s="4" t="s">
        <v>270</v>
      </c>
      <c r="CS507" s="4" t="s">
        <v>293</v>
      </c>
      <c r="CT507" s="4" t="s">
        <v>241</v>
      </c>
      <c r="CU507" s="4">
        <v>2.1999999999999999E-2</v>
      </c>
      <c r="CV507" s="4" t="s">
        <v>271</v>
      </c>
      <c r="CW507" s="4" t="s">
        <v>655</v>
      </c>
      <c r="CX507" s="4" t="s">
        <v>295</v>
      </c>
      <c r="CY507" s="6">
        <f>0</f>
        <v>0</v>
      </c>
      <c r="CZ507" s="6">
        <f>1393630000</f>
        <v>1393630000</v>
      </c>
      <c r="DA507" s="6">
        <f>565813780</f>
        <v>565813780</v>
      </c>
      <c r="DC507" s="4" t="s">
        <v>241</v>
      </c>
      <c r="DD507" s="4" t="s">
        <v>241</v>
      </c>
      <c r="DF507" s="4" t="s">
        <v>241</v>
      </c>
      <c r="DG507" s="6">
        <f>0</f>
        <v>0</v>
      </c>
      <c r="DI507" s="4" t="s">
        <v>241</v>
      </c>
      <c r="DJ507" s="4" t="s">
        <v>241</v>
      </c>
      <c r="DK507" s="4" t="s">
        <v>241</v>
      </c>
      <c r="DL507" s="4" t="s">
        <v>241</v>
      </c>
      <c r="DM507" s="4" t="s">
        <v>297</v>
      </c>
      <c r="DN507" s="4" t="s">
        <v>278</v>
      </c>
      <c r="DO507" s="6">
        <f>6482</f>
        <v>6482</v>
      </c>
      <c r="DP507" s="4" t="s">
        <v>241</v>
      </c>
      <c r="DQ507" s="4" t="s">
        <v>241</v>
      </c>
      <c r="DR507" s="4" t="s">
        <v>241</v>
      </c>
      <c r="DS507" s="4" t="s">
        <v>241</v>
      </c>
      <c r="DV507" s="4" t="s">
        <v>989</v>
      </c>
      <c r="DW507" s="4" t="s">
        <v>277</v>
      </c>
      <c r="GN507" s="4" t="s">
        <v>990</v>
      </c>
      <c r="HO507" s="4" t="s">
        <v>300</v>
      </c>
      <c r="HR507" s="4" t="s">
        <v>278</v>
      </c>
      <c r="HS507" s="4" t="s">
        <v>278</v>
      </c>
      <c r="HT507" s="4" t="s">
        <v>241</v>
      </c>
      <c r="HU507" s="4" t="s">
        <v>241</v>
      </c>
      <c r="HV507" s="4" t="s">
        <v>241</v>
      </c>
      <c r="HW507" s="4" t="s">
        <v>241</v>
      </c>
      <c r="HX507" s="4" t="s">
        <v>241</v>
      </c>
      <c r="HY507" s="4" t="s">
        <v>241</v>
      </c>
      <c r="HZ507" s="4" t="s">
        <v>241</v>
      </c>
      <c r="IA507" s="4" t="s">
        <v>241</v>
      </c>
      <c r="IB507" s="4" t="s">
        <v>241</v>
      </c>
      <c r="IC507" s="4" t="s">
        <v>241</v>
      </c>
      <c r="ID507" s="4" t="s">
        <v>241</v>
      </c>
      <c r="IE507" s="4" t="s">
        <v>241</v>
      </c>
      <c r="IF507" s="4" t="s">
        <v>241</v>
      </c>
    </row>
    <row r="508" spans="1:240" x14ac:dyDescent="0.4">
      <c r="A508" s="4">
        <v>2</v>
      </c>
      <c r="B508" s="4" t="s">
        <v>239</v>
      </c>
      <c r="C508" s="4">
        <v>539</v>
      </c>
      <c r="D508" s="4">
        <v>1</v>
      </c>
      <c r="E508" s="4">
        <v>3</v>
      </c>
      <c r="F508" s="4" t="s">
        <v>240</v>
      </c>
      <c r="G508" s="4" t="s">
        <v>241</v>
      </c>
      <c r="H508" s="4" t="s">
        <v>241</v>
      </c>
      <c r="I508" s="4" t="s">
        <v>985</v>
      </c>
      <c r="J508" s="4" t="s">
        <v>653</v>
      </c>
      <c r="K508" s="4" t="s">
        <v>256</v>
      </c>
      <c r="L508" s="4" t="s">
        <v>651</v>
      </c>
      <c r="M508" s="5" t="s">
        <v>988</v>
      </c>
      <c r="N508" s="4" t="s">
        <v>651</v>
      </c>
      <c r="O508" s="6">
        <f>802</f>
        <v>802</v>
      </c>
      <c r="P508" s="4" t="s">
        <v>276</v>
      </c>
      <c r="Q508" s="6">
        <f>73800040</f>
        <v>73800040</v>
      </c>
      <c r="R508" s="6">
        <f>172430000</f>
        <v>172430000</v>
      </c>
      <c r="S508" s="5" t="s">
        <v>991</v>
      </c>
      <c r="T508" s="4" t="s">
        <v>668</v>
      </c>
      <c r="U508" s="4" t="s">
        <v>404</v>
      </c>
      <c r="V508" s="6">
        <f>3793460</f>
        <v>3793460</v>
      </c>
      <c r="W508" s="6">
        <f>98629960</f>
        <v>98629960</v>
      </c>
      <c r="X508" s="4" t="s">
        <v>243</v>
      </c>
      <c r="Y508" s="4" t="s">
        <v>244</v>
      </c>
      <c r="Z508" s="4" t="s">
        <v>465</v>
      </c>
      <c r="AA508" s="4" t="s">
        <v>241</v>
      </c>
      <c r="AD508" s="4" t="s">
        <v>241</v>
      </c>
      <c r="AE508" s="5" t="s">
        <v>241</v>
      </c>
      <c r="AF508" s="5" t="s">
        <v>241</v>
      </c>
      <c r="AH508" s="5" t="s">
        <v>241</v>
      </c>
      <c r="AI508" s="5" t="s">
        <v>987</v>
      </c>
      <c r="AJ508" s="4" t="s">
        <v>251</v>
      </c>
      <c r="AK508" s="4" t="s">
        <v>252</v>
      </c>
      <c r="AQ508" s="4" t="s">
        <v>241</v>
      </c>
      <c r="AR508" s="4" t="s">
        <v>241</v>
      </c>
      <c r="AS508" s="4" t="s">
        <v>241</v>
      </c>
      <c r="AT508" s="5" t="s">
        <v>241</v>
      </c>
      <c r="AU508" s="5" t="s">
        <v>241</v>
      </c>
      <c r="AV508" s="5" t="s">
        <v>241</v>
      </c>
      <c r="AY508" s="4" t="s">
        <v>286</v>
      </c>
      <c r="AZ508" s="4" t="s">
        <v>286</v>
      </c>
      <c r="BA508" s="4" t="s">
        <v>254</v>
      </c>
      <c r="BB508" s="4" t="s">
        <v>287</v>
      </c>
      <c r="BC508" s="4" t="s">
        <v>255</v>
      </c>
      <c r="BD508" s="4" t="s">
        <v>241</v>
      </c>
      <c r="BE508" s="4" t="s">
        <v>257</v>
      </c>
      <c r="BF508" s="4" t="s">
        <v>241</v>
      </c>
      <c r="BJ508" s="4" t="s">
        <v>288</v>
      </c>
      <c r="BK508" s="5" t="s">
        <v>289</v>
      </c>
      <c r="BL508" s="4" t="s">
        <v>290</v>
      </c>
      <c r="BM508" s="4" t="s">
        <v>290</v>
      </c>
      <c r="BN508" s="4" t="s">
        <v>241</v>
      </c>
      <c r="BO508" s="6">
        <f>0</f>
        <v>0</v>
      </c>
      <c r="BP508" s="6">
        <f>-3793460</f>
        <v>-3793460</v>
      </c>
      <c r="BQ508" s="4" t="s">
        <v>263</v>
      </c>
      <c r="BR508" s="4" t="s">
        <v>264</v>
      </c>
      <c r="BS508" s="4" t="s">
        <v>241</v>
      </c>
      <c r="BT508" s="4" t="s">
        <v>241</v>
      </c>
      <c r="BU508" s="4" t="s">
        <v>241</v>
      </c>
      <c r="BV508" s="4" t="s">
        <v>241</v>
      </c>
      <c r="CE508" s="4" t="s">
        <v>264</v>
      </c>
      <c r="CF508" s="4" t="s">
        <v>241</v>
      </c>
      <c r="CG508" s="4" t="s">
        <v>241</v>
      </c>
      <c r="CK508" s="4" t="s">
        <v>291</v>
      </c>
      <c r="CL508" s="4" t="s">
        <v>266</v>
      </c>
      <c r="CM508" s="4" t="s">
        <v>241</v>
      </c>
      <c r="CO508" s="4" t="s">
        <v>387</v>
      </c>
      <c r="CP508" s="5" t="s">
        <v>268</v>
      </c>
      <c r="CQ508" s="4" t="s">
        <v>269</v>
      </c>
      <c r="CR508" s="4" t="s">
        <v>270</v>
      </c>
      <c r="CS508" s="4" t="s">
        <v>293</v>
      </c>
      <c r="CT508" s="4" t="s">
        <v>241</v>
      </c>
      <c r="CU508" s="4">
        <v>2.1999999999999999E-2</v>
      </c>
      <c r="CV508" s="4" t="s">
        <v>271</v>
      </c>
      <c r="CW508" s="4" t="s">
        <v>655</v>
      </c>
      <c r="CX508" s="4" t="s">
        <v>295</v>
      </c>
      <c r="CY508" s="6">
        <f>0</f>
        <v>0</v>
      </c>
      <c r="CZ508" s="6">
        <f>172430000</f>
        <v>172430000</v>
      </c>
      <c r="DA508" s="6">
        <f>73800040</f>
        <v>73800040</v>
      </c>
      <c r="DC508" s="4" t="s">
        <v>241</v>
      </c>
      <c r="DD508" s="4" t="s">
        <v>241</v>
      </c>
      <c r="DF508" s="4" t="s">
        <v>241</v>
      </c>
      <c r="DG508" s="6">
        <f>0</f>
        <v>0</v>
      </c>
      <c r="DI508" s="4" t="s">
        <v>241</v>
      </c>
      <c r="DJ508" s="4" t="s">
        <v>241</v>
      </c>
      <c r="DK508" s="4" t="s">
        <v>241</v>
      </c>
      <c r="DL508" s="4" t="s">
        <v>241</v>
      </c>
      <c r="DM508" s="4" t="s">
        <v>277</v>
      </c>
      <c r="DN508" s="4" t="s">
        <v>278</v>
      </c>
      <c r="DO508" s="6">
        <f>802</f>
        <v>802</v>
      </c>
      <c r="DP508" s="4" t="s">
        <v>241</v>
      </c>
      <c r="DQ508" s="4" t="s">
        <v>241</v>
      </c>
      <c r="DR508" s="4" t="s">
        <v>241</v>
      </c>
      <c r="DS508" s="4" t="s">
        <v>241</v>
      </c>
      <c r="DV508" s="4" t="s">
        <v>989</v>
      </c>
      <c r="DW508" s="4" t="s">
        <v>323</v>
      </c>
      <c r="GN508" s="4" t="s">
        <v>992</v>
      </c>
      <c r="HO508" s="4" t="s">
        <v>300</v>
      </c>
      <c r="HR508" s="4" t="s">
        <v>278</v>
      </c>
      <c r="HS508" s="4" t="s">
        <v>278</v>
      </c>
      <c r="HT508" s="4" t="s">
        <v>241</v>
      </c>
      <c r="HU508" s="4" t="s">
        <v>241</v>
      </c>
      <c r="HV508" s="4" t="s">
        <v>241</v>
      </c>
      <c r="HW508" s="4" t="s">
        <v>241</v>
      </c>
      <c r="HX508" s="4" t="s">
        <v>241</v>
      </c>
      <c r="HY508" s="4" t="s">
        <v>241</v>
      </c>
      <c r="HZ508" s="4" t="s">
        <v>241</v>
      </c>
      <c r="IA508" s="4" t="s">
        <v>241</v>
      </c>
      <c r="IB508" s="4" t="s">
        <v>241</v>
      </c>
      <c r="IC508" s="4" t="s">
        <v>241</v>
      </c>
      <c r="ID508" s="4" t="s">
        <v>241</v>
      </c>
      <c r="IE508" s="4" t="s">
        <v>241</v>
      </c>
      <c r="IF508" s="4" t="s">
        <v>241</v>
      </c>
    </row>
    <row r="509" spans="1:240" x14ac:dyDescent="0.4">
      <c r="A509" s="4">
        <v>2</v>
      </c>
      <c r="B509" s="4" t="s">
        <v>239</v>
      </c>
      <c r="C509" s="4">
        <v>540</v>
      </c>
      <c r="D509" s="4">
        <v>1</v>
      </c>
      <c r="E509" s="4">
        <v>1</v>
      </c>
      <c r="F509" s="4" t="s">
        <v>240</v>
      </c>
      <c r="G509" s="4" t="s">
        <v>241</v>
      </c>
      <c r="H509" s="4" t="s">
        <v>241</v>
      </c>
      <c r="I509" s="4" t="s">
        <v>985</v>
      </c>
      <c r="J509" s="4" t="s">
        <v>653</v>
      </c>
      <c r="K509" s="4" t="s">
        <v>256</v>
      </c>
      <c r="L509" s="4" t="s">
        <v>1003</v>
      </c>
      <c r="M509" s="5" t="s">
        <v>988</v>
      </c>
      <c r="N509" s="4" t="s">
        <v>1003</v>
      </c>
      <c r="O509" s="6">
        <f>1586</f>
        <v>1586</v>
      </c>
      <c r="P509" s="4" t="s">
        <v>276</v>
      </c>
      <c r="Q509" s="6">
        <f>1</f>
        <v>1</v>
      </c>
      <c r="R509" s="6">
        <f>126880000</f>
        <v>126880000</v>
      </c>
      <c r="S509" s="5" t="s">
        <v>1108</v>
      </c>
      <c r="T509" s="4" t="s">
        <v>357</v>
      </c>
      <c r="U509" s="4" t="s">
        <v>1110</v>
      </c>
      <c r="W509" s="6">
        <f>126879999</f>
        <v>126879999</v>
      </c>
      <c r="X509" s="4" t="s">
        <v>243</v>
      </c>
      <c r="Y509" s="4" t="s">
        <v>244</v>
      </c>
      <c r="Z509" s="4" t="s">
        <v>465</v>
      </c>
      <c r="AA509" s="4" t="s">
        <v>241</v>
      </c>
      <c r="AD509" s="4" t="s">
        <v>241</v>
      </c>
      <c r="AF509" s="5" t="s">
        <v>241</v>
      </c>
      <c r="AI509" s="5" t="s">
        <v>249</v>
      </c>
      <c r="AJ509" s="4" t="s">
        <v>251</v>
      </c>
      <c r="AK509" s="4" t="s">
        <v>252</v>
      </c>
      <c r="BA509" s="4" t="s">
        <v>254</v>
      </c>
      <c r="BB509" s="4" t="s">
        <v>241</v>
      </c>
      <c r="BC509" s="4" t="s">
        <v>255</v>
      </c>
      <c r="BD509" s="4" t="s">
        <v>241</v>
      </c>
      <c r="BE509" s="4" t="s">
        <v>257</v>
      </c>
      <c r="BF509" s="4" t="s">
        <v>241</v>
      </c>
      <c r="BJ509" s="4" t="s">
        <v>367</v>
      </c>
      <c r="BK509" s="5" t="s">
        <v>249</v>
      </c>
      <c r="BL509" s="4" t="s">
        <v>261</v>
      </c>
      <c r="BM509" s="4" t="s">
        <v>262</v>
      </c>
      <c r="BN509" s="4" t="s">
        <v>241</v>
      </c>
      <c r="BO509" s="6">
        <f>0</f>
        <v>0</v>
      </c>
      <c r="BP509" s="6">
        <f>0</f>
        <v>0</v>
      </c>
      <c r="BQ509" s="4" t="s">
        <v>263</v>
      </c>
      <c r="BR509" s="4" t="s">
        <v>264</v>
      </c>
      <c r="CF509" s="4" t="s">
        <v>241</v>
      </c>
      <c r="CG509" s="4" t="s">
        <v>241</v>
      </c>
      <c r="CK509" s="4" t="s">
        <v>265</v>
      </c>
      <c r="CL509" s="4" t="s">
        <v>266</v>
      </c>
      <c r="CM509" s="4" t="s">
        <v>241</v>
      </c>
      <c r="CO509" s="4" t="s">
        <v>1109</v>
      </c>
      <c r="CP509" s="5" t="s">
        <v>268</v>
      </c>
      <c r="CQ509" s="4" t="s">
        <v>269</v>
      </c>
      <c r="CR509" s="4" t="s">
        <v>270</v>
      </c>
      <c r="CS509" s="4" t="s">
        <v>241</v>
      </c>
      <c r="CT509" s="4" t="s">
        <v>241</v>
      </c>
      <c r="CU509" s="4">
        <v>0</v>
      </c>
      <c r="CV509" s="4" t="s">
        <v>271</v>
      </c>
      <c r="CW509" s="4" t="s">
        <v>1006</v>
      </c>
      <c r="CX509" s="4" t="s">
        <v>487</v>
      </c>
      <c r="CZ509" s="6">
        <f>126880000</f>
        <v>126880000</v>
      </c>
      <c r="DA509" s="6">
        <f>0</f>
        <v>0</v>
      </c>
      <c r="DC509" s="4" t="s">
        <v>241</v>
      </c>
      <c r="DD509" s="4" t="s">
        <v>241</v>
      </c>
      <c r="DF509" s="4" t="s">
        <v>241</v>
      </c>
      <c r="DI509" s="4" t="s">
        <v>241</v>
      </c>
      <c r="DJ509" s="4" t="s">
        <v>241</v>
      </c>
      <c r="DK509" s="4" t="s">
        <v>241</v>
      </c>
      <c r="DL509" s="4" t="s">
        <v>241</v>
      </c>
      <c r="DM509" s="4" t="s">
        <v>323</v>
      </c>
      <c r="DN509" s="4" t="s">
        <v>278</v>
      </c>
      <c r="DO509" s="6">
        <f>1586</f>
        <v>1586</v>
      </c>
      <c r="DP509" s="4" t="s">
        <v>241</v>
      </c>
      <c r="DQ509" s="4" t="s">
        <v>241</v>
      </c>
      <c r="DR509" s="4" t="s">
        <v>241</v>
      </c>
      <c r="DS509" s="4" t="s">
        <v>241</v>
      </c>
      <c r="DV509" s="4" t="s">
        <v>989</v>
      </c>
      <c r="DW509" s="4" t="s">
        <v>297</v>
      </c>
      <c r="HO509" s="4" t="s">
        <v>277</v>
      </c>
      <c r="HR509" s="4" t="s">
        <v>278</v>
      </c>
      <c r="HS509" s="4" t="s">
        <v>278</v>
      </c>
    </row>
    <row r="510" spans="1:240" x14ac:dyDescent="0.4">
      <c r="A510" s="4">
        <v>2</v>
      </c>
      <c r="B510" s="4" t="s">
        <v>239</v>
      </c>
      <c r="C510" s="4">
        <v>541</v>
      </c>
      <c r="D510" s="4">
        <v>1</v>
      </c>
      <c r="E510" s="4">
        <v>1</v>
      </c>
      <c r="F510" s="4" t="s">
        <v>240</v>
      </c>
      <c r="G510" s="4" t="s">
        <v>241</v>
      </c>
      <c r="H510" s="4" t="s">
        <v>241</v>
      </c>
      <c r="I510" s="4" t="s">
        <v>985</v>
      </c>
      <c r="J510" s="4" t="s">
        <v>653</v>
      </c>
      <c r="K510" s="4" t="s">
        <v>256</v>
      </c>
      <c r="L510" s="4" t="s">
        <v>2529</v>
      </c>
      <c r="M510" s="5" t="s">
        <v>988</v>
      </c>
      <c r="N510" s="4" t="s">
        <v>2529</v>
      </c>
      <c r="O510" s="6">
        <f>76</f>
        <v>76</v>
      </c>
      <c r="P510" s="4" t="s">
        <v>276</v>
      </c>
      <c r="Q510" s="6">
        <f>1</f>
        <v>1</v>
      </c>
      <c r="R510" s="6">
        <f>12388000</f>
        <v>12388000</v>
      </c>
      <c r="S510" s="5" t="s">
        <v>1662</v>
      </c>
      <c r="T510" s="4" t="s">
        <v>348</v>
      </c>
      <c r="U510" s="4" t="s">
        <v>408</v>
      </c>
      <c r="W510" s="6">
        <f>12387999</f>
        <v>12387999</v>
      </c>
      <c r="X510" s="4" t="s">
        <v>243</v>
      </c>
      <c r="Y510" s="4" t="s">
        <v>244</v>
      </c>
      <c r="Z510" s="4" t="s">
        <v>465</v>
      </c>
      <c r="AA510" s="4" t="s">
        <v>241</v>
      </c>
      <c r="AD510" s="4" t="s">
        <v>241</v>
      </c>
      <c r="AF510" s="5" t="s">
        <v>241</v>
      </c>
      <c r="AI510" s="5" t="s">
        <v>249</v>
      </c>
      <c r="AJ510" s="4" t="s">
        <v>251</v>
      </c>
      <c r="AK510" s="4" t="s">
        <v>252</v>
      </c>
      <c r="BA510" s="4" t="s">
        <v>254</v>
      </c>
      <c r="BB510" s="4" t="s">
        <v>241</v>
      </c>
      <c r="BC510" s="4" t="s">
        <v>255</v>
      </c>
      <c r="BD510" s="4" t="s">
        <v>241</v>
      </c>
      <c r="BE510" s="4" t="s">
        <v>257</v>
      </c>
      <c r="BF510" s="4" t="s">
        <v>241</v>
      </c>
      <c r="BJ510" s="4" t="s">
        <v>374</v>
      </c>
      <c r="BK510" s="5" t="s">
        <v>375</v>
      </c>
      <c r="BL510" s="4" t="s">
        <v>261</v>
      </c>
      <c r="BM510" s="4" t="s">
        <v>262</v>
      </c>
      <c r="BN510" s="4" t="s">
        <v>241</v>
      </c>
      <c r="BO510" s="6">
        <f>0</f>
        <v>0</v>
      </c>
      <c r="BP510" s="6">
        <f>0</f>
        <v>0</v>
      </c>
      <c r="BQ510" s="4" t="s">
        <v>263</v>
      </c>
      <c r="BR510" s="4" t="s">
        <v>264</v>
      </c>
      <c r="CF510" s="4" t="s">
        <v>241</v>
      </c>
      <c r="CG510" s="4" t="s">
        <v>241</v>
      </c>
      <c r="CK510" s="4" t="s">
        <v>291</v>
      </c>
      <c r="CL510" s="4" t="s">
        <v>266</v>
      </c>
      <c r="CM510" s="4" t="s">
        <v>241</v>
      </c>
      <c r="CO510" s="4" t="s">
        <v>667</v>
      </c>
      <c r="CP510" s="5" t="s">
        <v>268</v>
      </c>
      <c r="CQ510" s="4" t="s">
        <v>269</v>
      </c>
      <c r="CR510" s="4" t="s">
        <v>270</v>
      </c>
      <c r="CS510" s="4" t="s">
        <v>241</v>
      </c>
      <c r="CT510" s="4" t="s">
        <v>241</v>
      </c>
      <c r="CU510" s="4">
        <v>0</v>
      </c>
      <c r="CV510" s="4" t="s">
        <v>271</v>
      </c>
      <c r="CW510" s="4" t="s">
        <v>415</v>
      </c>
      <c r="CX510" s="4" t="s">
        <v>416</v>
      </c>
      <c r="CZ510" s="6">
        <f>12388000</f>
        <v>12388000</v>
      </c>
      <c r="DA510" s="6">
        <f>0</f>
        <v>0</v>
      </c>
      <c r="DC510" s="4" t="s">
        <v>241</v>
      </c>
      <c r="DD510" s="4" t="s">
        <v>241</v>
      </c>
      <c r="DF510" s="4" t="s">
        <v>241</v>
      </c>
      <c r="DI510" s="4" t="s">
        <v>241</v>
      </c>
      <c r="DJ510" s="4" t="s">
        <v>241</v>
      </c>
      <c r="DK510" s="4" t="s">
        <v>241</v>
      </c>
      <c r="DL510" s="4" t="s">
        <v>241</v>
      </c>
      <c r="DM510" s="4" t="s">
        <v>277</v>
      </c>
      <c r="DN510" s="4" t="s">
        <v>278</v>
      </c>
      <c r="DO510" s="6">
        <f>76</f>
        <v>76</v>
      </c>
      <c r="DP510" s="4" t="s">
        <v>241</v>
      </c>
      <c r="DQ510" s="4" t="s">
        <v>241</v>
      </c>
      <c r="DR510" s="4" t="s">
        <v>241</v>
      </c>
      <c r="DS510" s="4" t="s">
        <v>241</v>
      </c>
      <c r="DV510" s="4" t="s">
        <v>989</v>
      </c>
      <c r="DW510" s="4" t="s">
        <v>336</v>
      </c>
      <c r="HO510" s="4" t="s">
        <v>277</v>
      </c>
      <c r="HR510" s="4" t="s">
        <v>278</v>
      </c>
      <c r="HS510" s="4" t="s">
        <v>278</v>
      </c>
    </row>
    <row r="511" spans="1:240" x14ac:dyDescent="0.4">
      <c r="A511" s="4">
        <v>2</v>
      </c>
      <c r="B511" s="4" t="s">
        <v>239</v>
      </c>
      <c r="C511" s="4">
        <v>542</v>
      </c>
      <c r="D511" s="4">
        <v>1</v>
      </c>
      <c r="E511" s="4">
        <v>3</v>
      </c>
      <c r="F511" s="4" t="s">
        <v>240</v>
      </c>
      <c r="G511" s="4" t="s">
        <v>241</v>
      </c>
      <c r="H511" s="4" t="s">
        <v>241</v>
      </c>
      <c r="I511" s="4" t="s">
        <v>985</v>
      </c>
      <c r="J511" s="4" t="s">
        <v>653</v>
      </c>
      <c r="K511" s="4" t="s">
        <v>256</v>
      </c>
      <c r="L511" s="4" t="s">
        <v>995</v>
      </c>
      <c r="M511" s="5" t="s">
        <v>988</v>
      </c>
      <c r="N511" s="4" t="s">
        <v>995</v>
      </c>
      <c r="O511" s="6">
        <f>384</f>
        <v>384</v>
      </c>
      <c r="P511" s="4" t="s">
        <v>276</v>
      </c>
      <c r="Q511" s="6">
        <f>27456000</f>
        <v>27456000</v>
      </c>
      <c r="R511" s="6">
        <f>84480000</f>
        <v>84480000</v>
      </c>
      <c r="S511" s="5" t="s">
        <v>986</v>
      </c>
      <c r="T511" s="4" t="s">
        <v>373</v>
      </c>
      <c r="U511" s="4" t="s">
        <v>384</v>
      </c>
      <c r="V511" s="6">
        <f>2112000</f>
        <v>2112000</v>
      </c>
      <c r="W511" s="6">
        <f>57024000</f>
        <v>57024000</v>
      </c>
      <c r="X511" s="4" t="s">
        <v>243</v>
      </c>
      <c r="Y511" s="4" t="s">
        <v>244</v>
      </c>
      <c r="Z511" s="4" t="s">
        <v>465</v>
      </c>
      <c r="AA511" s="4" t="s">
        <v>241</v>
      </c>
      <c r="AD511" s="4" t="s">
        <v>241</v>
      </c>
      <c r="AE511" s="5" t="s">
        <v>241</v>
      </c>
      <c r="AF511" s="5" t="s">
        <v>241</v>
      </c>
      <c r="AH511" s="5" t="s">
        <v>241</v>
      </c>
      <c r="AI511" s="5" t="s">
        <v>249</v>
      </c>
      <c r="AJ511" s="4" t="s">
        <v>251</v>
      </c>
      <c r="AK511" s="4" t="s">
        <v>252</v>
      </c>
      <c r="AQ511" s="4" t="s">
        <v>241</v>
      </c>
      <c r="AR511" s="4" t="s">
        <v>241</v>
      </c>
      <c r="AS511" s="4" t="s">
        <v>241</v>
      </c>
      <c r="AT511" s="5" t="s">
        <v>241</v>
      </c>
      <c r="AU511" s="5" t="s">
        <v>241</v>
      </c>
      <c r="AV511" s="5" t="s">
        <v>241</v>
      </c>
      <c r="AY511" s="4" t="s">
        <v>286</v>
      </c>
      <c r="AZ511" s="4" t="s">
        <v>286</v>
      </c>
      <c r="BA511" s="4" t="s">
        <v>254</v>
      </c>
      <c r="BB511" s="4" t="s">
        <v>287</v>
      </c>
      <c r="BC511" s="4" t="s">
        <v>255</v>
      </c>
      <c r="BD511" s="4" t="s">
        <v>241</v>
      </c>
      <c r="BE511" s="4" t="s">
        <v>257</v>
      </c>
      <c r="BF511" s="4" t="s">
        <v>241</v>
      </c>
      <c r="BJ511" s="4" t="s">
        <v>288</v>
      </c>
      <c r="BK511" s="5" t="s">
        <v>289</v>
      </c>
      <c r="BL511" s="4" t="s">
        <v>290</v>
      </c>
      <c r="BM511" s="4" t="s">
        <v>290</v>
      </c>
      <c r="BN511" s="4" t="s">
        <v>241</v>
      </c>
      <c r="BO511" s="6">
        <f>0</f>
        <v>0</v>
      </c>
      <c r="BP511" s="6">
        <f>-2112000</f>
        <v>-2112000</v>
      </c>
      <c r="BQ511" s="4" t="s">
        <v>263</v>
      </c>
      <c r="BR511" s="4" t="s">
        <v>264</v>
      </c>
      <c r="BS511" s="4" t="s">
        <v>241</v>
      </c>
      <c r="BT511" s="4" t="s">
        <v>241</v>
      </c>
      <c r="BU511" s="4" t="s">
        <v>241</v>
      </c>
      <c r="BV511" s="4" t="s">
        <v>241</v>
      </c>
      <c r="CE511" s="4" t="s">
        <v>264</v>
      </c>
      <c r="CF511" s="4" t="s">
        <v>241</v>
      </c>
      <c r="CG511" s="4" t="s">
        <v>241</v>
      </c>
      <c r="CK511" s="4" t="s">
        <v>291</v>
      </c>
      <c r="CL511" s="4" t="s">
        <v>266</v>
      </c>
      <c r="CM511" s="4" t="s">
        <v>241</v>
      </c>
      <c r="CO511" s="4" t="s">
        <v>376</v>
      </c>
      <c r="CP511" s="5" t="s">
        <v>268</v>
      </c>
      <c r="CQ511" s="4" t="s">
        <v>269</v>
      </c>
      <c r="CR511" s="4" t="s">
        <v>270</v>
      </c>
      <c r="CS511" s="4" t="s">
        <v>293</v>
      </c>
      <c r="CT511" s="4" t="s">
        <v>241</v>
      </c>
      <c r="CU511" s="4">
        <v>2.5000000000000001E-2</v>
      </c>
      <c r="CV511" s="4" t="s">
        <v>271</v>
      </c>
      <c r="CW511" s="4" t="s">
        <v>456</v>
      </c>
      <c r="CX511" s="4" t="s">
        <v>295</v>
      </c>
      <c r="CY511" s="6">
        <f>0</f>
        <v>0</v>
      </c>
      <c r="CZ511" s="6">
        <f>84480000</f>
        <v>84480000</v>
      </c>
      <c r="DA511" s="6">
        <f>27456000</f>
        <v>27456000</v>
      </c>
      <c r="DC511" s="4" t="s">
        <v>241</v>
      </c>
      <c r="DD511" s="4" t="s">
        <v>241</v>
      </c>
      <c r="DF511" s="4" t="s">
        <v>241</v>
      </c>
      <c r="DG511" s="6">
        <f>0</f>
        <v>0</v>
      </c>
      <c r="DI511" s="4" t="s">
        <v>241</v>
      </c>
      <c r="DJ511" s="4" t="s">
        <v>241</v>
      </c>
      <c r="DK511" s="4" t="s">
        <v>241</v>
      </c>
      <c r="DL511" s="4" t="s">
        <v>241</v>
      </c>
      <c r="DM511" s="4" t="s">
        <v>277</v>
      </c>
      <c r="DN511" s="4" t="s">
        <v>278</v>
      </c>
      <c r="DO511" s="6">
        <f>384</f>
        <v>384</v>
      </c>
      <c r="DP511" s="4" t="s">
        <v>241</v>
      </c>
      <c r="DQ511" s="4" t="s">
        <v>241</v>
      </c>
      <c r="DR511" s="4" t="s">
        <v>241</v>
      </c>
      <c r="DS511" s="4" t="s">
        <v>241</v>
      </c>
      <c r="DV511" s="4" t="s">
        <v>989</v>
      </c>
      <c r="DW511" s="4" t="s">
        <v>351</v>
      </c>
      <c r="GN511" s="4" t="s">
        <v>3894</v>
      </c>
      <c r="HO511" s="4" t="s">
        <v>300</v>
      </c>
      <c r="HR511" s="4" t="s">
        <v>278</v>
      </c>
      <c r="HS511" s="4" t="s">
        <v>278</v>
      </c>
      <c r="HT511" s="4" t="s">
        <v>241</v>
      </c>
      <c r="HU511" s="4" t="s">
        <v>241</v>
      </c>
      <c r="HV511" s="4" t="s">
        <v>241</v>
      </c>
      <c r="HW511" s="4" t="s">
        <v>241</v>
      </c>
      <c r="HX511" s="4" t="s">
        <v>241</v>
      </c>
      <c r="HY511" s="4" t="s">
        <v>241</v>
      </c>
      <c r="HZ511" s="4" t="s">
        <v>241</v>
      </c>
      <c r="IA511" s="4" t="s">
        <v>241</v>
      </c>
      <c r="IB511" s="4" t="s">
        <v>241</v>
      </c>
      <c r="IC511" s="4" t="s">
        <v>241</v>
      </c>
      <c r="ID511" s="4" t="s">
        <v>241</v>
      </c>
      <c r="IE511" s="4" t="s">
        <v>241</v>
      </c>
      <c r="IF511" s="4" t="s">
        <v>241</v>
      </c>
    </row>
    <row r="512" spans="1:240" x14ac:dyDescent="0.4">
      <c r="A512" s="4">
        <v>2</v>
      </c>
      <c r="B512" s="4" t="s">
        <v>239</v>
      </c>
      <c r="C512" s="4">
        <v>543</v>
      </c>
      <c r="D512" s="4">
        <v>1</v>
      </c>
      <c r="E512" s="4">
        <v>1</v>
      </c>
      <c r="F512" s="4" t="s">
        <v>240</v>
      </c>
      <c r="G512" s="4" t="s">
        <v>241</v>
      </c>
      <c r="H512" s="4" t="s">
        <v>241</v>
      </c>
      <c r="I512" s="4" t="s">
        <v>985</v>
      </c>
      <c r="J512" s="4" t="s">
        <v>653</v>
      </c>
      <c r="K512" s="4" t="s">
        <v>256</v>
      </c>
      <c r="L512" s="4" t="s">
        <v>340</v>
      </c>
      <c r="M512" s="5" t="s">
        <v>988</v>
      </c>
      <c r="N512" s="4" t="s">
        <v>340</v>
      </c>
      <c r="O512" s="6">
        <f>16</f>
        <v>16</v>
      </c>
      <c r="P512" s="4" t="s">
        <v>276</v>
      </c>
      <c r="Q512" s="6">
        <f>1</f>
        <v>1</v>
      </c>
      <c r="R512" s="6">
        <f>1280000</f>
        <v>1280000</v>
      </c>
      <c r="S512" s="5" t="s">
        <v>1759</v>
      </c>
      <c r="T512" s="4" t="s">
        <v>441</v>
      </c>
      <c r="U512" s="4" t="s">
        <v>835</v>
      </c>
      <c r="W512" s="6">
        <f>1279999</f>
        <v>1279999</v>
      </c>
      <c r="X512" s="4" t="s">
        <v>243</v>
      </c>
      <c r="Y512" s="4" t="s">
        <v>244</v>
      </c>
      <c r="Z512" s="4" t="s">
        <v>465</v>
      </c>
      <c r="AA512" s="4" t="s">
        <v>241</v>
      </c>
      <c r="AD512" s="4" t="s">
        <v>241</v>
      </c>
      <c r="AF512" s="5" t="s">
        <v>241</v>
      </c>
      <c r="AI512" s="5" t="s">
        <v>249</v>
      </c>
      <c r="AJ512" s="4" t="s">
        <v>251</v>
      </c>
      <c r="AK512" s="4" t="s">
        <v>252</v>
      </c>
      <c r="BA512" s="4" t="s">
        <v>254</v>
      </c>
      <c r="BB512" s="4" t="s">
        <v>241</v>
      </c>
      <c r="BC512" s="4" t="s">
        <v>255</v>
      </c>
      <c r="BD512" s="4" t="s">
        <v>241</v>
      </c>
      <c r="BE512" s="4" t="s">
        <v>257</v>
      </c>
      <c r="BF512" s="4" t="s">
        <v>241</v>
      </c>
      <c r="BJ512" s="4" t="s">
        <v>259</v>
      </c>
      <c r="BK512" s="5" t="s">
        <v>260</v>
      </c>
      <c r="BL512" s="4" t="s">
        <v>261</v>
      </c>
      <c r="BM512" s="4" t="s">
        <v>262</v>
      </c>
      <c r="BN512" s="4" t="s">
        <v>241</v>
      </c>
      <c r="BO512" s="6">
        <f>0</f>
        <v>0</v>
      </c>
      <c r="BP512" s="6">
        <f>0</f>
        <v>0</v>
      </c>
      <c r="BQ512" s="4" t="s">
        <v>263</v>
      </c>
      <c r="BR512" s="4" t="s">
        <v>264</v>
      </c>
      <c r="CF512" s="4" t="s">
        <v>241</v>
      </c>
      <c r="CG512" s="4" t="s">
        <v>241</v>
      </c>
      <c r="CK512" s="4" t="s">
        <v>265</v>
      </c>
      <c r="CL512" s="4" t="s">
        <v>266</v>
      </c>
      <c r="CM512" s="4" t="s">
        <v>241</v>
      </c>
      <c r="CO512" s="4" t="s">
        <v>513</v>
      </c>
      <c r="CP512" s="5" t="s">
        <v>268</v>
      </c>
      <c r="CQ512" s="4" t="s">
        <v>269</v>
      </c>
      <c r="CR512" s="4" t="s">
        <v>270</v>
      </c>
      <c r="CS512" s="4" t="s">
        <v>241</v>
      </c>
      <c r="CT512" s="4" t="s">
        <v>241</v>
      </c>
      <c r="CU512" s="4">
        <v>0</v>
      </c>
      <c r="CV512" s="4" t="s">
        <v>271</v>
      </c>
      <c r="CW512" s="4" t="s">
        <v>332</v>
      </c>
      <c r="CX512" s="4" t="s">
        <v>487</v>
      </c>
      <c r="CZ512" s="6">
        <f>1280000</f>
        <v>1280000</v>
      </c>
      <c r="DA512" s="6">
        <f>0</f>
        <v>0</v>
      </c>
      <c r="DC512" s="4" t="s">
        <v>241</v>
      </c>
      <c r="DD512" s="4" t="s">
        <v>241</v>
      </c>
      <c r="DF512" s="4" t="s">
        <v>241</v>
      </c>
      <c r="DI512" s="4" t="s">
        <v>241</v>
      </c>
      <c r="DJ512" s="4" t="s">
        <v>241</v>
      </c>
      <c r="DK512" s="4" t="s">
        <v>241</v>
      </c>
      <c r="DL512" s="4" t="s">
        <v>241</v>
      </c>
      <c r="DM512" s="4" t="s">
        <v>277</v>
      </c>
      <c r="DN512" s="4" t="s">
        <v>278</v>
      </c>
      <c r="DO512" s="6">
        <f>16</f>
        <v>16</v>
      </c>
      <c r="DP512" s="4" t="s">
        <v>241</v>
      </c>
      <c r="DQ512" s="4" t="s">
        <v>241</v>
      </c>
      <c r="DR512" s="4" t="s">
        <v>241</v>
      </c>
      <c r="DS512" s="4" t="s">
        <v>241</v>
      </c>
      <c r="DV512" s="4" t="s">
        <v>989</v>
      </c>
      <c r="DW512" s="4" t="s">
        <v>300</v>
      </c>
      <c r="HO512" s="4" t="s">
        <v>277</v>
      </c>
      <c r="HR512" s="4" t="s">
        <v>278</v>
      </c>
      <c r="HS512" s="4" t="s">
        <v>278</v>
      </c>
    </row>
    <row r="513" spans="1:240" x14ac:dyDescent="0.4">
      <c r="A513" s="4">
        <v>2</v>
      </c>
      <c r="B513" s="4" t="s">
        <v>239</v>
      </c>
      <c r="C513" s="4">
        <v>544</v>
      </c>
      <c r="D513" s="4">
        <v>1</v>
      </c>
      <c r="E513" s="4">
        <v>3</v>
      </c>
      <c r="F513" s="4" t="s">
        <v>326</v>
      </c>
      <c r="G513" s="4" t="s">
        <v>241</v>
      </c>
      <c r="H513" s="4" t="s">
        <v>241</v>
      </c>
      <c r="I513" s="4" t="s">
        <v>985</v>
      </c>
      <c r="J513" s="4" t="s">
        <v>653</v>
      </c>
      <c r="K513" s="4" t="s">
        <v>256</v>
      </c>
      <c r="L513" s="4" t="s">
        <v>241</v>
      </c>
      <c r="M513" s="5" t="s">
        <v>988</v>
      </c>
      <c r="N513" s="4" t="s">
        <v>2775</v>
      </c>
      <c r="O513" s="6">
        <f>0</f>
        <v>0</v>
      </c>
      <c r="P513" s="4" t="s">
        <v>276</v>
      </c>
      <c r="Q513" s="6">
        <f>1077270</f>
        <v>1077270</v>
      </c>
      <c r="R513" s="6">
        <f>1348272</f>
        <v>1348272</v>
      </c>
      <c r="S513" s="5" t="s">
        <v>2793</v>
      </c>
      <c r="T513" s="4" t="s">
        <v>348</v>
      </c>
      <c r="U513" s="4" t="s">
        <v>323</v>
      </c>
      <c r="V513" s="6">
        <f>90334</f>
        <v>90334</v>
      </c>
      <c r="W513" s="6">
        <f>271002</f>
        <v>271002</v>
      </c>
      <c r="X513" s="4" t="s">
        <v>243</v>
      </c>
      <c r="Y513" s="4" t="s">
        <v>244</v>
      </c>
      <c r="Z513" s="4" t="s">
        <v>241</v>
      </c>
      <c r="AA513" s="4" t="s">
        <v>241</v>
      </c>
      <c r="AD513" s="4" t="s">
        <v>241</v>
      </c>
      <c r="AE513" s="5" t="s">
        <v>241</v>
      </c>
      <c r="AF513" s="5" t="s">
        <v>241</v>
      </c>
      <c r="AH513" s="5" t="s">
        <v>241</v>
      </c>
      <c r="AI513" s="5" t="s">
        <v>2790</v>
      </c>
      <c r="AJ513" s="4" t="s">
        <v>251</v>
      </c>
      <c r="AK513" s="4" t="s">
        <v>252</v>
      </c>
      <c r="AQ513" s="4" t="s">
        <v>241</v>
      </c>
      <c r="AR513" s="4" t="s">
        <v>241</v>
      </c>
      <c r="AS513" s="4" t="s">
        <v>241</v>
      </c>
      <c r="AT513" s="5" t="s">
        <v>241</v>
      </c>
      <c r="AU513" s="5" t="s">
        <v>241</v>
      </c>
      <c r="AV513" s="5" t="s">
        <v>241</v>
      </c>
      <c r="AY513" s="4" t="s">
        <v>286</v>
      </c>
      <c r="AZ513" s="4" t="s">
        <v>286</v>
      </c>
      <c r="BA513" s="4" t="s">
        <v>254</v>
      </c>
      <c r="BB513" s="4" t="s">
        <v>287</v>
      </c>
      <c r="BC513" s="4" t="s">
        <v>255</v>
      </c>
      <c r="BD513" s="4" t="s">
        <v>241</v>
      </c>
      <c r="BE513" s="4" t="s">
        <v>257</v>
      </c>
      <c r="BF513" s="4" t="s">
        <v>241</v>
      </c>
      <c r="BJ513" s="4" t="s">
        <v>288</v>
      </c>
      <c r="BK513" s="5" t="s">
        <v>289</v>
      </c>
      <c r="BL513" s="4" t="s">
        <v>290</v>
      </c>
      <c r="BM513" s="4" t="s">
        <v>290</v>
      </c>
      <c r="BN513" s="4" t="s">
        <v>241</v>
      </c>
      <c r="BP513" s="6">
        <f>-90334</f>
        <v>-90334</v>
      </c>
      <c r="BQ513" s="4" t="s">
        <v>263</v>
      </c>
      <c r="BR513" s="4" t="s">
        <v>264</v>
      </c>
      <c r="BS513" s="4" t="s">
        <v>241</v>
      </c>
      <c r="BT513" s="4" t="s">
        <v>241</v>
      </c>
      <c r="BU513" s="4" t="s">
        <v>241</v>
      </c>
      <c r="BV513" s="4" t="s">
        <v>241</v>
      </c>
      <c r="CE513" s="4" t="s">
        <v>264</v>
      </c>
      <c r="CF513" s="4" t="s">
        <v>241</v>
      </c>
      <c r="CG513" s="4" t="s">
        <v>241</v>
      </c>
      <c r="CK513" s="4" t="s">
        <v>291</v>
      </c>
      <c r="CL513" s="4" t="s">
        <v>266</v>
      </c>
      <c r="CM513" s="4" t="s">
        <v>241</v>
      </c>
      <c r="CO513" s="4" t="s">
        <v>421</v>
      </c>
      <c r="CP513" s="5" t="s">
        <v>268</v>
      </c>
      <c r="CQ513" s="4" t="s">
        <v>269</v>
      </c>
      <c r="CR513" s="4" t="s">
        <v>270</v>
      </c>
      <c r="CS513" s="4" t="s">
        <v>293</v>
      </c>
      <c r="CT513" s="4" t="s">
        <v>241</v>
      </c>
      <c r="CU513" s="4">
        <v>6.7000000000000004E-2</v>
      </c>
      <c r="CV513" s="4" t="s">
        <v>271</v>
      </c>
      <c r="CW513" s="4" t="s">
        <v>415</v>
      </c>
      <c r="CX513" s="4" t="s">
        <v>422</v>
      </c>
      <c r="CY513" s="6">
        <f>0</f>
        <v>0</v>
      </c>
      <c r="CZ513" s="6">
        <f>1348272</f>
        <v>1348272</v>
      </c>
      <c r="DA513" s="6">
        <f>1077270</f>
        <v>1077270</v>
      </c>
      <c r="DC513" s="4" t="s">
        <v>241</v>
      </c>
      <c r="DD513" s="4" t="s">
        <v>241</v>
      </c>
      <c r="DF513" s="4" t="s">
        <v>241</v>
      </c>
      <c r="DG513" s="6">
        <f>0</f>
        <v>0</v>
      </c>
      <c r="DI513" s="4" t="s">
        <v>241</v>
      </c>
      <c r="DJ513" s="4" t="s">
        <v>241</v>
      </c>
      <c r="DK513" s="4" t="s">
        <v>241</v>
      </c>
      <c r="DL513" s="4" t="s">
        <v>241</v>
      </c>
      <c r="DM513" s="4" t="s">
        <v>278</v>
      </c>
      <c r="DN513" s="4" t="s">
        <v>278</v>
      </c>
      <c r="DO513" s="6" t="s">
        <v>241</v>
      </c>
      <c r="DP513" s="4" t="s">
        <v>241</v>
      </c>
      <c r="DQ513" s="4" t="s">
        <v>241</v>
      </c>
      <c r="DR513" s="4" t="s">
        <v>241</v>
      </c>
      <c r="DS513" s="4" t="s">
        <v>241</v>
      </c>
      <c r="DV513" s="4" t="s">
        <v>989</v>
      </c>
      <c r="DW513" s="4" t="s">
        <v>341</v>
      </c>
      <c r="GN513" s="4" t="s">
        <v>2794</v>
      </c>
      <c r="HO513" s="4" t="s">
        <v>336</v>
      </c>
      <c r="HR513" s="4" t="s">
        <v>278</v>
      </c>
      <c r="HS513" s="4" t="s">
        <v>278</v>
      </c>
      <c r="HT513" s="4" t="s">
        <v>241</v>
      </c>
      <c r="HU513" s="4" t="s">
        <v>241</v>
      </c>
      <c r="HV513" s="4" t="s">
        <v>241</v>
      </c>
      <c r="HW513" s="4" t="s">
        <v>241</v>
      </c>
      <c r="HX513" s="4" t="s">
        <v>241</v>
      </c>
      <c r="HY513" s="4" t="s">
        <v>241</v>
      </c>
      <c r="HZ513" s="4" t="s">
        <v>241</v>
      </c>
      <c r="IA513" s="4" t="s">
        <v>241</v>
      </c>
      <c r="IB513" s="4" t="s">
        <v>241</v>
      </c>
      <c r="IC513" s="4" t="s">
        <v>241</v>
      </c>
      <c r="ID513" s="4" t="s">
        <v>241</v>
      </c>
      <c r="IE513" s="4" t="s">
        <v>241</v>
      </c>
      <c r="IF513" s="4" t="s">
        <v>241</v>
      </c>
    </row>
    <row r="514" spans="1:240" x14ac:dyDescent="0.4">
      <c r="A514" s="4">
        <v>2</v>
      </c>
      <c r="B514" s="4" t="s">
        <v>239</v>
      </c>
      <c r="C514" s="4">
        <v>545</v>
      </c>
      <c r="D514" s="4">
        <v>1</v>
      </c>
      <c r="E514" s="4">
        <v>3</v>
      </c>
      <c r="F514" s="4" t="s">
        <v>326</v>
      </c>
      <c r="G514" s="4" t="s">
        <v>241</v>
      </c>
      <c r="H514" s="4" t="s">
        <v>241</v>
      </c>
      <c r="I514" s="4" t="s">
        <v>985</v>
      </c>
      <c r="J514" s="4" t="s">
        <v>653</v>
      </c>
      <c r="K514" s="4" t="s">
        <v>256</v>
      </c>
      <c r="L514" s="4" t="s">
        <v>241</v>
      </c>
      <c r="M514" s="5" t="s">
        <v>988</v>
      </c>
      <c r="N514" s="4" t="s">
        <v>2747</v>
      </c>
      <c r="O514" s="6">
        <f>0</f>
        <v>0</v>
      </c>
      <c r="P514" s="4" t="s">
        <v>276</v>
      </c>
      <c r="Q514" s="6">
        <f>42311154</f>
        <v>42311154</v>
      </c>
      <c r="R514" s="6">
        <f>50013184</f>
        <v>50013184</v>
      </c>
      <c r="S514" s="5" t="s">
        <v>1104</v>
      </c>
      <c r="T514" s="4" t="s">
        <v>322</v>
      </c>
      <c r="U514" s="4" t="s">
        <v>277</v>
      </c>
      <c r="V514" s="6">
        <f>3851015</f>
        <v>3851015</v>
      </c>
      <c r="W514" s="6">
        <f>7702030</f>
        <v>7702030</v>
      </c>
      <c r="X514" s="4" t="s">
        <v>243</v>
      </c>
      <c r="Y514" s="4" t="s">
        <v>244</v>
      </c>
      <c r="Z514" s="4" t="s">
        <v>241</v>
      </c>
      <c r="AA514" s="4" t="s">
        <v>241</v>
      </c>
      <c r="AD514" s="4" t="s">
        <v>241</v>
      </c>
      <c r="AE514" s="5" t="s">
        <v>241</v>
      </c>
      <c r="AF514" s="5" t="s">
        <v>241</v>
      </c>
      <c r="AH514" s="5" t="s">
        <v>241</v>
      </c>
      <c r="AI514" s="5" t="s">
        <v>2790</v>
      </c>
      <c r="AJ514" s="4" t="s">
        <v>251</v>
      </c>
      <c r="AK514" s="4" t="s">
        <v>252</v>
      </c>
      <c r="AQ514" s="4" t="s">
        <v>241</v>
      </c>
      <c r="AR514" s="4" t="s">
        <v>241</v>
      </c>
      <c r="AS514" s="4" t="s">
        <v>241</v>
      </c>
      <c r="AT514" s="5" t="s">
        <v>241</v>
      </c>
      <c r="AU514" s="5" t="s">
        <v>241</v>
      </c>
      <c r="AV514" s="5" t="s">
        <v>241</v>
      </c>
      <c r="AY514" s="4" t="s">
        <v>286</v>
      </c>
      <c r="AZ514" s="4" t="s">
        <v>286</v>
      </c>
      <c r="BA514" s="4" t="s">
        <v>254</v>
      </c>
      <c r="BB514" s="4" t="s">
        <v>287</v>
      </c>
      <c r="BC514" s="4" t="s">
        <v>255</v>
      </c>
      <c r="BD514" s="4" t="s">
        <v>241</v>
      </c>
      <c r="BE514" s="4" t="s">
        <v>257</v>
      </c>
      <c r="BF514" s="4" t="s">
        <v>241</v>
      </c>
      <c r="BJ514" s="4" t="s">
        <v>288</v>
      </c>
      <c r="BK514" s="5" t="s">
        <v>289</v>
      </c>
      <c r="BL514" s="4" t="s">
        <v>290</v>
      </c>
      <c r="BM514" s="4" t="s">
        <v>290</v>
      </c>
      <c r="BN514" s="4" t="s">
        <v>241</v>
      </c>
      <c r="BP514" s="6">
        <f>-3851015</f>
        <v>-3851015</v>
      </c>
      <c r="BQ514" s="4" t="s">
        <v>263</v>
      </c>
      <c r="BR514" s="4" t="s">
        <v>264</v>
      </c>
      <c r="BS514" s="4" t="s">
        <v>241</v>
      </c>
      <c r="BT514" s="4" t="s">
        <v>241</v>
      </c>
      <c r="BU514" s="4" t="s">
        <v>241</v>
      </c>
      <c r="BV514" s="4" t="s">
        <v>241</v>
      </c>
      <c r="CE514" s="4" t="s">
        <v>264</v>
      </c>
      <c r="CF514" s="4" t="s">
        <v>241</v>
      </c>
      <c r="CG514" s="4" t="s">
        <v>241</v>
      </c>
      <c r="CK514" s="4" t="s">
        <v>291</v>
      </c>
      <c r="CL514" s="4" t="s">
        <v>266</v>
      </c>
      <c r="CM514" s="4" t="s">
        <v>241</v>
      </c>
      <c r="CO514" s="4" t="s">
        <v>331</v>
      </c>
      <c r="CP514" s="5" t="s">
        <v>268</v>
      </c>
      <c r="CQ514" s="4" t="s">
        <v>269</v>
      </c>
      <c r="CR514" s="4" t="s">
        <v>270</v>
      </c>
      <c r="CS514" s="4" t="s">
        <v>293</v>
      </c>
      <c r="CT514" s="4" t="s">
        <v>241</v>
      </c>
      <c r="CU514" s="4">
        <v>7.6999999999999999E-2</v>
      </c>
      <c r="CV514" s="4" t="s">
        <v>271</v>
      </c>
      <c r="CW514" s="4" t="s">
        <v>415</v>
      </c>
      <c r="CX514" s="4" t="s">
        <v>428</v>
      </c>
      <c r="CY514" s="6">
        <f>0</f>
        <v>0</v>
      </c>
      <c r="CZ514" s="6">
        <f>50013184</f>
        <v>50013184</v>
      </c>
      <c r="DA514" s="6">
        <f>42311154</f>
        <v>42311154</v>
      </c>
      <c r="DC514" s="4" t="s">
        <v>241</v>
      </c>
      <c r="DD514" s="4" t="s">
        <v>241</v>
      </c>
      <c r="DF514" s="4" t="s">
        <v>241</v>
      </c>
      <c r="DG514" s="6">
        <f>0</f>
        <v>0</v>
      </c>
      <c r="DI514" s="4" t="s">
        <v>241</v>
      </c>
      <c r="DJ514" s="4" t="s">
        <v>241</v>
      </c>
      <c r="DK514" s="4" t="s">
        <v>241</v>
      </c>
      <c r="DL514" s="4" t="s">
        <v>241</v>
      </c>
      <c r="DM514" s="4" t="s">
        <v>278</v>
      </c>
      <c r="DN514" s="4" t="s">
        <v>278</v>
      </c>
      <c r="DO514" s="6" t="s">
        <v>241</v>
      </c>
      <c r="DP514" s="4" t="s">
        <v>241</v>
      </c>
      <c r="DQ514" s="4" t="s">
        <v>241</v>
      </c>
      <c r="DR514" s="4" t="s">
        <v>241</v>
      </c>
      <c r="DS514" s="4" t="s">
        <v>241</v>
      </c>
      <c r="DV514" s="4" t="s">
        <v>989</v>
      </c>
      <c r="DW514" s="4" t="s">
        <v>343</v>
      </c>
      <c r="GN514" s="4" t="s">
        <v>2792</v>
      </c>
      <c r="HO514" s="4" t="s">
        <v>297</v>
      </c>
      <c r="HR514" s="4" t="s">
        <v>278</v>
      </c>
      <c r="HS514" s="4" t="s">
        <v>278</v>
      </c>
      <c r="HT514" s="4" t="s">
        <v>241</v>
      </c>
      <c r="HU514" s="4" t="s">
        <v>241</v>
      </c>
      <c r="HV514" s="4" t="s">
        <v>241</v>
      </c>
      <c r="HW514" s="4" t="s">
        <v>241</v>
      </c>
      <c r="HX514" s="4" t="s">
        <v>241</v>
      </c>
      <c r="HY514" s="4" t="s">
        <v>241</v>
      </c>
      <c r="HZ514" s="4" t="s">
        <v>241</v>
      </c>
      <c r="IA514" s="4" t="s">
        <v>241</v>
      </c>
      <c r="IB514" s="4" t="s">
        <v>241</v>
      </c>
      <c r="IC514" s="4" t="s">
        <v>241</v>
      </c>
      <c r="ID514" s="4" t="s">
        <v>241</v>
      </c>
      <c r="IE514" s="4" t="s">
        <v>241</v>
      </c>
      <c r="IF514" s="4" t="s">
        <v>241</v>
      </c>
    </row>
    <row r="515" spans="1:240" x14ac:dyDescent="0.4">
      <c r="A515" s="4">
        <v>2</v>
      </c>
      <c r="B515" s="4" t="s">
        <v>239</v>
      </c>
      <c r="C515" s="4">
        <v>546</v>
      </c>
      <c r="D515" s="4">
        <v>1</v>
      </c>
      <c r="E515" s="4">
        <v>3</v>
      </c>
      <c r="F515" s="4" t="s">
        <v>326</v>
      </c>
      <c r="G515" s="4" t="s">
        <v>241</v>
      </c>
      <c r="H515" s="4" t="s">
        <v>241</v>
      </c>
      <c r="I515" s="4" t="s">
        <v>985</v>
      </c>
      <c r="J515" s="4" t="s">
        <v>653</v>
      </c>
      <c r="K515" s="4" t="s">
        <v>256</v>
      </c>
      <c r="L515" s="4" t="s">
        <v>241</v>
      </c>
      <c r="M515" s="5" t="s">
        <v>988</v>
      </c>
      <c r="N515" s="4" t="s">
        <v>2744</v>
      </c>
      <c r="O515" s="6">
        <f>0</f>
        <v>0</v>
      </c>
      <c r="P515" s="4" t="s">
        <v>276</v>
      </c>
      <c r="Q515" s="6">
        <f>1472185</f>
        <v>1472185</v>
      </c>
      <c r="R515" s="6">
        <f>1595000</f>
        <v>1595000</v>
      </c>
      <c r="S515" s="5" t="s">
        <v>2789</v>
      </c>
      <c r="T515" s="4" t="s">
        <v>322</v>
      </c>
      <c r="U515" s="4" t="s">
        <v>278</v>
      </c>
      <c r="V515" s="6">
        <f>122815</f>
        <v>122815</v>
      </c>
      <c r="W515" s="6">
        <f>122815</f>
        <v>122815</v>
      </c>
      <c r="X515" s="4" t="s">
        <v>243</v>
      </c>
      <c r="Y515" s="4" t="s">
        <v>244</v>
      </c>
      <c r="Z515" s="4" t="s">
        <v>241</v>
      </c>
      <c r="AA515" s="4" t="s">
        <v>241</v>
      </c>
      <c r="AD515" s="4" t="s">
        <v>241</v>
      </c>
      <c r="AE515" s="5" t="s">
        <v>241</v>
      </c>
      <c r="AF515" s="5" t="s">
        <v>241</v>
      </c>
      <c r="AH515" s="5" t="s">
        <v>241</v>
      </c>
      <c r="AI515" s="5" t="s">
        <v>2790</v>
      </c>
      <c r="AJ515" s="4" t="s">
        <v>251</v>
      </c>
      <c r="AK515" s="4" t="s">
        <v>252</v>
      </c>
      <c r="AQ515" s="4" t="s">
        <v>241</v>
      </c>
      <c r="AR515" s="4" t="s">
        <v>241</v>
      </c>
      <c r="AS515" s="4" t="s">
        <v>241</v>
      </c>
      <c r="AT515" s="5" t="s">
        <v>241</v>
      </c>
      <c r="AU515" s="5" t="s">
        <v>241</v>
      </c>
      <c r="AV515" s="5" t="s">
        <v>241</v>
      </c>
      <c r="AY515" s="4" t="s">
        <v>286</v>
      </c>
      <c r="AZ515" s="4" t="s">
        <v>286</v>
      </c>
      <c r="BA515" s="4" t="s">
        <v>254</v>
      </c>
      <c r="BB515" s="4" t="s">
        <v>287</v>
      </c>
      <c r="BC515" s="4" t="s">
        <v>255</v>
      </c>
      <c r="BD515" s="4" t="s">
        <v>241</v>
      </c>
      <c r="BE515" s="4" t="s">
        <v>257</v>
      </c>
      <c r="BF515" s="4" t="s">
        <v>241</v>
      </c>
      <c r="BJ515" s="4" t="s">
        <v>288</v>
      </c>
      <c r="BK515" s="5" t="s">
        <v>289</v>
      </c>
      <c r="BL515" s="4" t="s">
        <v>290</v>
      </c>
      <c r="BM515" s="4" t="s">
        <v>290</v>
      </c>
      <c r="BN515" s="4" t="s">
        <v>241</v>
      </c>
      <c r="BP515" s="6">
        <f>-122815</f>
        <v>-122815</v>
      </c>
      <c r="BQ515" s="4" t="s">
        <v>263</v>
      </c>
      <c r="BR515" s="4" t="s">
        <v>264</v>
      </c>
      <c r="BS515" s="4" t="s">
        <v>241</v>
      </c>
      <c r="BT515" s="4" t="s">
        <v>241</v>
      </c>
      <c r="BU515" s="4" t="s">
        <v>241</v>
      </c>
      <c r="BV515" s="4" t="s">
        <v>241</v>
      </c>
      <c r="CE515" s="4" t="s">
        <v>264</v>
      </c>
      <c r="CF515" s="4" t="s">
        <v>241</v>
      </c>
      <c r="CG515" s="4" t="s">
        <v>241</v>
      </c>
      <c r="CK515" s="4" t="s">
        <v>291</v>
      </c>
      <c r="CL515" s="4" t="s">
        <v>266</v>
      </c>
      <c r="CM515" s="4" t="s">
        <v>241</v>
      </c>
      <c r="CO515" s="4" t="s">
        <v>426</v>
      </c>
      <c r="CP515" s="5" t="s">
        <v>268</v>
      </c>
      <c r="CQ515" s="4" t="s">
        <v>269</v>
      </c>
      <c r="CR515" s="4" t="s">
        <v>270</v>
      </c>
      <c r="CS515" s="4" t="s">
        <v>293</v>
      </c>
      <c r="CT515" s="4" t="s">
        <v>241</v>
      </c>
      <c r="CU515" s="4">
        <v>7.6999999999999999E-2</v>
      </c>
      <c r="CV515" s="4" t="s">
        <v>271</v>
      </c>
      <c r="CW515" s="4" t="s">
        <v>415</v>
      </c>
      <c r="CX515" s="4" t="s">
        <v>428</v>
      </c>
      <c r="CY515" s="6">
        <f>0</f>
        <v>0</v>
      </c>
      <c r="CZ515" s="6">
        <f>1595000</f>
        <v>1595000</v>
      </c>
      <c r="DA515" s="6">
        <f>1103740</f>
        <v>1103740</v>
      </c>
      <c r="DC515" s="4" t="s">
        <v>241</v>
      </c>
      <c r="DD515" s="4" t="s">
        <v>241</v>
      </c>
      <c r="DF515" s="4" t="s">
        <v>241</v>
      </c>
      <c r="DG515" s="6">
        <f>0</f>
        <v>0</v>
      </c>
      <c r="DI515" s="4" t="s">
        <v>241</v>
      </c>
      <c r="DJ515" s="4" t="s">
        <v>241</v>
      </c>
      <c r="DK515" s="4" t="s">
        <v>241</v>
      </c>
      <c r="DL515" s="4" t="s">
        <v>241</v>
      </c>
      <c r="DM515" s="4" t="s">
        <v>278</v>
      </c>
      <c r="DN515" s="4" t="s">
        <v>278</v>
      </c>
      <c r="DO515" s="6" t="s">
        <v>241</v>
      </c>
      <c r="DP515" s="4" t="s">
        <v>241</v>
      </c>
      <c r="DQ515" s="4" t="s">
        <v>241</v>
      </c>
      <c r="DR515" s="4" t="s">
        <v>241</v>
      </c>
      <c r="DS515" s="4" t="s">
        <v>241</v>
      </c>
      <c r="DV515" s="4" t="s">
        <v>989</v>
      </c>
      <c r="DW515" s="4" t="s">
        <v>417</v>
      </c>
      <c r="GN515" s="4" t="s">
        <v>2791</v>
      </c>
      <c r="HO515" s="4" t="s">
        <v>323</v>
      </c>
      <c r="HR515" s="4" t="s">
        <v>278</v>
      </c>
      <c r="HS515" s="4" t="s">
        <v>278</v>
      </c>
      <c r="HT515" s="4" t="s">
        <v>241</v>
      </c>
      <c r="HU515" s="4" t="s">
        <v>241</v>
      </c>
      <c r="HV515" s="4" t="s">
        <v>241</v>
      </c>
      <c r="HW515" s="4" t="s">
        <v>241</v>
      </c>
      <c r="HX515" s="4" t="s">
        <v>241</v>
      </c>
      <c r="HY515" s="4" t="s">
        <v>241</v>
      </c>
      <c r="HZ515" s="4" t="s">
        <v>241</v>
      </c>
      <c r="IA515" s="4" t="s">
        <v>241</v>
      </c>
      <c r="IB515" s="4" t="s">
        <v>241</v>
      </c>
      <c r="IC515" s="4" t="s">
        <v>241</v>
      </c>
      <c r="ID515" s="4" t="s">
        <v>241</v>
      </c>
      <c r="IE515" s="4" t="s">
        <v>241</v>
      </c>
      <c r="IF515" s="4" t="s">
        <v>241</v>
      </c>
    </row>
    <row r="516" spans="1:240" x14ac:dyDescent="0.4">
      <c r="A516" s="4">
        <v>2</v>
      </c>
      <c r="B516" s="4" t="s">
        <v>239</v>
      </c>
      <c r="C516" s="4">
        <v>547</v>
      </c>
      <c r="D516" s="4">
        <v>1</v>
      </c>
      <c r="E516" s="4">
        <v>3</v>
      </c>
      <c r="F516" s="4" t="s">
        <v>240</v>
      </c>
      <c r="G516" s="4" t="s">
        <v>241</v>
      </c>
      <c r="H516" s="4" t="s">
        <v>241</v>
      </c>
      <c r="I516" s="4" t="s">
        <v>652</v>
      </c>
      <c r="J516" s="4" t="s">
        <v>653</v>
      </c>
      <c r="K516" s="4" t="s">
        <v>256</v>
      </c>
      <c r="L516" s="4" t="s">
        <v>651</v>
      </c>
      <c r="M516" s="5" t="s">
        <v>654</v>
      </c>
      <c r="N516" s="4" t="s">
        <v>651</v>
      </c>
      <c r="O516" s="6">
        <f>2603</f>
        <v>2603</v>
      </c>
      <c r="P516" s="4" t="s">
        <v>276</v>
      </c>
      <c r="Q516" s="6">
        <f>18975870</f>
        <v>18975870</v>
      </c>
      <c r="R516" s="6">
        <f>351405000</f>
        <v>351405000</v>
      </c>
      <c r="S516" s="5" t="s">
        <v>954</v>
      </c>
      <c r="T516" s="4" t="s">
        <v>668</v>
      </c>
      <c r="U516" s="4" t="s">
        <v>437</v>
      </c>
      <c r="V516" s="6">
        <f>7730910</f>
        <v>7730910</v>
      </c>
      <c r="W516" s="6">
        <f>332429130</f>
        <v>332429130</v>
      </c>
      <c r="X516" s="4" t="s">
        <v>243</v>
      </c>
      <c r="Y516" s="4" t="s">
        <v>244</v>
      </c>
      <c r="Z516" s="4" t="s">
        <v>465</v>
      </c>
      <c r="AA516" s="4" t="s">
        <v>241</v>
      </c>
      <c r="AD516" s="4" t="s">
        <v>241</v>
      </c>
      <c r="AE516" s="5" t="s">
        <v>241</v>
      </c>
      <c r="AF516" s="5" t="s">
        <v>241</v>
      </c>
      <c r="AH516" s="5" t="s">
        <v>241</v>
      </c>
      <c r="AI516" s="5" t="s">
        <v>375</v>
      </c>
      <c r="AJ516" s="4" t="s">
        <v>251</v>
      </c>
      <c r="AK516" s="4" t="s">
        <v>252</v>
      </c>
      <c r="AQ516" s="4" t="s">
        <v>241</v>
      </c>
      <c r="AR516" s="4" t="s">
        <v>241</v>
      </c>
      <c r="AS516" s="4" t="s">
        <v>241</v>
      </c>
      <c r="AT516" s="5" t="s">
        <v>241</v>
      </c>
      <c r="AU516" s="5" t="s">
        <v>241</v>
      </c>
      <c r="AV516" s="5" t="s">
        <v>241</v>
      </c>
      <c r="AY516" s="4" t="s">
        <v>286</v>
      </c>
      <c r="AZ516" s="4" t="s">
        <v>286</v>
      </c>
      <c r="BA516" s="4" t="s">
        <v>254</v>
      </c>
      <c r="BB516" s="4" t="s">
        <v>287</v>
      </c>
      <c r="BC516" s="4" t="s">
        <v>255</v>
      </c>
      <c r="BD516" s="4" t="s">
        <v>241</v>
      </c>
      <c r="BE516" s="4" t="s">
        <v>257</v>
      </c>
      <c r="BF516" s="4" t="s">
        <v>241</v>
      </c>
      <c r="BH516" s="4" t="s">
        <v>993</v>
      </c>
      <c r="BJ516" s="4" t="s">
        <v>288</v>
      </c>
      <c r="BK516" s="5" t="s">
        <v>289</v>
      </c>
      <c r="BL516" s="4" t="s">
        <v>290</v>
      </c>
      <c r="BM516" s="4" t="s">
        <v>290</v>
      </c>
      <c r="BN516" s="4" t="s">
        <v>241</v>
      </c>
      <c r="BO516" s="6">
        <f>0</f>
        <v>0</v>
      </c>
      <c r="BP516" s="6">
        <f>-7730910</f>
        <v>-7730910</v>
      </c>
      <c r="BQ516" s="4" t="s">
        <v>263</v>
      </c>
      <c r="BR516" s="4" t="s">
        <v>264</v>
      </c>
      <c r="BS516" s="4" t="s">
        <v>241</v>
      </c>
      <c r="BT516" s="4" t="s">
        <v>241</v>
      </c>
      <c r="BU516" s="4" t="s">
        <v>241</v>
      </c>
      <c r="BV516" s="4" t="s">
        <v>241</v>
      </c>
      <c r="CE516" s="4" t="s">
        <v>264</v>
      </c>
      <c r="CF516" s="4" t="s">
        <v>241</v>
      </c>
      <c r="CG516" s="4" t="s">
        <v>241</v>
      </c>
      <c r="CK516" s="4" t="s">
        <v>265</v>
      </c>
      <c r="CL516" s="4" t="s">
        <v>266</v>
      </c>
      <c r="CM516" s="4" t="s">
        <v>241</v>
      </c>
      <c r="CO516" s="4" t="s">
        <v>956</v>
      </c>
      <c r="CP516" s="5" t="s">
        <v>268</v>
      </c>
      <c r="CQ516" s="4" t="s">
        <v>269</v>
      </c>
      <c r="CR516" s="4" t="s">
        <v>270</v>
      </c>
      <c r="CS516" s="4" t="s">
        <v>293</v>
      </c>
      <c r="CT516" s="4" t="s">
        <v>241</v>
      </c>
      <c r="CU516" s="4">
        <v>2.1999999999999999E-2</v>
      </c>
      <c r="CV516" s="4" t="s">
        <v>271</v>
      </c>
      <c r="CW516" s="4" t="s">
        <v>655</v>
      </c>
      <c r="CX516" s="4" t="s">
        <v>295</v>
      </c>
      <c r="CY516" s="6">
        <f>0</f>
        <v>0</v>
      </c>
      <c r="CZ516" s="6">
        <f>351405000</f>
        <v>351405000</v>
      </c>
      <c r="DA516" s="6">
        <f>18975870</f>
        <v>18975870</v>
      </c>
      <c r="DC516" s="4" t="s">
        <v>241</v>
      </c>
      <c r="DD516" s="4" t="s">
        <v>241</v>
      </c>
      <c r="DF516" s="4" t="s">
        <v>241</v>
      </c>
      <c r="DG516" s="6">
        <f>0</f>
        <v>0</v>
      </c>
      <c r="DI516" s="4" t="s">
        <v>241</v>
      </c>
      <c r="DJ516" s="4" t="s">
        <v>241</v>
      </c>
      <c r="DK516" s="4" t="s">
        <v>241</v>
      </c>
      <c r="DL516" s="4" t="s">
        <v>241</v>
      </c>
      <c r="DM516" s="4" t="s">
        <v>297</v>
      </c>
      <c r="DN516" s="4" t="s">
        <v>278</v>
      </c>
      <c r="DO516" s="6">
        <f>2603</f>
        <v>2603</v>
      </c>
      <c r="DP516" s="4" t="s">
        <v>241</v>
      </c>
      <c r="DQ516" s="4" t="s">
        <v>241</v>
      </c>
      <c r="DR516" s="4" t="s">
        <v>241</v>
      </c>
      <c r="DS516" s="4" t="s">
        <v>241</v>
      </c>
      <c r="DV516" s="4" t="s">
        <v>656</v>
      </c>
      <c r="DW516" s="4" t="s">
        <v>277</v>
      </c>
      <c r="GN516" s="4" t="s">
        <v>994</v>
      </c>
      <c r="HO516" s="4" t="s">
        <v>300</v>
      </c>
      <c r="HR516" s="4" t="s">
        <v>278</v>
      </c>
      <c r="HS516" s="4" t="s">
        <v>278</v>
      </c>
      <c r="HT516" s="4" t="s">
        <v>241</v>
      </c>
      <c r="HU516" s="4" t="s">
        <v>241</v>
      </c>
      <c r="HV516" s="4" t="s">
        <v>241</v>
      </c>
      <c r="HW516" s="4" t="s">
        <v>241</v>
      </c>
      <c r="HX516" s="4" t="s">
        <v>241</v>
      </c>
      <c r="HY516" s="4" t="s">
        <v>241</v>
      </c>
      <c r="HZ516" s="4" t="s">
        <v>241</v>
      </c>
      <c r="IA516" s="4" t="s">
        <v>241</v>
      </c>
      <c r="IB516" s="4" t="s">
        <v>241</v>
      </c>
      <c r="IC516" s="4" t="s">
        <v>241</v>
      </c>
      <c r="ID516" s="4" t="s">
        <v>241</v>
      </c>
      <c r="IE516" s="4" t="s">
        <v>241</v>
      </c>
      <c r="IF516" s="4" t="s">
        <v>241</v>
      </c>
    </row>
    <row r="517" spans="1:240" x14ac:dyDescent="0.4">
      <c r="A517" s="4">
        <v>2</v>
      </c>
      <c r="B517" s="4" t="s">
        <v>239</v>
      </c>
      <c r="C517" s="4">
        <v>548</v>
      </c>
      <c r="D517" s="4">
        <v>1</v>
      </c>
      <c r="E517" s="4">
        <v>1</v>
      </c>
      <c r="F517" s="4" t="s">
        <v>240</v>
      </c>
      <c r="G517" s="4" t="s">
        <v>241</v>
      </c>
      <c r="H517" s="4" t="s">
        <v>241</v>
      </c>
      <c r="I517" s="4" t="s">
        <v>652</v>
      </c>
      <c r="J517" s="4" t="s">
        <v>653</v>
      </c>
      <c r="K517" s="4" t="s">
        <v>256</v>
      </c>
      <c r="L517" s="4" t="s">
        <v>651</v>
      </c>
      <c r="M517" s="5" t="s">
        <v>654</v>
      </c>
      <c r="N517" s="4" t="s">
        <v>651</v>
      </c>
      <c r="O517" s="6">
        <f>29</f>
        <v>29</v>
      </c>
      <c r="P517" s="4" t="s">
        <v>276</v>
      </c>
      <c r="Q517" s="6">
        <f>1</f>
        <v>1</v>
      </c>
      <c r="R517" s="6">
        <f>2320000</f>
        <v>2320000</v>
      </c>
      <c r="S517" s="5" t="s">
        <v>954</v>
      </c>
      <c r="T517" s="4" t="s">
        <v>357</v>
      </c>
      <c r="U517" s="4" t="s">
        <v>777</v>
      </c>
      <c r="W517" s="6">
        <f>2319999</f>
        <v>2319999</v>
      </c>
      <c r="X517" s="4" t="s">
        <v>243</v>
      </c>
      <c r="Y517" s="4" t="s">
        <v>244</v>
      </c>
      <c r="Z517" s="4" t="s">
        <v>465</v>
      </c>
      <c r="AA517" s="4" t="s">
        <v>241</v>
      </c>
      <c r="AD517" s="4" t="s">
        <v>241</v>
      </c>
      <c r="AF517" s="5" t="s">
        <v>241</v>
      </c>
      <c r="AI517" s="5" t="s">
        <v>375</v>
      </c>
      <c r="AJ517" s="4" t="s">
        <v>251</v>
      </c>
      <c r="AK517" s="4" t="s">
        <v>252</v>
      </c>
      <c r="BA517" s="4" t="s">
        <v>254</v>
      </c>
      <c r="BB517" s="4" t="s">
        <v>241</v>
      </c>
      <c r="BC517" s="4" t="s">
        <v>255</v>
      </c>
      <c r="BD517" s="4" t="s">
        <v>241</v>
      </c>
      <c r="BE517" s="4" t="s">
        <v>257</v>
      </c>
      <c r="BF517" s="4" t="s">
        <v>241</v>
      </c>
      <c r="BJ517" s="4" t="s">
        <v>374</v>
      </c>
      <c r="BK517" s="5" t="s">
        <v>375</v>
      </c>
      <c r="BL517" s="4" t="s">
        <v>261</v>
      </c>
      <c r="BM517" s="4" t="s">
        <v>262</v>
      </c>
      <c r="BN517" s="4" t="s">
        <v>241</v>
      </c>
      <c r="BO517" s="6">
        <f>0</f>
        <v>0</v>
      </c>
      <c r="BP517" s="6">
        <f>0</f>
        <v>0</v>
      </c>
      <c r="BQ517" s="4" t="s">
        <v>263</v>
      </c>
      <c r="BR517" s="4" t="s">
        <v>264</v>
      </c>
      <c r="CF517" s="4" t="s">
        <v>241</v>
      </c>
      <c r="CG517" s="4" t="s">
        <v>241</v>
      </c>
      <c r="CK517" s="4" t="s">
        <v>265</v>
      </c>
      <c r="CL517" s="4" t="s">
        <v>266</v>
      </c>
      <c r="CM517" s="4" t="s">
        <v>241</v>
      </c>
      <c r="CO517" s="4" t="s">
        <v>956</v>
      </c>
      <c r="CP517" s="5" t="s">
        <v>268</v>
      </c>
      <c r="CQ517" s="4" t="s">
        <v>269</v>
      </c>
      <c r="CR517" s="4" t="s">
        <v>270</v>
      </c>
      <c r="CS517" s="4" t="s">
        <v>241</v>
      </c>
      <c r="CT517" s="4" t="s">
        <v>241</v>
      </c>
      <c r="CU517" s="4">
        <v>0</v>
      </c>
      <c r="CV517" s="4" t="s">
        <v>271</v>
      </c>
      <c r="CW517" s="4" t="s">
        <v>655</v>
      </c>
      <c r="CX517" s="4" t="s">
        <v>487</v>
      </c>
      <c r="CZ517" s="6">
        <f>2320000</f>
        <v>2320000</v>
      </c>
      <c r="DA517" s="6">
        <f>0</f>
        <v>0</v>
      </c>
      <c r="DC517" s="4" t="s">
        <v>241</v>
      </c>
      <c r="DD517" s="4" t="s">
        <v>241</v>
      </c>
      <c r="DF517" s="4" t="s">
        <v>241</v>
      </c>
      <c r="DI517" s="4" t="s">
        <v>241</v>
      </c>
      <c r="DJ517" s="4" t="s">
        <v>241</v>
      </c>
      <c r="DK517" s="4" t="s">
        <v>241</v>
      </c>
      <c r="DL517" s="4" t="s">
        <v>241</v>
      </c>
      <c r="DM517" s="4" t="s">
        <v>277</v>
      </c>
      <c r="DN517" s="4" t="s">
        <v>278</v>
      </c>
      <c r="DO517" s="6">
        <f>29</f>
        <v>29</v>
      </c>
      <c r="DP517" s="4" t="s">
        <v>241</v>
      </c>
      <c r="DQ517" s="4" t="s">
        <v>241</v>
      </c>
      <c r="DR517" s="4" t="s">
        <v>241</v>
      </c>
      <c r="DS517" s="4" t="s">
        <v>241</v>
      </c>
      <c r="DV517" s="4" t="s">
        <v>656</v>
      </c>
      <c r="DW517" s="4" t="s">
        <v>323</v>
      </c>
      <c r="HO517" s="4" t="s">
        <v>277</v>
      </c>
      <c r="HR517" s="4" t="s">
        <v>278</v>
      </c>
      <c r="HS517" s="4" t="s">
        <v>278</v>
      </c>
    </row>
    <row r="518" spans="1:240" x14ac:dyDescent="0.4">
      <c r="A518" s="4">
        <v>2</v>
      </c>
      <c r="B518" s="4" t="s">
        <v>239</v>
      </c>
      <c r="C518" s="4">
        <v>549</v>
      </c>
      <c r="D518" s="4">
        <v>1</v>
      </c>
      <c r="E518" s="4">
        <v>1</v>
      </c>
      <c r="F518" s="4" t="s">
        <v>240</v>
      </c>
      <c r="G518" s="4" t="s">
        <v>241</v>
      </c>
      <c r="H518" s="4" t="s">
        <v>241</v>
      </c>
      <c r="I518" s="4" t="s">
        <v>652</v>
      </c>
      <c r="J518" s="4" t="s">
        <v>653</v>
      </c>
      <c r="K518" s="4" t="s">
        <v>256</v>
      </c>
      <c r="L518" s="4" t="s">
        <v>429</v>
      </c>
      <c r="M518" s="5" t="s">
        <v>654</v>
      </c>
      <c r="N518" s="4" t="s">
        <v>429</v>
      </c>
      <c r="O518" s="6">
        <f>26</f>
        <v>26</v>
      </c>
      <c r="P518" s="4" t="s">
        <v>276</v>
      </c>
      <c r="Q518" s="6">
        <f>1</f>
        <v>1</v>
      </c>
      <c r="R518" s="6">
        <f>1560000</f>
        <v>1560000</v>
      </c>
      <c r="S518" s="5" t="s">
        <v>3022</v>
      </c>
      <c r="T518" s="4" t="s">
        <v>348</v>
      </c>
      <c r="U518" s="4" t="s">
        <v>796</v>
      </c>
      <c r="W518" s="6">
        <f>1559999</f>
        <v>1559999</v>
      </c>
      <c r="X518" s="4" t="s">
        <v>243</v>
      </c>
      <c r="Y518" s="4" t="s">
        <v>244</v>
      </c>
      <c r="Z518" s="4" t="s">
        <v>465</v>
      </c>
      <c r="AA518" s="4" t="s">
        <v>241</v>
      </c>
      <c r="AD518" s="4" t="s">
        <v>241</v>
      </c>
      <c r="AF518" s="5" t="s">
        <v>241</v>
      </c>
      <c r="AI518" s="5" t="s">
        <v>375</v>
      </c>
      <c r="AJ518" s="4" t="s">
        <v>251</v>
      </c>
      <c r="AK518" s="4" t="s">
        <v>252</v>
      </c>
      <c r="BA518" s="4" t="s">
        <v>254</v>
      </c>
      <c r="BB518" s="4" t="s">
        <v>241</v>
      </c>
      <c r="BC518" s="4" t="s">
        <v>255</v>
      </c>
      <c r="BD518" s="4" t="s">
        <v>241</v>
      </c>
      <c r="BE518" s="4" t="s">
        <v>257</v>
      </c>
      <c r="BF518" s="4" t="s">
        <v>241</v>
      </c>
      <c r="BJ518" s="4" t="s">
        <v>377</v>
      </c>
      <c r="BK518" s="5" t="s">
        <v>378</v>
      </c>
      <c r="BL518" s="4" t="s">
        <v>261</v>
      </c>
      <c r="BM518" s="4" t="s">
        <v>262</v>
      </c>
      <c r="BN518" s="4" t="s">
        <v>241</v>
      </c>
      <c r="BO518" s="6">
        <f>0</f>
        <v>0</v>
      </c>
      <c r="BP518" s="6">
        <f>0</f>
        <v>0</v>
      </c>
      <c r="BQ518" s="4" t="s">
        <v>263</v>
      </c>
      <c r="BR518" s="4" t="s">
        <v>264</v>
      </c>
      <c r="CF518" s="4" t="s">
        <v>241</v>
      </c>
      <c r="CG518" s="4" t="s">
        <v>241</v>
      </c>
      <c r="CK518" s="4" t="s">
        <v>265</v>
      </c>
      <c r="CL518" s="4" t="s">
        <v>266</v>
      </c>
      <c r="CM518" s="4" t="s">
        <v>241</v>
      </c>
      <c r="CO518" s="4" t="s">
        <v>795</v>
      </c>
      <c r="CP518" s="5" t="s">
        <v>268</v>
      </c>
      <c r="CQ518" s="4" t="s">
        <v>269</v>
      </c>
      <c r="CR518" s="4" t="s">
        <v>270</v>
      </c>
      <c r="CS518" s="4" t="s">
        <v>241</v>
      </c>
      <c r="CT518" s="4" t="s">
        <v>241</v>
      </c>
      <c r="CU518" s="4">
        <v>0</v>
      </c>
      <c r="CV518" s="4" t="s">
        <v>271</v>
      </c>
      <c r="CW518" s="4" t="s">
        <v>272</v>
      </c>
      <c r="CX518" s="4" t="s">
        <v>347</v>
      </c>
      <c r="CZ518" s="6">
        <f>1560000</f>
        <v>1560000</v>
      </c>
      <c r="DA518" s="6">
        <f>0</f>
        <v>0</v>
      </c>
      <c r="DC518" s="4" t="s">
        <v>241</v>
      </c>
      <c r="DD518" s="4" t="s">
        <v>241</v>
      </c>
      <c r="DF518" s="4" t="s">
        <v>241</v>
      </c>
      <c r="DI518" s="4" t="s">
        <v>241</v>
      </c>
      <c r="DJ518" s="4" t="s">
        <v>241</v>
      </c>
      <c r="DK518" s="4" t="s">
        <v>241</v>
      </c>
      <c r="DL518" s="4" t="s">
        <v>241</v>
      </c>
      <c r="DM518" s="4" t="s">
        <v>277</v>
      </c>
      <c r="DN518" s="4" t="s">
        <v>278</v>
      </c>
      <c r="DO518" s="6">
        <f>26</f>
        <v>26</v>
      </c>
      <c r="DP518" s="4" t="s">
        <v>241</v>
      </c>
      <c r="DQ518" s="4" t="s">
        <v>241</v>
      </c>
      <c r="DR518" s="4" t="s">
        <v>241</v>
      </c>
      <c r="DS518" s="4" t="s">
        <v>241</v>
      </c>
      <c r="DV518" s="4" t="s">
        <v>656</v>
      </c>
      <c r="DW518" s="4" t="s">
        <v>297</v>
      </c>
      <c r="HO518" s="4" t="s">
        <v>277</v>
      </c>
      <c r="HR518" s="4" t="s">
        <v>278</v>
      </c>
      <c r="HS518" s="4" t="s">
        <v>278</v>
      </c>
    </row>
    <row r="519" spans="1:240" x14ac:dyDescent="0.4">
      <c r="A519" s="4">
        <v>2</v>
      </c>
      <c r="B519" s="4" t="s">
        <v>239</v>
      </c>
      <c r="C519" s="4">
        <v>550</v>
      </c>
      <c r="D519" s="4">
        <v>1</v>
      </c>
      <c r="E519" s="4">
        <v>3</v>
      </c>
      <c r="F519" s="4" t="s">
        <v>240</v>
      </c>
      <c r="G519" s="4" t="s">
        <v>241</v>
      </c>
      <c r="H519" s="4" t="s">
        <v>241</v>
      </c>
      <c r="I519" s="4" t="s">
        <v>652</v>
      </c>
      <c r="J519" s="4" t="s">
        <v>653</v>
      </c>
      <c r="K519" s="4" t="s">
        <v>256</v>
      </c>
      <c r="L519" s="4" t="s">
        <v>1003</v>
      </c>
      <c r="M519" s="5" t="s">
        <v>654</v>
      </c>
      <c r="N519" s="4" t="s">
        <v>1003</v>
      </c>
      <c r="O519" s="6">
        <f>709</f>
        <v>709</v>
      </c>
      <c r="P519" s="4" t="s">
        <v>276</v>
      </c>
      <c r="Q519" s="6">
        <f>15697260</f>
        <v>15697260</v>
      </c>
      <c r="R519" s="6">
        <f>95715000</f>
        <v>95715000</v>
      </c>
      <c r="S519" s="5" t="s">
        <v>1152</v>
      </c>
      <c r="T519" s="4" t="s">
        <v>668</v>
      </c>
      <c r="U519" s="4" t="s">
        <v>777</v>
      </c>
      <c r="V519" s="6">
        <f>2105730</f>
        <v>2105730</v>
      </c>
      <c r="W519" s="6">
        <f>80017740</f>
        <v>80017740</v>
      </c>
      <c r="X519" s="4" t="s">
        <v>243</v>
      </c>
      <c r="Y519" s="4" t="s">
        <v>244</v>
      </c>
      <c r="Z519" s="4" t="s">
        <v>465</v>
      </c>
      <c r="AA519" s="4" t="s">
        <v>241</v>
      </c>
      <c r="AD519" s="4" t="s">
        <v>241</v>
      </c>
      <c r="AE519" s="5" t="s">
        <v>241</v>
      </c>
      <c r="AF519" s="5" t="s">
        <v>241</v>
      </c>
      <c r="AH519" s="5" t="s">
        <v>241</v>
      </c>
      <c r="AI519" s="5" t="s">
        <v>375</v>
      </c>
      <c r="AJ519" s="4" t="s">
        <v>251</v>
      </c>
      <c r="AK519" s="4" t="s">
        <v>252</v>
      </c>
      <c r="AQ519" s="4" t="s">
        <v>241</v>
      </c>
      <c r="AR519" s="4" t="s">
        <v>241</v>
      </c>
      <c r="AS519" s="4" t="s">
        <v>241</v>
      </c>
      <c r="AT519" s="5" t="s">
        <v>241</v>
      </c>
      <c r="AU519" s="5" t="s">
        <v>241</v>
      </c>
      <c r="AV519" s="5" t="s">
        <v>241</v>
      </c>
      <c r="AY519" s="4" t="s">
        <v>286</v>
      </c>
      <c r="AZ519" s="4" t="s">
        <v>286</v>
      </c>
      <c r="BA519" s="4" t="s">
        <v>254</v>
      </c>
      <c r="BB519" s="4" t="s">
        <v>287</v>
      </c>
      <c r="BC519" s="4" t="s">
        <v>255</v>
      </c>
      <c r="BD519" s="4" t="s">
        <v>241</v>
      </c>
      <c r="BE519" s="4" t="s">
        <v>257</v>
      </c>
      <c r="BF519" s="4" t="s">
        <v>241</v>
      </c>
      <c r="BJ519" s="4" t="s">
        <v>288</v>
      </c>
      <c r="BK519" s="5" t="s">
        <v>289</v>
      </c>
      <c r="BL519" s="4" t="s">
        <v>290</v>
      </c>
      <c r="BM519" s="4" t="s">
        <v>290</v>
      </c>
      <c r="BN519" s="4" t="s">
        <v>241</v>
      </c>
      <c r="BO519" s="6">
        <f>0</f>
        <v>0</v>
      </c>
      <c r="BP519" s="6">
        <f>-2105730</f>
        <v>-2105730</v>
      </c>
      <c r="BQ519" s="4" t="s">
        <v>263</v>
      </c>
      <c r="BR519" s="4" t="s">
        <v>264</v>
      </c>
      <c r="BS519" s="4" t="s">
        <v>241</v>
      </c>
      <c r="BT519" s="4" t="s">
        <v>241</v>
      </c>
      <c r="BU519" s="4" t="s">
        <v>241</v>
      </c>
      <c r="BV519" s="4" t="s">
        <v>241</v>
      </c>
      <c r="CE519" s="4" t="s">
        <v>264</v>
      </c>
      <c r="CF519" s="4" t="s">
        <v>241</v>
      </c>
      <c r="CG519" s="4" t="s">
        <v>241</v>
      </c>
      <c r="CK519" s="4" t="s">
        <v>265</v>
      </c>
      <c r="CL519" s="4" t="s">
        <v>266</v>
      </c>
      <c r="CM519" s="4" t="s">
        <v>241</v>
      </c>
      <c r="CO519" s="4" t="s">
        <v>662</v>
      </c>
      <c r="CP519" s="5" t="s">
        <v>268</v>
      </c>
      <c r="CQ519" s="4" t="s">
        <v>269</v>
      </c>
      <c r="CR519" s="4" t="s">
        <v>270</v>
      </c>
      <c r="CS519" s="4" t="s">
        <v>293</v>
      </c>
      <c r="CT519" s="4" t="s">
        <v>241</v>
      </c>
      <c r="CU519" s="4">
        <v>2.1999999999999999E-2</v>
      </c>
      <c r="CV519" s="4" t="s">
        <v>271</v>
      </c>
      <c r="CW519" s="4" t="s">
        <v>1006</v>
      </c>
      <c r="CX519" s="4" t="s">
        <v>295</v>
      </c>
      <c r="CY519" s="6">
        <f>0</f>
        <v>0</v>
      </c>
      <c r="CZ519" s="6">
        <f>95715000</f>
        <v>95715000</v>
      </c>
      <c r="DA519" s="6">
        <f>15697260</f>
        <v>15697260</v>
      </c>
      <c r="DC519" s="4" t="s">
        <v>241</v>
      </c>
      <c r="DD519" s="4" t="s">
        <v>241</v>
      </c>
      <c r="DF519" s="4" t="s">
        <v>241</v>
      </c>
      <c r="DG519" s="6">
        <f>0</f>
        <v>0</v>
      </c>
      <c r="DI519" s="4" t="s">
        <v>241</v>
      </c>
      <c r="DJ519" s="4" t="s">
        <v>241</v>
      </c>
      <c r="DK519" s="4" t="s">
        <v>241</v>
      </c>
      <c r="DL519" s="4" t="s">
        <v>241</v>
      </c>
      <c r="DM519" s="4" t="s">
        <v>277</v>
      </c>
      <c r="DN519" s="4" t="s">
        <v>278</v>
      </c>
      <c r="DO519" s="6">
        <f>709</f>
        <v>709</v>
      </c>
      <c r="DP519" s="4" t="s">
        <v>241</v>
      </c>
      <c r="DQ519" s="4" t="s">
        <v>241</v>
      </c>
      <c r="DR519" s="4" t="s">
        <v>241</v>
      </c>
      <c r="DS519" s="4" t="s">
        <v>241</v>
      </c>
      <c r="DV519" s="4" t="s">
        <v>656</v>
      </c>
      <c r="DW519" s="4" t="s">
        <v>336</v>
      </c>
      <c r="GN519" s="4" t="s">
        <v>1153</v>
      </c>
      <c r="HO519" s="4" t="s">
        <v>300</v>
      </c>
      <c r="HR519" s="4" t="s">
        <v>278</v>
      </c>
      <c r="HS519" s="4" t="s">
        <v>278</v>
      </c>
      <c r="HT519" s="4" t="s">
        <v>241</v>
      </c>
      <c r="HU519" s="4" t="s">
        <v>241</v>
      </c>
      <c r="HV519" s="4" t="s">
        <v>241</v>
      </c>
      <c r="HW519" s="4" t="s">
        <v>241</v>
      </c>
      <c r="HX519" s="4" t="s">
        <v>241</v>
      </c>
      <c r="HY519" s="4" t="s">
        <v>241</v>
      </c>
      <c r="HZ519" s="4" t="s">
        <v>241</v>
      </c>
      <c r="IA519" s="4" t="s">
        <v>241</v>
      </c>
      <c r="IB519" s="4" t="s">
        <v>241</v>
      </c>
      <c r="IC519" s="4" t="s">
        <v>241</v>
      </c>
      <c r="ID519" s="4" t="s">
        <v>241</v>
      </c>
      <c r="IE519" s="4" t="s">
        <v>241</v>
      </c>
      <c r="IF519" s="4" t="s">
        <v>241</v>
      </c>
    </row>
    <row r="520" spans="1:240" x14ac:dyDescent="0.4">
      <c r="A520" s="4">
        <v>2</v>
      </c>
      <c r="B520" s="4" t="s">
        <v>239</v>
      </c>
      <c r="C520" s="4">
        <v>551</v>
      </c>
      <c r="D520" s="4">
        <v>1</v>
      </c>
      <c r="E520" s="4">
        <v>3</v>
      </c>
      <c r="F520" s="4" t="s">
        <v>240</v>
      </c>
      <c r="G520" s="4" t="s">
        <v>241</v>
      </c>
      <c r="H520" s="4" t="s">
        <v>241</v>
      </c>
      <c r="I520" s="4" t="s">
        <v>652</v>
      </c>
      <c r="J520" s="4" t="s">
        <v>653</v>
      </c>
      <c r="K520" s="4" t="s">
        <v>256</v>
      </c>
      <c r="L520" s="4" t="s">
        <v>651</v>
      </c>
      <c r="M520" s="5" t="s">
        <v>654</v>
      </c>
      <c r="N520" s="4" t="s">
        <v>651</v>
      </c>
      <c r="O520" s="6">
        <f>118</f>
        <v>118</v>
      </c>
      <c r="P520" s="4" t="s">
        <v>276</v>
      </c>
      <c r="Q520" s="6">
        <f>1121000</f>
        <v>1121000</v>
      </c>
      <c r="R520" s="6">
        <f>11210000</f>
        <v>11210000</v>
      </c>
      <c r="S520" s="5" t="s">
        <v>438</v>
      </c>
      <c r="T520" s="4" t="s">
        <v>357</v>
      </c>
      <c r="U520" s="4" t="s">
        <v>399</v>
      </c>
      <c r="V520" s="6">
        <f>336300</f>
        <v>336300</v>
      </c>
      <c r="W520" s="6">
        <f>10089000</f>
        <v>10089000</v>
      </c>
      <c r="X520" s="4" t="s">
        <v>243</v>
      </c>
      <c r="Y520" s="4" t="s">
        <v>244</v>
      </c>
      <c r="Z520" s="4" t="s">
        <v>465</v>
      </c>
      <c r="AA520" s="4" t="s">
        <v>241</v>
      </c>
      <c r="AD520" s="4" t="s">
        <v>241</v>
      </c>
      <c r="AE520" s="5" t="s">
        <v>241</v>
      </c>
      <c r="AF520" s="5" t="s">
        <v>241</v>
      </c>
      <c r="AH520" s="5" t="s">
        <v>241</v>
      </c>
      <c r="AI520" s="5" t="s">
        <v>249</v>
      </c>
      <c r="AJ520" s="4" t="s">
        <v>251</v>
      </c>
      <c r="AK520" s="4" t="s">
        <v>252</v>
      </c>
      <c r="AQ520" s="4" t="s">
        <v>241</v>
      </c>
      <c r="AR520" s="4" t="s">
        <v>241</v>
      </c>
      <c r="AS520" s="4" t="s">
        <v>241</v>
      </c>
      <c r="AT520" s="5" t="s">
        <v>241</v>
      </c>
      <c r="AU520" s="5" t="s">
        <v>241</v>
      </c>
      <c r="AV520" s="5" t="s">
        <v>241</v>
      </c>
      <c r="AY520" s="4" t="s">
        <v>286</v>
      </c>
      <c r="AZ520" s="4" t="s">
        <v>286</v>
      </c>
      <c r="BA520" s="4" t="s">
        <v>254</v>
      </c>
      <c r="BB520" s="4" t="s">
        <v>287</v>
      </c>
      <c r="BC520" s="4" t="s">
        <v>255</v>
      </c>
      <c r="BD520" s="4" t="s">
        <v>241</v>
      </c>
      <c r="BE520" s="4" t="s">
        <v>257</v>
      </c>
      <c r="BF520" s="4" t="s">
        <v>241</v>
      </c>
      <c r="BJ520" s="4" t="s">
        <v>288</v>
      </c>
      <c r="BK520" s="5" t="s">
        <v>289</v>
      </c>
      <c r="BL520" s="4" t="s">
        <v>290</v>
      </c>
      <c r="BM520" s="4" t="s">
        <v>290</v>
      </c>
      <c r="BN520" s="4" t="s">
        <v>241</v>
      </c>
      <c r="BO520" s="6">
        <f>0</f>
        <v>0</v>
      </c>
      <c r="BP520" s="6">
        <f>-336300</f>
        <v>-336300</v>
      </c>
      <c r="BQ520" s="4" t="s">
        <v>263</v>
      </c>
      <c r="BR520" s="4" t="s">
        <v>264</v>
      </c>
      <c r="BS520" s="4" t="s">
        <v>241</v>
      </c>
      <c r="BT520" s="4" t="s">
        <v>241</v>
      </c>
      <c r="BU520" s="4" t="s">
        <v>241</v>
      </c>
      <c r="BV520" s="4" t="s">
        <v>241</v>
      </c>
      <c r="CE520" s="4" t="s">
        <v>264</v>
      </c>
      <c r="CF520" s="4" t="s">
        <v>241</v>
      </c>
      <c r="CG520" s="4" t="s">
        <v>241</v>
      </c>
      <c r="CK520" s="4" t="s">
        <v>291</v>
      </c>
      <c r="CL520" s="4" t="s">
        <v>266</v>
      </c>
      <c r="CM520" s="4" t="s">
        <v>241</v>
      </c>
      <c r="CO520" s="4" t="s">
        <v>439</v>
      </c>
      <c r="CP520" s="5" t="s">
        <v>268</v>
      </c>
      <c r="CQ520" s="4" t="s">
        <v>269</v>
      </c>
      <c r="CR520" s="4" t="s">
        <v>270</v>
      </c>
      <c r="CS520" s="4" t="s">
        <v>293</v>
      </c>
      <c r="CT520" s="4" t="s">
        <v>241</v>
      </c>
      <c r="CU520" s="4">
        <v>0.03</v>
      </c>
      <c r="CV520" s="4" t="s">
        <v>271</v>
      </c>
      <c r="CW520" s="4" t="s">
        <v>655</v>
      </c>
      <c r="CX520" s="4" t="s">
        <v>487</v>
      </c>
      <c r="CY520" s="6">
        <f>0</f>
        <v>0</v>
      </c>
      <c r="CZ520" s="6">
        <f>11210000</f>
        <v>11210000</v>
      </c>
      <c r="DA520" s="6">
        <f>1121000</f>
        <v>1121000</v>
      </c>
      <c r="DC520" s="4" t="s">
        <v>241</v>
      </c>
      <c r="DD520" s="4" t="s">
        <v>241</v>
      </c>
      <c r="DF520" s="4" t="s">
        <v>241</v>
      </c>
      <c r="DG520" s="6">
        <f>0</f>
        <v>0</v>
      </c>
      <c r="DI520" s="4" t="s">
        <v>241</v>
      </c>
      <c r="DJ520" s="4" t="s">
        <v>241</v>
      </c>
      <c r="DK520" s="4" t="s">
        <v>241</v>
      </c>
      <c r="DL520" s="4" t="s">
        <v>241</v>
      </c>
      <c r="DM520" s="4" t="s">
        <v>277</v>
      </c>
      <c r="DN520" s="4" t="s">
        <v>278</v>
      </c>
      <c r="DO520" s="6">
        <f>118</f>
        <v>118</v>
      </c>
      <c r="DP520" s="4" t="s">
        <v>241</v>
      </c>
      <c r="DQ520" s="4" t="s">
        <v>241</v>
      </c>
      <c r="DR520" s="4" t="s">
        <v>241</v>
      </c>
      <c r="DS520" s="4" t="s">
        <v>241</v>
      </c>
      <c r="DV520" s="4" t="s">
        <v>656</v>
      </c>
      <c r="DW520" s="4" t="s">
        <v>351</v>
      </c>
      <c r="GN520" s="4" t="s">
        <v>657</v>
      </c>
      <c r="HO520" s="4" t="s">
        <v>300</v>
      </c>
      <c r="HR520" s="4" t="s">
        <v>278</v>
      </c>
      <c r="HS520" s="4" t="s">
        <v>278</v>
      </c>
      <c r="HT520" s="4" t="s">
        <v>241</v>
      </c>
      <c r="HU520" s="4" t="s">
        <v>241</v>
      </c>
      <c r="HV520" s="4" t="s">
        <v>241</v>
      </c>
      <c r="HW520" s="4" t="s">
        <v>241</v>
      </c>
      <c r="HX520" s="4" t="s">
        <v>241</v>
      </c>
      <c r="HY520" s="4" t="s">
        <v>241</v>
      </c>
      <c r="HZ520" s="4" t="s">
        <v>241</v>
      </c>
      <c r="IA520" s="4" t="s">
        <v>241</v>
      </c>
      <c r="IB520" s="4" t="s">
        <v>241</v>
      </c>
      <c r="IC520" s="4" t="s">
        <v>241</v>
      </c>
      <c r="ID520" s="4" t="s">
        <v>241</v>
      </c>
      <c r="IE520" s="4" t="s">
        <v>241</v>
      </c>
      <c r="IF520" s="4" t="s">
        <v>241</v>
      </c>
    </row>
    <row r="521" spans="1:240" x14ac:dyDescent="0.4">
      <c r="A521" s="4">
        <v>2</v>
      </c>
      <c r="B521" s="4" t="s">
        <v>239</v>
      </c>
      <c r="C521" s="4">
        <v>552</v>
      </c>
      <c r="D521" s="4">
        <v>1</v>
      </c>
      <c r="E521" s="4">
        <v>3</v>
      </c>
      <c r="F521" s="4" t="s">
        <v>240</v>
      </c>
      <c r="G521" s="4" t="s">
        <v>241</v>
      </c>
      <c r="H521" s="4" t="s">
        <v>241</v>
      </c>
      <c r="I521" s="4" t="s">
        <v>652</v>
      </c>
      <c r="J521" s="4" t="s">
        <v>653</v>
      </c>
      <c r="K521" s="4" t="s">
        <v>256</v>
      </c>
      <c r="L521" s="4" t="s">
        <v>429</v>
      </c>
      <c r="M521" s="5" t="s">
        <v>654</v>
      </c>
      <c r="N521" s="4" t="s">
        <v>429</v>
      </c>
      <c r="O521" s="6">
        <f>20</f>
        <v>20</v>
      </c>
      <c r="P521" s="4" t="s">
        <v>276</v>
      </c>
      <c r="Q521" s="6">
        <f>64600</f>
        <v>64600</v>
      </c>
      <c r="R521" s="6">
        <f>1900000</f>
        <v>1900000</v>
      </c>
      <c r="S521" s="5" t="s">
        <v>400</v>
      </c>
      <c r="T521" s="4" t="s">
        <v>274</v>
      </c>
      <c r="U521" s="4" t="s">
        <v>314</v>
      </c>
      <c r="V521" s="6">
        <f>79800</f>
        <v>79800</v>
      </c>
      <c r="W521" s="6">
        <f>1835400</f>
        <v>1835400</v>
      </c>
      <c r="X521" s="4" t="s">
        <v>243</v>
      </c>
      <c r="Y521" s="4" t="s">
        <v>244</v>
      </c>
      <c r="Z521" s="4" t="s">
        <v>465</v>
      </c>
      <c r="AA521" s="4" t="s">
        <v>241</v>
      </c>
      <c r="AD521" s="4" t="s">
        <v>241</v>
      </c>
      <c r="AE521" s="5" t="s">
        <v>241</v>
      </c>
      <c r="AF521" s="5" t="s">
        <v>241</v>
      </c>
      <c r="AH521" s="5" t="s">
        <v>241</v>
      </c>
      <c r="AI521" s="5" t="s">
        <v>249</v>
      </c>
      <c r="AJ521" s="4" t="s">
        <v>251</v>
      </c>
      <c r="AK521" s="4" t="s">
        <v>252</v>
      </c>
      <c r="AQ521" s="4" t="s">
        <v>241</v>
      </c>
      <c r="AR521" s="4" t="s">
        <v>241</v>
      </c>
      <c r="AS521" s="4" t="s">
        <v>241</v>
      </c>
      <c r="AT521" s="5" t="s">
        <v>241</v>
      </c>
      <c r="AU521" s="5" t="s">
        <v>241</v>
      </c>
      <c r="AV521" s="5" t="s">
        <v>241</v>
      </c>
      <c r="AY521" s="4" t="s">
        <v>286</v>
      </c>
      <c r="AZ521" s="4" t="s">
        <v>286</v>
      </c>
      <c r="BA521" s="4" t="s">
        <v>254</v>
      </c>
      <c r="BB521" s="4" t="s">
        <v>287</v>
      </c>
      <c r="BC521" s="4" t="s">
        <v>255</v>
      </c>
      <c r="BD521" s="4" t="s">
        <v>241</v>
      </c>
      <c r="BE521" s="4" t="s">
        <v>257</v>
      </c>
      <c r="BF521" s="4" t="s">
        <v>241</v>
      </c>
      <c r="BJ521" s="4" t="s">
        <v>288</v>
      </c>
      <c r="BK521" s="5" t="s">
        <v>289</v>
      </c>
      <c r="BL521" s="4" t="s">
        <v>290</v>
      </c>
      <c r="BM521" s="4" t="s">
        <v>290</v>
      </c>
      <c r="BN521" s="4" t="s">
        <v>241</v>
      </c>
      <c r="BO521" s="6">
        <f>0</f>
        <v>0</v>
      </c>
      <c r="BP521" s="6">
        <f>-79800</f>
        <v>-79800</v>
      </c>
      <c r="BQ521" s="4" t="s">
        <v>263</v>
      </c>
      <c r="BR521" s="4" t="s">
        <v>264</v>
      </c>
      <c r="BS521" s="4" t="s">
        <v>241</v>
      </c>
      <c r="BT521" s="4" t="s">
        <v>241</v>
      </c>
      <c r="BU521" s="4" t="s">
        <v>241</v>
      </c>
      <c r="BV521" s="4" t="s">
        <v>241</v>
      </c>
      <c r="CE521" s="4" t="s">
        <v>264</v>
      </c>
      <c r="CF521" s="4" t="s">
        <v>241</v>
      </c>
      <c r="CG521" s="4" t="s">
        <v>241</v>
      </c>
      <c r="CK521" s="4" t="s">
        <v>291</v>
      </c>
      <c r="CL521" s="4" t="s">
        <v>266</v>
      </c>
      <c r="CM521" s="4" t="s">
        <v>241</v>
      </c>
      <c r="CO521" s="4" t="s">
        <v>313</v>
      </c>
      <c r="CP521" s="5" t="s">
        <v>268</v>
      </c>
      <c r="CQ521" s="4" t="s">
        <v>269</v>
      </c>
      <c r="CR521" s="4" t="s">
        <v>270</v>
      </c>
      <c r="CS521" s="4" t="s">
        <v>293</v>
      </c>
      <c r="CT521" s="4" t="s">
        <v>241</v>
      </c>
      <c r="CU521" s="4">
        <v>4.2000000000000003E-2</v>
      </c>
      <c r="CV521" s="4" t="s">
        <v>271</v>
      </c>
      <c r="CW521" s="4" t="s">
        <v>272</v>
      </c>
      <c r="CX521" s="4" t="s">
        <v>273</v>
      </c>
      <c r="CY521" s="6">
        <f>0</f>
        <v>0</v>
      </c>
      <c r="CZ521" s="6">
        <f>1900000</f>
        <v>1900000</v>
      </c>
      <c r="DA521" s="6">
        <f>64600</f>
        <v>64600</v>
      </c>
      <c r="DC521" s="4" t="s">
        <v>241</v>
      </c>
      <c r="DD521" s="4" t="s">
        <v>241</v>
      </c>
      <c r="DF521" s="4" t="s">
        <v>241</v>
      </c>
      <c r="DG521" s="6">
        <f>0</f>
        <v>0</v>
      </c>
      <c r="DI521" s="4" t="s">
        <v>241</v>
      </c>
      <c r="DJ521" s="4" t="s">
        <v>241</v>
      </c>
      <c r="DK521" s="4" t="s">
        <v>241</v>
      </c>
      <c r="DL521" s="4" t="s">
        <v>241</v>
      </c>
      <c r="DM521" s="4" t="s">
        <v>277</v>
      </c>
      <c r="DN521" s="4" t="s">
        <v>278</v>
      </c>
      <c r="DO521" s="6">
        <f>20</f>
        <v>20</v>
      </c>
      <c r="DP521" s="4" t="s">
        <v>241</v>
      </c>
      <c r="DQ521" s="4" t="s">
        <v>241</v>
      </c>
      <c r="DR521" s="4" t="s">
        <v>241</v>
      </c>
      <c r="DS521" s="4" t="s">
        <v>241</v>
      </c>
      <c r="DV521" s="4" t="s">
        <v>656</v>
      </c>
      <c r="DW521" s="4" t="s">
        <v>300</v>
      </c>
      <c r="GN521" s="4" t="s">
        <v>3592</v>
      </c>
      <c r="HO521" s="4" t="s">
        <v>300</v>
      </c>
      <c r="HR521" s="4" t="s">
        <v>278</v>
      </c>
      <c r="HS521" s="4" t="s">
        <v>278</v>
      </c>
      <c r="HT521" s="4" t="s">
        <v>241</v>
      </c>
      <c r="HU521" s="4" t="s">
        <v>241</v>
      </c>
      <c r="HV521" s="4" t="s">
        <v>241</v>
      </c>
      <c r="HW521" s="4" t="s">
        <v>241</v>
      </c>
      <c r="HX521" s="4" t="s">
        <v>241</v>
      </c>
      <c r="HY521" s="4" t="s">
        <v>241</v>
      </c>
      <c r="HZ521" s="4" t="s">
        <v>241</v>
      </c>
      <c r="IA521" s="4" t="s">
        <v>241</v>
      </c>
      <c r="IB521" s="4" t="s">
        <v>241</v>
      </c>
      <c r="IC521" s="4" t="s">
        <v>241</v>
      </c>
      <c r="ID521" s="4" t="s">
        <v>241</v>
      </c>
      <c r="IE521" s="4" t="s">
        <v>241</v>
      </c>
      <c r="IF521" s="4" t="s">
        <v>241</v>
      </c>
    </row>
    <row r="522" spans="1:240" x14ac:dyDescent="0.4">
      <c r="A522" s="4">
        <v>2</v>
      </c>
      <c r="B522" s="4" t="s">
        <v>239</v>
      </c>
      <c r="C522" s="4">
        <v>553</v>
      </c>
      <c r="D522" s="4">
        <v>1</v>
      </c>
      <c r="E522" s="4">
        <v>3</v>
      </c>
      <c r="F522" s="4" t="s">
        <v>240</v>
      </c>
      <c r="G522" s="4" t="s">
        <v>241</v>
      </c>
      <c r="H522" s="4" t="s">
        <v>241</v>
      </c>
      <c r="I522" s="4" t="s">
        <v>652</v>
      </c>
      <c r="J522" s="4" t="s">
        <v>653</v>
      </c>
      <c r="K522" s="4" t="s">
        <v>256</v>
      </c>
      <c r="L522" s="4" t="s">
        <v>429</v>
      </c>
      <c r="M522" s="5" t="s">
        <v>654</v>
      </c>
      <c r="N522" s="4" t="s">
        <v>429</v>
      </c>
      <c r="O522" s="6">
        <f>21</f>
        <v>21</v>
      </c>
      <c r="P522" s="4" t="s">
        <v>276</v>
      </c>
      <c r="Q522" s="6">
        <f>821940</f>
        <v>821940</v>
      </c>
      <c r="R522" s="6">
        <f>1995000</f>
        <v>1995000</v>
      </c>
      <c r="S522" s="5" t="s">
        <v>319</v>
      </c>
      <c r="T522" s="4" t="s">
        <v>274</v>
      </c>
      <c r="U522" s="4" t="s">
        <v>322</v>
      </c>
      <c r="V522" s="6">
        <f>83790</f>
        <v>83790</v>
      </c>
      <c r="W522" s="6">
        <f>1173060</f>
        <v>1173060</v>
      </c>
      <c r="X522" s="4" t="s">
        <v>243</v>
      </c>
      <c r="Y522" s="4" t="s">
        <v>244</v>
      </c>
      <c r="Z522" s="4" t="s">
        <v>465</v>
      </c>
      <c r="AA522" s="4" t="s">
        <v>241</v>
      </c>
      <c r="AD522" s="4" t="s">
        <v>241</v>
      </c>
      <c r="AE522" s="5" t="s">
        <v>241</v>
      </c>
      <c r="AF522" s="5" t="s">
        <v>241</v>
      </c>
      <c r="AH522" s="5" t="s">
        <v>241</v>
      </c>
      <c r="AI522" s="5" t="s">
        <v>249</v>
      </c>
      <c r="AJ522" s="4" t="s">
        <v>251</v>
      </c>
      <c r="AK522" s="4" t="s">
        <v>252</v>
      </c>
      <c r="AQ522" s="4" t="s">
        <v>241</v>
      </c>
      <c r="AR522" s="4" t="s">
        <v>241</v>
      </c>
      <c r="AS522" s="4" t="s">
        <v>241</v>
      </c>
      <c r="AT522" s="5" t="s">
        <v>241</v>
      </c>
      <c r="AU522" s="5" t="s">
        <v>241</v>
      </c>
      <c r="AV522" s="5" t="s">
        <v>241</v>
      </c>
      <c r="AY522" s="4" t="s">
        <v>286</v>
      </c>
      <c r="AZ522" s="4" t="s">
        <v>286</v>
      </c>
      <c r="BA522" s="4" t="s">
        <v>254</v>
      </c>
      <c r="BB522" s="4" t="s">
        <v>287</v>
      </c>
      <c r="BC522" s="4" t="s">
        <v>255</v>
      </c>
      <c r="BD522" s="4" t="s">
        <v>241</v>
      </c>
      <c r="BE522" s="4" t="s">
        <v>257</v>
      </c>
      <c r="BF522" s="4" t="s">
        <v>241</v>
      </c>
      <c r="BJ522" s="4" t="s">
        <v>288</v>
      </c>
      <c r="BK522" s="5" t="s">
        <v>289</v>
      </c>
      <c r="BL522" s="4" t="s">
        <v>290</v>
      </c>
      <c r="BM522" s="4" t="s">
        <v>290</v>
      </c>
      <c r="BN522" s="4" t="s">
        <v>241</v>
      </c>
      <c r="BO522" s="6">
        <f>0</f>
        <v>0</v>
      </c>
      <c r="BP522" s="6">
        <f>-83790</f>
        <v>-83790</v>
      </c>
      <c r="BQ522" s="4" t="s">
        <v>263</v>
      </c>
      <c r="BR522" s="4" t="s">
        <v>264</v>
      </c>
      <c r="BS522" s="4" t="s">
        <v>241</v>
      </c>
      <c r="BT522" s="4" t="s">
        <v>241</v>
      </c>
      <c r="BU522" s="4" t="s">
        <v>241</v>
      </c>
      <c r="BV522" s="4" t="s">
        <v>241</v>
      </c>
      <c r="CE522" s="4" t="s">
        <v>264</v>
      </c>
      <c r="CF522" s="4" t="s">
        <v>241</v>
      </c>
      <c r="CG522" s="4" t="s">
        <v>241</v>
      </c>
      <c r="CK522" s="4" t="s">
        <v>291</v>
      </c>
      <c r="CL522" s="4" t="s">
        <v>266</v>
      </c>
      <c r="CM522" s="4" t="s">
        <v>241</v>
      </c>
      <c r="CO522" s="4" t="s">
        <v>321</v>
      </c>
      <c r="CP522" s="5" t="s">
        <v>268</v>
      </c>
      <c r="CQ522" s="4" t="s">
        <v>269</v>
      </c>
      <c r="CR522" s="4" t="s">
        <v>270</v>
      </c>
      <c r="CS522" s="4" t="s">
        <v>293</v>
      </c>
      <c r="CT522" s="4" t="s">
        <v>241</v>
      </c>
      <c r="CU522" s="4">
        <v>4.2000000000000003E-2</v>
      </c>
      <c r="CV522" s="4" t="s">
        <v>271</v>
      </c>
      <c r="CW522" s="4" t="s">
        <v>272</v>
      </c>
      <c r="CX522" s="4" t="s">
        <v>273</v>
      </c>
      <c r="CY522" s="6">
        <f>0</f>
        <v>0</v>
      </c>
      <c r="CZ522" s="6">
        <f>1995000</f>
        <v>1995000</v>
      </c>
      <c r="DA522" s="6">
        <f>821940</f>
        <v>821940</v>
      </c>
      <c r="DC522" s="4" t="s">
        <v>241</v>
      </c>
      <c r="DD522" s="4" t="s">
        <v>241</v>
      </c>
      <c r="DF522" s="4" t="s">
        <v>241</v>
      </c>
      <c r="DG522" s="6">
        <f>0</f>
        <v>0</v>
      </c>
      <c r="DI522" s="4" t="s">
        <v>241</v>
      </c>
      <c r="DJ522" s="4" t="s">
        <v>241</v>
      </c>
      <c r="DK522" s="4" t="s">
        <v>241</v>
      </c>
      <c r="DL522" s="4" t="s">
        <v>241</v>
      </c>
      <c r="DM522" s="4" t="s">
        <v>277</v>
      </c>
      <c r="DN522" s="4" t="s">
        <v>278</v>
      </c>
      <c r="DO522" s="6">
        <f>21</f>
        <v>21</v>
      </c>
      <c r="DP522" s="4" t="s">
        <v>241</v>
      </c>
      <c r="DQ522" s="4" t="s">
        <v>241</v>
      </c>
      <c r="DR522" s="4" t="s">
        <v>241</v>
      </c>
      <c r="DS522" s="4" t="s">
        <v>241</v>
      </c>
      <c r="DV522" s="4" t="s">
        <v>656</v>
      </c>
      <c r="DW522" s="4" t="s">
        <v>341</v>
      </c>
      <c r="GN522" s="4" t="s">
        <v>3593</v>
      </c>
      <c r="HO522" s="4" t="s">
        <v>300</v>
      </c>
      <c r="HR522" s="4" t="s">
        <v>278</v>
      </c>
      <c r="HS522" s="4" t="s">
        <v>278</v>
      </c>
      <c r="HT522" s="4" t="s">
        <v>241</v>
      </c>
      <c r="HU522" s="4" t="s">
        <v>241</v>
      </c>
      <c r="HV522" s="4" t="s">
        <v>241</v>
      </c>
      <c r="HW522" s="4" t="s">
        <v>241</v>
      </c>
      <c r="HX522" s="4" t="s">
        <v>241</v>
      </c>
      <c r="HY522" s="4" t="s">
        <v>241</v>
      </c>
      <c r="HZ522" s="4" t="s">
        <v>241</v>
      </c>
      <c r="IA522" s="4" t="s">
        <v>241</v>
      </c>
      <c r="IB522" s="4" t="s">
        <v>241</v>
      </c>
      <c r="IC522" s="4" t="s">
        <v>241</v>
      </c>
      <c r="ID522" s="4" t="s">
        <v>241</v>
      </c>
      <c r="IE522" s="4" t="s">
        <v>241</v>
      </c>
      <c r="IF522" s="4" t="s">
        <v>241</v>
      </c>
    </row>
    <row r="523" spans="1:240" x14ac:dyDescent="0.4">
      <c r="A523" s="4">
        <v>2</v>
      </c>
      <c r="B523" s="4" t="s">
        <v>239</v>
      </c>
      <c r="C523" s="4">
        <v>554</v>
      </c>
      <c r="D523" s="4">
        <v>1</v>
      </c>
      <c r="E523" s="4">
        <v>3</v>
      </c>
      <c r="F523" s="4" t="s">
        <v>240</v>
      </c>
      <c r="G523" s="4" t="s">
        <v>241</v>
      </c>
      <c r="H523" s="4" t="s">
        <v>241</v>
      </c>
      <c r="I523" s="4" t="s">
        <v>652</v>
      </c>
      <c r="J523" s="4" t="s">
        <v>653</v>
      </c>
      <c r="K523" s="4" t="s">
        <v>256</v>
      </c>
      <c r="L523" s="4" t="s">
        <v>429</v>
      </c>
      <c r="M523" s="5" t="s">
        <v>654</v>
      </c>
      <c r="N523" s="4" t="s">
        <v>429</v>
      </c>
      <c r="O523" s="6">
        <f>32</f>
        <v>32</v>
      </c>
      <c r="P523" s="4" t="s">
        <v>276</v>
      </c>
      <c r="Q523" s="6">
        <f>1252480</f>
        <v>1252480</v>
      </c>
      <c r="R523" s="6">
        <f>3040000</f>
        <v>3040000</v>
      </c>
      <c r="S523" s="5" t="s">
        <v>319</v>
      </c>
      <c r="T523" s="4" t="s">
        <v>274</v>
      </c>
      <c r="U523" s="4" t="s">
        <v>322</v>
      </c>
      <c r="V523" s="6">
        <f>127680</f>
        <v>127680</v>
      </c>
      <c r="W523" s="6">
        <f>1787520</f>
        <v>1787520</v>
      </c>
      <c r="X523" s="4" t="s">
        <v>243</v>
      </c>
      <c r="Y523" s="4" t="s">
        <v>244</v>
      </c>
      <c r="Z523" s="4" t="s">
        <v>465</v>
      </c>
      <c r="AA523" s="4" t="s">
        <v>241</v>
      </c>
      <c r="AD523" s="4" t="s">
        <v>241</v>
      </c>
      <c r="AE523" s="5" t="s">
        <v>241</v>
      </c>
      <c r="AF523" s="5" t="s">
        <v>241</v>
      </c>
      <c r="AH523" s="5" t="s">
        <v>241</v>
      </c>
      <c r="AI523" s="5" t="s">
        <v>249</v>
      </c>
      <c r="AJ523" s="4" t="s">
        <v>251</v>
      </c>
      <c r="AK523" s="4" t="s">
        <v>252</v>
      </c>
      <c r="AQ523" s="4" t="s">
        <v>241</v>
      </c>
      <c r="AR523" s="4" t="s">
        <v>241</v>
      </c>
      <c r="AS523" s="4" t="s">
        <v>241</v>
      </c>
      <c r="AT523" s="5" t="s">
        <v>241</v>
      </c>
      <c r="AU523" s="5" t="s">
        <v>241</v>
      </c>
      <c r="AV523" s="5" t="s">
        <v>241</v>
      </c>
      <c r="AY523" s="4" t="s">
        <v>286</v>
      </c>
      <c r="AZ523" s="4" t="s">
        <v>286</v>
      </c>
      <c r="BA523" s="4" t="s">
        <v>254</v>
      </c>
      <c r="BB523" s="4" t="s">
        <v>287</v>
      </c>
      <c r="BC523" s="4" t="s">
        <v>255</v>
      </c>
      <c r="BD523" s="4" t="s">
        <v>241</v>
      </c>
      <c r="BE523" s="4" t="s">
        <v>257</v>
      </c>
      <c r="BF523" s="4" t="s">
        <v>241</v>
      </c>
      <c r="BJ523" s="4" t="s">
        <v>288</v>
      </c>
      <c r="BK523" s="5" t="s">
        <v>289</v>
      </c>
      <c r="BL523" s="4" t="s">
        <v>290</v>
      </c>
      <c r="BM523" s="4" t="s">
        <v>290</v>
      </c>
      <c r="BN523" s="4" t="s">
        <v>241</v>
      </c>
      <c r="BO523" s="6">
        <f>0</f>
        <v>0</v>
      </c>
      <c r="BP523" s="6">
        <f>-127680</f>
        <v>-127680</v>
      </c>
      <c r="BQ523" s="4" t="s">
        <v>263</v>
      </c>
      <c r="BR523" s="4" t="s">
        <v>264</v>
      </c>
      <c r="BS523" s="4" t="s">
        <v>241</v>
      </c>
      <c r="BT523" s="4" t="s">
        <v>241</v>
      </c>
      <c r="BU523" s="4" t="s">
        <v>241</v>
      </c>
      <c r="BV523" s="4" t="s">
        <v>241</v>
      </c>
      <c r="CE523" s="4" t="s">
        <v>264</v>
      </c>
      <c r="CF523" s="4" t="s">
        <v>241</v>
      </c>
      <c r="CG523" s="4" t="s">
        <v>241</v>
      </c>
      <c r="CK523" s="4" t="s">
        <v>291</v>
      </c>
      <c r="CL523" s="4" t="s">
        <v>266</v>
      </c>
      <c r="CM523" s="4" t="s">
        <v>241</v>
      </c>
      <c r="CO523" s="4" t="s">
        <v>321</v>
      </c>
      <c r="CP523" s="5" t="s">
        <v>268</v>
      </c>
      <c r="CQ523" s="4" t="s">
        <v>269</v>
      </c>
      <c r="CR523" s="4" t="s">
        <v>270</v>
      </c>
      <c r="CS523" s="4" t="s">
        <v>293</v>
      </c>
      <c r="CT523" s="4" t="s">
        <v>241</v>
      </c>
      <c r="CU523" s="4">
        <v>4.2000000000000003E-2</v>
      </c>
      <c r="CV523" s="4" t="s">
        <v>271</v>
      </c>
      <c r="CW523" s="4" t="s">
        <v>272</v>
      </c>
      <c r="CX523" s="4" t="s">
        <v>273</v>
      </c>
      <c r="CY523" s="6">
        <f>0</f>
        <v>0</v>
      </c>
      <c r="CZ523" s="6">
        <f>3040000</f>
        <v>3040000</v>
      </c>
      <c r="DA523" s="6">
        <f>1252480</f>
        <v>1252480</v>
      </c>
      <c r="DC523" s="4" t="s">
        <v>241</v>
      </c>
      <c r="DD523" s="4" t="s">
        <v>241</v>
      </c>
      <c r="DF523" s="4" t="s">
        <v>241</v>
      </c>
      <c r="DG523" s="6">
        <f>0</f>
        <v>0</v>
      </c>
      <c r="DI523" s="4" t="s">
        <v>241</v>
      </c>
      <c r="DJ523" s="4" t="s">
        <v>241</v>
      </c>
      <c r="DK523" s="4" t="s">
        <v>241</v>
      </c>
      <c r="DL523" s="4" t="s">
        <v>241</v>
      </c>
      <c r="DM523" s="4" t="s">
        <v>277</v>
      </c>
      <c r="DN523" s="4" t="s">
        <v>278</v>
      </c>
      <c r="DO523" s="6">
        <f>32</f>
        <v>32</v>
      </c>
      <c r="DP523" s="4" t="s">
        <v>241</v>
      </c>
      <c r="DQ523" s="4" t="s">
        <v>241</v>
      </c>
      <c r="DR523" s="4" t="s">
        <v>241</v>
      </c>
      <c r="DS523" s="4" t="s">
        <v>241</v>
      </c>
      <c r="DV523" s="4" t="s">
        <v>656</v>
      </c>
      <c r="DW523" s="4" t="s">
        <v>343</v>
      </c>
      <c r="GN523" s="4" t="s">
        <v>3594</v>
      </c>
      <c r="HO523" s="4" t="s">
        <v>300</v>
      </c>
      <c r="HR523" s="4" t="s">
        <v>278</v>
      </c>
      <c r="HS523" s="4" t="s">
        <v>278</v>
      </c>
      <c r="HT523" s="4" t="s">
        <v>241</v>
      </c>
      <c r="HU523" s="4" t="s">
        <v>241</v>
      </c>
      <c r="HV523" s="4" t="s">
        <v>241</v>
      </c>
      <c r="HW523" s="4" t="s">
        <v>241</v>
      </c>
      <c r="HX523" s="4" t="s">
        <v>241</v>
      </c>
      <c r="HY523" s="4" t="s">
        <v>241</v>
      </c>
      <c r="HZ523" s="4" t="s">
        <v>241</v>
      </c>
      <c r="IA523" s="4" t="s">
        <v>241</v>
      </c>
      <c r="IB523" s="4" t="s">
        <v>241</v>
      </c>
      <c r="IC523" s="4" t="s">
        <v>241</v>
      </c>
      <c r="ID523" s="4" t="s">
        <v>241</v>
      </c>
      <c r="IE523" s="4" t="s">
        <v>241</v>
      </c>
      <c r="IF523" s="4" t="s">
        <v>241</v>
      </c>
    </row>
    <row r="524" spans="1:240" x14ac:dyDescent="0.4">
      <c r="A524" s="4">
        <v>2</v>
      </c>
      <c r="B524" s="4" t="s">
        <v>239</v>
      </c>
      <c r="C524" s="4">
        <v>555</v>
      </c>
      <c r="D524" s="4">
        <v>1</v>
      </c>
      <c r="E524" s="4">
        <v>3</v>
      </c>
      <c r="F524" s="4" t="s">
        <v>240</v>
      </c>
      <c r="G524" s="4" t="s">
        <v>241</v>
      </c>
      <c r="H524" s="4" t="s">
        <v>241</v>
      </c>
      <c r="I524" s="4" t="s">
        <v>652</v>
      </c>
      <c r="J524" s="4" t="s">
        <v>653</v>
      </c>
      <c r="K524" s="4" t="s">
        <v>256</v>
      </c>
      <c r="L524" s="4" t="s">
        <v>429</v>
      </c>
      <c r="M524" s="5" t="s">
        <v>654</v>
      </c>
      <c r="N524" s="4" t="s">
        <v>429</v>
      </c>
      <c r="O524" s="6">
        <f>4</f>
        <v>4</v>
      </c>
      <c r="P524" s="4" t="s">
        <v>276</v>
      </c>
      <c r="Q524" s="6">
        <f>156560</f>
        <v>156560</v>
      </c>
      <c r="R524" s="6">
        <f>380000</f>
        <v>380000</v>
      </c>
      <c r="S524" s="5" t="s">
        <v>319</v>
      </c>
      <c r="T524" s="4" t="s">
        <v>274</v>
      </c>
      <c r="U524" s="4" t="s">
        <v>322</v>
      </c>
      <c r="V524" s="6">
        <f>15960</f>
        <v>15960</v>
      </c>
      <c r="W524" s="6">
        <f>223440</f>
        <v>223440</v>
      </c>
      <c r="X524" s="4" t="s">
        <v>243</v>
      </c>
      <c r="Y524" s="4" t="s">
        <v>244</v>
      </c>
      <c r="Z524" s="4" t="s">
        <v>465</v>
      </c>
      <c r="AA524" s="4" t="s">
        <v>241</v>
      </c>
      <c r="AD524" s="4" t="s">
        <v>241</v>
      </c>
      <c r="AE524" s="5" t="s">
        <v>241</v>
      </c>
      <c r="AF524" s="5" t="s">
        <v>241</v>
      </c>
      <c r="AH524" s="5" t="s">
        <v>241</v>
      </c>
      <c r="AI524" s="5" t="s">
        <v>249</v>
      </c>
      <c r="AJ524" s="4" t="s">
        <v>251</v>
      </c>
      <c r="AK524" s="4" t="s">
        <v>252</v>
      </c>
      <c r="AQ524" s="4" t="s">
        <v>241</v>
      </c>
      <c r="AR524" s="4" t="s">
        <v>241</v>
      </c>
      <c r="AS524" s="4" t="s">
        <v>241</v>
      </c>
      <c r="AT524" s="5" t="s">
        <v>241</v>
      </c>
      <c r="AU524" s="5" t="s">
        <v>241</v>
      </c>
      <c r="AV524" s="5" t="s">
        <v>241</v>
      </c>
      <c r="AY524" s="4" t="s">
        <v>286</v>
      </c>
      <c r="AZ524" s="4" t="s">
        <v>286</v>
      </c>
      <c r="BA524" s="4" t="s">
        <v>254</v>
      </c>
      <c r="BB524" s="4" t="s">
        <v>287</v>
      </c>
      <c r="BC524" s="4" t="s">
        <v>255</v>
      </c>
      <c r="BD524" s="4" t="s">
        <v>241</v>
      </c>
      <c r="BE524" s="4" t="s">
        <v>257</v>
      </c>
      <c r="BF524" s="4" t="s">
        <v>241</v>
      </c>
      <c r="BJ524" s="4" t="s">
        <v>288</v>
      </c>
      <c r="BK524" s="5" t="s">
        <v>289</v>
      </c>
      <c r="BL524" s="4" t="s">
        <v>290</v>
      </c>
      <c r="BM524" s="4" t="s">
        <v>290</v>
      </c>
      <c r="BN524" s="4" t="s">
        <v>241</v>
      </c>
      <c r="BO524" s="6">
        <f>0</f>
        <v>0</v>
      </c>
      <c r="BP524" s="6">
        <f>-15960</f>
        <v>-15960</v>
      </c>
      <c r="BQ524" s="4" t="s">
        <v>263</v>
      </c>
      <c r="BR524" s="4" t="s">
        <v>264</v>
      </c>
      <c r="BS524" s="4" t="s">
        <v>241</v>
      </c>
      <c r="BT524" s="4" t="s">
        <v>241</v>
      </c>
      <c r="BU524" s="4" t="s">
        <v>241</v>
      </c>
      <c r="BV524" s="4" t="s">
        <v>241</v>
      </c>
      <c r="CE524" s="4" t="s">
        <v>264</v>
      </c>
      <c r="CF524" s="4" t="s">
        <v>241</v>
      </c>
      <c r="CG524" s="4" t="s">
        <v>241</v>
      </c>
      <c r="CK524" s="4" t="s">
        <v>291</v>
      </c>
      <c r="CL524" s="4" t="s">
        <v>266</v>
      </c>
      <c r="CM524" s="4" t="s">
        <v>241</v>
      </c>
      <c r="CO524" s="4" t="s">
        <v>321</v>
      </c>
      <c r="CP524" s="5" t="s">
        <v>268</v>
      </c>
      <c r="CQ524" s="4" t="s">
        <v>269</v>
      </c>
      <c r="CR524" s="4" t="s">
        <v>270</v>
      </c>
      <c r="CS524" s="4" t="s">
        <v>293</v>
      </c>
      <c r="CT524" s="4" t="s">
        <v>241</v>
      </c>
      <c r="CU524" s="4">
        <v>4.2000000000000003E-2</v>
      </c>
      <c r="CV524" s="4" t="s">
        <v>271</v>
      </c>
      <c r="CW524" s="4" t="s">
        <v>272</v>
      </c>
      <c r="CX524" s="4" t="s">
        <v>273</v>
      </c>
      <c r="CY524" s="6">
        <f>0</f>
        <v>0</v>
      </c>
      <c r="CZ524" s="6">
        <f>380000</f>
        <v>380000</v>
      </c>
      <c r="DA524" s="6">
        <f>156560</f>
        <v>156560</v>
      </c>
      <c r="DC524" s="4" t="s">
        <v>241</v>
      </c>
      <c r="DD524" s="4" t="s">
        <v>241</v>
      </c>
      <c r="DF524" s="4" t="s">
        <v>241</v>
      </c>
      <c r="DG524" s="6">
        <f>0</f>
        <v>0</v>
      </c>
      <c r="DI524" s="4" t="s">
        <v>241</v>
      </c>
      <c r="DJ524" s="4" t="s">
        <v>241</v>
      </c>
      <c r="DK524" s="4" t="s">
        <v>241</v>
      </c>
      <c r="DL524" s="4" t="s">
        <v>241</v>
      </c>
      <c r="DM524" s="4" t="s">
        <v>277</v>
      </c>
      <c r="DN524" s="4" t="s">
        <v>278</v>
      </c>
      <c r="DO524" s="6">
        <f>4</f>
        <v>4</v>
      </c>
      <c r="DP524" s="4" t="s">
        <v>241</v>
      </c>
      <c r="DQ524" s="4" t="s">
        <v>241</v>
      </c>
      <c r="DR524" s="4" t="s">
        <v>241</v>
      </c>
      <c r="DS524" s="4" t="s">
        <v>241</v>
      </c>
      <c r="DV524" s="4" t="s">
        <v>656</v>
      </c>
      <c r="DW524" s="4" t="s">
        <v>417</v>
      </c>
      <c r="GN524" s="4" t="s">
        <v>3595</v>
      </c>
      <c r="HO524" s="4" t="s">
        <v>300</v>
      </c>
      <c r="HR524" s="4" t="s">
        <v>278</v>
      </c>
      <c r="HS524" s="4" t="s">
        <v>278</v>
      </c>
      <c r="HT524" s="4" t="s">
        <v>241</v>
      </c>
      <c r="HU524" s="4" t="s">
        <v>241</v>
      </c>
      <c r="HV524" s="4" t="s">
        <v>241</v>
      </c>
      <c r="HW524" s="4" t="s">
        <v>241</v>
      </c>
      <c r="HX524" s="4" t="s">
        <v>241</v>
      </c>
      <c r="HY524" s="4" t="s">
        <v>241</v>
      </c>
      <c r="HZ524" s="4" t="s">
        <v>241</v>
      </c>
      <c r="IA524" s="4" t="s">
        <v>241</v>
      </c>
      <c r="IB524" s="4" t="s">
        <v>241</v>
      </c>
      <c r="IC524" s="4" t="s">
        <v>241</v>
      </c>
      <c r="ID524" s="4" t="s">
        <v>241</v>
      </c>
      <c r="IE524" s="4" t="s">
        <v>241</v>
      </c>
      <c r="IF524" s="4" t="s">
        <v>241</v>
      </c>
    </row>
    <row r="525" spans="1:240" x14ac:dyDescent="0.4">
      <c r="A525" s="4">
        <v>2</v>
      </c>
      <c r="B525" s="4" t="s">
        <v>239</v>
      </c>
      <c r="C525" s="4">
        <v>556</v>
      </c>
      <c r="D525" s="4">
        <v>1</v>
      </c>
      <c r="E525" s="4">
        <v>3</v>
      </c>
      <c r="F525" s="4" t="s">
        <v>240</v>
      </c>
      <c r="G525" s="4" t="s">
        <v>241</v>
      </c>
      <c r="H525" s="4" t="s">
        <v>241</v>
      </c>
      <c r="I525" s="4" t="s">
        <v>652</v>
      </c>
      <c r="J525" s="4" t="s">
        <v>653</v>
      </c>
      <c r="K525" s="4" t="s">
        <v>256</v>
      </c>
      <c r="L525" s="4" t="s">
        <v>2529</v>
      </c>
      <c r="M525" s="5" t="s">
        <v>654</v>
      </c>
      <c r="N525" s="4" t="s">
        <v>2529</v>
      </c>
      <c r="O525" s="6">
        <f>62</f>
        <v>62</v>
      </c>
      <c r="P525" s="4" t="s">
        <v>276</v>
      </c>
      <c r="Q525" s="6">
        <f>6043388</f>
        <v>6043388</v>
      </c>
      <c r="R525" s="6">
        <f>10106000</f>
        <v>10106000</v>
      </c>
      <c r="S525" s="5" t="s">
        <v>249</v>
      </c>
      <c r="T525" s="4" t="s">
        <v>348</v>
      </c>
      <c r="U525" s="4" t="s">
        <v>351</v>
      </c>
      <c r="V525" s="6">
        <f>677102</f>
        <v>677102</v>
      </c>
      <c r="W525" s="6">
        <f>4062612</f>
        <v>4062612</v>
      </c>
      <c r="X525" s="4" t="s">
        <v>243</v>
      </c>
      <c r="Y525" s="4" t="s">
        <v>244</v>
      </c>
      <c r="Z525" s="4" t="s">
        <v>465</v>
      </c>
      <c r="AA525" s="4" t="s">
        <v>241</v>
      </c>
      <c r="AD525" s="4" t="s">
        <v>241</v>
      </c>
      <c r="AE525" s="5" t="s">
        <v>241</v>
      </c>
      <c r="AF525" s="5" t="s">
        <v>241</v>
      </c>
      <c r="AH525" s="5" t="s">
        <v>241</v>
      </c>
      <c r="AI525" s="5" t="s">
        <v>249</v>
      </c>
      <c r="AJ525" s="4" t="s">
        <v>251</v>
      </c>
      <c r="AK525" s="4" t="s">
        <v>252</v>
      </c>
      <c r="AQ525" s="4" t="s">
        <v>241</v>
      </c>
      <c r="AR525" s="4" t="s">
        <v>241</v>
      </c>
      <c r="AS525" s="4" t="s">
        <v>241</v>
      </c>
      <c r="AT525" s="5" t="s">
        <v>241</v>
      </c>
      <c r="AU525" s="5" t="s">
        <v>241</v>
      </c>
      <c r="AV525" s="5" t="s">
        <v>241</v>
      </c>
      <c r="AY525" s="4" t="s">
        <v>286</v>
      </c>
      <c r="AZ525" s="4" t="s">
        <v>286</v>
      </c>
      <c r="BA525" s="4" t="s">
        <v>254</v>
      </c>
      <c r="BB525" s="4" t="s">
        <v>287</v>
      </c>
      <c r="BC525" s="4" t="s">
        <v>255</v>
      </c>
      <c r="BD525" s="4" t="s">
        <v>241</v>
      </c>
      <c r="BE525" s="4" t="s">
        <v>257</v>
      </c>
      <c r="BF525" s="4" t="s">
        <v>241</v>
      </c>
      <c r="BJ525" s="4" t="s">
        <v>288</v>
      </c>
      <c r="BK525" s="5" t="s">
        <v>289</v>
      </c>
      <c r="BL525" s="4" t="s">
        <v>290</v>
      </c>
      <c r="BM525" s="4" t="s">
        <v>290</v>
      </c>
      <c r="BN525" s="4" t="s">
        <v>241</v>
      </c>
      <c r="BO525" s="6">
        <f>0</f>
        <v>0</v>
      </c>
      <c r="BP525" s="6">
        <f>-677102</f>
        <v>-677102</v>
      </c>
      <c r="BQ525" s="4" t="s">
        <v>263</v>
      </c>
      <c r="BR525" s="4" t="s">
        <v>264</v>
      </c>
      <c r="BS525" s="4" t="s">
        <v>241</v>
      </c>
      <c r="BT525" s="4" t="s">
        <v>241</v>
      </c>
      <c r="BU525" s="4" t="s">
        <v>241</v>
      </c>
      <c r="BV525" s="4" t="s">
        <v>241</v>
      </c>
      <c r="CE525" s="4" t="s">
        <v>264</v>
      </c>
      <c r="CF525" s="4" t="s">
        <v>241</v>
      </c>
      <c r="CG525" s="4" t="s">
        <v>241</v>
      </c>
      <c r="CK525" s="4" t="s">
        <v>291</v>
      </c>
      <c r="CL525" s="4" t="s">
        <v>266</v>
      </c>
      <c r="CM525" s="4" t="s">
        <v>241</v>
      </c>
      <c r="CO525" s="4" t="s">
        <v>350</v>
      </c>
      <c r="CP525" s="5" t="s">
        <v>268</v>
      </c>
      <c r="CQ525" s="4" t="s">
        <v>269</v>
      </c>
      <c r="CR525" s="4" t="s">
        <v>270</v>
      </c>
      <c r="CS525" s="4" t="s">
        <v>293</v>
      </c>
      <c r="CT525" s="4" t="s">
        <v>241</v>
      </c>
      <c r="CU525" s="4">
        <v>6.7000000000000004E-2</v>
      </c>
      <c r="CV525" s="4" t="s">
        <v>271</v>
      </c>
      <c r="CW525" s="4" t="s">
        <v>415</v>
      </c>
      <c r="CX525" s="4" t="s">
        <v>416</v>
      </c>
      <c r="CY525" s="6">
        <f>0</f>
        <v>0</v>
      </c>
      <c r="CZ525" s="6">
        <f>10106000</f>
        <v>10106000</v>
      </c>
      <c r="DA525" s="6">
        <f>6043388</f>
        <v>6043388</v>
      </c>
      <c r="DC525" s="4" t="s">
        <v>241</v>
      </c>
      <c r="DD525" s="4" t="s">
        <v>241</v>
      </c>
      <c r="DF525" s="4" t="s">
        <v>241</v>
      </c>
      <c r="DG525" s="6">
        <f>0</f>
        <v>0</v>
      </c>
      <c r="DI525" s="4" t="s">
        <v>241</v>
      </c>
      <c r="DJ525" s="4" t="s">
        <v>241</v>
      </c>
      <c r="DK525" s="4" t="s">
        <v>241</v>
      </c>
      <c r="DL525" s="4" t="s">
        <v>241</v>
      </c>
      <c r="DM525" s="4" t="s">
        <v>277</v>
      </c>
      <c r="DN525" s="4" t="s">
        <v>278</v>
      </c>
      <c r="DO525" s="6">
        <f>62</f>
        <v>62</v>
      </c>
      <c r="DP525" s="4" t="s">
        <v>241</v>
      </c>
      <c r="DQ525" s="4" t="s">
        <v>241</v>
      </c>
      <c r="DR525" s="4" t="s">
        <v>241</v>
      </c>
      <c r="DS525" s="4" t="s">
        <v>241</v>
      </c>
      <c r="DV525" s="4" t="s">
        <v>656</v>
      </c>
      <c r="DW525" s="4" t="s">
        <v>427</v>
      </c>
      <c r="GN525" s="4" t="s">
        <v>2788</v>
      </c>
      <c r="HO525" s="4" t="s">
        <v>300</v>
      </c>
      <c r="HR525" s="4" t="s">
        <v>278</v>
      </c>
      <c r="HS525" s="4" t="s">
        <v>278</v>
      </c>
      <c r="HT525" s="4" t="s">
        <v>241</v>
      </c>
      <c r="HU525" s="4" t="s">
        <v>241</v>
      </c>
      <c r="HV525" s="4" t="s">
        <v>241</v>
      </c>
      <c r="HW525" s="4" t="s">
        <v>241</v>
      </c>
      <c r="HX525" s="4" t="s">
        <v>241</v>
      </c>
      <c r="HY525" s="4" t="s">
        <v>241</v>
      </c>
      <c r="HZ525" s="4" t="s">
        <v>241</v>
      </c>
      <c r="IA525" s="4" t="s">
        <v>241</v>
      </c>
      <c r="IB525" s="4" t="s">
        <v>241</v>
      </c>
      <c r="IC525" s="4" t="s">
        <v>241</v>
      </c>
      <c r="ID525" s="4" t="s">
        <v>241</v>
      </c>
      <c r="IE525" s="4" t="s">
        <v>241</v>
      </c>
      <c r="IF525" s="4" t="s">
        <v>241</v>
      </c>
    </row>
    <row r="526" spans="1:240" x14ac:dyDescent="0.4">
      <c r="A526" s="4">
        <v>2</v>
      </c>
      <c r="B526" s="4" t="s">
        <v>239</v>
      </c>
      <c r="C526" s="4">
        <v>557</v>
      </c>
      <c r="D526" s="4">
        <v>1</v>
      </c>
      <c r="E526" s="4">
        <v>1</v>
      </c>
      <c r="F526" s="4" t="s">
        <v>240</v>
      </c>
      <c r="G526" s="4" t="s">
        <v>241</v>
      </c>
      <c r="H526" s="4" t="s">
        <v>241</v>
      </c>
      <c r="I526" s="4" t="s">
        <v>652</v>
      </c>
      <c r="J526" s="4" t="s">
        <v>653</v>
      </c>
      <c r="K526" s="4" t="s">
        <v>256</v>
      </c>
      <c r="L526" s="4" t="s">
        <v>340</v>
      </c>
      <c r="M526" s="5" t="s">
        <v>654</v>
      </c>
      <c r="N526" s="4" t="s">
        <v>340</v>
      </c>
      <c r="O526" s="6">
        <f>24</f>
        <v>24</v>
      </c>
      <c r="P526" s="4" t="s">
        <v>276</v>
      </c>
      <c r="Q526" s="6">
        <f>1</f>
        <v>1</v>
      </c>
      <c r="R526" s="6">
        <f>8568000</f>
        <v>8568000</v>
      </c>
      <c r="S526" s="5" t="s">
        <v>1760</v>
      </c>
      <c r="T526" s="4" t="s">
        <v>348</v>
      </c>
      <c r="U526" s="4" t="s">
        <v>365</v>
      </c>
      <c r="W526" s="6">
        <f>8567999</f>
        <v>8567999</v>
      </c>
      <c r="X526" s="4" t="s">
        <v>243</v>
      </c>
      <c r="Y526" s="4" t="s">
        <v>244</v>
      </c>
      <c r="Z526" s="4" t="s">
        <v>465</v>
      </c>
      <c r="AA526" s="4" t="s">
        <v>241</v>
      </c>
      <c r="AD526" s="4" t="s">
        <v>241</v>
      </c>
      <c r="AF526" s="5" t="s">
        <v>241</v>
      </c>
      <c r="AI526" s="5" t="s">
        <v>249</v>
      </c>
      <c r="AJ526" s="4" t="s">
        <v>251</v>
      </c>
      <c r="AK526" s="4" t="s">
        <v>252</v>
      </c>
      <c r="BA526" s="4" t="s">
        <v>254</v>
      </c>
      <c r="BB526" s="4" t="s">
        <v>241</v>
      </c>
      <c r="BC526" s="4" t="s">
        <v>255</v>
      </c>
      <c r="BD526" s="4" t="s">
        <v>241</v>
      </c>
      <c r="BE526" s="4" t="s">
        <v>257</v>
      </c>
      <c r="BF526" s="4" t="s">
        <v>241</v>
      </c>
      <c r="BJ526" s="4" t="s">
        <v>377</v>
      </c>
      <c r="BK526" s="5" t="s">
        <v>378</v>
      </c>
      <c r="BL526" s="4" t="s">
        <v>261</v>
      </c>
      <c r="BM526" s="4" t="s">
        <v>262</v>
      </c>
      <c r="BN526" s="4" t="s">
        <v>241</v>
      </c>
      <c r="BO526" s="6">
        <f>0</f>
        <v>0</v>
      </c>
      <c r="BP526" s="6">
        <f>0</f>
        <v>0</v>
      </c>
      <c r="BQ526" s="4" t="s">
        <v>263</v>
      </c>
      <c r="BR526" s="4" t="s">
        <v>264</v>
      </c>
      <c r="CF526" s="4" t="s">
        <v>241</v>
      </c>
      <c r="CG526" s="4" t="s">
        <v>241</v>
      </c>
      <c r="CK526" s="4" t="s">
        <v>291</v>
      </c>
      <c r="CL526" s="4" t="s">
        <v>266</v>
      </c>
      <c r="CM526" s="4" t="s">
        <v>241</v>
      </c>
      <c r="CO526" s="4" t="s">
        <v>1568</v>
      </c>
      <c r="CP526" s="5" t="s">
        <v>268</v>
      </c>
      <c r="CQ526" s="4" t="s">
        <v>269</v>
      </c>
      <c r="CR526" s="4" t="s">
        <v>270</v>
      </c>
      <c r="CS526" s="4" t="s">
        <v>241</v>
      </c>
      <c r="CT526" s="4" t="s">
        <v>241</v>
      </c>
      <c r="CU526" s="4">
        <v>0</v>
      </c>
      <c r="CV526" s="4" t="s">
        <v>271</v>
      </c>
      <c r="CW526" s="4" t="s">
        <v>332</v>
      </c>
      <c r="CX526" s="4" t="s">
        <v>347</v>
      </c>
      <c r="CZ526" s="6">
        <f>8568000</f>
        <v>8568000</v>
      </c>
      <c r="DA526" s="6">
        <f>0</f>
        <v>0</v>
      </c>
      <c r="DC526" s="4" t="s">
        <v>241</v>
      </c>
      <c r="DD526" s="4" t="s">
        <v>241</v>
      </c>
      <c r="DF526" s="4" t="s">
        <v>241</v>
      </c>
      <c r="DI526" s="4" t="s">
        <v>241</v>
      </c>
      <c r="DJ526" s="4" t="s">
        <v>241</v>
      </c>
      <c r="DK526" s="4" t="s">
        <v>241</v>
      </c>
      <c r="DL526" s="4" t="s">
        <v>241</v>
      </c>
      <c r="DM526" s="4" t="s">
        <v>277</v>
      </c>
      <c r="DN526" s="4" t="s">
        <v>278</v>
      </c>
      <c r="DO526" s="6">
        <f>24</f>
        <v>24</v>
      </c>
      <c r="DP526" s="4" t="s">
        <v>241</v>
      </c>
      <c r="DQ526" s="4" t="s">
        <v>241</v>
      </c>
      <c r="DR526" s="4" t="s">
        <v>241</v>
      </c>
      <c r="DS526" s="4" t="s">
        <v>241</v>
      </c>
      <c r="DV526" s="4" t="s">
        <v>656</v>
      </c>
      <c r="DW526" s="4" t="s">
        <v>353</v>
      </c>
      <c r="HO526" s="4" t="s">
        <v>277</v>
      </c>
      <c r="HR526" s="4" t="s">
        <v>278</v>
      </c>
      <c r="HS526" s="4" t="s">
        <v>278</v>
      </c>
    </row>
    <row r="527" spans="1:240" x14ac:dyDescent="0.4">
      <c r="A527" s="4">
        <v>2</v>
      </c>
      <c r="B527" s="4" t="s">
        <v>239</v>
      </c>
      <c r="C527" s="4">
        <v>558</v>
      </c>
      <c r="D527" s="4">
        <v>1</v>
      </c>
      <c r="E527" s="4">
        <v>3</v>
      </c>
      <c r="F527" s="4" t="s">
        <v>240</v>
      </c>
      <c r="G527" s="4" t="s">
        <v>241</v>
      </c>
      <c r="H527" s="4" t="s">
        <v>241</v>
      </c>
      <c r="I527" s="4" t="s">
        <v>652</v>
      </c>
      <c r="J527" s="4" t="s">
        <v>653</v>
      </c>
      <c r="K527" s="4" t="s">
        <v>256</v>
      </c>
      <c r="L527" s="4" t="s">
        <v>3018</v>
      </c>
      <c r="M527" s="5" t="s">
        <v>654</v>
      </c>
      <c r="N527" s="4" t="s">
        <v>3018</v>
      </c>
      <c r="O527" s="6">
        <f>22</f>
        <v>22</v>
      </c>
      <c r="P527" s="4" t="s">
        <v>276</v>
      </c>
      <c r="Q527" s="6">
        <f>249612</f>
        <v>249612</v>
      </c>
      <c r="R527" s="6">
        <f>4026000</f>
        <v>4026000</v>
      </c>
      <c r="S527" s="5" t="s">
        <v>319</v>
      </c>
      <c r="T527" s="4" t="s">
        <v>348</v>
      </c>
      <c r="U527" s="4" t="s">
        <v>322</v>
      </c>
      <c r="V527" s="6">
        <f>269742</f>
        <v>269742</v>
      </c>
      <c r="W527" s="6">
        <f>3776388</f>
        <v>3776388</v>
      </c>
      <c r="X527" s="4" t="s">
        <v>243</v>
      </c>
      <c r="Y527" s="4" t="s">
        <v>244</v>
      </c>
      <c r="Z527" s="4" t="s">
        <v>465</v>
      </c>
      <c r="AA527" s="4" t="s">
        <v>241</v>
      </c>
      <c r="AD527" s="4" t="s">
        <v>241</v>
      </c>
      <c r="AE527" s="5" t="s">
        <v>241</v>
      </c>
      <c r="AF527" s="5" t="s">
        <v>241</v>
      </c>
      <c r="AH527" s="5" t="s">
        <v>241</v>
      </c>
      <c r="AI527" s="5" t="s">
        <v>249</v>
      </c>
      <c r="AJ527" s="4" t="s">
        <v>251</v>
      </c>
      <c r="AK527" s="4" t="s">
        <v>252</v>
      </c>
      <c r="AQ527" s="4" t="s">
        <v>241</v>
      </c>
      <c r="AR527" s="4" t="s">
        <v>241</v>
      </c>
      <c r="AS527" s="4" t="s">
        <v>241</v>
      </c>
      <c r="AT527" s="5" t="s">
        <v>241</v>
      </c>
      <c r="AU527" s="5" t="s">
        <v>241</v>
      </c>
      <c r="AV527" s="5" t="s">
        <v>241</v>
      </c>
      <c r="AY527" s="4" t="s">
        <v>286</v>
      </c>
      <c r="AZ527" s="4" t="s">
        <v>286</v>
      </c>
      <c r="BA527" s="4" t="s">
        <v>254</v>
      </c>
      <c r="BB527" s="4" t="s">
        <v>287</v>
      </c>
      <c r="BC527" s="4" t="s">
        <v>255</v>
      </c>
      <c r="BD527" s="4" t="s">
        <v>241</v>
      </c>
      <c r="BE527" s="4" t="s">
        <v>257</v>
      </c>
      <c r="BF527" s="4" t="s">
        <v>241</v>
      </c>
      <c r="BJ527" s="4" t="s">
        <v>288</v>
      </c>
      <c r="BK527" s="5" t="s">
        <v>289</v>
      </c>
      <c r="BL527" s="4" t="s">
        <v>290</v>
      </c>
      <c r="BM527" s="4" t="s">
        <v>290</v>
      </c>
      <c r="BN527" s="4" t="s">
        <v>241</v>
      </c>
      <c r="BO527" s="6">
        <f>0</f>
        <v>0</v>
      </c>
      <c r="BP527" s="6">
        <f>-269742</f>
        <v>-269742</v>
      </c>
      <c r="BQ527" s="4" t="s">
        <v>263</v>
      </c>
      <c r="BR527" s="4" t="s">
        <v>264</v>
      </c>
      <c r="BS527" s="4" t="s">
        <v>241</v>
      </c>
      <c r="BT527" s="4" t="s">
        <v>241</v>
      </c>
      <c r="BU527" s="4" t="s">
        <v>241</v>
      </c>
      <c r="BV527" s="4" t="s">
        <v>241</v>
      </c>
      <c r="CE527" s="4" t="s">
        <v>264</v>
      </c>
      <c r="CF527" s="4" t="s">
        <v>241</v>
      </c>
      <c r="CG527" s="4" t="s">
        <v>241</v>
      </c>
      <c r="CK527" s="4" t="s">
        <v>291</v>
      </c>
      <c r="CL527" s="4" t="s">
        <v>266</v>
      </c>
      <c r="CM527" s="4" t="s">
        <v>241</v>
      </c>
      <c r="CO527" s="4" t="s">
        <v>321</v>
      </c>
      <c r="CP527" s="5" t="s">
        <v>268</v>
      </c>
      <c r="CQ527" s="4" t="s">
        <v>269</v>
      </c>
      <c r="CR527" s="4" t="s">
        <v>270</v>
      </c>
      <c r="CS527" s="4" t="s">
        <v>293</v>
      </c>
      <c r="CT527" s="4" t="s">
        <v>241</v>
      </c>
      <c r="CU527" s="4">
        <v>6.7000000000000004E-2</v>
      </c>
      <c r="CV527" s="4" t="s">
        <v>271</v>
      </c>
      <c r="CW527" s="4" t="s">
        <v>272</v>
      </c>
      <c r="CX527" s="4" t="s">
        <v>347</v>
      </c>
      <c r="CY527" s="6">
        <f>0</f>
        <v>0</v>
      </c>
      <c r="CZ527" s="6">
        <f>4026000</f>
        <v>4026000</v>
      </c>
      <c r="DA527" s="6">
        <f>249612</f>
        <v>249612</v>
      </c>
      <c r="DC527" s="4" t="s">
        <v>241</v>
      </c>
      <c r="DD527" s="4" t="s">
        <v>241</v>
      </c>
      <c r="DF527" s="4" t="s">
        <v>241</v>
      </c>
      <c r="DG527" s="6">
        <f>0</f>
        <v>0</v>
      </c>
      <c r="DI527" s="4" t="s">
        <v>241</v>
      </c>
      <c r="DJ527" s="4" t="s">
        <v>241</v>
      </c>
      <c r="DK527" s="4" t="s">
        <v>241</v>
      </c>
      <c r="DL527" s="4" t="s">
        <v>241</v>
      </c>
      <c r="DM527" s="4" t="s">
        <v>277</v>
      </c>
      <c r="DN527" s="4" t="s">
        <v>278</v>
      </c>
      <c r="DO527" s="6">
        <f>22</f>
        <v>22</v>
      </c>
      <c r="DP527" s="4" t="s">
        <v>241</v>
      </c>
      <c r="DQ527" s="4" t="s">
        <v>241</v>
      </c>
      <c r="DR527" s="4" t="s">
        <v>241</v>
      </c>
      <c r="DS527" s="4" t="s">
        <v>241</v>
      </c>
      <c r="DV527" s="4" t="s">
        <v>656</v>
      </c>
      <c r="DW527" s="4" t="s">
        <v>409</v>
      </c>
      <c r="GN527" s="4" t="s">
        <v>3596</v>
      </c>
      <c r="HO527" s="4" t="s">
        <v>300</v>
      </c>
      <c r="HR527" s="4" t="s">
        <v>278</v>
      </c>
      <c r="HS527" s="4" t="s">
        <v>278</v>
      </c>
      <c r="HT527" s="4" t="s">
        <v>241</v>
      </c>
      <c r="HU527" s="4" t="s">
        <v>241</v>
      </c>
      <c r="HV527" s="4" t="s">
        <v>241</v>
      </c>
      <c r="HW527" s="4" t="s">
        <v>241</v>
      </c>
      <c r="HX527" s="4" t="s">
        <v>241</v>
      </c>
      <c r="HY527" s="4" t="s">
        <v>241</v>
      </c>
      <c r="HZ527" s="4" t="s">
        <v>241</v>
      </c>
      <c r="IA527" s="4" t="s">
        <v>241</v>
      </c>
      <c r="IB527" s="4" t="s">
        <v>241</v>
      </c>
      <c r="IC527" s="4" t="s">
        <v>241</v>
      </c>
      <c r="ID527" s="4" t="s">
        <v>241</v>
      </c>
      <c r="IE527" s="4" t="s">
        <v>241</v>
      </c>
      <c r="IF527" s="4" t="s">
        <v>241</v>
      </c>
    </row>
    <row r="528" spans="1:240" x14ac:dyDescent="0.4">
      <c r="A528" s="4">
        <v>2</v>
      </c>
      <c r="B528" s="4" t="s">
        <v>239</v>
      </c>
      <c r="C528" s="4">
        <v>559</v>
      </c>
      <c r="D528" s="4">
        <v>1</v>
      </c>
      <c r="E528" s="4">
        <v>3</v>
      </c>
      <c r="F528" s="4" t="s">
        <v>240</v>
      </c>
      <c r="G528" s="4" t="s">
        <v>241</v>
      </c>
      <c r="H528" s="4" t="s">
        <v>241</v>
      </c>
      <c r="I528" s="4" t="s">
        <v>652</v>
      </c>
      <c r="J528" s="4" t="s">
        <v>653</v>
      </c>
      <c r="K528" s="4" t="s">
        <v>256</v>
      </c>
      <c r="L528" s="4" t="s">
        <v>2529</v>
      </c>
      <c r="M528" s="5" t="s">
        <v>654</v>
      </c>
      <c r="N528" s="4" t="s">
        <v>2529</v>
      </c>
      <c r="O528" s="6">
        <f>13</f>
        <v>13</v>
      </c>
      <c r="P528" s="4" t="s">
        <v>276</v>
      </c>
      <c r="Q528" s="6">
        <f>821275</f>
        <v>821275</v>
      </c>
      <c r="R528" s="6">
        <f>1235000</f>
        <v>1235000</v>
      </c>
      <c r="S528" s="5" t="s">
        <v>420</v>
      </c>
      <c r="T528" s="4" t="s">
        <v>348</v>
      </c>
      <c r="U528" s="4" t="s">
        <v>336</v>
      </c>
      <c r="V528" s="6">
        <f>82745</f>
        <v>82745</v>
      </c>
      <c r="W528" s="6">
        <f>413725</f>
        <v>413725</v>
      </c>
      <c r="X528" s="4" t="s">
        <v>243</v>
      </c>
      <c r="Y528" s="4" t="s">
        <v>244</v>
      </c>
      <c r="Z528" s="4" t="s">
        <v>465</v>
      </c>
      <c r="AA528" s="4" t="s">
        <v>241</v>
      </c>
      <c r="AD528" s="4" t="s">
        <v>241</v>
      </c>
      <c r="AE528" s="5" t="s">
        <v>241</v>
      </c>
      <c r="AF528" s="5" t="s">
        <v>241</v>
      </c>
      <c r="AH528" s="5" t="s">
        <v>241</v>
      </c>
      <c r="AI528" s="5" t="s">
        <v>249</v>
      </c>
      <c r="AJ528" s="4" t="s">
        <v>251</v>
      </c>
      <c r="AK528" s="4" t="s">
        <v>252</v>
      </c>
      <c r="AQ528" s="4" t="s">
        <v>241</v>
      </c>
      <c r="AR528" s="4" t="s">
        <v>241</v>
      </c>
      <c r="AS528" s="4" t="s">
        <v>241</v>
      </c>
      <c r="AT528" s="5" t="s">
        <v>241</v>
      </c>
      <c r="AU528" s="5" t="s">
        <v>241</v>
      </c>
      <c r="AV528" s="5" t="s">
        <v>241</v>
      </c>
      <c r="AY528" s="4" t="s">
        <v>286</v>
      </c>
      <c r="AZ528" s="4" t="s">
        <v>286</v>
      </c>
      <c r="BA528" s="4" t="s">
        <v>254</v>
      </c>
      <c r="BB528" s="4" t="s">
        <v>287</v>
      </c>
      <c r="BC528" s="4" t="s">
        <v>255</v>
      </c>
      <c r="BD528" s="4" t="s">
        <v>241</v>
      </c>
      <c r="BE528" s="4" t="s">
        <v>257</v>
      </c>
      <c r="BF528" s="4" t="s">
        <v>241</v>
      </c>
      <c r="BJ528" s="4" t="s">
        <v>288</v>
      </c>
      <c r="BK528" s="5" t="s">
        <v>289</v>
      </c>
      <c r="BL528" s="4" t="s">
        <v>290</v>
      </c>
      <c r="BM528" s="4" t="s">
        <v>290</v>
      </c>
      <c r="BN528" s="4" t="s">
        <v>241</v>
      </c>
      <c r="BO528" s="6">
        <f>0</f>
        <v>0</v>
      </c>
      <c r="BP528" s="6">
        <f>-82745</f>
        <v>-82745</v>
      </c>
      <c r="BQ528" s="4" t="s">
        <v>263</v>
      </c>
      <c r="BR528" s="4" t="s">
        <v>264</v>
      </c>
      <c r="BS528" s="4" t="s">
        <v>241</v>
      </c>
      <c r="BT528" s="4" t="s">
        <v>241</v>
      </c>
      <c r="BU528" s="4" t="s">
        <v>241</v>
      </c>
      <c r="BV528" s="4" t="s">
        <v>241</v>
      </c>
      <c r="CE528" s="4" t="s">
        <v>264</v>
      </c>
      <c r="CF528" s="4" t="s">
        <v>241</v>
      </c>
      <c r="CG528" s="4" t="s">
        <v>241</v>
      </c>
      <c r="CK528" s="4" t="s">
        <v>291</v>
      </c>
      <c r="CL528" s="4" t="s">
        <v>266</v>
      </c>
      <c r="CM528" s="4" t="s">
        <v>241</v>
      </c>
      <c r="CO528" s="4" t="s">
        <v>593</v>
      </c>
      <c r="CP528" s="5" t="s">
        <v>268</v>
      </c>
      <c r="CQ528" s="4" t="s">
        <v>269</v>
      </c>
      <c r="CR528" s="4" t="s">
        <v>270</v>
      </c>
      <c r="CS528" s="4" t="s">
        <v>293</v>
      </c>
      <c r="CT528" s="4" t="s">
        <v>241</v>
      </c>
      <c r="CU528" s="4">
        <v>6.7000000000000004E-2</v>
      </c>
      <c r="CV528" s="4" t="s">
        <v>271</v>
      </c>
      <c r="CW528" s="4" t="s">
        <v>415</v>
      </c>
      <c r="CX528" s="4" t="s">
        <v>416</v>
      </c>
      <c r="CY528" s="6">
        <f>0</f>
        <v>0</v>
      </c>
      <c r="CZ528" s="6">
        <f>1235000</f>
        <v>1235000</v>
      </c>
      <c r="DA528" s="6">
        <f>821275</f>
        <v>821275</v>
      </c>
      <c r="DC528" s="4" t="s">
        <v>241</v>
      </c>
      <c r="DD528" s="4" t="s">
        <v>241</v>
      </c>
      <c r="DF528" s="4" t="s">
        <v>241</v>
      </c>
      <c r="DG528" s="6">
        <f>0</f>
        <v>0</v>
      </c>
      <c r="DI528" s="4" t="s">
        <v>241</v>
      </c>
      <c r="DJ528" s="4" t="s">
        <v>241</v>
      </c>
      <c r="DK528" s="4" t="s">
        <v>241</v>
      </c>
      <c r="DL528" s="4" t="s">
        <v>241</v>
      </c>
      <c r="DM528" s="4" t="s">
        <v>277</v>
      </c>
      <c r="DN528" s="4" t="s">
        <v>278</v>
      </c>
      <c r="DO528" s="6">
        <f>13</f>
        <v>13</v>
      </c>
      <c r="DP528" s="4" t="s">
        <v>241</v>
      </c>
      <c r="DQ528" s="4" t="s">
        <v>241</v>
      </c>
      <c r="DR528" s="4" t="s">
        <v>241</v>
      </c>
      <c r="DS528" s="4" t="s">
        <v>241</v>
      </c>
      <c r="DV528" s="4" t="s">
        <v>656</v>
      </c>
      <c r="DW528" s="4" t="s">
        <v>322</v>
      </c>
      <c r="GN528" s="4" t="s">
        <v>2787</v>
      </c>
      <c r="HO528" s="4" t="s">
        <v>300</v>
      </c>
      <c r="HR528" s="4" t="s">
        <v>278</v>
      </c>
      <c r="HS528" s="4" t="s">
        <v>278</v>
      </c>
      <c r="HT528" s="4" t="s">
        <v>241</v>
      </c>
      <c r="HU528" s="4" t="s">
        <v>241</v>
      </c>
      <c r="HV528" s="4" t="s">
        <v>241</v>
      </c>
      <c r="HW528" s="4" t="s">
        <v>241</v>
      </c>
      <c r="HX528" s="4" t="s">
        <v>241</v>
      </c>
      <c r="HY528" s="4" t="s">
        <v>241</v>
      </c>
      <c r="HZ528" s="4" t="s">
        <v>241</v>
      </c>
      <c r="IA528" s="4" t="s">
        <v>241</v>
      </c>
      <c r="IB528" s="4" t="s">
        <v>241</v>
      </c>
      <c r="IC528" s="4" t="s">
        <v>241</v>
      </c>
      <c r="ID528" s="4" t="s">
        <v>241</v>
      </c>
      <c r="IE528" s="4" t="s">
        <v>241</v>
      </c>
      <c r="IF528" s="4" t="s">
        <v>241</v>
      </c>
    </row>
    <row r="529" spans="1:240" x14ac:dyDescent="0.4">
      <c r="A529" s="4">
        <v>2</v>
      </c>
      <c r="B529" s="4" t="s">
        <v>239</v>
      </c>
      <c r="C529" s="4">
        <v>560</v>
      </c>
      <c r="D529" s="4">
        <v>1</v>
      </c>
      <c r="E529" s="4">
        <v>3</v>
      </c>
      <c r="F529" s="4" t="s">
        <v>326</v>
      </c>
      <c r="G529" s="4" t="s">
        <v>241</v>
      </c>
      <c r="H529" s="4" t="s">
        <v>241</v>
      </c>
      <c r="I529" s="4" t="s">
        <v>652</v>
      </c>
      <c r="J529" s="4" t="s">
        <v>653</v>
      </c>
      <c r="K529" s="4" t="s">
        <v>256</v>
      </c>
      <c r="L529" s="4" t="s">
        <v>241</v>
      </c>
      <c r="M529" s="5" t="s">
        <v>654</v>
      </c>
      <c r="N529" s="4" t="s">
        <v>2771</v>
      </c>
      <c r="O529" s="6">
        <f>0</f>
        <v>0</v>
      </c>
      <c r="P529" s="4" t="s">
        <v>276</v>
      </c>
      <c r="Q529" s="6">
        <f>623002</f>
        <v>623002</v>
      </c>
      <c r="R529" s="6">
        <f>719400</f>
        <v>719400</v>
      </c>
      <c r="S529" s="5" t="s">
        <v>2785</v>
      </c>
      <c r="T529" s="4" t="s">
        <v>348</v>
      </c>
      <c r="U529" s="4" t="s">
        <v>277</v>
      </c>
      <c r="V529" s="6">
        <f>48199</f>
        <v>48199</v>
      </c>
      <c r="W529" s="6">
        <f>96398</f>
        <v>96398</v>
      </c>
      <c r="X529" s="4" t="s">
        <v>243</v>
      </c>
      <c r="Y529" s="4" t="s">
        <v>244</v>
      </c>
      <c r="Z529" s="4" t="s">
        <v>241</v>
      </c>
      <c r="AA529" s="4" t="s">
        <v>241</v>
      </c>
      <c r="AD529" s="4" t="s">
        <v>241</v>
      </c>
      <c r="AE529" s="5" t="s">
        <v>241</v>
      </c>
      <c r="AF529" s="5" t="s">
        <v>241</v>
      </c>
      <c r="AH529" s="5" t="s">
        <v>241</v>
      </c>
      <c r="AI529" s="5" t="s">
        <v>249</v>
      </c>
      <c r="AJ529" s="4" t="s">
        <v>251</v>
      </c>
      <c r="AK529" s="4" t="s">
        <v>252</v>
      </c>
      <c r="AQ529" s="4" t="s">
        <v>241</v>
      </c>
      <c r="AR529" s="4" t="s">
        <v>241</v>
      </c>
      <c r="AS529" s="4" t="s">
        <v>241</v>
      </c>
      <c r="AT529" s="5" t="s">
        <v>241</v>
      </c>
      <c r="AU529" s="5" t="s">
        <v>241</v>
      </c>
      <c r="AV529" s="5" t="s">
        <v>241</v>
      </c>
      <c r="AY529" s="4" t="s">
        <v>286</v>
      </c>
      <c r="AZ529" s="4" t="s">
        <v>286</v>
      </c>
      <c r="BA529" s="4" t="s">
        <v>254</v>
      </c>
      <c r="BB529" s="4" t="s">
        <v>287</v>
      </c>
      <c r="BC529" s="4" t="s">
        <v>255</v>
      </c>
      <c r="BD529" s="4" t="s">
        <v>241</v>
      </c>
      <c r="BE529" s="4" t="s">
        <v>257</v>
      </c>
      <c r="BF529" s="4" t="s">
        <v>241</v>
      </c>
      <c r="BJ529" s="4" t="s">
        <v>288</v>
      </c>
      <c r="BK529" s="5" t="s">
        <v>289</v>
      </c>
      <c r="BL529" s="4" t="s">
        <v>290</v>
      </c>
      <c r="BM529" s="4" t="s">
        <v>290</v>
      </c>
      <c r="BN529" s="4" t="s">
        <v>241</v>
      </c>
      <c r="BP529" s="6">
        <f>-48199</f>
        <v>-48199</v>
      </c>
      <c r="BQ529" s="4" t="s">
        <v>263</v>
      </c>
      <c r="BR529" s="4" t="s">
        <v>264</v>
      </c>
      <c r="BS529" s="4" t="s">
        <v>241</v>
      </c>
      <c r="BT529" s="4" t="s">
        <v>241</v>
      </c>
      <c r="BU529" s="4" t="s">
        <v>241</v>
      </c>
      <c r="BV529" s="4" t="s">
        <v>241</v>
      </c>
      <c r="CE529" s="4" t="s">
        <v>264</v>
      </c>
      <c r="CF529" s="4" t="s">
        <v>241</v>
      </c>
      <c r="CG529" s="4" t="s">
        <v>241</v>
      </c>
      <c r="CK529" s="4" t="s">
        <v>291</v>
      </c>
      <c r="CL529" s="4" t="s">
        <v>266</v>
      </c>
      <c r="CM529" s="4" t="s">
        <v>241</v>
      </c>
      <c r="CO529" s="4" t="s">
        <v>331</v>
      </c>
      <c r="CP529" s="5" t="s">
        <v>268</v>
      </c>
      <c r="CQ529" s="4" t="s">
        <v>269</v>
      </c>
      <c r="CR529" s="4" t="s">
        <v>270</v>
      </c>
      <c r="CS529" s="4" t="s">
        <v>293</v>
      </c>
      <c r="CT529" s="4" t="s">
        <v>241</v>
      </c>
      <c r="CU529" s="4">
        <v>6.7000000000000004E-2</v>
      </c>
      <c r="CV529" s="4" t="s">
        <v>271</v>
      </c>
      <c r="CW529" s="4" t="s">
        <v>415</v>
      </c>
      <c r="CX529" s="4" t="s">
        <v>422</v>
      </c>
      <c r="CY529" s="6">
        <f>0</f>
        <v>0</v>
      </c>
      <c r="CZ529" s="6">
        <f>719400</f>
        <v>719400</v>
      </c>
      <c r="DA529" s="6">
        <f>623002</f>
        <v>623002</v>
      </c>
      <c r="DC529" s="4" t="s">
        <v>241</v>
      </c>
      <c r="DD529" s="4" t="s">
        <v>241</v>
      </c>
      <c r="DF529" s="4" t="s">
        <v>241</v>
      </c>
      <c r="DG529" s="6">
        <f>0</f>
        <v>0</v>
      </c>
      <c r="DI529" s="4" t="s">
        <v>241</v>
      </c>
      <c r="DJ529" s="4" t="s">
        <v>241</v>
      </c>
      <c r="DK529" s="4" t="s">
        <v>241</v>
      </c>
      <c r="DL529" s="4" t="s">
        <v>241</v>
      </c>
      <c r="DM529" s="4" t="s">
        <v>278</v>
      </c>
      <c r="DN529" s="4" t="s">
        <v>278</v>
      </c>
      <c r="DO529" s="6" t="s">
        <v>241</v>
      </c>
      <c r="DP529" s="4" t="s">
        <v>241</v>
      </c>
      <c r="DQ529" s="4" t="s">
        <v>241</v>
      </c>
      <c r="DR529" s="4" t="s">
        <v>241</v>
      </c>
      <c r="DS529" s="4" t="s">
        <v>241</v>
      </c>
      <c r="DV529" s="4" t="s">
        <v>656</v>
      </c>
      <c r="DW529" s="4" t="s">
        <v>349</v>
      </c>
      <c r="GN529" s="4" t="s">
        <v>2786</v>
      </c>
      <c r="HO529" s="4" t="s">
        <v>297</v>
      </c>
      <c r="HR529" s="4" t="s">
        <v>278</v>
      </c>
      <c r="HS529" s="4" t="s">
        <v>278</v>
      </c>
      <c r="HT529" s="4" t="s">
        <v>241</v>
      </c>
      <c r="HU529" s="4" t="s">
        <v>241</v>
      </c>
      <c r="HV529" s="4" t="s">
        <v>241</v>
      </c>
      <c r="HW529" s="4" t="s">
        <v>241</v>
      </c>
      <c r="HX529" s="4" t="s">
        <v>241</v>
      </c>
      <c r="HY529" s="4" t="s">
        <v>241</v>
      </c>
      <c r="HZ529" s="4" t="s">
        <v>241</v>
      </c>
      <c r="IA529" s="4" t="s">
        <v>241</v>
      </c>
      <c r="IB529" s="4" t="s">
        <v>241</v>
      </c>
      <c r="IC529" s="4" t="s">
        <v>241</v>
      </c>
      <c r="ID529" s="4" t="s">
        <v>241</v>
      </c>
      <c r="IE529" s="4" t="s">
        <v>241</v>
      </c>
      <c r="IF529" s="4" t="s">
        <v>241</v>
      </c>
    </row>
    <row r="530" spans="1:240" x14ac:dyDescent="0.4">
      <c r="A530" s="4">
        <v>2</v>
      </c>
      <c r="B530" s="4" t="s">
        <v>239</v>
      </c>
      <c r="C530" s="4">
        <v>561</v>
      </c>
      <c r="D530" s="4">
        <v>1</v>
      </c>
      <c r="E530" s="4">
        <v>3</v>
      </c>
      <c r="F530" s="4" t="s">
        <v>326</v>
      </c>
      <c r="G530" s="4" t="s">
        <v>241</v>
      </c>
      <c r="H530" s="4" t="s">
        <v>241</v>
      </c>
      <c r="I530" s="4" t="s">
        <v>652</v>
      </c>
      <c r="J530" s="4" t="s">
        <v>653</v>
      </c>
      <c r="K530" s="4" t="s">
        <v>256</v>
      </c>
      <c r="L530" s="4" t="s">
        <v>241</v>
      </c>
      <c r="M530" s="5" t="s">
        <v>654</v>
      </c>
      <c r="N530" s="4" t="s">
        <v>2747</v>
      </c>
      <c r="O530" s="6">
        <f>0</f>
        <v>0</v>
      </c>
      <c r="P530" s="4" t="s">
        <v>276</v>
      </c>
      <c r="Q530" s="6">
        <f>15020821</f>
        <v>15020821</v>
      </c>
      <c r="R530" s="6">
        <f>17755107</f>
        <v>17755107</v>
      </c>
      <c r="S530" s="5" t="s">
        <v>1104</v>
      </c>
      <c r="T530" s="4" t="s">
        <v>322</v>
      </c>
      <c r="U530" s="4" t="s">
        <v>277</v>
      </c>
      <c r="V530" s="6">
        <f>1367143</f>
        <v>1367143</v>
      </c>
      <c r="W530" s="6">
        <f>2734286</f>
        <v>2734286</v>
      </c>
      <c r="X530" s="4" t="s">
        <v>243</v>
      </c>
      <c r="Y530" s="4" t="s">
        <v>244</v>
      </c>
      <c r="Z530" s="4" t="s">
        <v>241</v>
      </c>
      <c r="AA530" s="4" t="s">
        <v>241</v>
      </c>
      <c r="AD530" s="4" t="s">
        <v>241</v>
      </c>
      <c r="AE530" s="5" t="s">
        <v>241</v>
      </c>
      <c r="AF530" s="5" t="s">
        <v>241</v>
      </c>
      <c r="AH530" s="5" t="s">
        <v>241</v>
      </c>
      <c r="AI530" s="5" t="s">
        <v>249</v>
      </c>
      <c r="AJ530" s="4" t="s">
        <v>251</v>
      </c>
      <c r="AK530" s="4" t="s">
        <v>252</v>
      </c>
      <c r="AQ530" s="4" t="s">
        <v>241</v>
      </c>
      <c r="AR530" s="4" t="s">
        <v>241</v>
      </c>
      <c r="AS530" s="4" t="s">
        <v>241</v>
      </c>
      <c r="AT530" s="5" t="s">
        <v>241</v>
      </c>
      <c r="AU530" s="5" t="s">
        <v>241</v>
      </c>
      <c r="AV530" s="5" t="s">
        <v>241</v>
      </c>
      <c r="AY530" s="4" t="s">
        <v>286</v>
      </c>
      <c r="AZ530" s="4" t="s">
        <v>286</v>
      </c>
      <c r="BA530" s="4" t="s">
        <v>254</v>
      </c>
      <c r="BB530" s="4" t="s">
        <v>287</v>
      </c>
      <c r="BC530" s="4" t="s">
        <v>255</v>
      </c>
      <c r="BD530" s="4" t="s">
        <v>241</v>
      </c>
      <c r="BE530" s="4" t="s">
        <v>257</v>
      </c>
      <c r="BF530" s="4" t="s">
        <v>241</v>
      </c>
      <c r="BJ530" s="4" t="s">
        <v>288</v>
      </c>
      <c r="BK530" s="5" t="s">
        <v>289</v>
      </c>
      <c r="BL530" s="4" t="s">
        <v>290</v>
      </c>
      <c r="BM530" s="4" t="s">
        <v>290</v>
      </c>
      <c r="BN530" s="4" t="s">
        <v>241</v>
      </c>
      <c r="BP530" s="6">
        <f>-1367143</f>
        <v>-1367143</v>
      </c>
      <c r="BQ530" s="4" t="s">
        <v>263</v>
      </c>
      <c r="BR530" s="4" t="s">
        <v>264</v>
      </c>
      <c r="BS530" s="4" t="s">
        <v>241</v>
      </c>
      <c r="BT530" s="4" t="s">
        <v>241</v>
      </c>
      <c r="BU530" s="4" t="s">
        <v>241</v>
      </c>
      <c r="BV530" s="4" t="s">
        <v>241</v>
      </c>
      <c r="CE530" s="4" t="s">
        <v>264</v>
      </c>
      <c r="CF530" s="4" t="s">
        <v>241</v>
      </c>
      <c r="CG530" s="4" t="s">
        <v>241</v>
      </c>
      <c r="CK530" s="4" t="s">
        <v>291</v>
      </c>
      <c r="CL530" s="4" t="s">
        <v>266</v>
      </c>
      <c r="CM530" s="4" t="s">
        <v>241</v>
      </c>
      <c r="CO530" s="4" t="s">
        <v>331</v>
      </c>
      <c r="CP530" s="5" t="s">
        <v>268</v>
      </c>
      <c r="CQ530" s="4" t="s">
        <v>269</v>
      </c>
      <c r="CR530" s="4" t="s">
        <v>270</v>
      </c>
      <c r="CS530" s="4" t="s">
        <v>293</v>
      </c>
      <c r="CT530" s="4" t="s">
        <v>241</v>
      </c>
      <c r="CU530" s="4">
        <v>7.6999999999999999E-2</v>
      </c>
      <c r="CV530" s="4" t="s">
        <v>271</v>
      </c>
      <c r="CW530" s="4" t="s">
        <v>415</v>
      </c>
      <c r="CX530" s="4" t="s">
        <v>428</v>
      </c>
      <c r="CY530" s="6">
        <f>0</f>
        <v>0</v>
      </c>
      <c r="CZ530" s="6">
        <f>17755107</f>
        <v>17755107</v>
      </c>
      <c r="DA530" s="6">
        <f>15020821</f>
        <v>15020821</v>
      </c>
      <c r="DC530" s="4" t="s">
        <v>241</v>
      </c>
      <c r="DD530" s="4" t="s">
        <v>241</v>
      </c>
      <c r="DF530" s="4" t="s">
        <v>241</v>
      </c>
      <c r="DG530" s="6">
        <f>0</f>
        <v>0</v>
      </c>
      <c r="DI530" s="4" t="s">
        <v>241</v>
      </c>
      <c r="DJ530" s="4" t="s">
        <v>241</v>
      </c>
      <c r="DK530" s="4" t="s">
        <v>241</v>
      </c>
      <c r="DL530" s="4" t="s">
        <v>241</v>
      </c>
      <c r="DM530" s="4" t="s">
        <v>278</v>
      </c>
      <c r="DN530" s="4" t="s">
        <v>278</v>
      </c>
      <c r="DO530" s="6" t="s">
        <v>241</v>
      </c>
      <c r="DP530" s="4" t="s">
        <v>241</v>
      </c>
      <c r="DQ530" s="4" t="s">
        <v>241</v>
      </c>
      <c r="DR530" s="4" t="s">
        <v>241</v>
      </c>
      <c r="DS530" s="4" t="s">
        <v>241</v>
      </c>
      <c r="DV530" s="4" t="s">
        <v>656</v>
      </c>
      <c r="DW530" s="4" t="s">
        <v>348</v>
      </c>
      <c r="GN530" s="4" t="s">
        <v>2784</v>
      </c>
      <c r="HO530" s="4" t="s">
        <v>297</v>
      </c>
      <c r="HR530" s="4" t="s">
        <v>278</v>
      </c>
      <c r="HS530" s="4" t="s">
        <v>278</v>
      </c>
      <c r="HT530" s="4" t="s">
        <v>241</v>
      </c>
      <c r="HU530" s="4" t="s">
        <v>241</v>
      </c>
      <c r="HV530" s="4" t="s">
        <v>241</v>
      </c>
      <c r="HW530" s="4" t="s">
        <v>241</v>
      </c>
      <c r="HX530" s="4" t="s">
        <v>241</v>
      </c>
      <c r="HY530" s="4" t="s">
        <v>241</v>
      </c>
      <c r="HZ530" s="4" t="s">
        <v>241</v>
      </c>
      <c r="IA530" s="4" t="s">
        <v>241</v>
      </c>
      <c r="IB530" s="4" t="s">
        <v>241</v>
      </c>
      <c r="IC530" s="4" t="s">
        <v>241</v>
      </c>
      <c r="ID530" s="4" t="s">
        <v>241</v>
      </c>
      <c r="IE530" s="4" t="s">
        <v>241</v>
      </c>
      <c r="IF530" s="4" t="s">
        <v>241</v>
      </c>
    </row>
    <row r="531" spans="1:240" x14ac:dyDescent="0.4">
      <c r="A531" s="4">
        <v>2</v>
      </c>
      <c r="B531" s="4" t="s">
        <v>239</v>
      </c>
      <c r="C531" s="4">
        <v>562</v>
      </c>
      <c r="D531" s="4">
        <v>1</v>
      </c>
      <c r="E531" s="4">
        <v>3</v>
      </c>
      <c r="F531" s="4" t="s">
        <v>240</v>
      </c>
      <c r="G531" s="4" t="s">
        <v>241</v>
      </c>
      <c r="H531" s="4" t="s">
        <v>241</v>
      </c>
      <c r="I531" s="4" t="s">
        <v>664</v>
      </c>
      <c r="J531" s="4" t="s">
        <v>653</v>
      </c>
      <c r="K531" s="4" t="s">
        <v>256</v>
      </c>
      <c r="L531" s="4" t="s">
        <v>651</v>
      </c>
      <c r="M531" s="5" t="s">
        <v>666</v>
      </c>
      <c r="N531" s="4" t="s">
        <v>651</v>
      </c>
      <c r="O531" s="6">
        <f>3085</f>
        <v>3085</v>
      </c>
      <c r="P531" s="4" t="s">
        <v>276</v>
      </c>
      <c r="Q531" s="6">
        <f>137961200</f>
        <v>137961200</v>
      </c>
      <c r="R531" s="6">
        <f>663275000</f>
        <v>663275000</v>
      </c>
      <c r="S531" s="5" t="s">
        <v>665</v>
      </c>
      <c r="T531" s="4" t="s">
        <v>668</v>
      </c>
      <c r="U531" s="4" t="s">
        <v>669</v>
      </c>
      <c r="V531" s="6">
        <f>14592050</f>
        <v>14592050</v>
      </c>
      <c r="W531" s="6">
        <f>525313800</f>
        <v>525313800</v>
      </c>
      <c r="X531" s="4" t="s">
        <v>243</v>
      </c>
      <c r="Y531" s="4" t="s">
        <v>244</v>
      </c>
      <c r="Z531" s="4" t="s">
        <v>465</v>
      </c>
      <c r="AA531" s="4" t="s">
        <v>241</v>
      </c>
      <c r="AD531" s="4" t="s">
        <v>241</v>
      </c>
      <c r="AE531" s="5" t="s">
        <v>241</v>
      </c>
      <c r="AF531" s="5" t="s">
        <v>241</v>
      </c>
      <c r="AH531" s="5" t="s">
        <v>241</v>
      </c>
      <c r="AI531" s="5" t="s">
        <v>249</v>
      </c>
      <c r="AJ531" s="4" t="s">
        <v>251</v>
      </c>
      <c r="AK531" s="4" t="s">
        <v>252</v>
      </c>
      <c r="AQ531" s="4" t="s">
        <v>241</v>
      </c>
      <c r="AR531" s="4" t="s">
        <v>241</v>
      </c>
      <c r="AS531" s="4" t="s">
        <v>241</v>
      </c>
      <c r="AT531" s="5" t="s">
        <v>241</v>
      </c>
      <c r="AU531" s="5" t="s">
        <v>241</v>
      </c>
      <c r="AV531" s="5" t="s">
        <v>241</v>
      </c>
      <c r="AY531" s="4" t="s">
        <v>286</v>
      </c>
      <c r="AZ531" s="4" t="s">
        <v>286</v>
      </c>
      <c r="BA531" s="4" t="s">
        <v>254</v>
      </c>
      <c r="BB531" s="4" t="s">
        <v>287</v>
      </c>
      <c r="BC531" s="4" t="s">
        <v>255</v>
      </c>
      <c r="BD531" s="4" t="s">
        <v>241</v>
      </c>
      <c r="BE531" s="4" t="s">
        <v>257</v>
      </c>
      <c r="BF531" s="4" t="s">
        <v>241</v>
      </c>
      <c r="BJ531" s="4" t="s">
        <v>288</v>
      </c>
      <c r="BK531" s="5" t="s">
        <v>289</v>
      </c>
      <c r="BL531" s="4" t="s">
        <v>290</v>
      </c>
      <c r="BM531" s="4" t="s">
        <v>290</v>
      </c>
      <c r="BN531" s="4" t="s">
        <v>241</v>
      </c>
      <c r="BO531" s="6">
        <f>0</f>
        <v>0</v>
      </c>
      <c r="BP531" s="6">
        <f>-14592050</f>
        <v>-14592050</v>
      </c>
      <c r="BQ531" s="4" t="s">
        <v>263</v>
      </c>
      <c r="BR531" s="4" t="s">
        <v>264</v>
      </c>
      <c r="BS531" s="4" t="s">
        <v>241</v>
      </c>
      <c r="BT531" s="4" t="s">
        <v>241</v>
      </c>
      <c r="BU531" s="4" t="s">
        <v>241</v>
      </c>
      <c r="BV531" s="4" t="s">
        <v>241</v>
      </c>
      <c r="CE531" s="4" t="s">
        <v>264</v>
      </c>
      <c r="CF531" s="4" t="s">
        <v>241</v>
      </c>
      <c r="CG531" s="4" t="s">
        <v>241</v>
      </c>
      <c r="CK531" s="4" t="s">
        <v>291</v>
      </c>
      <c r="CL531" s="4" t="s">
        <v>266</v>
      </c>
      <c r="CM531" s="4" t="s">
        <v>241</v>
      </c>
      <c r="CO531" s="4" t="s">
        <v>667</v>
      </c>
      <c r="CP531" s="5" t="s">
        <v>268</v>
      </c>
      <c r="CQ531" s="4" t="s">
        <v>269</v>
      </c>
      <c r="CR531" s="4" t="s">
        <v>270</v>
      </c>
      <c r="CS531" s="4" t="s">
        <v>293</v>
      </c>
      <c r="CT531" s="4" t="s">
        <v>241</v>
      </c>
      <c r="CU531" s="4">
        <v>2.1999999999999999E-2</v>
      </c>
      <c r="CV531" s="4" t="s">
        <v>271</v>
      </c>
      <c r="CW531" s="4" t="s">
        <v>655</v>
      </c>
      <c r="CX531" s="4" t="s">
        <v>295</v>
      </c>
      <c r="CY531" s="6">
        <f>0</f>
        <v>0</v>
      </c>
      <c r="CZ531" s="6">
        <f>663275000</f>
        <v>663275000</v>
      </c>
      <c r="DA531" s="6">
        <f>137961200</f>
        <v>137961200</v>
      </c>
      <c r="DC531" s="4" t="s">
        <v>241</v>
      </c>
      <c r="DD531" s="4" t="s">
        <v>241</v>
      </c>
      <c r="DF531" s="4" t="s">
        <v>241</v>
      </c>
      <c r="DG531" s="6">
        <f>0</f>
        <v>0</v>
      </c>
      <c r="DI531" s="4" t="s">
        <v>241</v>
      </c>
      <c r="DJ531" s="4" t="s">
        <v>241</v>
      </c>
      <c r="DK531" s="4" t="s">
        <v>241</v>
      </c>
      <c r="DL531" s="4" t="s">
        <v>241</v>
      </c>
      <c r="DM531" s="4" t="s">
        <v>277</v>
      </c>
      <c r="DN531" s="4" t="s">
        <v>278</v>
      </c>
      <c r="DO531" s="6">
        <f>3085</f>
        <v>3085</v>
      </c>
      <c r="DP531" s="4" t="s">
        <v>241</v>
      </c>
      <c r="DQ531" s="4" t="s">
        <v>241</v>
      </c>
      <c r="DR531" s="4" t="s">
        <v>241</v>
      </c>
      <c r="DS531" s="4" t="s">
        <v>241</v>
      </c>
      <c r="DV531" s="4" t="s">
        <v>670</v>
      </c>
      <c r="DW531" s="4" t="s">
        <v>277</v>
      </c>
      <c r="GN531" s="4" t="s">
        <v>671</v>
      </c>
      <c r="HO531" s="4" t="s">
        <v>300</v>
      </c>
      <c r="HR531" s="4" t="s">
        <v>278</v>
      </c>
      <c r="HS531" s="4" t="s">
        <v>278</v>
      </c>
      <c r="HT531" s="4" t="s">
        <v>241</v>
      </c>
      <c r="HU531" s="4" t="s">
        <v>241</v>
      </c>
      <c r="HV531" s="4" t="s">
        <v>241</v>
      </c>
      <c r="HW531" s="4" t="s">
        <v>241</v>
      </c>
      <c r="HX531" s="4" t="s">
        <v>241</v>
      </c>
      <c r="HY531" s="4" t="s">
        <v>241</v>
      </c>
      <c r="HZ531" s="4" t="s">
        <v>241</v>
      </c>
      <c r="IA531" s="4" t="s">
        <v>241</v>
      </c>
      <c r="IB531" s="4" t="s">
        <v>241</v>
      </c>
      <c r="IC531" s="4" t="s">
        <v>241</v>
      </c>
      <c r="ID531" s="4" t="s">
        <v>241</v>
      </c>
      <c r="IE531" s="4" t="s">
        <v>241</v>
      </c>
      <c r="IF531" s="4" t="s">
        <v>241</v>
      </c>
    </row>
    <row r="532" spans="1:240" x14ac:dyDescent="0.4">
      <c r="A532" s="4">
        <v>2</v>
      </c>
      <c r="B532" s="4" t="s">
        <v>239</v>
      </c>
      <c r="C532" s="4">
        <v>563</v>
      </c>
      <c r="D532" s="4">
        <v>1</v>
      </c>
      <c r="E532" s="4">
        <v>1</v>
      </c>
      <c r="F532" s="4" t="s">
        <v>240</v>
      </c>
      <c r="G532" s="4" t="s">
        <v>241</v>
      </c>
      <c r="H532" s="4" t="s">
        <v>241</v>
      </c>
      <c r="I532" s="4" t="s">
        <v>664</v>
      </c>
      <c r="J532" s="4" t="s">
        <v>653</v>
      </c>
      <c r="K532" s="4" t="s">
        <v>256</v>
      </c>
      <c r="L532" s="4" t="s">
        <v>429</v>
      </c>
      <c r="M532" s="5" t="s">
        <v>666</v>
      </c>
      <c r="N532" s="4" t="s">
        <v>429</v>
      </c>
      <c r="O532" s="6">
        <f>19</f>
        <v>19</v>
      </c>
      <c r="P532" s="4" t="s">
        <v>276</v>
      </c>
      <c r="Q532" s="6">
        <f>1</f>
        <v>1</v>
      </c>
      <c r="R532" s="6">
        <f>1729000</f>
        <v>1729000</v>
      </c>
      <c r="S532" s="5" t="s">
        <v>3023</v>
      </c>
      <c r="T532" s="4" t="s">
        <v>348</v>
      </c>
      <c r="U532" s="4" t="s">
        <v>408</v>
      </c>
      <c r="W532" s="6">
        <f>1728999</f>
        <v>1728999</v>
      </c>
      <c r="X532" s="4" t="s">
        <v>243</v>
      </c>
      <c r="Y532" s="4" t="s">
        <v>244</v>
      </c>
      <c r="Z532" s="4" t="s">
        <v>465</v>
      </c>
      <c r="AA532" s="4" t="s">
        <v>241</v>
      </c>
      <c r="AD532" s="4" t="s">
        <v>241</v>
      </c>
      <c r="AF532" s="5" t="s">
        <v>241</v>
      </c>
      <c r="AI532" s="5" t="s">
        <v>249</v>
      </c>
      <c r="AJ532" s="4" t="s">
        <v>251</v>
      </c>
      <c r="AK532" s="4" t="s">
        <v>252</v>
      </c>
      <c r="BA532" s="4" t="s">
        <v>254</v>
      </c>
      <c r="BB532" s="4" t="s">
        <v>241</v>
      </c>
      <c r="BC532" s="4" t="s">
        <v>255</v>
      </c>
      <c r="BD532" s="4" t="s">
        <v>241</v>
      </c>
      <c r="BE532" s="4" t="s">
        <v>257</v>
      </c>
      <c r="BF532" s="4" t="s">
        <v>241</v>
      </c>
      <c r="BJ532" s="4" t="s">
        <v>367</v>
      </c>
      <c r="BK532" s="5" t="s">
        <v>249</v>
      </c>
      <c r="BL532" s="4" t="s">
        <v>261</v>
      </c>
      <c r="BM532" s="4" t="s">
        <v>262</v>
      </c>
      <c r="BN532" s="4" t="s">
        <v>241</v>
      </c>
      <c r="BO532" s="6">
        <f>0</f>
        <v>0</v>
      </c>
      <c r="BP532" s="6">
        <f>0</f>
        <v>0</v>
      </c>
      <c r="BQ532" s="4" t="s">
        <v>263</v>
      </c>
      <c r="BR532" s="4" t="s">
        <v>264</v>
      </c>
      <c r="CF532" s="4" t="s">
        <v>241</v>
      </c>
      <c r="CG532" s="4" t="s">
        <v>241</v>
      </c>
      <c r="CK532" s="4" t="s">
        <v>291</v>
      </c>
      <c r="CL532" s="4" t="s">
        <v>266</v>
      </c>
      <c r="CM532" s="4" t="s">
        <v>241</v>
      </c>
      <c r="CO532" s="4" t="s">
        <v>667</v>
      </c>
      <c r="CP532" s="5" t="s">
        <v>268</v>
      </c>
      <c r="CQ532" s="4" t="s">
        <v>269</v>
      </c>
      <c r="CR532" s="4" t="s">
        <v>270</v>
      </c>
      <c r="CS532" s="4" t="s">
        <v>241</v>
      </c>
      <c r="CT532" s="4" t="s">
        <v>241</v>
      </c>
      <c r="CU532" s="4">
        <v>0</v>
      </c>
      <c r="CV532" s="4" t="s">
        <v>271</v>
      </c>
      <c r="CW532" s="4" t="s">
        <v>272</v>
      </c>
      <c r="CX532" s="4" t="s">
        <v>347</v>
      </c>
      <c r="CZ532" s="6">
        <f>1729000</f>
        <v>1729000</v>
      </c>
      <c r="DA532" s="6">
        <f>0</f>
        <v>0</v>
      </c>
      <c r="DC532" s="4" t="s">
        <v>241</v>
      </c>
      <c r="DD532" s="4" t="s">
        <v>241</v>
      </c>
      <c r="DF532" s="4" t="s">
        <v>241</v>
      </c>
      <c r="DI532" s="4" t="s">
        <v>241</v>
      </c>
      <c r="DJ532" s="4" t="s">
        <v>241</v>
      </c>
      <c r="DK532" s="4" t="s">
        <v>241</v>
      </c>
      <c r="DL532" s="4" t="s">
        <v>241</v>
      </c>
      <c r="DM532" s="4" t="s">
        <v>277</v>
      </c>
      <c r="DN532" s="4" t="s">
        <v>278</v>
      </c>
      <c r="DO532" s="6">
        <f>19</f>
        <v>19</v>
      </c>
      <c r="DP532" s="4" t="s">
        <v>241</v>
      </c>
      <c r="DQ532" s="4" t="s">
        <v>241</v>
      </c>
      <c r="DR532" s="4" t="s">
        <v>241</v>
      </c>
      <c r="DS532" s="4" t="s">
        <v>241</v>
      </c>
      <c r="DV532" s="4" t="s">
        <v>670</v>
      </c>
      <c r="DW532" s="4" t="s">
        <v>323</v>
      </c>
      <c r="HO532" s="4" t="s">
        <v>277</v>
      </c>
      <c r="HR532" s="4" t="s">
        <v>278</v>
      </c>
      <c r="HS532" s="4" t="s">
        <v>278</v>
      </c>
    </row>
    <row r="533" spans="1:240" x14ac:dyDescent="0.4">
      <c r="A533" s="4">
        <v>2</v>
      </c>
      <c r="B533" s="4" t="s">
        <v>239</v>
      </c>
      <c r="C533" s="4">
        <v>564</v>
      </c>
      <c r="D533" s="4">
        <v>1</v>
      </c>
      <c r="E533" s="4">
        <v>3</v>
      </c>
      <c r="F533" s="4" t="s">
        <v>240</v>
      </c>
      <c r="G533" s="4" t="s">
        <v>241</v>
      </c>
      <c r="H533" s="4" t="s">
        <v>241</v>
      </c>
      <c r="I533" s="4" t="s">
        <v>664</v>
      </c>
      <c r="J533" s="4" t="s">
        <v>653</v>
      </c>
      <c r="K533" s="4" t="s">
        <v>256</v>
      </c>
      <c r="L533" s="4" t="s">
        <v>1003</v>
      </c>
      <c r="M533" s="5" t="s">
        <v>666</v>
      </c>
      <c r="N533" s="4" t="s">
        <v>1003</v>
      </c>
      <c r="O533" s="6">
        <f>1237</f>
        <v>1237</v>
      </c>
      <c r="P533" s="4" t="s">
        <v>276</v>
      </c>
      <c r="Q533" s="6">
        <f>77955740</f>
        <v>77955740</v>
      </c>
      <c r="R533" s="6">
        <f>284510000</f>
        <v>284510000</v>
      </c>
      <c r="S533" s="5" t="s">
        <v>1157</v>
      </c>
      <c r="T533" s="4" t="s">
        <v>668</v>
      </c>
      <c r="U533" s="4" t="s">
        <v>552</v>
      </c>
      <c r="V533" s="6">
        <f>6259220</f>
        <v>6259220</v>
      </c>
      <c r="W533" s="6">
        <f>206554260</f>
        <v>206554260</v>
      </c>
      <c r="X533" s="4" t="s">
        <v>243</v>
      </c>
      <c r="Y533" s="4" t="s">
        <v>244</v>
      </c>
      <c r="Z533" s="4" t="s">
        <v>465</v>
      </c>
      <c r="AA533" s="4" t="s">
        <v>241</v>
      </c>
      <c r="AD533" s="4" t="s">
        <v>241</v>
      </c>
      <c r="AE533" s="5" t="s">
        <v>241</v>
      </c>
      <c r="AF533" s="5" t="s">
        <v>241</v>
      </c>
      <c r="AH533" s="5" t="s">
        <v>241</v>
      </c>
      <c r="AI533" s="5" t="s">
        <v>249</v>
      </c>
      <c r="AJ533" s="4" t="s">
        <v>251</v>
      </c>
      <c r="AK533" s="4" t="s">
        <v>252</v>
      </c>
      <c r="AQ533" s="4" t="s">
        <v>241</v>
      </c>
      <c r="AR533" s="4" t="s">
        <v>241</v>
      </c>
      <c r="AS533" s="4" t="s">
        <v>241</v>
      </c>
      <c r="AT533" s="5" t="s">
        <v>241</v>
      </c>
      <c r="AU533" s="5" t="s">
        <v>241</v>
      </c>
      <c r="AV533" s="5" t="s">
        <v>241</v>
      </c>
      <c r="AY533" s="4" t="s">
        <v>286</v>
      </c>
      <c r="AZ533" s="4" t="s">
        <v>286</v>
      </c>
      <c r="BA533" s="4" t="s">
        <v>254</v>
      </c>
      <c r="BB533" s="4" t="s">
        <v>287</v>
      </c>
      <c r="BC533" s="4" t="s">
        <v>255</v>
      </c>
      <c r="BD533" s="4" t="s">
        <v>241</v>
      </c>
      <c r="BE533" s="4" t="s">
        <v>257</v>
      </c>
      <c r="BF533" s="4" t="s">
        <v>241</v>
      </c>
      <c r="BJ533" s="4" t="s">
        <v>288</v>
      </c>
      <c r="BK533" s="5" t="s">
        <v>289</v>
      </c>
      <c r="BL533" s="4" t="s">
        <v>290</v>
      </c>
      <c r="BM533" s="4" t="s">
        <v>290</v>
      </c>
      <c r="BN533" s="4" t="s">
        <v>241</v>
      </c>
      <c r="BO533" s="6">
        <f>0</f>
        <v>0</v>
      </c>
      <c r="BP533" s="6">
        <f>-6259220</f>
        <v>-6259220</v>
      </c>
      <c r="BQ533" s="4" t="s">
        <v>263</v>
      </c>
      <c r="BR533" s="4" t="s">
        <v>264</v>
      </c>
      <c r="BS533" s="4" t="s">
        <v>241</v>
      </c>
      <c r="BT533" s="4" t="s">
        <v>241</v>
      </c>
      <c r="BU533" s="4" t="s">
        <v>241</v>
      </c>
      <c r="BV533" s="4" t="s">
        <v>241</v>
      </c>
      <c r="CE533" s="4" t="s">
        <v>264</v>
      </c>
      <c r="CF533" s="4" t="s">
        <v>241</v>
      </c>
      <c r="CG533" s="4" t="s">
        <v>241</v>
      </c>
      <c r="CK533" s="4" t="s">
        <v>291</v>
      </c>
      <c r="CL533" s="4" t="s">
        <v>266</v>
      </c>
      <c r="CM533" s="4" t="s">
        <v>241</v>
      </c>
      <c r="CO533" s="4" t="s">
        <v>551</v>
      </c>
      <c r="CP533" s="5" t="s">
        <v>268</v>
      </c>
      <c r="CQ533" s="4" t="s">
        <v>269</v>
      </c>
      <c r="CR533" s="4" t="s">
        <v>270</v>
      </c>
      <c r="CS533" s="4" t="s">
        <v>293</v>
      </c>
      <c r="CT533" s="4" t="s">
        <v>241</v>
      </c>
      <c r="CU533" s="4">
        <v>2.1999999999999999E-2</v>
      </c>
      <c r="CV533" s="4" t="s">
        <v>271</v>
      </c>
      <c r="CW533" s="4" t="s">
        <v>1006</v>
      </c>
      <c r="CX533" s="4" t="s">
        <v>295</v>
      </c>
      <c r="CY533" s="6">
        <f>0</f>
        <v>0</v>
      </c>
      <c r="CZ533" s="6">
        <f>284510000</f>
        <v>284510000</v>
      </c>
      <c r="DA533" s="6">
        <f>77955740</f>
        <v>77955740</v>
      </c>
      <c r="DC533" s="4" t="s">
        <v>241</v>
      </c>
      <c r="DD533" s="4" t="s">
        <v>241</v>
      </c>
      <c r="DF533" s="4" t="s">
        <v>241</v>
      </c>
      <c r="DG533" s="6">
        <f>0</f>
        <v>0</v>
      </c>
      <c r="DI533" s="4" t="s">
        <v>241</v>
      </c>
      <c r="DJ533" s="4" t="s">
        <v>241</v>
      </c>
      <c r="DK533" s="4" t="s">
        <v>241</v>
      </c>
      <c r="DL533" s="4" t="s">
        <v>241</v>
      </c>
      <c r="DM533" s="4" t="s">
        <v>323</v>
      </c>
      <c r="DN533" s="4" t="s">
        <v>278</v>
      </c>
      <c r="DO533" s="6">
        <f>1237</f>
        <v>1237</v>
      </c>
      <c r="DP533" s="4" t="s">
        <v>241</v>
      </c>
      <c r="DQ533" s="4" t="s">
        <v>241</v>
      </c>
      <c r="DR533" s="4" t="s">
        <v>241</v>
      </c>
      <c r="DS533" s="4" t="s">
        <v>241</v>
      </c>
      <c r="DV533" s="4" t="s">
        <v>670</v>
      </c>
      <c r="DW533" s="4" t="s">
        <v>297</v>
      </c>
      <c r="GN533" s="4" t="s">
        <v>1163</v>
      </c>
      <c r="HO533" s="4" t="s">
        <v>300</v>
      </c>
      <c r="HR533" s="4" t="s">
        <v>278</v>
      </c>
      <c r="HS533" s="4" t="s">
        <v>278</v>
      </c>
      <c r="HT533" s="4" t="s">
        <v>241</v>
      </c>
      <c r="HU533" s="4" t="s">
        <v>241</v>
      </c>
      <c r="HV533" s="4" t="s">
        <v>241</v>
      </c>
      <c r="HW533" s="4" t="s">
        <v>241</v>
      </c>
      <c r="HX533" s="4" t="s">
        <v>241</v>
      </c>
      <c r="HY533" s="4" t="s">
        <v>241</v>
      </c>
      <c r="HZ533" s="4" t="s">
        <v>241</v>
      </c>
      <c r="IA533" s="4" t="s">
        <v>241</v>
      </c>
      <c r="IB533" s="4" t="s">
        <v>241</v>
      </c>
      <c r="IC533" s="4" t="s">
        <v>241</v>
      </c>
      <c r="ID533" s="4" t="s">
        <v>241</v>
      </c>
      <c r="IE533" s="4" t="s">
        <v>241</v>
      </c>
      <c r="IF533" s="4" t="s">
        <v>241</v>
      </c>
    </row>
    <row r="534" spans="1:240" x14ac:dyDescent="0.4">
      <c r="A534" s="4">
        <v>2</v>
      </c>
      <c r="B534" s="4" t="s">
        <v>239</v>
      </c>
      <c r="C534" s="4">
        <v>565</v>
      </c>
      <c r="D534" s="4">
        <v>1</v>
      </c>
      <c r="E534" s="4">
        <v>3</v>
      </c>
      <c r="F534" s="4" t="s">
        <v>240</v>
      </c>
      <c r="G534" s="4" t="s">
        <v>241</v>
      </c>
      <c r="H534" s="4" t="s">
        <v>241</v>
      </c>
      <c r="I534" s="4" t="s">
        <v>664</v>
      </c>
      <c r="J534" s="4" t="s">
        <v>653</v>
      </c>
      <c r="K534" s="4" t="s">
        <v>256</v>
      </c>
      <c r="L534" s="4" t="s">
        <v>1003</v>
      </c>
      <c r="M534" s="5" t="s">
        <v>666</v>
      </c>
      <c r="N534" s="4" t="s">
        <v>1003</v>
      </c>
      <c r="O534" s="6">
        <f>200</f>
        <v>200</v>
      </c>
      <c r="P534" s="4" t="s">
        <v>276</v>
      </c>
      <c r="Q534" s="6">
        <f>386000</f>
        <v>386000</v>
      </c>
      <c r="R534" s="6">
        <f>38600000</f>
        <v>38600000</v>
      </c>
      <c r="S534" s="5" t="s">
        <v>1157</v>
      </c>
      <c r="T534" s="4" t="s">
        <v>357</v>
      </c>
      <c r="U534" s="4" t="s">
        <v>552</v>
      </c>
      <c r="V534" s="6">
        <f>1158000</f>
        <v>1158000</v>
      </c>
      <c r="W534" s="6">
        <f>38214000</f>
        <v>38214000</v>
      </c>
      <c r="X534" s="4" t="s">
        <v>243</v>
      </c>
      <c r="Y534" s="4" t="s">
        <v>244</v>
      </c>
      <c r="Z534" s="4" t="s">
        <v>465</v>
      </c>
      <c r="AA534" s="4" t="s">
        <v>241</v>
      </c>
      <c r="AD534" s="4" t="s">
        <v>241</v>
      </c>
      <c r="AE534" s="5" t="s">
        <v>241</v>
      </c>
      <c r="AF534" s="5" t="s">
        <v>241</v>
      </c>
      <c r="AH534" s="5" t="s">
        <v>241</v>
      </c>
      <c r="AI534" s="5" t="s">
        <v>249</v>
      </c>
      <c r="AJ534" s="4" t="s">
        <v>251</v>
      </c>
      <c r="AK534" s="4" t="s">
        <v>252</v>
      </c>
      <c r="AQ534" s="4" t="s">
        <v>241</v>
      </c>
      <c r="AR534" s="4" t="s">
        <v>241</v>
      </c>
      <c r="AS534" s="4" t="s">
        <v>241</v>
      </c>
      <c r="AT534" s="5" t="s">
        <v>241</v>
      </c>
      <c r="AU534" s="5" t="s">
        <v>241</v>
      </c>
      <c r="AV534" s="5" t="s">
        <v>241</v>
      </c>
      <c r="AY534" s="4" t="s">
        <v>286</v>
      </c>
      <c r="AZ534" s="4" t="s">
        <v>286</v>
      </c>
      <c r="BA534" s="4" t="s">
        <v>254</v>
      </c>
      <c r="BB534" s="4" t="s">
        <v>287</v>
      </c>
      <c r="BC534" s="4" t="s">
        <v>255</v>
      </c>
      <c r="BD534" s="4" t="s">
        <v>241</v>
      </c>
      <c r="BE534" s="4" t="s">
        <v>257</v>
      </c>
      <c r="BF534" s="4" t="s">
        <v>241</v>
      </c>
      <c r="BJ534" s="4" t="s">
        <v>288</v>
      </c>
      <c r="BK534" s="5" t="s">
        <v>289</v>
      </c>
      <c r="BL534" s="4" t="s">
        <v>290</v>
      </c>
      <c r="BM534" s="4" t="s">
        <v>290</v>
      </c>
      <c r="BN534" s="4" t="s">
        <v>241</v>
      </c>
      <c r="BO534" s="6">
        <f>0</f>
        <v>0</v>
      </c>
      <c r="BP534" s="6">
        <f>-1158000</f>
        <v>-1158000</v>
      </c>
      <c r="BQ534" s="4" t="s">
        <v>263</v>
      </c>
      <c r="BR534" s="4" t="s">
        <v>264</v>
      </c>
      <c r="BS534" s="4" t="s">
        <v>241</v>
      </c>
      <c r="BT534" s="4" t="s">
        <v>241</v>
      </c>
      <c r="BU534" s="4" t="s">
        <v>241</v>
      </c>
      <c r="BV534" s="4" t="s">
        <v>241</v>
      </c>
      <c r="CE534" s="4" t="s">
        <v>264</v>
      </c>
      <c r="CF534" s="4" t="s">
        <v>241</v>
      </c>
      <c r="CG534" s="4" t="s">
        <v>241</v>
      </c>
      <c r="CK534" s="4" t="s">
        <v>291</v>
      </c>
      <c r="CL534" s="4" t="s">
        <v>266</v>
      </c>
      <c r="CM534" s="4" t="s">
        <v>241</v>
      </c>
      <c r="CO534" s="4" t="s">
        <v>551</v>
      </c>
      <c r="CP534" s="5" t="s">
        <v>268</v>
      </c>
      <c r="CQ534" s="4" t="s">
        <v>269</v>
      </c>
      <c r="CR534" s="4" t="s">
        <v>270</v>
      </c>
      <c r="CS534" s="4" t="s">
        <v>293</v>
      </c>
      <c r="CT534" s="4" t="s">
        <v>241</v>
      </c>
      <c r="CU534" s="4">
        <v>0.03</v>
      </c>
      <c r="CV534" s="4" t="s">
        <v>271</v>
      </c>
      <c r="CW534" s="4" t="s">
        <v>1006</v>
      </c>
      <c r="CX534" s="4" t="s">
        <v>487</v>
      </c>
      <c r="CY534" s="6">
        <f>0</f>
        <v>0</v>
      </c>
      <c r="CZ534" s="6">
        <f>38600000</f>
        <v>38600000</v>
      </c>
      <c r="DA534" s="6">
        <f>386000</f>
        <v>386000</v>
      </c>
      <c r="DC534" s="4" t="s">
        <v>241</v>
      </c>
      <c r="DD534" s="4" t="s">
        <v>241</v>
      </c>
      <c r="DF534" s="4" t="s">
        <v>241</v>
      </c>
      <c r="DG534" s="6">
        <f>0</f>
        <v>0</v>
      </c>
      <c r="DI534" s="4" t="s">
        <v>241</v>
      </c>
      <c r="DJ534" s="4" t="s">
        <v>241</v>
      </c>
      <c r="DK534" s="4" t="s">
        <v>241</v>
      </c>
      <c r="DL534" s="4" t="s">
        <v>241</v>
      </c>
      <c r="DM534" s="4" t="s">
        <v>323</v>
      </c>
      <c r="DN534" s="4" t="s">
        <v>278</v>
      </c>
      <c r="DO534" s="6">
        <f>200</f>
        <v>200</v>
      </c>
      <c r="DP534" s="4" t="s">
        <v>241</v>
      </c>
      <c r="DQ534" s="4" t="s">
        <v>241</v>
      </c>
      <c r="DR534" s="4" t="s">
        <v>241</v>
      </c>
      <c r="DS534" s="4" t="s">
        <v>241</v>
      </c>
      <c r="DV534" s="4" t="s">
        <v>670</v>
      </c>
      <c r="DW534" s="4" t="s">
        <v>336</v>
      </c>
      <c r="GN534" s="4" t="s">
        <v>1158</v>
      </c>
      <c r="HO534" s="4" t="s">
        <v>300</v>
      </c>
      <c r="HR534" s="4" t="s">
        <v>278</v>
      </c>
      <c r="HS534" s="4" t="s">
        <v>278</v>
      </c>
      <c r="HT534" s="4" t="s">
        <v>241</v>
      </c>
      <c r="HU534" s="4" t="s">
        <v>241</v>
      </c>
      <c r="HV534" s="4" t="s">
        <v>241</v>
      </c>
      <c r="HW534" s="4" t="s">
        <v>241</v>
      </c>
      <c r="HX534" s="4" t="s">
        <v>241</v>
      </c>
      <c r="HY534" s="4" t="s">
        <v>241</v>
      </c>
      <c r="HZ534" s="4" t="s">
        <v>241</v>
      </c>
      <c r="IA534" s="4" t="s">
        <v>241</v>
      </c>
      <c r="IB534" s="4" t="s">
        <v>241</v>
      </c>
      <c r="IC534" s="4" t="s">
        <v>241</v>
      </c>
      <c r="ID534" s="4" t="s">
        <v>241</v>
      </c>
      <c r="IE534" s="4" t="s">
        <v>241</v>
      </c>
      <c r="IF534" s="4" t="s">
        <v>241</v>
      </c>
    </row>
    <row r="535" spans="1:240" x14ac:dyDescent="0.4">
      <c r="A535" s="4">
        <v>2</v>
      </c>
      <c r="B535" s="4" t="s">
        <v>239</v>
      </c>
      <c r="C535" s="4">
        <v>566</v>
      </c>
      <c r="D535" s="4">
        <v>1</v>
      </c>
      <c r="E535" s="4">
        <v>1</v>
      </c>
      <c r="F535" s="4" t="s">
        <v>240</v>
      </c>
      <c r="G535" s="4" t="s">
        <v>241</v>
      </c>
      <c r="H535" s="4" t="s">
        <v>241</v>
      </c>
      <c r="I535" s="4" t="s">
        <v>664</v>
      </c>
      <c r="J535" s="4" t="s">
        <v>653</v>
      </c>
      <c r="K535" s="4" t="s">
        <v>256</v>
      </c>
      <c r="L535" s="4" t="s">
        <v>2529</v>
      </c>
      <c r="M535" s="5" t="s">
        <v>666</v>
      </c>
      <c r="N535" s="4" t="s">
        <v>2529</v>
      </c>
      <c r="O535" s="6">
        <f>51</f>
        <v>51</v>
      </c>
      <c r="P535" s="4" t="s">
        <v>276</v>
      </c>
      <c r="Q535" s="6">
        <f>1</f>
        <v>1</v>
      </c>
      <c r="R535" s="6">
        <f>3060000</f>
        <v>3060000</v>
      </c>
      <c r="S535" s="5" t="s">
        <v>905</v>
      </c>
      <c r="T535" s="4" t="s">
        <v>348</v>
      </c>
      <c r="U535" s="4" t="s">
        <v>473</v>
      </c>
      <c r="W535" s="6">
        <f>3059999</f>
        <v>3059999</v>
      </c>
      <c r="X535" s="4" t="s">
        <v>243</v>
      </c>
      <c r="Y535" s="4" t="s">
        <v>244</v>
      </c>
      <c r="Z535" s="4" t="s">
        <v>465</v>
      </c>
      <c r="AA535" s="4" t="s">
        <v>241</v>
      </c>
      <c r="AD535" s="4" t="s">
        <v>241</v>
      </c>
      <c r="AF535" s="5" t="s">
        <v>241</v>
      </c>
      <c r="AI535" s="5" t="s">
        <v>249</v>
      </c>
      <c r="AJ535" s="4" t="s">
        <v>251</v>
      </c>
      <c r="AK535" s="4" t="s">
        <v>252</v>
      </c>
      <c r="BA535" s="4" t="s">
        <v>254</v>
      </c>
      <c r="BB535" s="4" t="s">
        <v>241</v>
      </c>
      <c r="BC535" s="4" t="s">
        <v>255</v>
      </c>
      <c r="BD535" s="4" t="s">
        <v>241</v>
      </c>
      <c r="BE535" s="4" t="s">
        <v>257</v>
      </c>
      <c r="BF535" s="4" t="s">
        <v>241</v>
      </c>
      <c r="BJ535" s="4" t="s">
        <v>367</v>
      </c>
      <c r="BK535" s="5" t="s">
        <v>249</v>
      </c>
      <c r="BL535" s="4" t="s">
        <v>261</v>
      </c>
      <c r="BM535" s="4" t="s">
        <v>262</v>
      </c>
      <c r="BN535" s="4" t="s">
        <v>241</v>
      </c>
      <c r="BO535" s="6">
        <f>0</f>
        <v>0</v>
      </c>
      <c r="BP535" s="6">
        <f>0</f>
        <v>0</v>
      </c>
      <c r="BQ535" s="4" t="s">
        <v>263</v>
      </c>
      <c r="BR535" s="4" t="s">
        <v>264</v>
      </c>
      <c r="CF535" s="4" t="s">
        <v>241</v>
      </c>
      <c r="CG535" s="4" t="s">
        <v>241</v>
      </c>
      <c r="CK535" s="4" t="s">
        <v>265</v>
      </c>
      <c r="CL535" s="4" t="s">
        <v>266</v>
      </c>
      <c r="CM535" s="4" t="s">
        <v>241</v>
      </c>
      <c r="CO535" s="4" t="s">
        <v>710</v>
      </c>
      <c r="CP535" s="5" t="s">
        <v>268</v>
      </c>
      <c r="CQ535" s="4" t="s">
        <v>269</v>
      </c>
      <c r="CR535" s="4" t="s">
        <v>270</v>
      </c>
      <c r="CS535" s="4" t="s">
        <v>241</v>
      </c>
      <c r="CT535" s="4" t="s">
        <v>241</v>
      </c>
      <c r="CU535" s="4">
        <v>0</v>
      </c>
      <c r="CV535" s="4" t="s">
        <v>271</v>
      </c>
      <c r="CW535" s="4" t="s">
        <v>415</v>
      </c>
      <c r="CX535" s="4" t="s">
        <v>416</v>
      </c>
      <c r="CZ535" s="6">
        <f>3060000</f>
        <v>3060000</v>
      </c>
      <c r="DA535" s="6">
        <f>0</f>
        <v>0</v>
      </c>
      <c r="DC535" s="4" t="s">
        <v>241</v>
      </c>
      <c r="DD535" s="4" t="s">
        <v>241</v>
      </c>
      <c r="DF535" s="4" t="s">
        <v>241</v>
      </c>
      <c r="DI535" s="4" t="s">
        <v>241</v>
      </c>
      <c r="DJ535" s="4" t="s">
        <v>241</v>
      </c>
      <c r="DK535" s="4" t="s">
        <v>241</v>
      </c>
      <c r="DL535" s="4" t="s">
        <v>241</v>
      </c>
      <c r="DM535" s="4" t="s">
        <v>277</v>
      </c>
      <c r="DN535" s="4" t="s">
        <v>278</v>
      </c>
      <c r="DO535" s="6">
        <f>51</f>
        <v>51</v>
      </c>
      <c r="DP535" s="4" t="s">
        <v>241</v>
      </c>
      <c r="DQ535" s="4" t="s">
        <v>241</v>
      </c>
      <c r="DR535" s="4" t="s">
        <v>241</v>
      </c>
      <c r="DS535" s="4" t="s">
        <v>241</v>
      </c>
      <c r="DV535" s="4" t="s">
        <v>670</v>
      </c>
      <c r="DW535" s="4" t="s">
        <v>351</v>
      </c>
      <c r="HO535" s="4" t="s">
        <v>277</v>
      </c>
      <c r="HR535" s="4" t="s">
        <v>278</v>
      </c>
      <c r="HS535" s="4" t="s">
        <v>278</v>
      </c>
    </row>
    <row r="536" spans="1:240" x14ac:dyDescent="0.4">
      <c r="A536" s="4">
        <v>2</v>
      </c>
      <c r="B536" s="4" t="s">
        <v>239</v>
      </c>
      <c r="C536" s="4">
        <v>567</v>
      </c>
      <c r="D536" s="4">
        <v>1</v>
      </c>
      <c r="E536" s="4">
        <v>3</v>
      </c>
      <c r="F536" s="4" t="s">
        <v>240</v>
      </c>
      <c r="G536" s="4" t="s">
        <v>241</v>
      </c>
      <c r="H536" s="4" t="s">
        <v>241</v>
      </c>
      <c r="I536" s="4" t="s">
        <v>664</v>
      </c>
      <c r="J536" s="4" t="s">
        <v>653</v>
      </c>
      <c r="K536" s="4" t="s">
        <v>256</v>
      </c>
      <c r="L536" s="4" t="s">
        <v>429</v>
      </c>
      <c r="M536" s="5" t="s">
        <v>666</v>
      </c>
      <c r="N536" s="4" t="s">
        <v>429</v>
      </c>
      <c r="O536" s="6">
        <f>40</f>
        <v>40</v>
      </c>
      <c r="P536" s="4" t="s">
        <v>276</v>
      </c>
      <c r="Q536" s="6">
        <f>414200</f>
        <v>414200</v>
      </c>
      <c r="R536" s="6">
        <f>3800000</f>
        <v>3800000</v>
      </c>
      <c r="S536" s="5" t="s">
        <v>3597</v>
      </c>
      <c r="T536" s="4" t="s">
        <v>441</v>
      </c>
      <c r="U536" s="4" t="s">
        <v>384</v>
      </c>
      <c r="V536" s="6">
        <f>125400</f>
        <v>125400</v>
      </c>
      <c r="W536" s="6">
        <f>3385800</f>
        <v>3385800</v>
      </c>
      <c r="X536" s="4" t="s">
        <v>243</v>
      </c>
      <c r="Y536" s="4" t="s">
        <v>244</v>
      </c>
      <c r="Z536" s="4" t="s">
        <v>465</v>
      </c>
      <c r="AA536" s="4" t="s">
        <v>241</v>
      </c>
      <c r="AD536" s="4" t="s">
        <v>241</v>
      </c>
      <c r="AE536" s="5" t="s">
        <v>241</v>
      </c>
      <c r="AF536" s="5" t="s">
        <v>241</v>
      </c>
      <c r="AH536" s="5" t="s">
        <v>241</v>
      </c>
      <c r="AI536" s="5" t="s">
        <v>249</v>
      </c>
      <c r="AJ536" s="4" t="s">
        <v>251</v>
      </c>
      <c r="AK536" s="4" t="s">
        <v>252</v>
      </c>
      <c r="AQ536" s="4" t="s">
        <v>241</v>
      </c>
      <c r="AR536" s="4" t="s">
        <v>241</v>
      </c>
      <c r="AS536" s="4" t="s">
        <v>241</v>
      </c>
      <c r="AT536" s="5" t="s">
        <v>241</v>
      </c>
      <c r="AU536" s="5" t="s">
        <v>241</v>
      </c>
      <c r="AV536" s="5" t="s">
        <v>241</v>
      </c>
      <c r="AY536" s="4" t="s">
        <v>286</v>
      </c>
      <c r="AZ536" s="4" t="s">
        <v>286</v>
      </c>
      <c r="BA536" s="4" t="s">
        <v>254</v>
      </c>
      <c r="BB536" s="4" t="s">
        <v>287</v>
      </c>
      <c r="BC536" s="4" t="s">
        <v>255</v>
      </c>
      <c r="BD536" s="4" t="s">
        <v>241</v>
      </c>
      <c r="BE536" s="4" t="s">
        <v>257</v>
      </c>
      <c r="BF536" s="4" t="s">
        <v>241</v>
      </c>
      <c r="BJ536" s="4" t="s">
        <v>288</v>
      </c>
      <c r="BK536" s="5" t="s">
        <v>289</v>
      </c>
      <c r="BL536" s="4" t="s">
        <v>290</v>
      </c>
      <c r="BM536" s="4" t="s">
        <v>290</v>
      </c>
      <c r="BN536" s="4" t="s">
        <v>241</v>
      </c>
      <c r="BO536" s="6">
        <f>0</f>
        <v>0</v>
      </c>
      <c r="BP536" s="6">
        <f>-125400</f>
        <v>-125400</v>
      </c>
      <c r="BQ536" s="4" t="s">
        <v>263</v>
      </c>
      <c r="BR536" s="4" t="s">
        <v>264</v>
      </c>
      <c r="BS536" s="4" t="s">
        <v>241</v>
      </c>
      <c r="BT536" s="4" t="s">
        <v>241</v>
      </c>
      <c r="BU536" s="4" t="s">
        <v>241</v>
      </c>
      <c r="BV536" s="4" t="s">
        <v>241</v>
      </c>
      <c r="CE536" s="4" t="s">
        <v>264</v>
      </c>
      <c r="CF536" s="4" t="s">
        <v>241</v>
      </c>
      <c r="CG536" s="4" t="s">
        <v>241</v>
      </c>
      <c r="CK536" s="4" t="s">
        <v>291</v>
      </c>
      <c r="CL536" s="4" t="s">
        <v>266</v>
      </c>
      <c r="CM536" s="4" t="s">
        <v>241</v>
      </c>
      <c r="CO536" s="4" t="s">
        <v>376</v>
      </c>
      <c r="CP536" s="5" t="s">
        <v>268</v>
      </c>
      <c r="CQ536" s="4" t="s">
        <v>269</v>
      </c>
      <c r="CR536" s="4" t="s">
        <v>270</v>
      </c>
      <c r="CS536" s="4" t="s">
        <v>293</v>
      </c>
      <c r="CT536" s="4" t="s">
        <v>241</v>
      </c>
      <c r="CU536" s="4">
        <v>3.3000000000000002E-2</v>
      </c>
      <c r="CV536" s="4" t="s">
        <v>271</v>
      </c>
      <c r="CW536" s="4" t="s">
        <v>272</v>
      </c>
      <c r="CX536" s="4" t="s">
        <v>487</v>
      </c>
      <c r="CY536" s="6">
        <f>0</f>
        <v>0</v>
      </c>
      <c r="CZ536" s="6">
        <f>3800000</f>
        <v>3800000</v>
      </c>
      <c r="DA536" s="6">
        <f>414200</f>
        <v>414200</v>
      </c>
      <c r="DC536" s="4" t="s">
        <v>241</v>
      </c>
      <c r="DD536" s="4" t="s">
        <v>241</v>
      </c>
      <c r="DF536" s="4" t="s">
        <v>241</v>
      </c>
      <c r="DG536" s="6">
        <f>0</f>
        <v>0</v>
      </c>
      <c r="DI536" s="4" t="s">
        <v>241</v>
      </c>
      <c r="DJ536" s="4" t="s">
        <v>241</v>
      </c>
      <c r="DK536" s="4" t="s">
        <v>241</v>
      </c>
      <c r="DL536" s="4" t="s">
        <v>241</v>
      </c>
      <c r="DM536" s="4" t="s">
        <v>277</v>
      </c>
      <c r="DN536" s="4" t="s">
        <v>278</v>
      </c>
      <c r="DO536" s="6">
        <f>40</f>
        <v>40</v>
      </c>
      <c r="DP536" s="4" t="s">
        <v>241</v>
      </c>
      <c r="DQ536" s="4" t="s">
        <v>241</v>
      </c>
      <c r="DR536" s="4" t="s">
        <v>241</v>
      </c>
      <c r="DS536" s="4" t="s">
        <v>241</v>
      </c>
      <c r="DV536" s="4" t="s">
        <v>670</v>
      </c>
      <c r="DW536" s="4" t="s">
        <v>300</v>
      </c>
      <c r="GN536" s="4" t="s">
        <v>3598</v>
      </c>
      <c r="HO536" s="4" t="s">
        <v>300</v>
      </c>
      <c r="HR536" s="4" t="s">
        <v>278</v>
      </c>
      <c r="HS536" s="4" t="s">
        <v>278</v>
      </c>
      <c r="HT536" s="4" t="s">
        <v>241</v>
      </c>
      <c r="HU536" s="4" t="s">
        <v>241</v>
      </c>
      <c r="HV536" s="4" t="s">
        <v>241</v>
      </c>
      <c r="HW536" s="4" t="s">
        <v>241</v>
      </c>
      <c r="HX536" s="4" t="s">
        <v>241</v>
      </c>
      <c r="HY536" s="4" t="s">
        <v>241</v>
      </c>
      <c r="HZ536" s="4" t="s">
        <v>241</v>
      </c>
      <c r="IA536" s="4" t="s">
        <v>241</v>
      </c>
      <c r="IB536" s="4" t="s">
        <v>241</v>
      </c>
      <c r="IC536" s="4" t="s">
        <v>241</v>
      </c>
      <c r="ID536" s="4" t="s">
        <v>241</v>
      </c>
      <c r="IE536" s="4" t="s">
        <v>241</v>
      </c>
      <c r="IF536" s="4" t="s">
        <v>241</v>
      </c>
    </row>
    <row r="537" spans="1:240" x14ac:dyDescent="0.4">
      <c r="A537" s="4">
        <v>2</v>
      </c>
      <c r="B537" s="4" t="s">
        <v>239</v>
      </c>
      <c r="C537" s="4">
        <v>568</v>
      </c>
      <c r="D537" s="4">
        <v>1</v>
      </c>
      <c r="E537" s="4">
        <v>1</v>
      </c>
      <c r="F537" s="4" t="s">
        <v>240</v>
      </c>
      <c r="G537" s="4" t="s">
        <v>241</v>
      </c>
      <c r="H537" s="4" t="s">
        <v>241</v>
      </c>
      <c r="I537" s="4" t="s">
        <v>664</v>
      </c>
      <c r="J537" s="4" t="s">
        <v>653</v>
      </c>
      <c r="K537" s="4" t="s">
        <v>256</v>
      </c>
      <c r="L537" s="4" t="s">
        <v>429</v>
      </c>
      <c r="M537" s="5" t="s">
        <v>666</v>
      </c>
      <c r="N537" s="4" t="s">
        <v>429</v>
      </c>
      <c r="O537" s="6">
        <f>70</f>
        <v>70</v>
      </c>
      <c r="P537" s="4" t="s">
        <v>276</v>
      </c>
      <c r="Q537" s="6">
        <f>1</f>
        <v>1</v>
      </c>
      <c r="R537" s="6">
        <f>6370000</f>
        <v>6370000</v>
      </c>
      <c r="S537" s="5" t="s">
        <v>2951</v>
      </c>
      <c r="T537" s="4" t="s">
        <v>348</v>
      </c>
      <c r="U537" s="4" t="s">
        <v>348</v>
      </c>
      <c r="W537" s="6">
        <f>6369999</f>
        <v>6369999</v>
      </c>
      <c r="X537" s="4" t="s">
        <v>243</v>
      </c>
      <c r="Y537" s="4" t="s">
        <v>244</v>
      </c>
      <c r="Z537" s="4" t="s">
        <v>465</v>
      </c>
      <c r="AA537" s="4" t="s">
        <v>241</v>
      </c>
      <c r="AD537" s="4" t="s">
        <v>241</v>
      </c>
      <c r="AF537" s="5" t="s">
        <v>241</v>
      </c>
      <c r="AI537" s="5" t="s">
        <v>249</v>
      </c>
      <c r="AJ537" s="4" t="s">
        <v>251</v>
      </c>
      <c r="AK537" s="4" t="s">
        <v>252</v>
      </c>
      <c r="BA537" s="4" t="s">
        <v>254</v>
      </c>
      <c r="BB537" s="4" t="s">
        <v>241</v>
      </c>
      <c r="BC537" s="4" t="s">
        <v>255</v>
      </c>
      <c r="BD537" s="4" t="s">
        <v>241</v>
      </c>
      <c r="BE537" s="4" t="s">
        <v>257</v>
      </c>
      <c r="BF537" s="4" t="s">
        <v>241</v>
      </c>
      <c r="BJ537" s="4" t="s">
        <v>374</v>
      </c>
      <c r="BK537" s="5" t="s">
        <v>375</v>
      </c>
      <c r="BL537" s="4" t="s">
        <v>261</v>
      </c>
      <c r="BM537" s="4" t="s">
        <v>290</v>
      </c>
      <c r="BN537" s="4" t="s">
        <v>241</v>
      </c>
      <c r="BO537" s="6">
        <f>0</f>
        <v>0</v>
      </c>
      <c r="BP537" s="6">
        <f>0</f>
        <v>0</v>
      </c>
      <c r="BQ537" s="4" t="s">
        <v>263</v>
      </c>
      <c r="BR537" s="4" t="s">
        <v>264</v>
      </c>
      <c r="CF537" s="4" t="s">
        <v>241</v>
      </c>
      <c r="CG537" s="4" t="s">
        <v>241</v>
      </c>
      <c r="CK537" s="4" t="s">
        <v>291</v>
      </c>
      <c r="CL537" s="4" t="s">
        <v>266</v>
      </c>
      <c r="CM537" s="4" t="s">
        <v>241</v>
      </c>
      <c r="CO537" s="4" t="s">
        <v>1127</v>
      </c>
      <c r="CP537" s="5" t="s">
        <v>268</v>
      </c>
      <c r="CQ537" s="4" t="s">
        <v>269</v>
      </c>
      <c r="CR537" s="4" t="s">
        <v>270</v>
      </c>
      <c r="CS537" s="4" t="s">
        <v>241</v>
      </c>
      <c r="CT537" s="4" t="s">
        <v>241</v>
      </c>
      <c r="CU537" s="4">
        <v>0</v>
      </c>
      <c r="CV537" s="4" t="s">
        <v>271</v>
      </c>
      <c r="CW537" s="4" t="s">
        <v>272</v>
      </c>
      <c r="CX537" s="4" t="s">
        <v>347</v>
      </c>
      <c r="CZ537" s="6">
        <f>6370000</f>
        <v>6370000</v>
      </c>
      <c r="DA537" s="6">
        <f>0</f>
        <v>0</v>
      </c>
      <c r="DC537" s="4" t="s">
        <v>241</v>
      </c>
      <c r="DD537" s="4" t="s">
        <v>241</v>
      </c>
      <c r="DF537" s="4" t="s">
        <v>241</v>
      </c>
      <c r="DI537" s="4" t="s">
        <v>241</v>
      </c>
      <c r="DJ537" s="4" t="s">
        <v>241</v>
      </c>
      <c r="DK537" s="4" t="s">
        <v>241</v>
      </c>
      <c r="DL537" s="4" t="s">
        <v>241</v>
      </c>
      <c r="DM537" s="4" t="s">
        <v>277</v>
      </c>
      <c r="DN537" s="4" t="s">
        <v>278</v>
      </c>
      <c r="DO537" s="6">
        <f>70</f>
        <v>70</v>
      </c>
      <c r="DP537" s="4" t="s">
        <v>241</v>
      </c>
      <c r="DQ537" s="4" t="s">
        <v>241</v>
      </c>
      <c r="DR537" s="4" t="s">
        <v>241</v>
      </c>
      <c r="DS537" s="4" t="s">
        <v>241</v>
      </c>
      <c r="DV537" s="4" t="s">
        <v>670</v>
      </c>
      <c r="DW537" s="4" t="s">
        <v>341</v>
      </c>
      <c r="HO537" s="4" t="s">
        <v>323</v>
      </c>
      <c r="HR537" s="4" t="s">
        <v>278</v>
      </c>
      <c r="HS537" s="4" t="s">
        <v>278</v>
      </c>
    </row>
    <row r="538" spans="1:240" x14ac:dyDescent="0.4">
      <c r="A538" s="4">
        <v>2</v>
      </c>
      <c r="B538" s="4" t="s">
        <v>239</v>
      </c>
      <c r="C538" s="4">
        <v>569</v>
      </c>
      <c r="D538" s="4">
        <v>1</v>
      </c>
      <c r="E538" s="4">
        <v>1</v>
      </c>
      <c r="F538" s="4" t="s">
        <v>240</v>
      </c>
      <c r="G538" s="4" t="s">
        <v>241</v>
      </c>
      <c r="H538" s="4" t="s">
        <v>241</v>
      </c>
      <c r="I538" s="4" t="s">
        <v>664</v>
      </c>
      <c r="J538" s="4" t="s">
        <v>653</v>
      </c>
      <c r="K538" s="4" t="s">
        <v>256</v>
      </c>
      <c r="L538" s="4" t="s">
        <v>340</v>
      </c>
      <c r="M538" s="5" t="s">
        <v>666</v>
      </c>
      <c r="N538" s="4" t="s">
        <v>340</v>
      </c>
      <c r="O538" s="6">
        <f>15</f>
        <v>15</v>
      </c>
      <c r="P538" s="4" t="s">
        <v>276</v>
      </c>
      <c r="Q538" s="6">
        <f>1</f>
        <v>1</v>
      </c>
      <c r="R538" s="6">
        <f>5355000</f>
        <v>5355000</v>
      </c>
      <c r="S538" s="5" t="s">
        <v>1789</v>
      </c>
      <c r="T538" s="4" t="s">
        <v>348</v>
      </c>
      <c r="U538" s="4" t="s">
        <v>348</v>
      </c>
      <c r="W538" s="6">
        <f>5354999</f>
        <v>5354999</v>
      </c>
      <c r="X538" s="4" t="s">
        <v>243</v>
      </c>
      <c r="Y538" s="4" t="s">
        <v>244</v>
      </c>
      <c r="Z538" s="4" t="s">
        <v>465</v>
      </c>
      <c r="AA538" s="4" t="s">
        <v>241</v>
      </c>
      <c r="AD538" s="4" t="s">
        <v>241</v>
      </c>
      <c r="AF538" s="5" t="s">
        <v>241</v>
      </c>
      <c r="AI538" s="5" t="s">
        <v>249</v>
      </c>
      <c r="AJ538" s="4" t="s">
        <v>251</v>
      </c>
      <c r="AK538" s="4" t="s">
        <v>252</v>
      </c>
      <c r="BA538" s="4" t="s">
        <v>254</v>
      </c>
      <c r="BB538" s="4" t="s">
        <v>241</v>
      </c>
      <c r="BC538" s="4" t="s">
        <v>255</v>
      </c>
      <c r="BD538" s="4" t="s">
        <v>241</v>
      </c>
      <c r="BE538" s="4" t="s">
        <v>257</v>
      </c>
      <c r="BF538" s="4" t="s">
        <v>241</v>
      </c>
      <c r="BJ538" s="4" t="s">
        <v>377</v>
      </c>
      <c r="BK538" s="5" t="s">
        <v>378</v>
      </c>
      <c r="BL538" s="4" t="s">
        <v>261</v>
      </c>
      <c r="BM538" s="4" t="s">
        <v>290</v>
      </c>
      <c r="BN538" s="4" t="s">
        <v>241</v>
      </c>
      <c r="BO538" s="6">
        <f>0</f>
        <v>0</v>
      </c>
      <c r="BP538" s="6">
        <f>0</f>
        <v>0</v>
      </c>
      <c r="BQ538" s="4" t="s">
        <v>263</v>
      </c>
      <c r="BR538" s="4" t="s">
        <v>264</v>
      </c>
      <c r="CF538" s="4" t="s">
        <v>241</v>
      </c>
      <c r="CG538" s="4" t="s">
        <v>241</v>
      </c>
      <c r="CK538" s="4" t="s">
        <v>291</v>
      </c>
      <c r="CL538" s="4" t="s">
        <v>266</v>
      </c>
      <c r="CM538" s="4" t="s">
        <v>241</v>
      </c>
      <c r="CO538" s="4" t="s">
        <v>364</v>
      </c>
      <c r="CP538" s="5" t="s">
        <v>268</v>
      </c>
      <c r="CQ538" s="4" t="s">
        <v>269</v>
      </c>
      <c r="CR538" s="4" t="s">
        <v>270</v>
      </c>
      <c r="CS538" s="4" t="s">
        <v>241</v>
      </c>
      <c r="CT538" s="4" t="s">
        <v>241</v>
      </c>
      <c r="CU538" s="4">
        <v>0</v>
      </c>
      <c r="CV538" s="4" t="s">
        <v>271</v>
      </c>
      <c r="CW538" s="4" t="s">
        <v>332</v>
      </c>
      <c r="CX538" s="4" t="s">
        <v>347</v>
      </c>
      <c r="CZ538" s="6">
        <f>5355000</f>
        <v>5355000</v>
      </c>
      <c r="DA538" s="6">
        <f>0</f>
        <v>0</v>
      </c>
      <c r="DC538" s="4" t="s">
        <v>241</v>
      </c>
      <c r="DD538" s="4" t="s">
        <v>241</v>
      </c>
      <c r="DF538" s="4" t="s">
        <v>241</v>
      </c>
      <c r="DI538" s="4" t="s">
        <v>241</v>
      </c>
      <c r="DJ538" s="4" t="s">
        <v>241</v>
      </c>
      <c r="DK538" s="4" t="s">
        <v>241</v>
      </c>
      <c r="DL538" s="4" t="s">
        <v>241</v>
      </c>
      <c r="DM538" s="4" t="s">
        <v>277</v>
      </c>
      <c r="DN538" s="4" t="s">
        <v>278</v>
      </c>
      <c r="DO538" s="6">
        <f>15</f>
        <v>15</v>
      </c>
      <c r="DP538" s="4" t="s">
        <v>241</v>
      </c>
      <c r="DQ538" s="4" t="s">
        <v>241</v>
      </c>
      <c r="DR538" s="4" t="s">
        <v>241</v>
      </c>
      <c r="DS538" s="4" t="s">
        <v>241</v>
      </c>
      <c r="DV538" s="4" t="s">
        <v>670</v>
      </c>
      <c r="DW538" s="4" t="s">
        <v>343</v>
      </c>
      <c r="HO538" s="4" t="s">
        <v>297</v>
      </c>
      <c r="HR538" s="4" t="s">
        <v>278</v>
      </c>
      <c r="HS538" s="4" t="s">
        <v>278</v>
      </c>
    </row>
    <row r="539" spans="1:240" x14ac:dyDescent="0.4">
      <c r="A539" s="4">
        <v>2</v>
      </c>
      <c r="B539" s="4" t="s">
        <v>239</v>
      </c>
      <c r="C539" s="4">
        <v>570</v>
      </c>
      <c r="D539" s="4">
        <v>1</v>
      </c>
      <c r="E539" s="4">
        <v>3</v>
      </c>
      <c r="F539" s="4" t="s">
        <v>326</v>
      </c>
      <c r="G539" s="4" t="s">
        <v>241</v>
      </c>
      <c r="H539" s="4" t="s">
        <v>241</v>
      </c>
      <c r="I539" s="4" t="s">
        <v>664</v>
      </c>
      <c r="J539" s="4" t="s">
        <v>653</v>
      </c>
      <c r="K539" s="4" t="s">
        <v>256</v>
      </c>
      <c r="L539" s="4" t="s">
        <v>2646</v>
      </c>
      <c r="M539" s="5" t="s">
        <v>666</v>
      </c>
      <c r="N539" s="4" t="s">
        <v>2782</v>
      </c>
      <c r="O539" s="6">
        <f>0</f>
        <v>0</v>
      </c>
      <c r="P539" s="4" t="s">
        <v>276</v>
      </c>
      <c r="Q539" s="6">
        <f>932864</f>
        <v>932864</v>
      </c>
      <c r="R539" s="6">
        <f>1274400</f>
        <v>1274400</v>
      </c>
      <c r="S539" s="5" t="s">
        <v>405</v>
      </c>
      <c r="T539" s="4" t="s">
        <v>348</v>
      </c>
      <c r="U539" s="4" t="s">
        <v>297</v>
      </c>
      <c r="V539" s="6">
        <f>85384</f>
        <v>85384</v>
      </c>
      <c r="W539" s="6">
        <f>341536</f>
        <v>341536</v>
      </c>
      <c r="X539" s="4" t="s">
        <v>243</v>
      </c>
      <c r="Y539" s="4" t="s">
        <v>244</v>
      </c>
      <c r="Z539" s="4" t="s">
        <v>465</v>
      </c>
      <c r="AA539" s="4" t="s">
        <v>241</v>
      </c>
      <c r="AD539" s="4" t="s">
        <v>241</v>
      </c>
      <c r="AE539" s="5" t="s">
        <v>241</v>
      </c>
      <c r="AF539" s="5" t="s">
        <v>241</v>
      </c>
      <c r="AH539" s="5" t="s">
        <v>241</v>
      </c>
      <c r="AI539" s="5" t="s">
        <v>249</v>
      </c>
      <c r="AJ539" s="4" t="s">
        <v>251</v>
      </c>
      <c r="AK539" s="4" t="s">
        <v>252</v>
      </c>
      <c r="AQ539" s="4" t="s">
        <v>241</v>
      </c>
      <c r="AR539" s="4" t="s">
        <v>241</v>
      </c>
      <c r="AS539" s="4" t="s">
        <v>241</v>
      </c>
      <c r="AT539" s="5" t="s">
        <v>241</v>
      </c>
      <c r="AU539" s="5" t="s">
        <v>241</v>
      </c>
      <c r="AV539" s="5" t="s">
        <v>241</v>
      </c>
      <c r="AY539" s="4" t="s">
        <v>286</v>
      </c>
      <c r="AZ539" s="4" t="s">
        <v>286</v>
      </c>
      <c r="BA539" s="4" t="s">
        <v>254</v>
      </c>
      <c r="BB539" s="4" t="s">
        <v>287</v>
      </c>
      <c r="BC539" s="4" t="s">
        <v>255</v>
      </c>
      <c r="BD539" s="4" t="s">
        <v>241</v>
      </c>
      <c r="BE539" s="4" t="s">
        <v>257</v>
      </c>
      <c r="BF539" s="4" t="s">
        <v>241</v>
      </c>
      <c r="BJ539" s="4" t="s">
        <v>288</v>
      </c>
      <c r="BK539" s="5" t="s">
        <v>289</v>
      </c>
      <c r="BL539" s="4" t="s">
        <v>290</v>
      </c>
      <c r="BM539" s="4" t="s">
        <v>290</v>
      </c>
      <c r="BN539" s="4" t="s">
        <v>241</v>
      </c>
      <c r="BP539" s="6">
        <f>-85384</f>
        <v>-85384</v>
      </c>
      <c r="BQ539" s="4" t="s">
        <v>263</v>
      </c>
      <c r="BR539" s="4" t="s">
        <v>264</v>
      </c>
      <c r="BS539" s="4" t="s">
        <v>241</v>
      </c>
      <c r="BT539" s="4" t="s">
        <v>241</v>
      </c>
      <c r="BU539" s="4" t="s">
        <v>241</v>
      </c>
      <c r="BV539" s="4" t="s">
        <v>241</v>
      </c>
      <c r="CE539" s="4" t="s">
        <v>264</v>
      </c>
      <c r="CF539" s="4" t="s">
        <v>241</v>
      </c>
      <c r="CG539" s="4" t="s">
        <v>241</v>
      </c>
      <c r="CK539" s="4" t="s">
        <v>291</v>
      </c>
      <c r="CL539" s="4" t="s">
        <v>266</v>
      </c>
      <c r="CM539" s="4" t="s">
        <v>241</v>
      </c>
      <c r="CO539" s="4" t="s">
        <v>413</v>
      </c>
      <c r="CP539" s="5" t="s">
        <v>268</v>
      </c>
      <c r="CQ539" s="4" t="s">
        <v>269</v>
      </c>
      <c r="CR539" s="4" t="s">
        <v>270</v>
      </c>
      <c r="CS539" s="4" t="s">
        <v>293</v>
      </c>
      <c r="CT539" s="4" t="s">
        <v>241</v>
      </c>
      <c r="CU539" s="4">
        <v>6.7000000000000004E-2</v>
      </c>
      <c r="CV539" s="4" t="s">
        <v>271</v>
      </c>
      <c r="CW539" s="4" t="s">
        <v>415</v>
      </c>
      <c r="CX539" s="4" t="s">
        <v>416</v>
      </c>
      <c r="CY539" s="6">
        <f>0</f>
        <v>0</v>
      </c>
      <c r="CZ539" s="6">
        <f>1274400</f>
        <v>1274400</v>
      </c>
      <c r="DA539" s="6">
        <f>932864</f>
        <v>932864</v>
      </c>
      <c r="DC539" s="4" t="s">
        <v>241</v>
      </c>
      <c r="DD539" s="4" t="s">
        <v>241</v>
      </c>
      <c r="DF539" s="4" t="s">
        <v>241</v>
      </c>
      <c r="DG539" s="6">
        <f>0</f>
        <v>0</v>
      </c>
      <c r="DI539" s="4" t="s">
        <v>241</v>
      </c>
      <c r="DJ539" s="4" t="s">
        <v>241</v>
      </c>
      <c r="DK539" s="4" t="s">
        <v>241</v>
      </c>
      <c r="DL539" s="4" t="s">
        <v>241</v>
      </c>
      <c r="DM539" s="4" t="s">
        <v>278</v>
      </c>
      <c r="DN539" s="4" t="s">
        <v>278</v>
      </c>
      <c r="DO539" s="6" t="s">
        <v>241</v>
      </c>
      <c r="DP539" s="4" t="s">
        <v>241</v>
      </c>
      <c r="DQ539" s="4" t="s">
        <v>241</v>
      </c>
      <c r="DR539" s="4" t="s">
        <v>241</v>
      </c>
      <c r="DS539" s="4" t="s">
        <v>241</v>
      </c>
      <c r="DV539" s="4" t="s">
        <v>670</v>
      </c>
      <c r="DW539" s="4" t="s">
        <v>417</v>
      </c>
      <c r="GN539" s="4" t="s">
        <v>2783</v>
      </c>
      <c r="HO539" s="4" t="s">
        <v>351</v>
      </c>
      <c r="HR539" s="4" t="s">
        <v>278</v>
      </c>
      <c r="HS539" s="4" t="s">
        <v>278</v>
      </c>
      <c r="HT539" s="4" t="s">
        <v>241</v>
      </c>
      <c r="HU539" s="4" t="s">
        <v>241</v>
      </c>
      <c r="HV539" s="4" t="s">
        <v>241</v>
      </c>
      <c r="HW539" s="4" t="s">
        <v>241</v>
      </c>
      <c r="HX539" s="4" t="s">
        <v>241</v>
      </c>
      <c r="HY539" s="4" t="s">
        <v>241</v>
      </c>
      <c r="HZ539" s="4" t="s">
        <v>241</v>
      </c>
      <c r="IA539" s="4" t="s">
        <v>241</v>
      </c>
      <c r="IB539" s="4" t="s">
        <v>241</v>
      </c>
      <c r="IC539" s="4" t="s">
        <v>241</v>
      </c>
      <c r="ID539" s="4" t="s">
        <v>241</v>
      </c>
      <c r="IE539" s="4" t="s">
        <v>241</v>
      </c>
      <c r="IF539" s="4" t="s">
        <v>241</v>
      </c>
    </row>
    <row r="540" spans="1:240" x14ac:dyDescent="0.4">
      <c r="A540" s="4">
        <v>2</v>
      </c>
      <c r="B540" s="4" t="s">
        <v>239</v>
      </c>
      <c r="C540" s="4">
        <v>571</v>
      </c>
      <c r="D540" s="4">
        <v>1</v>
      </c>
      <c r="E540" s="4">
        <v>3</v>
      </c>
      <c r="F540" s="4" t="s">
        <v>326</v>
      </c>
      <c r="G540" s="4" t="s">
        <v>241</v>
      </c>
      <c r="H540" s="4" t="s">
        <v>241</v>
      </c>
      <c r="I540" s="4" t="s">
        <v>664</v>
      </c>
      <c r="J540" s="4" t="s">
        <v>653</v>
      </c>
      <c r="K540" s="4" t="s">
        <v>256</v>
      </c>
      <c r="L540" s="4" t="s">
        <v>241</v>
      </c>
      <c r="M540" s="5" t="s">
        <v>666</v>
      </c>
      <c r="N540" s="4" t="s">
        <v>2747</v>
      </c>
      <c r="O540" s="6">
        <f>0</f>
        <v>0</v>
      </c>
      <c r="P540" s="4" t="s">
        <v>276</v>
      </c>
      <c r="Q540" s="6">
        <f>24465704</f>
        <v>24465704</v>
      </c>
      <c r="R540" s="6">
        <f>28919270</f>
        <v>28919270</v>
      </c>
      <c r="S540" s="5" t="s">
        <v>1104</v>
      </c>
      <c r="T540" s="4" t="s">
        <v>322</v>
      </c>
      <c r="U540" s="4" t="s">
        <v>277</v>
      </c>
      <c r="V540" s="6">
        <f>2226783</f>
        <v>2226783</v>
      </c>
      <c r="W540" s="6">
        <f>4453566</f>
        <v>4453566</v>
      </c>
      <c r="X540" s="4" t="s">
        <v>243</v>
      </c>
      <c r="Y540" s="4" t="s">
        <v>244</v>
      </c>
      <c r="Z540" s="4" t="s">
        <v>241</v>
      </c>
      <c r="AA540" s="4" t="s">
        <v>241</v>
      </c>
      <c r="AD540" s="4" t="s">
        <v>241</v>
      </c>
      <c r="AE540" s="5" t="s">
        <v>241</v>
      </c>
      <c r="AF540" s="5" t="s">
        <v>241</v>
      </c>
      <c r="AH540" s="5" t="s">
        <v>241</v>
      </c>
      <c r="AI540" s="5" t="s">
        <v>249</v>
      </c>
      <c r="AJ540" s="4" t="s">
        <v>251</v>
      </c>
      <c r="AK540" s="4" t="s">
        <v>252</v>
      </c>
      <c r="AQ540" s="4" t="s">
        <v>241</v>
      </c>
      <c r="AR540" s="4" t="s">
        <v>241</v>
      </c>
      <c r="AS540" s="4" t="s">
        <v>241</v>
      </c>
      <c r="AT540" s="5" t="s">
        <v>241</v>
      </c>
      <c r="AU540" s="5" t="s">
        <v>241</v>
      </c>
      <c r="AV540" s="5" t="s">
        <v>241</v>
      </c>
      <c r="AY540" s="4" t="s">
        <v>286</v>
      </c>
      <c r="AZ540" s="4" t="s">
        <v>286</v>
      </c>
      <c r="BA540" s="4" t="s">
        <v>254</v>
      </c>
      <c r="BB540" s="4" t="s">
        <v>287</v>
      </c>
      <c r="BC540" s="4" t="s">
        <v>255</v>
      </c>
      <c r="BD540" s="4" t="s">
        <v>241</v>
      </c>
      <c r="BE540" s="4" t="s">
        <v>257</v>
      </c>
      <c r="BF540" s="4" t="s">
        <v>241</v>
      </c>
      <c r="BJ540" s="4" t="s">
        <v>288</v>
      </c>
      <c r="BK540" s="5" t="s">
        <v>289</v>
      </c>
      <c r="BL540" s="4" t="s">
        <v>290</v>
      </c>
      <c r="BM540" s="4" t="s">
        <v>290</v>
      </c>
      <c r="BN540" s="4" t="s">
        <v>241</v>
      </c>
      <c r="BP540" s="6">
        <f>-2226783</f>
        <v>-2226783</v>
      </c>
      <c r="BQ540" s="4" t="s">
        <v>263</v>
      </c>
      <c r="BR540" s="4" t="s">
        <v>264</v>
      </c>
      <c r="BS540" s="4" t="s">
        <v>241</v>
      </c>
      <c r="BT540" s="4" t="s">
        <v>241</v>
      </c>
      <c r="BU540" s="4" t="s">
        <v>241</v>
      </c>
      <c r="BV540" s="4" t="s">
        <v>241</v>
      </c>
      <c r="CE540" s="4" t="s">
        <v>264</v>
      </c>
      <c r="CF540" s="4" t="s">
        <v>241</v>
      </c>
      <c r="CG540" s="4" t="s">
        <v>241</v>
      </c>
      <c r="CK540" s="4" t="s">
        <v>291</v>
      </c>
      <c r="CL540" s="4" t="s">
        <v>266</v>
      </c>
      <c r="CM540" s="4" t="s">
        <v>241</v>
      </c>
      <c r="CO540" s="4" t="s">
        <v>331</v>
      </c>
      <c r="CP540" s="5" t="s">
        <v>268</v>
      </c>
      <c r="CQ540" s="4" t="s">
        <v>269</v>
      </c>
      <c r="CR540" s="4" t="s">
        <v>270</v>
      </c>
      <c r="CS540" s="4" t="s">
        <v>293</v>
      </c>
      <c r="CT540" s="4" t="s">
        <v>241</v>
      </c>
      <c r="CU540" s="4">
        <v>7.6999999999999999E-2</v>
      </c>
      <c r="CV540" s="4" t="s">
        <v>271</v>
      </c>
      <c r="CW540" s="4" t="s">
        <v>415</v>
      </c>
      <c r="CX540" s="4" t="s">
        <v>428</v>
      </c>
      <c r="CY540" s="6">
        <f>0</f>
        <v>0</v>
      </c>
      <c r="CZ540" s="6">
        <f>28919270</f>
        <v>28919270</v>
      </c>
      <c r="DA540" s="6">
        <f>24465704</f>
        <v>24465704</v>
      </c>
      <c r="DC540" s="4" t="s">
        <v>241</v>
      </c>
      <c r="DD540" s="4" t="s">
        <v>241</v>
      </c>
      <c r="DF540" s="4" t="s">
        <v>241</v>
      </c>
      <c r="DG540" s="6">
        <f>0</f>
        <v>0</v>
      </c>
      <c r="DI540" s="4" t="s">
        <v>241</v>
      </c>
      <c r="DJ540" s="4" t="s">
        <v>241</v>
      </c>
      <c r="DK540" s="4" t="s">
        <v>241</v>
      </c>
      <c r="DL540" s="4" t="s">
        <v>241</v>
      </c>
      <c r="DM540" s="4" t="s">
        <v>278</v>
      </c>
      <c r="DN540" s="4" t="s">
        <v>278</v>
      </c>
      <c r="DO540" s="6" t="s">
        <v>241</v>
      </c>
      <c r="DP540" s="4" t="s">
        <v>241</v>
      </c>
      <c r="DQ540" s="4" t="s">
        <v>241</v>
      </c>
      <c r="DR540" s="4" t="s">
        <v>241</v>
      </c>
      <c r="DS540" s="4" t="s">
        <v>241</v>
      </c>
      <c r="DV540" s="4" t="s">
        <v>670</v>
      </c>
      <c r="DW540" s="4" t="s">
        <v>427</v>
      </c>
      <c r="GN540" s="4" t="s">
        <v>2781</v>
      </c>
      <c r="HO540" s="4" t="s">
        <v>297</v>
      </c>
      <c r="HR540" s="4" t="s">
        <v>278</v>
      </c>
      <c r="HS540" s="4" t="s">
        <v>278</v>
      </c>
      <c r="HT540" s="4" t="s">
        <v>241</v>
      </c>
      <c r="HU540" s="4" t="s">
        <v>241</v>
      </c>
      <c r="HV540" s="4" t="s">
        <v>241</v>
      </c>
      <c r="HW540" s="4" t="s">
        <v>241</v>
      </c>
      <c r="HX540" s="4" t="s">
        <v>241</v>
      </c>
      <c r="HY540" s="4" t="s">
        <v>241</v>
      </c>
      <c r="HZ540" s="4" t="s">
        <v>241</v>
      </c>
      <c r="IA540" s="4" t="s">
        <v>241</v>
      </c>
      <c r="IB540" s="4" t="s">
        <v>241</v>
      </c>
      <c r="IC540" s="4" t="s">
        <v>241</v>
      </c>
      <c r="ID540" s="4" t="s">
        <v>241</v>
      </c>
      <c r="IE540" s="4" t="s">
        <v>241</v>
      </c>
      <c r="IF540" s="4" t="s">
        <v>241</v>
      </c>
    </row>
    <row r="541" spans="1:240" x14ac:dyDescent="0.4">
      <c r="A541" s="4">
        <v>2</v>
      </c>
      <c r="B541" s="4" t="s">
        <v>239</v>
      </c>
      <c r="C541" s="4">
        <v>572</v>
      </c>
      <c r="D541" s="4">
        <v>1</v>
      </c>
      <c r="E541" s="4">
        <v>3</v>
      </c>
      <c r="F541" s="4" t="s">
        <v>240</v>
      </c>
      <c r="G541" s="4" t="s">
        <v>241</v>
      </c>
      <c r="H541" s="4" t="s">
        <v>241</v>
      </c>
      <c r="I541" s="4" t="s">
        <v>685</v>
      </c>
      <c r="J541" s="4" t="s">
        <v>653</v>
      </c>
      <c r="K541" s="4" t="s">
        <v>256</v>
      </c>
      <c r="L541" s="4" t="s">
        <v>651</v>
      </c>
      <c r="M541" s="5" t="s">
        <v>687</v>
      </c>
      <c r="N541" s="4" t="s">
        <v>651</v>
      </c>
      <c r="O541" s="6">
        <f>5342</f>
        <v>5342</v>
      </c>
      <c r="P541" s="4" t="s">
        <v>276</v>
      </c>
      <c r="Q541" s="6">
        <f>7211700</f>
        <v>7211700</v>
      </c>
      <c r="R541" s="6">
        <f>721170000</f>
        <v>721170000</v>
      </c>
      <c r="S541" s="5" t="s">
        <v>686</v>
      </c>
      <c r="T541" s="4" t="s">
        <v>668</v>
      </c>
      <c r="U541" s="4" t="s">
        <v>683</v>
      </c>
      <c r="V541" s="6">
        <f>15865740</f>
        <v>15865740</v>
      </c>
      <c r="W541" s="6">
        <f>713958300</f>
        <v>713958300</v>
      </c>
      <c r="X541" s="4" t="s">
        <v>243</v>
      </c>
      <c r="Y541" s="4" t="s">
        <v>244</v>
      </c>
      <c r="Z541" s="4" t="s">
        <v>465</v>
      </c>
      <c r="AA541" s="4" t="s">
        <v>241</v>
      </c>
      <c r="AD541" s="4" t="s">
        <v>241</v>
      </c>
      <c r="AE541" s="5" t="s">
        <v>241</v>
      </c>
      <c r="AF541" s="5" t="s">
        <v>241</v>
      </c>
      <c r="AH541" s="5" t="s">
        <v>241</v>
      </c>
      <c r="AI541" s="5" t="s">
        <v>249</v>
      </c>
      <c r="AJ541" s="4" t="s">
        <v>251</v>
      </c>
      <c r="AK541" s="4" t="s">
        <v>252</v>
      </c>
      <c r="AQ541" s="4" t="s">
        <v>241</v>
      </c>
      <c r="AR541" s="4" t="s">
        <v>241</v>
      </c>
      <c r="AS541" s="4" t="s">
        <v>241</v>
      </c>
      <c r="AT541" s="5" t="s">
        <v>241</v>
      </c>
      <c r="AU541" s="5" t="s">
        <v>241</v>
      </c>
      <c r="AV541" s="5" t="s">
        <v>241</v>
      </c>
      <c r="AY541" s="4" t="s">
        <v>286</v>
      </c>
      <c r="AZ541" s="4" t="s">
        <v>286</v>
      </c>
      <c r="BA541" s="4" t="s">
        <v>254</v>
      </c>
      <c r="BB541" s="4" t="s">
        <v>287</v>
      </c>
      <c r="BC541" s="4" t="s">
        <v>255</v>
      </c>
      <c r="BD541" s="4" t="s">
        <v>241</v>
      </c>
      <c r="BE541" s="4" t="s">
        <v>257</v>
      </c>
      <c r="BF541" s="4" t="s">
        <v>241</v>
      </c>
      <c r="BJ541" s="4" t="s">
        <v>288</v>
      </c>
      <c r="BK541" s="5" t="s">
        <v>289</v>
      </c>
      <c r="BL541" s="4" t="s">
        <v>290</v>
      </c>
      <c r="BM541" s="4" t="s">
        <v>290</v>
      </c>
      <c r="BN541" s="4" t="s">
        <v>241</v>
      </c>
      <c r="BO541" s="6">
        <f>0</f>
        <v>0</v>
      </c>
      <c r="BP541" s="6">
        <f>-15865740</f>
        <v>-15865740</v>
      </c>
      <c r="BQ541" s="4" t="s">
        <v>263</v>
      </c>
      <c r="BR541" s="4" t="s">
        <v>264</v>
      </c>
      <c r="BS541" s="4" t="s">
        <v>241</v>
      </c>
      <c r="BT541" s="4" t="s">
        <v>241</v>
      </c>
      <c r="BU541" s="4" t="s">
        <v>241</v>
      </c>
      <c r="BV541" s="4" t="s">
        <v>241</v>
      </c>
      <c r="CE541" s="4" t="s">
        <v>264</v>
      </c>
      <c r="CF541" s="4" t="s">
        <v>241</v>
      </c>
      <c r="CG541" s="4" t="s">
        <v>241</v>
      </c>
      <c r="CK541" s="4" t="s">
        <v>265</v>
      </c>
      <c r="CL541" s="4" t="s">
        <v>266</v>
      </c>
      <c r="CM541" s="4" t="s">
        <v>241</v>
      </c>
      <c r="CO541" s="4" t="s">
        <v>392</v>
      </c>
      <c r="CP541" s="5" t="s">
        <v>268</v>
      </c>
      <c r="CQ541" s="4" t="s">
        <v>269</v>
      </c>
      <c r="CR541" s="4" t="s">
        <v>270</v>
      </c>
      <c r="CS541" s="4" t="s">
        <v>293</v>
      </c>
      <c r="CT541" s="4" t="s">
        <v>241</v>
      </c>
      <c r="CU541" s="4">
        <v>2.1999999999999999E-2</v>
      </c>
      <c r="CV541" s="4" t="s">
        <v>271</v>
      </c>
      <c r="CW541" s="4" t="s">
        <v>655</v>
      </c>
      <c r="CX541" s="4" t="s">
        <v>295</v>
      </c>
      <c r="CY541" s="6">
        <f>0</f>
        <v>0</v>
      </c>
      <c r="CZ541" s="6">
        <f>721170000</f>
        <v>721170000</v>
      </c>
      <c r="DA541" s="6">
        <f>7211700</f>
        <v>7211700</v>
      </c>
      <c r="DC541" s="4" t="s">
        <v>241</v>
      </c>
      <c r="DD541" s="4" t="s">
        <v>241</v>
      </c>
      <c r="DF541" s="4" t="s">
        <v>241</v>
      </c>
      <c r="DG541" s="6">
        <f>0</f>
        <v>0</v>
      </c>
      <c r="DI541" s="4" t="s">
        <v>241</v>
      </c>
      <c r="DJ541" s="4" t="s">
        <v>241</v>
      </c>
      <c r="DK541" s="4" t="s">
        <v>241</v>
      </c>
      <c r="DL541" s="4" t="s">
        <v>241</v>
      </c>
      <c r="DM541" s="4" t="s">
        <v>336</v>
      </c>
      <c r="DN541" s="4" t="s">
        <v>278</v>
      </c>
      <c r="DO541" s="6">
        <f>5342</f>
        <v>5342</v>
      </c>
      <c r="DP541" s="4" t="s">
        <v>241</v>
      </c>
      <c r="DQ541" s="4" t="s">
        <v>241</v>
      </c>
      <c r="DR541" s="4" t="s">
        <v>241</v>
      </c>
      <c r="DS541" s="4" t="s">
        <v>241</v>
      </c>
      <c r="DV541" s="4" t="s">
        <v>688</v>
      </c>
      <c r="DW541" s="4" t="s">
        <v>277</v>
      </c>
      <c r="GN541" s="4" t="s">
        <v>689</v>
      </c>
      <c r="HO541" s="4" t="s">
        <v>300</v>
      </c>
      <c r="HR541" s="4" t="s">
        <v>278</v>
      </c>
      <c r="HS541" s="4" t="s">
        <v>278</v>
      </c>
      <c r="HT541" s="4" t="s">
        <v>241</v>
      </c>
      <c r="HU541" s="4" t="s">
        <v>241</v>
      </c>
      <c r="HV541" s="4" t="s">
        <v>241</v>
      </c>
      <c r="HW541" s="4" t="s">
        <v>241</v>
      </c>
      <c r="HX541" s="4" t="s">
        <v>241</v>
      </c>
      <c r="HY541" s="4" t="s">
        <v>241</v>
      </c>
      <c r="HZ541" s="4" t="s">
        <v>241</v>
      </c>
      <c r="IA541" s="4" t="s">
        <v>241</v>
      </c>
      <c r="IB541" s="4" t="s">
        <v>241</v>
      </c>
      <c r="IC541" s="4" t="s">
        <v>241</v>
      </c>
      <c r="ID541" s="4" t="s">
        <v>241</v>
      </c>
      <c r="IE541" s="4" t="s">
        <v>241</v>
      </c>
      <c r="IF541" s="4" t="s">
        <v>241</v>
      </c>
    </row>
    <row r="542" spans="1:240" x14ac:dyDescent="0.4">
      <c r="A542" s="4">
        <v>2</v>
      </c>
      <c r="B542" s="4" t="s">
        <v>239</v>
      </c>
      <c r="C542" s="4">
        <v>573</v>
      </c>
      <c r="D542" s="4">
        <v>1</v>
      </c>
      <c r="E542" s="4">
        <v>1</v>
      </c>
      <c r="F542" s="4" t="s">
        <v>240</v>
      </c>
      <c r="G542" s="4" t="s">
        <v>241</v>
      </c>
      <c r="H542" s="4" t="s">
        <v>241</v>
      </c>
      <c r="I542" s="4" t="s">
        <v>685</v>
      </c>
      <c r="J542" s="4" t="s">
        <v>653</v>
      </c>
      <c r="K542" s="4" t="s">
        <v>256</v>
      </c>
      <c r="L542" s="4" t="s">
        <v>1003</v>
      </c>
      <c r="M542" s="5" t="s">
        <v>687</v>
      </c>
      <c r="N542" s="4" t="s">
        <v>1003</v>
      </c>
      <c r="O542" s="6">
        <f>1634</f>
        <v>1634</v>
      </c>
      <c r="P542" s="4" t="s">
        <v>276</v>
      </c>
      <c r="Q542" s="6">
        <f>1</f>
        <v>1</v>
      </c>
      <c r="R542" s="6">
        <f>130720000</f>
        <v>130720000</v>
      </c>
      <c r="S542" s="5" t="s">
        <v>1073</v>
      </c>
      <c r="T542" s="4" t="s">
        <v>357</v>
      </c>
      <c r="U542" s="4" t="s">
        <v>393</v>
      </c>
      <c r="W542" s="6">
        <f>130719999</f>
        <v>130719999</v>
      </c>
      <c r="X542" s="4" t="s">
        <v>243</v>
      </c>
      <c r="Y542" s="4" t="s">
        <v>244</v>
      </c>
      <c r="Z542" s="4" t="s">
        <v>465</v>
      </c>
      <c r="AA542" s="4" t="s">
        <v>241</v>
      </c>
      <c r="AD542" s="4" t="s">
        <v>241</v>
      </c>
      <c r="AF542" s="5" t="s">
        <v>241</v>
      </c>
      <c r="AI542" s="5" t="s">
        <v>249</v>
      </c>
      <c r="AJ542" s="4" t="s">
        <v>251</v>
      </c>
      <c r="AK542" s="4" t="s">
        <v>252</v>
      </c>
      <c r="BA542" s="4" t="s">
        <v>254</v>
      </c>
      <c r="BB542" s="4" t="s">
        <v>241</v>
      </c>
      <c r="BC542" s="4" t="s">
        <v>255</v>
      </c>
      <c r="BD542" s="4" t="s">
        <v>241</v>
      </c>
      <c r="BE542" s="4" t="s">
        <v>257</v>
      </c>
      <c r="BF542" s="4" t="s">
        <v>241</v>
      </c>
      <c r="BJ542" s="4" t="s">
        <v>377</v>
      </c>
      <c r="BK542" s="5" t="s">
        <v>378</v>
      </c>
      <c r="BL542" s="4" t="s">
        <v>261</v>
      </c>
      <c r="BM542" s="4" t="s">
        <v>262</v>
      </c>
      <c r="BN542" s="4" t="s">
        <v>241</v>
      </c>
      <c r="BO542" s="6">
        <f>0</f>
        <v>0</v>
      </c>
      <c r="BP542" s="6">
        <f>0</f>
        <v>0</v>
      </c>
      <c r="BQ542" s="4" t="s">
        <v>263</v>
      </c>
      <c r="BR542" s="4" t="s">
        <v>264</v>
      </c>
      <c r="CF542" s="4" t="s">
        <v>241</v>
      </c>
      <c r="CG542" s="4" t="s">
        <v>241</v>
      </c>
      <c r="CK542" s="4" t="s">
        <v>265</v>
      </c>
      <c r="CL542" s="4" t="s">
        <v>266</v>
      </c>
      <c r="CM542" s="4" t="s">
        <v>241</v>
      </c>
      <c r="CO542" s="4" t="s">
        <v>392</v>
      </c>
      <c r="CP542" s="5" t="s">
        <v>268</v>
      </c>
      <c r="CQ542" s="4" t="s">
        <v>269</v>
      </c>
      <c r="CR542" s="4" t="s">
        <v>270</v>
      </c>
      <c r="CS542" s="4" t="s">
        <v>241</v>
      </c>
      <c r="CT542" s="4" t="s">
        <v>241</v>
      </c>
      <c r="CU542" s="4">
        <v>0</v>
      </c>
      <c r="CV542" s="4" t="s">
        <v>271</v>
      </c>
      <c r="CW542" s="4" t="s">
        <v>1006</v>
      </c>
      <c r="CX542" s="4" t="s">
        <v>487</v>
      </c>
      <c r="CZ542" s="6">
        <f>130720000</f>
        <v>130720000</v>
      </c>
      <c r="DA542" s="6">
        <f>0</f>
        <v>0</v>
      </c>
      <c r="DC542" s="4" t="s">
        <v>241</v>
      </c>
      <c r="DD542" s="4" t="s">
        <v>241</v>
      </c>
      <c r="DF542" s="4" t="s">
        <v>241</v>
      </c>
      <c r="DI542" s="4" t="s">
        <v>241</v>
      </c>
      <c r="DJ542" s="4" t="s">
        <v>241</v>
      </c>
      <c r="DK542" s="4" t="s">
        <v>241</v>
      </c>
      <c r="DL542" s="4" t="s">
        <v>241</v>
      </c>
      <c r="DM542" s="4" t="s">
        <v>323</v>
      </c>
      <c r="DN542" s="4" t="s">
        <v>278</v>
      </c>
      <c r="DO542" s="6">
        <f>1634</f>
        <v>1634</v>
      </c>
      <c r="DP542" s="4" t="s">
        <v>241</v>
      </c>
      <c r="DQ542" s="4" t="s">
        <v>241</v>
      </c>
      <c r="DR542" s="4" t="s">
        <v>241</v>
      </c>
      <c r="DS542" s="4" t="s">
        <v>241</v>
      </c>
      <c r="DV542" s="4" t="s">
        <v>688</v>
      </c>
      <c r="DW542" s="4" t="s">
        <v>323</v>
      </c>
      <c r="HO542" s="4" t="s">
        <v>277</v>
      </c>
      <c r="HR542" s="4" t="s">
        <v>278</v>
      </c>
      <c r="HS542" s="4" t="s">
        <v>278</v>
      </c>
    </row>
    <row r="543" spans="1:240" x14ac:dyDescent="0.4">
      <c r="A543" s="4">
        <v>2</v>
      </c>
      <c r="B543" s="4" t="s">
        <v>239</v>
      </c>
      <c r="C543" s="4">
        <v>574</v>
      </c>
      <c r="D543" s="4">
        <v>1</v>
      </c>
      <c r="E543" s="4">
        <v>1</v>
      </c>
      <c r="F543" s="4" t="s">
        <v>240</v>
      </c>
      <c r="G543" s="4" t="s">
        <v>241</v>
      </c>
      <c r="H543" s="4" t="s">
        <v>241</v>
      </c>
      <c r="I543" s="4" t="s">
        <v>685</v>
      </c>
      <c r="J543" s="4" t="s">
        <v>653</v>
      </c>
      <c r="K543" s="4" t="s">
        <v>256</v>
      </c>
      <c r="L543" s="4" t="s">
        <v>414</v>
      </c>
      <c r="M543" s="5" t="s">
        <v>687</v>
      </c>
      <c r="N543" s="4" t="s">
        <v>414</v>
      </c>
      <c r="O543" s="6">
        <f>150</f>
        <v>150</v>
      </c>
      <c r="P543" s="4" t="s">
        <v>276</v>
      </c>
      <c r="Q543" s="6">
        <f>1</f>
        <v>1</v>
      </c>
      <c r="R543" s="6">
        <f>19500000</f>
        <v>19500000</v>
      </c>
      <c r="S543" s="5" t="s">
        <v>686</v>
      </c>
      <c r="T543" s="4" t="s">
        <v>348</v>
      </c>
      <c r="U543" s="4" t="s">
        <v>393</v>
      </c>
      <c r="W543" s="6">
        <f>19499999</f>
        <v>19499999</v>
      </c>
      <c r="X543" s="4" t="s">
        <v>243</v>
      </c>
      <c r="Y543" s="4" t="s">
        <v>244</v>
      </c>
      <c r="Z543" s="4" t="s">
        <v>465</v>
      </c>
      <c r="AA543" s="4" t="s">
        <v>241</v>
      </c>
      <c r="AD543" s="4" t="s">
        <v>241</v>
      </c>
      <c r="AF543" s="5" t="s">
        <v>241</v>
      </c>
      <c r="AI543" s="5" t="s">
        <v>249</v>
      </c>
      <c r="AJ543" s="4" t="s">
        <v>251</v>
      </c>
      <c r="AK543" s="4" t="s">
        <v>252</v>
      </c>
      <c r="BA543" s="4" t="s">
        <v>254</v>
      </c>
      <c r="BB543" s="4" t="s">
        <v>241</v>
      </c>
      <c r="BC543" s="4" t="s">
        <v>255</v>
      </c>
      <c r="BD543" s="4" t="s">
        <v>241</v>
      </c>
      <c r="BE543" s="4" t="s">
        <v>257</v>
      </c>
      <c r="BF543" s="4" t="s">
        <v>241</v>
      </c>
      <c r="BJ543" s="4" t="s">
        <v>259</v>
      </c>
      <c r="BK543" s="5" t="s">
        <v>260</v>
      </c>
      <c r="BL543" s="4" t="s">
        <v>261</v>
      </c>
      <c r="BM543" s="4" t="s">
        <v>262</v>
      </c>
      <c r="BN543" s="4" t="s">
        <v>241</v>
      </c>
      <c r="BO543" s="6">
        <f>0</f>
        <v>0</v>
      </c>
      <c r="BP543" s="6">
        <f>0</f>
        <v>0</v>
      </c>
      <c r="BQ543" s="4" t="s">
        <v>263</v>
      </c>
      <c r="BR543" s="4" t="s">
        <v>264</v>
      </c>
      <c r="CF543" s="4" t="s">
        <v>241</v>
      </c>
      <c r="CG543" s="4" t="s">
        <v>241</v>
      </c>
      <c r="CK543" s="4" t="s">
        <v>265</v>
      </c>
      <c r="CL543" s="4" t="s">
        <v>266</v>
      </c>
      <c r="CM543" s="4" t="s">
        <v>241</v>
      </c>
      <c r="CO543" s="4" t="s">
        <v>392</v>
      </c>
      <c r="CP543" s="5" t="s">
        <v>268</v>
      </c>
      <c r="CQ543" s="4" t="s">
        <v>269</v>
      </c>
      <c r="CR543" s="4" t="s">
        <v>270</v>
      </c>
      <c r="CS543" s="4" t="s">
        <v>241</v>
      </c>
      <c r="CT543" s="4" t="s">
        <v>241</v>
      </c>
      <c r="CU543" s="4">
        <v>0</v>
      </c>
      <c r="CV543" s="4" t="s">
        <v>271</v>
      </c>
      <c r="CW543" s="4" t="s">
        <v>415</v>
      </c>
      <c r="CX543" s="4" t="s">
        <v>416</v>
      </c>
      <c r="CZ543" s="6">
        <f>19500000</f>
        <v>19500000</v>
      </c>
      <c r="DA543" s="6">
        <f>0</f>
        <v>0</v>
      </c>
      <c r="DC543" s="4" t="s">
        <v>241</v>
      </c>
      <c r="DD543" s="4" t="s">
        <v>241</v>
      </c>
      <c r="DF543" s="4" t="s">
        <v>241</v>
      </c>
      <c r="DI543" s="4" t="s">
        <v>241</v>
      </c>
      <c r="DJ543" s="4" t="s">
        <v>241</v>
      </c>
      <c r="DK543" s="4" t="s">
        <v>241</v>
      </c>
      <c r="DL543" s="4" t="s">
        <v>241</v>
      </c>
      <c r="DM543" s="4" t="s">
        <v>277</v>
      </c>
      <c r="DN543" s="4" t="s">
        <v>278</v>
      </c>
      <c r="DO543" s="6">
        <f>150</f>
        <v>150</v>
      </c>
      <c r="DP543" s="4" t="s">
        <v>241</v>
      </c>
      <c r="DQ543" s="4" t="s">
        <v>241</v>
      </c>
      <c r="DR543" s="4" t="s">
        <v>241</v>
      </c>
      <c r="DS543" s="4" t="s">
        <v>241</v>
      </c>
      <c r="DV543" s="4" t="s">
        <v>688</v>
      </c>
      <c r="DW543" s="4" t="s">
        <v>297</v>
      </c>
      <c r="HO543" s="4" t="s">
        <v>277</v>
      </c>
      <c r="HR543" s="4" t="s">
        <v>278</v>
      </c>
      <c r="HS543" s="4" t="s">
        <v>278</v>
      </c>
    </row>
    <row r="544" spans="1:240" x14ac:dyDescent="0.4">
      <c r="A544" s="4">
        <v>2</v>
      </c>
      <c r="B544" s="4" t="s">
        <v>239</v>
      </c>
      <c r="C544" s="4">
        <v>575</v>
      </c>
      <c r="D544" s="4">
        <v>1</v>
      </c>
      <c r="E544" s="4">
        <v>1</v>
      </c>
      <c r="F544" s="4" t="s">
        <v>240</v>
      </c>
      <c r="G544" s="4" t="s">
        <v>241</v>
      </c>
      <c r="H544" s="4" t="s">
        <v>241</v>
      </c>
      <c r="I544" s="4" t="s">
        <v>685</v>
      </c>
      <c r="J544" s="4" t="s">
        <v>653</v>
      </c>
      <c r="K544" s="4" t="s">
        <v>256</v>
      </c>
      <c r="L544" s="4" t="s">
        <v>1012</v>
      </c>
      <c r="M544" s="5" t="s">
        <v>687</v>
      </c>
      <c r="N544" s="4" t="s">
        <v>1012</v>
      </c>
      <c r="O544" s="6">
        <f>450</f>
        <v>450</v>
      </c>
      <c r="P544" s="4" t="s">
        <v>276</v>
      </c>
      <c r="Q544" s="6">
        <f>1</f>
        <v>1</v>
      </c>
      <c r="R544" s="6">
        <f>36000000</f>
        <v>36000000</v>
      </c>
      <c r="S544" s="5" t="s">
        <v>1072</v>
      </c>
      <c r="T544" s="4" t="s">
        <v>357</v>
      </c>
      <c r="U544" s="4" t="s">
        <v>669</v>
      </c>
      <c r="W544" s="6">
        <f>35999999</f>
        <v>35999999</v>
      </c>
      <c r="X544" s="4" t="s">
        <v>243</v>
      </c>
      <c r="Y544" s="4" t="s">
        <v>244</v>
      </c>
      <c r="Z544" s="4" t="s">
        <v>465</v>
      </c>
      <c r="AA544" s="4" t="s">
        <v>241</v>
      </c>
      <c r="AD544" s="4" t="s">
        <v>241</v>
      </c>
      <c r="AF544" s="5" t="s">
        <v>241</v>
      </c>
      <c r="AI544" s="5" t="s">
        <v>249</v>
      </c>
      <c r="AJ544" s="4" t="s">
        <v>251</v>
      </c>
      <c r="AK544" s="4" t="s">
        <v>252</v>
      </c>
      <c r="BA544" s="4" t="s">
        <v>254</v>
      </c>
      <c r="BB544" s="4" t="s">
        <v>241</v>
      </c>
      <c r="BC544" s="4" t="s">
        <v>255</v>
      </c>
      <c r="BD544" s="4" t="s">
        <v>241</v>
      </c>
      <c r="BE544" s="4" t="s">
        <v>257</v>
      </c>
      <c r="BF544" s="4" t="s">
        <v>241</v>
      </c>
      <c r="BJ544" s="4" t="s">
        <v>367</v>
      </c>
      <c r="BK544" s="5" t="s">
        <v>249</v>
      </c>
      <c r="BL544" s="4" t="s">
        <v>261</v>
      </c>
      <c r="BM544" s="4" t="s">
        <v>262</v>
      </c>
      <c r="BN544" s="4" t="s">
        <v>241</v>
      </c>
      <c r="BO544" s="6">
        <f>0</f>
        <v>0</v>
      </c>
      <c r="BP544" s="6">
        <f>0</f>
        <v>0</v>
      </c>
      <c r="BQ544" s="4" t="s">
        <v>263</v>
      </c>
      <c r="BR544" s="4" t="s">
        <v>264</v>
      </c>
      <c r="CF544" s="4" t="s">
        <v>241</v>
      </c>
      <c r="CG544" s="4" t="s">
        <v>241</v>
      </c>
      <c r="CK544" s="4" t="s">
        <v>265</v>
      </c>
      <c r="CL544" s="4" t="s">
        <v>266</v>
      </c>
      <c r="CM544" s="4" t="s">
        <v>241</v>
      </c>
      <c r="CO544" s="4" t="s">
        <v>841</v>
      </c>
      <c r="CP544" s="5" t="s">
        <v>268</v>
      </c>
      <c r="CQ544" s="4" t="s">
        <v>269</v>
      </c>
      <c r="CR544" s="4" t="s">
        <v>270</v>
      </c>
      <c r="CS544" s="4" t="s">
        <v>241</v>
      </c>
      <c r="CT544" s="4" t="s">
        <v>241</v>
      </c>
      <c r="CU544" s="4">
        <v>0</v>
      </c>
      <c r="CV544" s="4" t="s">
        <v>271</v>
      </c>
      <c r="CW544" s="4" t="s">
        <v>1006</v>
      </c>
      <c r="CX544" s="4" t="s">
        <v>487</v>
      </c>
      <c r="CZ544" s="6">
        <f>36000000</f>
        <v>36000000</v>
      </c>
      <c r="DA544" s="6">
        <f>0</f>
        <v>0</v>
      </c>
      <c r="DC544" s="4" t="s">
        <v>241</v>
      </c>
      <c r="DD544" s="4" t="s">
        <v>241</v>
      </c>
      <c r="DF544" s="4" t="s">
        <v>241</v>
      </c>
      <c r="DI544" s="4" t="s">
        <v>241</v>
      </c>
      <c r="DJ544" s="4" t="s">
        <v>241</v>
      </c>
      <c r="DK544" s="4" t="s">
        <v>241</v>
      </c>
      <c r="DL544" s="4" t="s">
        <v>241</v>
      </c>
      <c r="DM544" s="4" t="s">
        <v>277</v>
      </c>
      <c r="DN544" s="4" t="s">
        <v>278</v>
      </c>
      <c r="DO544" s="6">
        <f>450</f>
        <v>450</v>
      </c>
      <c r="DP544" s="4" t="s">
        <v>241</v>
      </c>
      <c r="DQ544" s="4" t="s">
        <v>241</v>
      </c>
      <c r="DR544" s="4" t="s">
        <v>241</v>
      </c>
      <c r="DS544" s="4" t="s">
        <v>241</v>
      </c>
      <c r="DV544" s="4" t="s">
        <v>688</v>
      </c>
      <c r="DW544" s="4" t="s">
        <v>336</v>
      </c>
      <c r="HO544" s="4" t="s">
        <v>277</v>
      </c>
      <c r="HR544" s="4" t="s">
        <v>278</v>
      </c>
      <c r="HS544" s="4" t="s">
        <v>278</v>
      </c>
    </row>
    <row r="545" spans="1:240" x14ac:dyDescent="0.4">
      <c r="A545" s="4">
        <v>2</v>
      </c>
      <c r="B545" s="4" t="s">
        <v>239</v>
      </c>
      <c r="C545" s="4">
        <v>576</v>
      </c>
      <c r="D545" s="4">
        <v>1</v>
      </c>
      <c r="E545" s="4">
        <v>1</v>
      </c>
      <c r="F545" s="4" t="s">
        <v>240</v>
      </c>
      <c r="G545" s="4" t="s">
        <v>241</v>
      </c>
      <c r="H545" s="4" t="s">
        <v>241</v>
      </c>
      <c r="I545" s="4" t="s">
        <v>685</v>
      </c>
      <c r="J545" s="4" t="s">
        <v>653</v>
      </c>
      <c r="K545" s="4" t="s">
        <v>256</v>
      </c>
      <c r="L545" s="4" t="s">
        <v>2529</v>
      </c>
      <c r="M545" s="5" t="s">
        <v>687</v>
      </c>
      <c r="N545" s="4" t="s">
        <v>2529</v>
      </c>
      <c r="O545" s="6">
        <f>71</f>
        <v>71</v>
      </c>
      <c r="P545" s="4" t="s">
        <v>276</v>
      </c>
      <c r="Q545" s="6">
        <f>1</f>
        <v>1</v>
      </c>
      <c r="R545" s="6">
        <f>4260000</f>
        <v>4260000</v>
      </c>
      <c r="S545" s="5" t="s">
        <v>2939</v>
      </c>
      <c r="T545" s="4" t="s">
        <v>348</v>
      </c>
      <c r="U545" s="4" t="s">
        <v>473</v>
      </c>
      <c r="W545" s="6">
        <f>4259999</f>
        <v>4259999</v>
      </c>
      <c r="X545" s="4" t="s">
        <v>243</v>
      </c>
      <c r="Y545" s="4" t="s">
        <v>244</v>
      </c>
      <c r="Z545" s="4" t="s">
        <v>465</v>
      </c>
      <c r="AA545" s="4" t="s">
        <v>241</v>
      </c>
      <c r="AD545" s="4" t="s">
        <v>241</v>
      </c>
      <c r="AF545" s="5" t="s">
        <v>241</v>
      </c>
      <c r="AI545" s="5" t="s">
        <v>249</v>
      </c>
      <c r="AJ545" s="4" t="s">
        <v>251</v>
      </c>
      <c r="AK545" s="4" t="s">
        <v>252</v>
      </c>
      <c r="BA545" s="4" t="s">
        <v>254</v>
      </c>
      <c r="BB545" s="4" t="s">
        <v>241</v>
      </c>
      <c r="BC545" s="4" t="s">
        <v>255</v>
      </c>
      <c r="BD545" s="4" t="s">
        <v>241</v>
      </c>
      <c r="BE545" s="4" t="s">
        <v>257</v>
      </c>
      <c r="BF545" s="4" t="s">
        <v>241</v>
      </c>
      <c r="BJ545" s="4" t="s">
        <v>367</v>
      </c>
      <c r="BK545" s="5" t="s">
        <v>249</v>
      </c>
      <c r="BL545" s="4" t="s">
        <v>261</v>
      </c>
      <c r="BM545" s="4" t="s">
        <v>262</v>
      </c>
      <c r="BN545" s="4" t="s">
        <v>241</v>
      </c>
      <c r="BO545" s="6">
        <f>0</f>
        <v>0</v>
      </c>
      <c r="BP545" s="6">
        <f>0</f>
        <v>0</v>
      </c>
      <c r="BQ545" s="4" t="s">
        <v>263</v>
      </c>
      <c r="BR545" s="4" t="s">
        <v>264</v>
      </c>
      <c r="CF545" s="4" t="s">
        <v>241</v>
      </c>
      <c r="CG545" s="4" t="s">
        <v>241</v>
      </c>
      <c r="CK545" s="4" t="s">
        <v>265</v>
      </c>
      <c r="CL545" s="4" t="s">
        <v>266</v>
      </c>
      <c r="CM545" s="4" t="s">
        <v>241</v>
      </c>
      <c r="CO545" s="4" t="s">
        <v>710</v>
      </c>
      <c r="CP545" s="5" t="s">
        <v>268</v>
      </c>
      <c r="CQ545" s="4" t="s">
        <v>269</v>
      </c>
      <c r="CR545" s="4" t="s">
        <v>270</v>
      </c>
      <c r="CS545" s="4" t="s">
        <v>241</v>
      </c>
      <c r="CT545" s="4" t="s">
        <v>241</v>
      </c>
      <c r="CU545" s="4">
        <v>0</v>
      </c>
      <c r="CV545" s="4" t="s">
        <v>271</v>
      </c>
      <c r="CW545" s="4" t="s">
        <v>415</v>
      </c>
      <c r="CX545" s="4" t="s">
        <v>416</v>
      </c>
      <c r="CZ545" s="6">
        <f>4260000</f>
        <v>4260000</v>
      </c>
      <c r="DA545" s="6">
        <f>0</f>
        <v>0</v>
      </c>
      <c r="DC545" s="4" t="s">
        <v>241</v>
      </c>
      <c r="DD545" s="4" t="s">
        <v>241</v>
      </c>
      <c r="DF545" s="4" t="s">
        <v>241</v>
      </c>
      <c r="DI545" s="4" t="s">
        <v>241</v>
      </c>
      <c r="DJ545" s="4" t="s">
        <v>241</v>
      </c>
      <c r="DK545" s="4" t="s">
        <v>241</v>
      </c>
      <c r="DL545" s="4" t="s">
        <v>241</v>
      </c>
      <c r="DM545" s="4" t="s">
        <v>277</v>
      </c>
      <c r="DN545" s="4" t="s">
        <v>278</v>
      </c>
      <c r="DO545" s="6">
        <f>71</f>
        <v>71</v>
      </c>
      <c r="DP545" s="4" t="s">
        <v>241</v>
      </c>
      <c r="DQ545" s="4" t="s">
        <v>241</v>
      </c>
      <c r="DR545" s="4" t="s">
        <v>241</v>
      </c>
      <c r="DS545" s="4" t="s">
        <v>241</v>
      </c>
      <c r="DV545" s="4" t="s">
        <v>688</v>
      </c>
      <c r="DW545" s="4" t="s">
        <v>351</v>
      </c>
      <c r="HO545" s="4" t="s">
        <v>277</v>
      </c>
      <c r="HR545" s="4" t="s">
        <v>278</v>
      </c>
      <c r="HS545" s="4" t="s">
        <v>278</v>
      </c>
    </row>
    <row r="546" spans="1:240" x14ac:dyDescent="0.4">
      <c r="A546" s="4">
        <v>2</v>
      </c>
      <c r="B546" s="4" t="s">
        <v>239</v>
      </c>
      <c r="C546" s="4">
        <v>577</v>
      </c>
      <c r="D546" s="4">
        <v>1</v>
      </c>
      <c r="E546" s="4">
        <v>1</v>
      </c>
      <c r="F546" s="4" t="s">
        <v>240</v>
      </c>
      <c r="G546" s="4" t="s">
        <v>241</v>
      </c>
      <c r="H546" s="4" t="s">
        <v>241</v>
      </c>
      <c r="I546" s="4" t="s">
        <v>685</v>
      </c>
      <c r="J546" s="4" t="s">
        <v>653</v>
      </c>
      <c r="K546" s="4" t="s">
        <v>256</v>
      </c>
      <c r="L546" s="4" t="s">
        <v>3018</v>
      </c>
      <c r="M546" s="5" t="s">
        <v>687</v>
      </c>
      <c r="N546" s="4" t="s">
        <v>3018</v>
      </c>
      <c r="O546" s="6">
        <f>124</f>
        <v>124</v>
      </c>
      <c r="P546" s="4" t="s">
        <v>276</v>
      </c>
      <c r="Q546" s="6">
        <f>1</f>
        <v>1</v>
      </c>
      <c r="R546" s="6">
        <f>9920000</f>
        <v>9920000</v>
      </c>
      <c r="S546" s="5" t="s">
        <v>1045</v>
      </c>
      <c r="T546" s="4" t="s">
        <v>441</v>
      </c>
      <c r="U546" s="4" t="s">
        <v>441</v>
      </c>
      <c r="W546" s="6">
        <f>9919999</f>
        <v>9919999</v>
      </c>
      <c r="X546" s="4" t="s">
        <v>243</v>
      </c>
      <c r="Y546" s="4" t="s">
        <v>244</v>
      </c>
      <c r="Z546" s="4" t="s">
        <v>465</v>
      </c>
      <c r="AA546" s="4" t="s">
        <v>241</v>
      </c>
      <c r="AD546" s="4" t="s">
        <v>241</v>
      </c>
      <c r="AF546" s="5" t="s">
        <v>241</v>
      </c>
      <c r="AI546" s="5" t="s">
        <v>249</v>
      </c>
      <c r="AJ546" s="4" t="s">
        <v>251</v>
      </c>
      <c r="AK546" s="4" t="s">
        <v>252</v>
      </c>
      <c r="BA546" s="4" t="s">
        <v>254</v>
      </c>
      <c r="BB546" s="4" t="s">
        <v>241</v>
      </c>
      <c r="BC546" s="4" t="s">
        <v>255</v>
      </c>
      <c r="BD546" s="4" t="s">
        <v>241</v>
      </c>
      <c r="BE546" s="4" t="s">
        <v>257</v>
      </c>
      <c r="BF546" s="4" t="s">
        <v>241</v>
      </c>
      <c r="BJ546" s="4" t="s">
        <v>367</v>
      </c>
      <c r="BK546" s="5" t="s">
        <v>249</v>
      </c>
      <c r="BL546" s="4" t="s">
        <v>261</v>
      </c>
      <c r="BM546" s="4" t="s">
        <v>262</v>
      </c>
      <c r="BN546" s="4" t="s">
        <v>241</v>
      </c>
      <c r="BO546" s="6">
        <f>0</f>
        <v>0</v>
      </c>
      <c r="BP546" s="6">
        <f>0</f>
        <v>0</v>
      </c>
      <c r="BQ546" s="4" t="s">
        <v>263</v>
      </c>
      <c r="BR546" s="4" t="s">
        <v>264</v>
      </c>
      <c r="CF546" s="4" t="s">
        <v>241</v>
      </c>
      <c r="CG546" s="4" t="s">
        <v>241</v>
      </c>
      <c r="CK546" s="4" t="s">
        <v>265</v>
      </c>
      <c r="CL546" s="4" t="s">
        <v>266</v>
      </c>
      <c r="CM546" s="4" t="s">
        <v>241</v>
      </c>
      <c r="CO546" s="4" t="s">
        <v>724</v>
      </c>
      <c r="CP546" s="5" t="s">
        <v>268</v>
      </c>
      <c r="CQ546" s="4" t="s">
        <v>269</v>
      </c>
      <c r="CR546" s="4" t="s">
        <v>270</v>
      </c>
      <c r="CS546" s="4" t="s">
        <v>241</v>
      </c>
      <c r="CT546" s="4" t="s">
        <v>241</v>
      </c>
      <c r="CU546" s="4">
        <v>0</v>
      </c>
      <c r="CV546" s="4" t="s">
        <v>271</v>
      </c>
      <c r="CW546" s="4" t="s">
        <v>272</v>
      </c>
      <c r="CX546" s="4" t="s">
        <v>487</v>
      </c>
      <c r="CZ546" s="6">
        <f>9920000</f>
        <v>9920000</v>
      </c>
      <c r="DA546" s="6">
        <f>0</f>
        <v>0</v>
      </c>
      <c r="DC546" s="4" t="s">
        <v>241</v>
      </c>
      <c r="DD546" s="4" t="s">
        <v>241</v>
      </c>
      <c r="DF546" s="4" t="s">
        <v>241</v>
      </c>
      <c r="DI546" s="4" t="s">
        <v>241</v>
      </c>
      <c r="DJ546" s="4" t="s">
        <v>241</v>
      </c>
      <c r="DK546" s="4" t="s">
        <v>241</v>
      </c>
      <c r="DL546" s="4" t="s">
        <v>241</v>
      </c>
      <c r="DM546" s="4" t="s">
        <v>277</v>
      </c>
      <c r="DN546" s="4" t="s">
        <v>278</v>
      </c>
      <c r="DO546" s="6">
        <f>124</f>
        <v>124</v>
      </c>
      <c r="DP546" s="4" t="s">
        <v>241</v>
      </c>
      <c r="DQ546" s="4" t="s">
        <v>241</v>
      </c>
      <c r="DR546" s="4" t="s">
        <v>241</v>
      </c>
      <c r="DS546" s="4" t="s">
        <v>241</v>
      </c>
      <c r="DV546" s="4" t="s">
        <v>688</v>
      </c>
      <c r="DW546" s="4" t="s">
        <v>300</v>
      </c>
      <c r="HO546" s="4" t="s">
        <v>277</v>
      </c>
      <c r="HR546" s="4" t="s">
        <v>278</v>
      </c>
      <c r="HS546" s="4" t="s">
        <v>278</v>
      </c>
    </row>
    <row r="547" spans="1:240" x14ac:dyDescent="0.4">
      <c r="A547" s="4">
        <v>2</v>
      </c>
      <c r="B547" s="4" t="s">
        <v>239</v>
      </c>
      <c r="C547" s="4">
        <v>578</v>
      </c>
      <c r="D547" s="4">
        <v>1</v>
      </c>
      <c r="E547" s="4">
        <v>3</v>
      </c>
      <c r="F547" s="4" t="s">
        <v>326</v>
      </c>
      <c r="G547" s="4" t="s">
        <v>241</v>
      </c>
      <c r="H547" s="4" t="s">
        <v>241</v>
      </c>
      <c r="I547" s="4" t="s">
        <v>685</v>
      </c>
      <c r="J547" s="4" t="s">
        <v>653</v>
      </c>
      <c r="K547" s="4" t="s">
        <v>256</v>
      </c>
      <c r="L547" s="4" t="s">
        <v>2778</v>
      </c>
      <c r="M547" s="5" t="s">
        <v>687</v>
      </c>
      <c r="N547" s="4" t="s">
        <v>2777</v>
      </c>
      <c r="O547" s="6">
        <f>0</f>
        <v>0</v>
      </c>
      <c r="P547" s="4" t="s">
        <v>276</v>
      </c>
      <c r="Q547" s="6">
        <f>695048</f>
        <v>695048</v>
      </c>
      <c r="R547" s="6">
        <f>1004400</f>
        <v>1004400</v>
      </c>
      <c r="S547" s="5" t="s">
        <v>443</v>
      </c>
      <c r="T547" s="4" t="s">
        <v>322</v>
      </c>
      <c r="U547" s="4" t="s">
        <v>297</v>
      </c>
      <c r="V547" s="6">
        <f>77338</f>
        <v>77338</v>
      </c>
      <c r="W547" s="6">
        <f>309352</f>
        <v>309352</v>
      </c>
      <c r="X547" s="4" t="s">
        <v>243</v>
      </c>
      <c r="Y547" s="4" t="s">
        <v>244</v>
      </c>
      <c r="Z547" s="4" t="s">
        <v>465</v>
      </c>
      <c r="AA547" s="4" t="s">
        <v>241</v>
      </c>
      <c r="AD547" s="4" t="s">
        <v>241</v>
      </c>
      <c r="AE547" s="5" t="s">
        <v>241</v>
      </c>
      <c r="AF547" s="5" t="s">
        <v>241</v>
      </c>
      <c r="AH547" s="5" t="s">
        <v>241</v>
      </c>
      <c r="AI547" s="5" t="s">
        <v>249</v>
      </c>
      <c r="AJ547" s="4" t="s">
        <v>251</v>
      </c>
      <c r="AK547" s="4" t="s">
        <v>252</v>
      </c>
      <c r="AQ547" s="4" t="s">
        <v>241</v>
      </c>
      <c r="AR547" s="4" t="s">
        <v>241</v>
      </c>
      <c r="AS547" s="4" t="s">
        <v>241</v>
      </c>
      <c r="AT547" s="5" t="s">
        <v>241</v>
      </c>
      <c r="AU547" s="5" t="s">
        <v>241</v>
      </c>
      <c r="AV547" s="5" t="s">
        <v>241</v>
      </c>
      <c r="AY547" s="4" t="s">
        <v>286</v>
      </c>
      <c r="AZ547" s="4" t="s">
        <v>286</v>
      </c>
      <c r="BA547" s="4" t="s">
        <v>254</v>
      </c>
      <c r="BB547" s="4" t="s">
        <v>287</v>
      </c>
      <c r="BC547" s="4" t="s">
        <v>255</v>
      </c>
      <c r="BD547" s="4" t="s">
        <v>241</v>
      </c>
      <c r="BE547" s="4" t="s">
        <v>257</v>
      </c>
      <c r="BF547" s="4" t="s">
        <v>241</v>
      </c>
      <c r="BJ547" s="4" t="s">
        <v>288</v>
      </c>
      <c r="BK547" s="5" t="s">
        <v>289</v>
      </c>
      <c r="BL547" s="4" t="s">
        <v>290</v>
      </c>
      <c r="BM547" s="4" t="s">
        <v>290</v>
      </c>
      <c r="BN547" s="4" t="s">
        <v>241</v>
      </c>
      <c r="BP547" s="6">
        <f>-77338</f>
        <v>-77338</v>
      </c>
      <c r="BQ547" s="4" t="s">
        <v>263</v>
      </c>
      <c r="BR547" s="4" t="s">
        <v>264</v>
      </c>
      <c r="BS547" s="4" t="s">
        <v>241</v>
      </c>
      <c r="BT547" s="4" t="s">
        <v>241</v>
      </c>
      <c r="BU547" s="4" t="s">
        <v>241</v>
      </c>
      <c r="BV547" s="4" t="s">
        <v>241</v>
      </c>
      <c r="CE547" s="4" t="s">
        <v>264</v>
      </c>
      <c r="CF547" s="4" t="s">
        <v>241</v>
      </c>
      <c r="CG547" s="4" t="s">
        <v>241</v>
      </c>
      <c r="CK547" s="4" t="s">
        <v>291</v>
      </c>
      <c r="CL547" s="4" t="s">
        <v>266</v>
      </c>
      <c r="CM547" s="4" t="s">
        <v>241</v>
      </c>
      <c r="CO547" s="4" t="s">
        <v>413</v>
      </c>
      <c r="CP547" s="5" t="s">
        <v>268</v>
      </c>
      <c r="CQ547" s="4" t="s">
        <v>269</v>
      </c>
      <c r="CR547" s="4" t="s">
        <v>270</v>
      </c>
      <c r="CS547" s="4" t="s">
        <v>293</v>
      </c>
      <c r="CT547" s="4" t="s">
        <v>241</v>
      </c>
      <c r="CU547" s="4">
        <v>7.6999999999999999E-2</v>
      </c>
      <c r="CV547" s="4" t="s">
        <v>271</v>
      </c>
      <c r="CW547" s="4" t="s">
        <v>415</v>
      </c>
      <c r="CX547" s="4" t="s">
        <v>2779</v>
      </c>
      <c r="CY547" s="6">
        <f>0</f>
        <v>0</v>
      </c>
      <c r="CZ547" s="6">
        <f>1004400</f>
        <v>1004400</v>
      </c>
      <c r="DA547" s="6">
        <f>695048</f>
        <v>695048</v>
      </c>
      <c r="DC547" s="4" t="s">
        <v>241</v>
      </c>
      <c r="DD547" s="4" t="s">
        <v>241</v>
      </c>
      <c r="DF547" s="4" t="s">
        <v>241</v>
      </c>
      <c r="DG547" s="6">
        <f>0</f>
        <v>0</v>
      </c>
      <c r="DI547" s="4" t="s">
        <v>241</v>
      </c>
      <c r="DJ547" s="4" t="s">
        <v>241</v>
      </c>
      <c r="DK547" s="4" t="s">
        <v>241</v>
      </c>
      <c r="DL547" s="4" t="s">
        <v>241</v>
      </c>
      <c r="DM547" s="4" t="s">
        <v>278</v>
      </c>
      <c r="DN547" s="4" t="s">
        <v>278</v>
      </c>
      <c r="DO547" s="6" t="s">
        <v>241</v>
      </c>
      <c r="DP547" s="4" t="s">
        <v>241</v>
      </c>
      <c r="DQ547" s="4" t="s">
        <v>241</v>
      </c>
      <c r="DR547" s="4" t="s">
        <v>241</v>
      </c>
      <c r="DS547" s="4" t="s">
        <v>241</v>
      </c>
      <c r="DV547" s="4" t="s">
        <v>688</v>
      </c>
      <c r="DW547" s="4" t="s">
        <v>341</v>
      </c>
      <c r="GN547" s="4" t="s">
        <v>2780</v>
      </c>
      <c r="HO547" s="4" t="s">
        <v>351</v>
      </c>
      <c r="HR547" s="4" t="s">
        <v>278</v>
      </c>
      <c r="HS547" s="4" t="s">
        <v>278</v>
      </c>
      <c r="HT547" s="4" t="s">
        <v>241</v>
      </c>
      <c r="HU547" s="4" t="s">
        <v>241</v>
      </c>
      <c r="HV547" s="4" t="s">
        <v>241</v>
      </c>
      <c r="HW547" s="4" t="s">
        <v>241</v>
      </c>
      <c r="HX547" s="4" t="s">
        <v>241</v>
      </c>
      <c r="HY547" s="4" t="s">
        <v>241</v>
      </c>
      <c r="HZ547" s="4" t="s">
        <v>241</v>
      </c>
      <c r="IA547" s="4" t="s">
        <v>241</v>
      </c>
      <c r="IB547" s="4" t="s">
        <v>241</v>
      </c>
      <c r="IC547" s="4" t="s">
        <v>241</v>
      </c>
      <c r="ID547" s="4" t="s">
        <v>241</v>
      </c>
      <c r="IE547" s="4" t="s">
        <v>241</v>
      </c>
      <c r="IF547" s="4" t="s">
        <v>241</v>
      </c>
    </row>
    <row r="548" spans="1:240" x14ac:dyDescent="0.4">
      <c r="A548" s="4">
        <v>2</v>
      </c>
      <c r="B548" s="4" t="s">
        <v>239</v>
      </c>
      <c r="C548" s="4">
        <v>579</v>
      </c>
      <c r="D548" s="4">
        <v>1</v>
      </c>
      <c r="E548" s="4">
        <v>3</v>
      </c>
      <c r="F548" s="4" t="s">
        <v>326</v>
      </c>
      <c r="G548" s="4" t="s">
        <v>241</v>
      </c>
      <c r="H548" s="4" t="s">
        <v>241</v>
      </c>
      <c r="I548" s="4" t="s">
        <v>685</v>
      </c>
      <c r="J548" s="4" t="s">
        <v>653</v>
      </c>
      <c r="K548" s="4" t="s">
        <v>256</v>
      </c>
      <c r="L548" s="4" t="s">
        <v>241</v>
      </c>
      <c r="M548" s="5" t="s">
        <v>687</v>
      </c>
      <c r="N548" s="4" t="s">
        <v>2775</v>
      </c>
      <c r="O548" s="6">
        <f>0</f>
        <v>0</v>
      </c>
      <c r="P548" s="4" t="s">
        <v>276</v>
      </c>
      <c r="Q548" s="6">
        <f>543642</f>
        <v>543642</v>
      </c>
      <c r="R548" s="6">
        <f>680400</f>
        <v>680400</v>
      </c>
      <c r="S548" s="5" t="s">
        <v>450</v>
      </c>
      <c r="T548" s="4" t="s">
        <v>348</v>
      </c>
      <c r="U548" s="4" t="s">
        <v>323</v>
      </c>
      <c r="V548" s="6">
        <f>45586</f>
        <v>45586</v>
      </c>
      <c r="W548" s="6">
        <f>136758</f>
        <v>136758</v>
      </c>
      <c r="X548" s="4" t="s">
        <v>243</v>
      </c>
      <c r="Y548" s="4" t="s">
        <v>244</v>
      </c>
      <c r="Z548" s="4" t="s">
        <v>241</v>
      </c>
      <c r="AA548" s="4" t="s">
        <v>241</v>
      </c>
      <c r="AD548" s="4" t="s">
        <v>241</v>
      </c>
      <c r="AE548" s="5" t="s">
        <v>241</v>
      </c>
      <c r="AF548" s="5" t="s">
        <v>241</v>
      </c>
      <c r="AH548" s="5" t="s">
        <v>241</v>
      </c>
      <c r="AI548" s="5" t="s">
        <v>249</v>
      </c>
      <c r="AJ548" s="4" t="s">
        <v>251</v>
      </c>
      <c r="AK548" s="4" t="s">
        <v>252</v>
      </c>
      <c r="AQ548" s="4" t="s">
        <v>241</v>
      </c>
      <c r="AR548" s="4" t="s">
        <v>241</v>
      </c>
      <c r="AS548" s="4" t="s">
        <v>241</v>
      </c>
      <c r="AT548" s="5" t="s">
        <v>241</v>
      </c>
      <c r="AU548" s="5" t="s">
        <v>241</v>
      </c>
      <c r="AV548" s="5" t="s">
        <v>241</v>
      </c>
      <c r="AY548" s="4" t="s">
        <v>286</v>
      </c>
      <c r="AZ548" s="4" t="s">
        <v>286</v>
      </c>
      <c r="BA548" s="4" t="s">
        <v>254</v>
      </c>
      <c r="BB548" s="4" t="s">
        <v>287</v>
      </c>
      <c r="BC548" s="4" t="s">
        <v>255</v>
      </c>
      <c r="BD548" s="4" t="s">
        <v>241</v>
      </c>
      <c r="BE548" s="4" t="s">
        <v>257</v>
      </c>
      <c r="BF548" s="4" t="s">
        <v>241</v>
      </c>
      <c r="BJ548" s="4" t="s">
        <v>288</v>
      </c>
      <c r="BK548" s="5" t="s">
        <v>289</v>
      </c>
      <c r="BL548" s="4" t="s">
        <v>290</v>
      </c>
      <c r="BM548" s="4" t="s">
        <v>290</v>
      </c>
      <c r="BN548" s="4" t="s">
        <v>241</v>
      </c>
      <c r="BP548" s="6">
        <f>-45586</f>
        <v>-45586</v>
      </c>
      <c r="BQ548" s="4" t="s">
        <v>263</v>
      </c>
      <c r="BR548" s="4" t="s">
        <v>264</v>
      </c>
      <c r="BS548" s="4" t="s">
        <v>241</v>
      </c>
      <c r="BT548" s="4" t="s">
        <v>241</v>
      </c>
      <c r="BU548" s="4" t="s">
        <v>241</v>
      </c>
      <c r="BV548" s="4" t="s">
        <v>241</v>
      </c>
      <c r="CE548" s="4" t="s">
        <v>264</v>
      </c>
      <c r="CF548" s="4" t="s">
        <v>241</v>
      </c>
      <c r="CG548" s="4" t="s">
        <v>241</v>
      </c>
      <c r="CK548" s="4" t="s">
        <v>291</v>
      </c>
      <c r="CL548" s="4" t="s">
        <v>266</v>
      </c>
      <c r="CM548" s="4" t="s">
        <v>241</v>
      </c>
      <c r="CO548" s="4" t="s">
        <v>421</v>
      </c>
      <c r="CP548" s="5" t="s">
        <v>268</v>
      </c>
      <c r="CQ548" s="4" t="s">
        <v>269</v>
      </c>
      <c r="CR548" s="4" t="s">
        <v>270</v>
      </c>
      <c r="CS548" s="4" t="s">
        <v>293</v>
      </c>
      <c r="CT548" s="4" t="s">
        <v>241</v>
      </c>
      <c r="CU548" s="4">
        <v>6.7000000000000004E-2</v>
      </c>
      <c r="CV548" s="4" t="s">
        <v>271</v>
      </c>
      <c r="CW548" s="4" t="s">
        <v>415</v>
      </c>
      <c r="CX548" s="4" t="s">
        <v>422</v>
      </c>
      <c r="CY548" s="6">
        <f>0</f>
        <v>0</v>
      </c>
      <c r="CZ548" s="6">
        <f>680400</f>
        <v>680400</v>
      </c>
      <c r="DA548" s="6">
        <f>543642</f>
        <v>543642</v>
      </c>
      <c r="DC548" s="4" t="s">
        <v>241</v>
      </c>
      <c r="DD548" s="4" t="s">
        <v>241</v>
      </c>
      <c r="DF548" s="4" t="s">
        <v>241</v>
      </c>
      <c r="DG548" s="6">
        <f>0</f>
        <v>0</v>
      </c>
      <c r="DI548" s="4" t="s">
        <v>241</v>
      </c>
      <c r="DJ548" s="4" t="s">
        <v>241</v>
      </c>
      <c r="DK548" s="4" t="s">
        <v>241</v>
      </c>
      <c r="DL548" s="4" t="s">
        <v>241</v>
      </c>
      <c r="DM548" s="4" t="s">
        <v>278</v>
      </c>
      <c r="DN548" s="4" t="s">
        <v>278</v>
      </c>
      <c r="DO548" s="6" t="s">
        <v>241</v>
      </c>
      <c r="DP548" s="4" t="s">
        <v>241</v>
      </c>
      <c r="DQ548" s="4" t="s">
        <v>241</v>
      </c>
      <c r="DR548" s="4" t="s">
        <v>241</v>
      </c>
      <c r="DS548" s="4" t="s">
        <v>241</v>
      </c>
      <c r="DV548" s="4" t="s">
        <v>688</v>
      </c>
      <c r="DW548" s="4" t="s">
        <v>343</v>
      </c>
      <c r="GN548" s="4" t="s">
        <v>2776</v>
      </c>
      <c r="HO548" s="4" t="s">
        <v>336</v>
      </c>
      <c r="HR548" s="4" t="s">
        <v>278</v>
      </c>
      <c r="HS548" s="4" t="s">
        <v>278</v>
      </c>
      <c r="HT548" s="4" t="s">
        <v>241</v>
      </c>
      <c r="HU548" s="4" t="s">
        <v>241</v>
      </c>
      <c r="HV548" s="4" t="s">
        <v>241</v>
      </c>
      <c r="HW548" s="4" t="s">
        <v>241</v>
      </c>
      <c r="HX548" s="4" t="s">
        <v>241</v>
      </c>
      <c r="HY548" s="4" t="s">
        <v>241</v>
      </c>
      <c r="HZ548" s="4" t="s">
        <v>241</v>
      </c>
      <c r="IA548" s="4" t="s">
        <v>241</v>
      </c>
      <c r="IB548" s="4" t="s">
        <v>241</v>
      </c>
      <c r="IC548" s="4" t="s">
        <v>241</v>
      </c>
      <c r="ID548" s="4" t="s">
        <v>241</v>
      </c>
      <c r="IE548" s="4" t="s">
        <v>241</v>
      </c>
      <c r="IF548" s="4" t="s">
        <v>241</v>
      </c>
    </row>
    <row r="549" spans="1:240" x14ac:dyDescent="0.4">
      <c r="A549" s="4">
        <v>2</v>
      </c>
      <c r="B549" s="4" t="s">
        <v>239</v>
      </c>
      <c r="C549" s="4">
        <v>580</v>
      </c>
      <c r="D549" s="4">
        <v>1</v>
      </c>
      <c r="E549" s="4">
        <v>3</v>
      </c>
      <c r="F549" s="4" t="s">
        <v>326</v>
      </c>
      <c r="G549" s="4" t="s">
        <v>241</v>
      </c>
      <c r="H549" s="4" t="s">
        <v>241</v>
      </c>
      <c r="I549" s="4" t="s">
        <v>685</v>
      </c>
      <c r="J549" s="4" t="s">
        <v>653</v>
      </c>
      <c r="K549" s="4" t="s">
        <v>256</v>
      </c>
      <c r="L549" s="4" t="s">
        <v>241</v>
      </c>
      <c r="M549" s="5" t="s">
        <v>687</v>
      </c>
      <c r="N549" s="4" t="s">
        <v>2747</v>
      </c>
      <c r="O549" s="6">
        <f>0</f>
        <v>0</v>
      </c>
      <c r="P549" s="4" t="s">
        <v>276</v>
      </c>
      <c r="Q549" s="6">
        <f>43297372</f>
        <v>43297372</v>
      </c>
      <c r="R549" s="6">
        <f>51178926</f>
        <v>51178926</v>
      </c>
      <c r="S549" s="5" t="s">
        <v>1104</v>
      </c>
      <c r="T549" s="4" t="s">
        <v>322</v>
      </c>
      <c r="U549" s="4" t="s">
        <v>277</v>
      </c>
      <c r="V549" s="6">
        <f>3940777</f>
        <v>3940777</v>
      </c>
      <c r="W549" s="6">
        <f>7881554</f>
        <v>7881554</v>
      </c>
      <c r="X549" s="4" t="s">
        <v>243</v>
      </c>
      <c r="Y549" s="4" t="s">
        <v>244</v>
      </c>
      <c r="Z549" s="4" t="s">
        <v>241</v>
      </c>
      <c r="AA549" s="4" t="s">
        <v>241</v>
      </c>
      <c r="AD549" s="4" t="s">
        <v>241</v>
      </c>
      <c r="AE549" s="5" t="s">
        <v>241</v>
      </c>
      <c r="AF549" s="5" t="s">
        <v>241</v>
      </c>
      <c r="AH549" s="5" t="s">
        <v>241</v>
      </c>
      <c r="AI549" s="5" t="s">
        <v>249</v>
      </c>
      <c r="AJ549" s="4" t="s">
        <v>251</v>
      </c>
      <c r="AK549" s="4" t="s">
        <v>252</v>
      </c>
      <c r="AQ549" s="4" t="s">
        <v>241</v>
      </c>
      <c r="AR549" s="4" t="s">
        <v>241</v>
      </c>
      <c r="AS549" s="4" t="s">
        <v>241</v>
      </c>
      <c r="AT549" s="5" t="s">
        <v>241</v>
      </c>
      <c r="AU549" s="5" t="s">
        <v>241</v>
      </c>
      <c r="AV549" s="5" t="s">
        <v>241</v>
      </c>
      <c r="AY549" s="4" t="s">
        <v>286</v>
      </c>
      <c r="AZ549" s="4" t="s">
        <v>286</v>
      </c>
      <c r="BA549" s="4" t="s">
        <v>254</v>
      </c>
      <c r="BB549" s="4" t="s">
        <v>287</v>
      </c>
      <c r="BC549" s="4" t="s">
        <v>255</v>
      </c>
      <c r="BD549" s="4" t="s">
        <v>241</v>
      </c>
      <c r="BE549" s="4" t="s">
        <v>257</v>
      </c>
      <c r="BF549" s="4" t="s">
        <v>241</v>
      </c>
      <c r="BJ549" s="4" t="s">
        <v>288</v>
      </c>
      <c r="BK549" s="5" t="s">
        <v>289</v>
      </c>
      <c r="BL549" s="4" t="s">
        <v>290</v>
      </c>
      <c r="BM549" s="4" t="s">
        <v>290</v>
      </c>
      <c r="BN549" s="4" t="s">
        <v>241</v>
      </c>
      <c r="BP549" s="6">
        <f>-3940777</f>
        <v>-3940777</v>
      </c>
      <c r="BQ549" s="4" t="s">
        <v>263</v>
      </c>
      <c r="BR549" s="4" t="s">
        <v>264</v>
      </c>
      <c r="BS549" s="4" t="s">
        <v>241</v>
      </c>
      <c r="BT549" s="4" t="s">
        <v>241</v>
      </c>
      <c r="BU549" s="4" t="s">
        <v>241</v>
      </c>
      <c r="BV549" s="4" t="s">
        <v>241</v>
      </c>
      <c r="CE549" s="4" t="s">
        <v>264</v>
      </c>
      <c r="CF549" s="4" t="s">
        <v>241</v>
      </c>
      <c r="CG549" s="4" t="s">
        <v>241</v>
      </c>
      <c r="CK549" s="4" t="s">
        <v>291</v>
      </c>
      <c r="CL549" s="4" t="s">
        <v>266</v>
      </c>
      <c r="CM549" s="4" t="s">
        <v>241</v>
      </c>
      <c r="CO549" s="4" t="s">
        <v>331</v>
      </c>
      <c r="CP549" s="5" t="s">
        <v>268</v>
      </c>
      <c r="CQ549" s="4" t="s">
        <v>269</v>
      </c>
      <c r="CR549" s="4" t="s">
        <v>270</v>
      </c>
      <c r="CS549" s="4" t="s">
        <v>293</v>
      </c>
      <c r="CT549" s="4" t="s">
        <v>241</v>
      </c>
      <c r="CU549" s="4">
        <v>7.6999999999999999E-2</v>
      </c>
      <c r="CV549" s="4" t="s">
        <v>271</v>
      </c>
      <c r="CW549" s="4" t="s">
        <v>415</v>
      </c>
      <c r="CX549" s="4" t="s">
        <v>428</v>
      </c>
      <c r="CY549" s="6">
        <f>0</f>
        <v>0</v>
      </c>
      <c r="CZ549" s="6">
        <f>51178926</f>
        <v>51178926</v>
      </c>
      <c r="DA549" s="6">
        <f>43297372</f>
        <v>43297372</v>
      </c>
      <c r="DC549" s="4" t="s">
        <v>241</v>
      </c>
      <c r="DD549" s="4" t="s">
        <v>241</v>
      </c>
      <c r="DF549" s="4" t="s">
        <v>241</v>
      </c>
      <c r="DG549" s="6">
        <f>0</f>
        <v>0</v>
      </c>
      <c r="DI549" s="4" t="s">
        <v>241</v>
      </c>
      <c r="DJ549" s="4" t="s">
        <v>241</v>
      </c>
      <c r="DK549" s="4" t="s">
        <v>241</v>
      </c>
      <c r="DL549" s="4" t="s">
        <v>241</v>
      </c>
      <c r="DM549" s="4" t="s">
        <v>278</v>
      </c>
      <c r="DN549" s="4" t="s">
        <v>278</v>
      </c>
      <c r="DO549" s="6" t="s">
        <v>241</v>
      </c>
      <c r="DP549" s="4" t="s">
        <v>241</v>
      </c>
      <c r="DQ549" s="4" t="s">
        <v>241</v>
      </c>
      <c r="DR549" s="4" t="s">
        <v>241</v>
      </c>
      <c r="DS549" s="4" t="s">
        <v>241</v>
      </c>
      <c r="DV549" s="4" t="s">
        <v>688</v>
      </c>
      <c r="DW549" s="4" t="s">
        <v>417</v>
      </c>
      <c r="GN549" s="4" t="s">
        <v>2774</v>
      </c>
      <c r="HO549" s="4" t="s">
        <v>297</v>
      </c>
      <c r="HR549" s="4" t="s">
        <v>278</v>
      </c>
      <c r="HS549" s="4" t="s">
        <v>278</v>
      </c>
      <c r="HT549" s="4" t="s">
        <v>241</v>
      </c>
      <c r="HU549" s="4" t="s">
        <v>241</v>
      </c>
      <c r="HV549" s="4" t="s">
        <v>241</v>
      </c>
      <c r="HW549" s="4" t="s">
        <v>241</v>
      </c>
      <c r="HX549" s="4" t="s">
        <v>241</v>
      </c>
      <c r="HY549" s="4" t="s">
        <v>241</v>
      </c>
      <c r="HZ549" s="4" t="s">
        <v>241</v>
      </c>
      <c r="IA549" s="4" t="s">
        <v>241</v>
      </c>
      <c r="IB549" s="4" t="s">
        <v>241</v>
      </c>
      <c r="IC549" s="4" t="s">
        <v>241</v>
      </c>
      <c r="ID549" s="4" t="s">
        <v>241</v>
      </c>
      <c r="IE549" s="4" t="s">
        <v>241</v>
      </c>
      <c r="IF549" s="4" t="s">
        <v>241</v>
      </c>
    </row>
    <row r="550" spans="1:240" x14ac:dyDescent="0.4">
      <c r="A550" s="4">
        <v>2</v>
      </c>
      <c r="B550" s="4" t="s">
        <v>239</v>
      </c>
      <c r="C550" s="4">
        <v>581</v>
      </c>
      <c r="D550" s="4">
        <v>1</v>
      </c>
      <c r="E550" s="4">
        <v>3</v>
      </c>
      <c r="F550" s="4" t="s">
        <v>326</v>
      </c>
      <c r="G550" s="4" t="s">
        <v>241</v>
      </c>
      <c r="H550" s="4" t="s">
        <v>241</v>
      </c>
      <c r="I550" s="4" t="s">
        <v>685</v>
      </c>
      <c r="J550" s="4" t="s">
        <v>653</v>
      </c>
      <c r="K550" s="4" t="s">
        <v>256</v>
      </c>
      <c r="L550" s="4" t="s">
        <v>241</v>
      </c>
      <c r="M550" s="5" t="s">
        <v>687</v>
      </c>
      <c r="N550" s="4" t="s">
        <v>2771</v>
      </c>
      <c r="O550" s="6">
        <f>0</f>
        <v>0</v>
      </c>
      <c r="P550" s="4" t="s">
        <v>276</v>
      </c>
      <c r="Q550" s="6">
        <f>1825788</f>
        <v>1825788</v>
      </c>
      <c r="R550" s="6">
        <f>1956900</f>
        <v>1956900</v>
      </c>
      <c r="S550" s="5" t="s">
        <v>2772</v>
      </c>
      <c r="T550" s="4" t="s">
        <v>348</v>
      </c>
      <c r="U550" s="4" t="s">
        <v>278</v>
      </c>
      <c r="V550" s="6">
        <f>1956899</f>
        <v>1956899</v>
      </c>
      <c r="W550" s="6">
        <f>131112</f>
        <v>131112</v>
      </c>
      <c r="X550" s="4" t="s">
        <v>243</v>
      </c>
      <c r="Y550" s="4" t="s">
        <v>244</v>
      </c>
      <c r="Z550" s="4" t="s">
        <v>241</v>
      </c>
      <c r="AA550" s="4" t="s">
        <v>241</v>
      </c>
      <c r="AD550" s="4" t="s">
        <v>241</v>
      </c>
      <c r="AE550" s="5" t="s">
        <v>241</v>
      </c>
      <c r="AF550" s="5" t="s">
        <v>241</v>
      </c>
      <c r="AH550" s="5" t="s">
        <v>241</v>
      </c>
      <c r="AI550" s="5" t="s">
        <v>249</v>
      </c>
      <c r="AJ550" s="4" t="s">
        <v>251</v>
      </c>
      <c r="AK550" s="4" t="s">
        <v>252</v>
      </c>
      <c r="AQ550" s="4" t="s">
        <v>241</v>
      </c>
      <c r="AR550" s="4" t="s">
        <v>241</v>
      </c>
      <c r="AS550" s="4" t="s">
        <v>241</v>
      </c>
      <c r="AT550" s="5" t="s">
        <v>241</v>
      </c>
      <c r="AU550" s="5" t="s">
        <v>241</v>
      </c>
      <c r="AV550" s="5" t="s">
        <v>241</v>
      </c>
      <c r="AY550" s="4" t="s">
        <v>286</v>
      </c>
      <c r="AZ550" s="4" t="s">
        <v>286</v>
      </c>
      <c r="BA550" s="4" t="s">
        <v>254</v>
      </c>
      <c r="BB550" s="4" t="s">
        <v>287</v>
      </c>
      <c r="BC550" s="4" t="s">
        <v>255</v>
      </c>
      <c r="BD550" s="4" t="s">
        <v>241</v>
      </c>
      <c r="BE550" s="4" t="s">
        <v>257</v>
      </c>
      <c r="BF550" s="4" t="s">
        <v>241</v>
      </c>
      <c r="BJ550" s="4" t="s">
        <v>288</v>
      </c>
      <c r="BK550" s="5" t="s">
        <v>289</v>
      </c>
      <c r="BL550" s="4" t="s">
        <v>290</v>
      </c>
      <c r="BM550" s="4" t="s">
        <v>290</v>
      </c>
      <c r="BN550" s="4" t="s">
        <v>241</v>
      </c>
      <c r="BP550" s="6">
        <f>-131112</f>
        <v>-131112</v>
      </c>
      <c r="BQ550" s="4" t="s">
        <v>263</v>
      </c>
      <c r="BR550" s="4" t="s">
        <v>264</v>
      </c>
      <c r="BS550" s="4" t="s">
        <v>241</v>
      </c>
      <c r="BT550" s="4" t="s">
        <v>241</v>
      </c>
      <c r="BU550" s="4" t="s">
        <v>241</v>
      </c>
      <c r="BV550" s="4" t="s">
        <v>241</v>
      </c>
      <c r="CE550" s="4" t="s">
        <v>264</v>
      </c>
      <c r="CF550" s="4" t="s">
        <v>241</v>
      </c>
      <c r="CG550" s="4" t="s">
        <v>241</v>
      </c>
      <c r="CK550" s="4" t="s">
        <v>291</v>
      </c>
      <c r="CL550" s="4" t="s">
        <v>266</v>
      </c>
      <c r="CM550" s="4" t="s">
        <v>241</v>
      </c>
      <c r="CO550" s="4" t="s">
        <v>426</v>
      </c>
      <c r="CP550" s="5" t="s">
        <v>268</v>
      </c>
      <c r="CQ550" s="4" t="s">
        <v>269</v>
      </c>
      <c r="CR550" s="4" t="s">
        <v>270</v>
      </c>
      <c r="CS550" s="4" t="s">
        <v>293</v>
      </c>
      <c r="CT550" s="4" t="s">
        <v>241</v>
      </c>
      <c r="CU550" s="4">
        <v>6.7000000000000004E-2</v>
      </c>
      <c r="CV550" s="4" t="s">
        <v>271</v>
      </c>
      <c r="CW550" s="4" t="s">
        <v>415</v>
      </c>
      <c r="CX550" s="4" t="s">
        <v>422</v>
      </c>
      <c r="CY550" s="6">
        <f>0</f>
        <v>0</v>
      </c>
      <c r="CZ550" s="6">
        <f>1956900</f>
        <v>1956900</v>
      </c>
      <c r="DA550" s="6">
        <f>1</f>
        <v>1</v>
      </c>
      <c r="DC550" s="4" t="s">
        <v>241</v>
      </c>
      <c r="DD550" s="4" t="s">
        <v>241</v>
      </c>
      <c r="DF550" s="4" t="s">
        <v>241</v>
      </c>
      <c r="DG550" s="6">
        <f>0</f>
        <v>0</v>
      </c>
      <c r="DI550" s="4" t="s">
        <v>241</v>
      </c>
      <c r="DJ550" s="4" t="s">
        <v>241</v>
      </c>
      <c r="DK550" s="4" t="s">
        <v>241</v>
      </c>
      <c r="DL550" s="4" t="s">
        <v>241</v>
      </c>
      <c r="DM550" s="4" t="s">
        <v>278</v>
      </c>
      <c r="DN550" s="4" t="s">
        <v>278</v>
      </c>
      <c r="DO550" s="6" t="s">
        <v>241</v>
      </c>
      <c r="DP550" s="4" t="s">
        <v>241</v>
      </c>
      <c r="DQ550" s="4" t="s">
        <v>241</v>
      </c>
      <c r="DR550" s="4" t="s">
        <v>241</v>
      </c>
      <c r="DS550" s="4" t="s">
        <v>241</v>
      </c>
      <c r="DV550" s="4" t="s">
        <v>688</v>
      </c>
      <c r="DW550" s="4" t="s">
        <v>427</v>
      </c>
      <c r="GN550" s="4" t="s">
        <v>2773</v>
      </c>
      <c r="HO550" s="4" t="s">
        <v>323</v>
      </c>
      <c r="HR550" s="4" t="s">
        <v>278</v>
      </c>
      <c r="HS550" s="4" t="s">
        <v>278</v>
      </c>
      <c r="HT550" s="4" t="s">
        <v>241</v>
      </c>
      <c r="HU550" s="4" t="s">
        <v>241</v>
      </c>
      <c r="HV550" s="4" t="s">
        <v>241</v>
      </c>
      <c r="HW550" s="4" t="s">
        <v>241</v>
      </c>
      <c r="HX550" s="4" t="s">
        <v>241</v>
      </c>
      <c r="HY550" s="4" t="s">
        <v>241</v>
      </c>
      <c r="HZ550" s="4" t="s">
        <v>241</v>
      </c>
      <c r="IA550" s="4" t="s">
        <v>241</v>
      </c>
      <c r="IB550" s="4" t="s">
        <v>241</v>
      </c>
      <c r="IC550" s="4" t="s">
        <v>241</v>
      </c>
      <c r="ID550" s="4" t="s">
        <v>241</v>
      </c>
      <c r="IE550" s="4" t="s">
        <v>241</v>
      </c>
      <c r="IF550" s="4" t="s">
        <v>241</v>
      </c>
    </row>
    <row r="551" spans="1:240" x14ac:dyDescent="0.4">
      <c r="A551" s="4">
        <v>2</v>
      </c>
      <c r="B551" s="4" t="s">
        <v>239</v>
      </c>
      <c r="C551" s="4">
        <v>582</v>
      </c>
      <c r="D551" s="4">
        <v>1</v>
      </c>
      <c r="E551" s="4">
        <v>1</v>
      </c>
      <c r="F551" s="4" t="s">
        <v>240</v>
      </c>
      <c r="G551" s="4" t="s">
        <v>241</v>
      </c>
      <c r="H551" s="4" t="s">
        <v>241</v>
      </c>
      <c r="I551" s="4" t="s">
        <v>696</v>
      </c>
      <c r="J551" s="4" t="s">
        <v>653</v>
      </c>
      <c r="K551" s="4" t="s">
        <v>256</v>
      </c>
      <c r="L551" s="4" t="s">
        <v>651</v>
      </c>
      <c r="M551" s="5" t="s">
        <v>698</v>
      </c>
      <c r="N551" s="4" t="s">
        <v>651</v>
      </c>
      <c r="O551" s="6">
        <f>8301</f>
        <v>8301</v>
      </c>
      <c r="P551" s="4" t="s">
        <v>276</v>
      </c>
      <c r="Q551" s="6">
        <f>1</f>
        <v>1</v>
      </c>
      <c r="R551" s="6">
        <f>1120635000</f>
        <v>1120635000</v>
      </c>
      <c r="S551" s="5" t="s">
        <v>434</v>
      </c>
      <c r="T551" s="4" t="s">
        <v>668</v>
      </c>
      <c r="U551" s="4" t="s">
        <v>668</v>
      </c>
      <c r="W551" s="6">
        <f>1120634999</f>
        <v>1120634999</v>
      </c>
      <c r="X551" s="4" t="s">
        <v>243</v>
      </c>
      <c r="Y551" s="4" t="s">
        <v>244</v>
      </c>
      <c r="Z551" s="4" t="s">
        <v>465</v>
      </c>
      <c r="AA551" s="4" t="s">
        <v>241</v>
      </c>
      <c r="AD551" s="4" t="s">
        <v>241</v>
      </c>
      <c r="AF551" s="5" t="s">
        <v>241</v>
      </c>
      <c r="AI551" s="5" t="s">
        <v>249</v>
      </c>
      <c r="AJ551" s="4" t="s">
        <v>251</v>
      </c>
      <c r="AK551" s="4" t="s">
        <v>252</v>
      </c>
      <c r="BA551" s="4" t="s">
        <v>254</v>
      </c>
      <c r="BB551" s="4" t="s">
        <v>241</v>
      </c>
      <c r="BC551" s="4" t="s">
        <v>255</v>
      </c>
      <c r="BD551" s="4" t="s">
        <v>241</v>
      </c>
      <c r="BE551" s="4" t="s">
        <v>257</v>
      </c>
      <c r="BF551" s="4" t="s">
        <v>241</v>
      </c>
      <c r="BJ551" s="4" t="s">
        <v>259</v>
      </c>
      <c r="BK551" s="5" t="s">
        <v>260</v>
      </c>
      <c r="BL551" s="4" t="s">
        <v>261</v>
      </c>
      <c r="BM551" s="4" t="s">
        <v>290</v>
      </c>
      <c r="BN551" s="4" t="s">
        <v>241</v>
      </c>
      <c r="BO551" s="6">
        <f>0</f>
        <v>0</v>
      </c>
      <c r="BP551" s="6">
        <f>0</f>
        <v>0</v>
      </c>
      <c r="BQ551" s="4" t="s">
        <v>263</v>
      </c>
      <c r="BR551" s="4" t="s">
        <v>264</v>
      </c>
      <c r="CF551" s="4" t="s">
        <v>241</v>
      </c>
      <c r="CG551" s="4" t="s">
        <v>241</v>
      </c>
      <c r="CK551" s="4" t="s">
        <v>265</v>
      </c>
      <c r="CL551" s="4" t="s">
        <v>266</v>
      </c>
      <c r="CM551" s="4" t="s">
        <v>241</v>
      </c>
      <c r="CO551" s="4" t="s">
        <v>436</v>
      </c>
      <c r="CP551" s="5" t="s">
        <v>268</v>
      </c>
      <c r="CQ551" s="4" t="s">
        <v>269</v>
      </c>
      <c r="CR551" s="4" t="s">
        <v>270</v>
      </c>
      <c r="CS551" s="4" t="s">
        <v>241</v>
      </c>
      <c r="CT551" s="4" t="s">
        <v>241</v>
      </c>
      <c r="CU551" s="4">
        <v>0</v>
      </c>
      <c r="CV551" s="4" t="s">
        <v>271</v>
      </c>
      <c r="CW551" s="4" t="s">
        <v>655</v>
      </c>
      <c r="CX551" s="4" t="s">
        <v>295</v>
      </c>
      <c r="CZ551" s="6">
        <f>1120635000</f>
        <v>1120635000</v>
      </c>
      <c r="DA551" s="6">
        <f>0</f>
        <v>0</v>
      </c>
      <c r="DC551" s="4" t="s">
        <v>241</v>
      </c>
      <c r="DD551" s="4" t="s">
        <v>241</v>
      </c>
      <c r="DF551" s="4" t="s">
        <v>241</v>
      </c>
      <c r="DI551" s="4" t="s">
        <v>241</v>
      </c>
      <c r="DJ551" s="4" t="s">
        <v>241</v>
      </c>
      <c r="DK551" s="4" t="s">
        <v>241</v>
      </c>
      <c r="DL551" s="4" t="s">
        <v>241</v>
      </c>
      <c r="DM551" s="4" t="s">
        <v>297</v>
      </c>
      <c r="DN551" s="4" t="s">
        <v>278</v>
      </c>
      <c r="DO551" s="6">
        <f>8301</f>
        <v>8301</v>
      </c>
      <c r="DP551" s="4" t="s">
        <v>241</v>
      </c>
      <c r="DQ551" s="4" t="s">
        <v>241</v>
      </c>
      <c r="DR551" s="4" t="s">
        <v>241</v>
      </c>
      <c r="DS551" s="4" t="s">
        <v>241</v>
      </c>
      <c r="DV551" s="4" t="s">
        <v>699</v>
      </c>
      <c r="DW551" s="4" t="s">
        <v>277</v>
      </c>
      <c r="HO551" s="4" t="s">
        <v>300</v>
      </c>
      <c r="HR551" s="4" t="s">
        <v>278</v>
      </c>
      <c r="HS551" s="4" t="s">
        <v>278</v>
      </c>
    </row>
    <row r="552" spans="1:240" x14ac:dyDescent="0.4">
      <c r="A552" s="4">
        <v>2</v>
      </c>
      <c r="B552" s="4" t="s">
        <v>239</v>
      </c>
      <c r="C552" s="4">
        <v>583</v>
      </c>
      <c r="D552" s="4">
        <v>1</v>
      </c>
      <c r="E552" s="4">
        <v>3</v>
      </c>
      <c r="F552" s="4" t="s">
        <v>240</v>
      </c>
      <c r="G552" s="4" t="s">
        <v>241</v>
      </c>
      <c r="H552" s="4" t="s">
        <v>241</v>
      </c>
      <c r="I552" s="4" t="s">
        <v>696</v>
      </c>
      <c r="J552" s="4" t="s">
        <v>653</v>
      </c>
      <c r="K552" s="4" t="s">
        <v>256</v>
      </c>
      <c r="L552" s="4" t="s">
        <v>651</v>
      </c>
      <c r="M552" s="5" t="s">
        <v>698</v>
      </c>
      <c r="N552" s="4" t="s">
        <v>651</v>
      </c>
      <c r="O552" s="6">
        <f>38</f>
        <v>38</v>
      </c>
      <c r="P552" s="4" t="s">
        <v>276</v>
      </c>
      <c r="Q552" s="6">
        <f>2990220</f>
        <v>2990220</v>
      </c>
      <c r="R552" s="6">
        <f>6954000</f>
        <v>6954000</v>
      </c>
      <c r="S552" s="5" t="s">
        <v>697</v>
      </c>
      <c r="T552" s="4" t="s">
        <v>357</v>
      </c>
      <c r="U552" s="4" t="s">
        <v>365</v>
      </c>
      <c r="V552" s="6">
        <f>208620</f>
        <v>208620</v>
      </c>
      <c r="W552" s="6">
        <f>3963780</f>
        <v>3963780</v>
      </c>
      <c r="X552" s="4" t="s">
        <v>243</v>
      </c>
      <c r="Y552" s="4" t="s">
        <v>244</v>
      </c>
      <c r="Z552" s="4" t="s">
        <v>465</v>
      </c>
      <c r="AA552" s="4" t="s">
        <v>241</v>
      </c>
      <c r="AD552" s="4" t="s">
        <v>241</v>
      </c>
      <c r="AE552" s="5" t="s">
        <v>241</v>
      </c>
      <c r="AF552" s="5" t="s">
        <v>241</v>
      </c>
      <c r="AH552" s="5" t="s">
        <v>241</v>
      </c>
      <c r="AI552" s="5" t="s">
        <v>249</v>
      </c>
      <c r="AJ552" s="4" t="s">
        <v>251</v>
      </c>
      <c r="AK552" s="4" t="s">
        <v>252</v>
      </c>
      <c r="AQ552" s="4" t="s">
        <v>241</v>
      </c>
      <c r="AR552" s="4" t="s">
        <v>241</v>
      </c>
      <c r="AS552" s="4" t="s">
        <v>241</v>
      </c>
      <c r="AT552" s="5" t="s">
        <v>241</v>
      </c>
      <c r="AU552" s="5" t="s">
        <v>241</v>
      </c>
      <c r="AV552" s="5" t="s">
        <v>241</v>
      </c>
      <c r="AY552" s="4" t="s">
        <v>286</v>
      </c>
      <c r="AZ552" s="4" t="s">
        <v>286</v>
      </c>
      <c r="BA552" s="4" t="s">
        <v>254</v>
      </c>
      <c r="BB552" s="4" t="s">
        <v>287</v>
      </c>
      <c r="BC552" s="4" t="s">
        <v>255</v>
      </c>
      <c r="BD552" s="4" t="s">
        <v>241</v>
      </c>
      <c r="BE552" s="4" t="s">
        <v>257</v>
      </c>
      <c r="BF552" s="4" t="s">
        <v>241</v>
      </c>
      <c r="BJ552" s="4" t="s">
        <v>288</v>
      </c>
      <c r="BK552" s="5" t="s">
        <v>289</v>
      </c>
      <c r="BL552" s="4" t="s">
        <v>290</v>
      </c>
      <c r="BM552" s="4" t="s">
        <v>290</v>
      </c>
      <c r="BN552" s="4" t="s">
        <v>241</v>
      </c>
      <c r="BO552" s="6">
        <f>0</f>
        <v>0</v>
      </c>
      <c r="BP552" s="6">
        <f>-208620</f>
        <v>-208620</v>
      </c>
      <c r="BQ552" s="4" t="s">
        <v>263</v>
      </c>
      <c r="BR552" s="4" t="s">
        <v>264</v>
      </c>
      <c r="BS552" s="4" t="s">
        <v>241</v>
      </c>
      <c r="BT552" s="4" t="s">
        <v>241</v>
      </c>
      <c r="BU552" s="4" t="s">
        <v>241</v>
      </c>
      <c r="BV552" s="4" t="s">
        <v>241</v>
      </c>
      <c r="CE552" s="4" t="s">
        <v>264</v>
      </c>
      <c r="CF552" s="4" t="s">
        <v>241</v>
      </c>
      <c r="CG552" s="4" t="s">
        <v>241</v>
      </c>
      <c r="CK552" s="4" t="s">
        <v>291</v>
      </c>
      <c r="CL552" s="4" t="s">
        <v>266</v>
      </c>
      <c r="CM552" s="4" t="s">
        <v>241</v>
      </c>
      <c r="CO552" s="4" t="s">
        <v>364</v>
      </c>
      <c r="CP552" s="5" t="s">
        <v>268</v>
      </c>
      <c r="CQ552" s="4" t="s">
        <v>269</v>
      </c>
      <c r="CR552" s="4" t="s">
        <v>270</v>
      </c>
      <c r="CS552" s="4" t="s">
        <v>293</v>
      </c>
      <c r="CT552" s="4" t="s">
        <v>241</v>
      </c>
      <c r="CU552" s="4">
        <v>0.03</v>
      </c>
      <c r="CV552" s="4" t="s">
        <v>271</v>
      </c>
      <c r="CW552" s="4" t="s">
        <v>655</v>
      </c>
      <c r="CX552" s="4" t="s">
        <v>487</v>
      </c>
      <c r="CY552" s="6">
        <f>0</f>
        <v>0</v>
      </c>
      <c r="CZ552" s="6">
        <f>6954000</f>
        <v>6954000</v>
      </c>
      <c r="DA552" s="6">
        <f>2990220</f>
        <v>2990220</v>
      </c>
      <c r="DC552" s="4" t="s">
        <v>241</v>
      </c>
      <c r="DD552" s="4" t="s">
        <v>241</v>
      </c>
      <c r="DF552" s="4" t="s">
        <v>241</v>
      </c>
      <c r="DG552" s="6">
        <f>0</f>
        <v>0</v>
      </c>
      <c r="DI552" s="4" t="s">
        <v>241</v>
      </c>
      <c r="DJ552" s="4" t="s">
        <v>241</v>
      </c>
      <c r="DK552" s="4" t="s">
        <v>241</v>
      </c>
      <c r="DL552" s="4" t="s">
        <v>241</v>
      </c>
      <c r="DM552" s="4" t="s">
        <v>297</v>
      </c>
      <c r="DN552" s="4" t="s">
        <v>278</v>
      </c>
      <c r="DO552" s="6">
        <f>38</f>
        <v>38</v>
      </c>
      <c r="DP552" s="4" t="s">
        <v>241</v>
      </c>
      <c r="DQ552" s="4" t="s">
        <v>241</v>
      </c>
      <c r="DR552" s="4" t="s">
        <v>241</v>
      </c>
      <c r="DS552" s="4" t="s">
        <v>241</v>
      </c>
      <c r="DV552" s="4" t="s">
        <v>699</v>
      </c>
      <c r="DW552" s="4" t="s">
        <v>323</v>
      </c>
      <c r="GN552" s="4" t="s">
        <v>700</v>
      </c>
      <c r="HO552" s="4" t="s">
        <v>300</v>
      </c>
      <c r="HR552" s="4" t="s">
        <v>278</v>
      </c>
      <c r="HS552" s="4" t="s">
        <v>278</v>
      </c>
      <c r="HT552" s="4" t="s">
        <v>241</v>
      </c>
      <c r="HU552" s="4" t="s">
        <v>241</v>
      </c>
      <c r="HV552" s="4" t="s">
        <v>241</v>
      </c>
      <c r="HW552" s="4" t="s">
        <v>241</v>
      </c>
      <c r="HX552" s="4" t="s">
        <v>241</v>
      </c>
      <c r="HY552" s="4" t="s">
        <v>241</v>
      </c>
      <c r="HZ552" s="4" t="s">
        <v>241</v>
      </c>
      <c r="IA552" s="4" t="s">
        <v>241</v>
      </c>
      <c r="IB552" s="4" t="s">
        <v>241</v>
      </c>
      <c r="IC552" s="4" t="s">
        <v>241</v>
      </c>
      <c r="ID552" s="4" t="s">
        <v>241</v>
      </c>
      <c r="IE552" s="4" t="s">
        <v>241</v>
      </c>
      <c r="IF552" s="4" t="s">
        <v>241</v>
      </c>
    </row>
    <row r="553" spans="1:240" x14ac:dyDescent="0.4">
      <c r="A553" s="4">
        <v>2</v>
      </c>
      <c r="B553" s="4" t="s">
        <v>239</v>
      </c>
      <c r="C553" s="4">
        <v>584</v>
      </c>
      <c r="D553" s="4">
        <v>1</v>
      </c>
      <c r="E553" s="4">
        <v>1</v>
      </c>
      <c r="F553" s="4" t="s">
        <v>240</v>
      </c>
      <c r="G553" s="4" t="s">
        <v>241</v>
      </c>
      <c r="H553" s="4" t="s">
        <v>241</v>
      </c>
      <c r="I553" s="4" t="s">
        <v>696</v>
      </c>
      <c r="J553" s="4" t="s">
        <v>653</v>
      </c>
      <c r="K553" s="4" t="s">
        <v>256</v>
      </c>
      <c r="L553" s="4" t="s">
        <v>429</v>
      </c>
      <c r="M553" s="5" t="s">
        <v>698</v>
      </c>
      <c r="N553" s="4" t="s">
        <v>429</v>
      </c>
      <c r="O553" s="6">
        <f>10</f>
        <v>10</v>
      </c>
      <c r="P553" s="4" t="s">
        <v>276</v>
      </c>
      <c r="Q553" s="6">
        <f>1</f>
        <v>1</v>
      </c>
      <c r="R553" s="6">
        <f>600000</f>
        <v>600000</v>
      </c>
      <c r="S553" s="5" t="s">
        <v>434</v>
      </c>
      <c r="T553" s="4" t="s">
        <v>274</v>
      </c>
      <c r="U553" s="4" t="s">
        <v>437</v>
      </c>
      <c r="W553" s="6">
        <f>599999</f>
        <v>599999</v>
      </c>
      <c r="X553" s="4" t="s">
        <v>243</v>
      </c>
      <c r="Y553" s="4" t="s">
        <v>244</v>
      </c>
      <c r="Z553" s="4" t="s">
        <v>465</v>
      </c>
      <c r="AA553" s="4" t="s">
        <v>241</v>
      </c>
      <c r="AD553" s="4" t="s">
        <v>241</v>
      </c>
      <c r="AF553" s="5" t="s">
        <v>241</v>
      </c>
      <c r="AI553" s="5" t="s">
        <v>249</v>
      </c>
      <c r="AJ553" s="4" t="s">
        <v>251</v>
      </c>
      <c r="AK553" s="4" t="s">
        <v>252</v>
      </c>
      <c r="BA553" s="4" t="s">
        <v>254</v>
      </c>
      <c r="BB553" s="4" t="s">
        <v>241</v>
      </c>
      <c r="BC553" s="4" t="s">
        <v>255</v>
      </c>
      <c r="BD553" s="4" t="s">
        <v>241</v>
      </c>
      <c r="BE553" s="4" t="s">
        <v>257</v>
      </c>
      <c r="BF553" s="4" t="s">
        <v>241</v>
      </c>
      <c r="BJ553" s="4" t="s">
        <v>374</v>
      </c>
      <c r="BK553" s="5" t="s">
        <v>375</v>
      </c>
      <c r="BL553" s="4" t="s">
        <v>261</v>
      </c>
      <c r="BM553" s="4" t="s">
        <v>262</v>
      </c>
      <c r="BN553" s="4" t="s">
        <v>241</v>
      </c>
      <c r="BO553" s="6">
        <f>0</f>
        <v>0</v>
      </c>
      <c r="BP553" s="6">
        <f>0</f>
        <v>0</v>
      </c>
      <c r="BQ553" s="4" t="s">
        <v>263</v>
      </c>
      <c r="BR553" s="4" t="s">
        <v>264</v>
      </c>
      <c r="CF553" s="4" t="s">
        <v>241</v>
      </c>
      <c r="CG553" s="4" t="s">
        <v>241</v>
      </c>
      <c r="CK553" s="4" t="s">
        <v>265</v>
      </c>
      <c r="CL553" s="4" t="s">
        <v>266</v>
      </c>
      <c r="CM553" s="4" t="s">
        <v>241</v>
      </c>
      <c r="CO553" s="4" t="s">
        <v>436</v>
      </c>
      <c r="CP553" s="5" t="s">
        <v>268</v>
      </c>
      <c r="CQ553" s="4" t="s">
        <v>269</v>
      </c>
      <c r="CR553" s="4" t="s">
        <v>270</v>
      </c>
      <c r="CS553" s="4" t="s">
        <v>241</v>
      </c>
      <c r="CT553" s="4" t="s">
        <v>241</v>
      </c>
      <c r="CU553" s="4">
        <v>0</v>
      </c>
      <c r="CV553" s="4" t="s">
        <v>271</v>
      </c>
      <c r="CW553" s="4" t="s">
        <v>272</v>
      </c>
      <c r="CX553" s="4" t="s">
        <v>273</v>
      </c>
      <c r="CZ553" s="6">
        <f>600000</f>
        <v>600000</v>
      </c>
      <c r="DA553" s="6">
        <f>0</f>
        <v>0</v>
      </c>
      <c r="DC553" s="4" t="s">
        <v>241</v>
      </c>
      <c r="DD553" s="4" t="s">
        <v>241</v>
      </c>
      <c r="DF553" s="4" t="s">
        <v>241</v>
      </c>
      <c r="DI553" s="4" t="s">
        <v>241</v>
      </c>
      <c r="DJ553" s="4" t="s">
        <v>241</v>
      </c>
      <c r="DK553" s="4" t="s">
        <v>241</v>
      </c>
      <c r="DL553" s="4" t="s">
        <v>241</v>
      </c>
      <c r="DM553" s="4" t="s">
        <v>277</v>
      </c>
      <c r="DN553" s="4" t="s">
        <v>278</v>
      </c>
      <c r="DO553" s="6">
        <f>10</f>
        <v>10</v>
      </c>
      <c r="DP553" s="4" t="s">
        <v>241</v>
      </c>
      <c r="DQ553" s="4" t="s">
        <v>241</v>
      </c>
      <c r="DR553" s="4" t="s">
        <v>241</v>
      </c>
      <c r="DS553" s="4" t="s">
        <v>241</v>
      </c>
      <c r="DV553" s="4" t="s">
        <v>699</v>
      </c>
      <c r="DW553" s="4" t="s">
        <v>297</v>
      </c>
      <c r="HO553" s="4" t="s">
        <v>277</v>
      </c>
      <c r="HR553" s="4" t="s">
        <v>278</v>
      </c>
      <c r="HS553" s="4" t="s">
        <v>278</v>
      </c>
    </row>
    <row r="554" spans="1:240" x14ac:dyDescent="0.4">
      <c r="A554" s="4">
        <v>2</v>
      </c>
      <c r="B554" s="4" t="s">
        <v>239</v>
      </c>
      <c r="C554" s="4">
        <v>585</v>
      </c>
      <c r="D554" s="4">
        <v>1</v>
      </c>
      <c r="E554" s="4">
        <v>1</v>
      </c>
      <c r="F554" s="4" t="s">
        <v>240</v>
      </c>
      <c r="G554" s="4" t="s">
        <v>241</v>
      </c>
      <c r="H554" s="4" t="s">
        <v>241</v>
      </c>
      <c r="I554" s="4" t="s">
        <v>696</v>
      </c>
      <c r="J554" s="4" t="s">
        <v>653</v>
      </c>
      <c r="K554" s="4" t="s">
        <v>256</v>
      </c>
      <c r="L554" s="4" t="s">
        <v>1003</v>
      </c>
      <c r="M554" s="5" t="s">
        <v>698</v>
      </c>
      <c r="N554" s="4" t="s">
        <v>1003</v>
      </c>
      <c r="O554" s="6">
        <f>1597</f>
        <v>1597</v>
      </c>
      <c r="P554" s="4" t="s">
        <v>276</v>
      </c>
      <c r="Q554" s="6">
        <f>1</f>
        <v>1</v>
      </c>
      <c r="R554" s="6">
        <f>127760000</f>
        <v>127760000</v>
      </c>
      <c r="S554" s="5" t="s">
        <v>434</v>
      </c>
      <c r="T554" s="4" t="s">
        <v>357</v>
      </c>
      <c r="U554" s="4" t="s">
        <v>437</v>
      </c>
      <c r="W554" s="6">
        <f>127759999</f>
        <v>127759999</v>
      </c>
      <c r="X554" s="4" t="s">
        <v>243</v>
      </c>
      <c r="Y554" s="4" t="s">
        <v>244</v>
      </c>
      <c r="Z554" s="4" t="s">
        <v>465</v>
      </c>
      <c r="AA554" s="4" t="s">
        <v>241</v>
      </c>
      <c r="AD554" s="4" t="s">
        <v>241</v>
      </c>
      <c r="AF554" s="5" t="s">
        <v>241</v>
      </c>
      <c r="AI554" s="5" t="s">
        <v>249</v>
      </c>
      <c r="AJ554" s="4" t="s">
        <v>251</v>
      </c>
      <c r="AK554" s="4" t="s">
        <v>252</v>
      </c>
      <c r="BA554" s="4" t="s">
        <v>254</v>
      </c>
      <c r="BB554" s="4" t="s">
        <v>241</v>
      </c>
      <c r="BC554" s="4" t="s">
        <v>255</v>
      </c>
      <c r="BD554" s="4" t="s">
        <v>241</v>
      </c>
      <c r="BE554" s="4" t="s">
        <v>257</v>
      </c>
      <c r="BF554" s="4" t="s">
        <v>241</v>
      </c>
      <c r="BJ554" s="4" t="s">
        <v>377</v>
      </c>
      <c r="BK554" s="5" t="s">
        <v>378</v>
      </c>
      <c r="BL554" s="4" t="s">
        <v>261</v>
      </c>
      <c r="BM554" s="4" t="s">
        <v>262</v>
      </c>
      <c r="BN554" s="4" t="s">
        <v>241</v>
      </c>
      <c r="BO554" s="6">
        <f>0</f>
        <v>0</v>
      </c>
      <c r="BP554" s="6">
        <f>0</f>
        <v>0</v>
      </c>
      <c r="BQ554" s="4" t="s">
        <v>263</v>
      </c>
      <c r="BR554" s="4" t="s">
        <v>264</v>
      </c>
      <c r="CF554" s="4" t="s">
        <v>241</v>
      </c>
      <c r="CG554" s="4" t="s">
        <v>241</v>
      </c>
      <c r="CK554" s="4" t="s">
        <v>265</v>
      </c>
      <c r="CL554" s="4" t="s">
        <v>266</v>
      </c>
      <c r="CM554" s="4" t="s">
        <v>241</v>
      </c>
      <c r="CO554" s="4" t="s">
        <v>436</v>
      </c>
      <c r="CP554" s="5" t="s">
        <v>268</v>
      </c>
      <c r="CQ554" s="4" t="s">
        <v>269</v>
      </c>
      <c r="CR554" s="4" t="s">
        <v>270</v>
      </c>
      <c r="CS554" s="4" t="s">
        <v>241</v>
      </c>
      <c r="CT554" s="4" t="s">
        <v>241</v>
      </c>
      <c r="CU554" s="4">
        <v>0</v>
      </c>
      <c r="CV554" s="4" t="s">
        <v>271</v>
      </c>
      <c r="CW554" s="4" t="s">
        <v>1006</v>
      </c>
      <c r="CX554" s="4" t="s">
        <v>487</v>
      </c>
      <c r="CZ554" s="6">
        <f>127760000</f>
        <v>127760000</v>
      </c>
      <c r="DA554" s="6">
        <f>0</f>
        <v>0</v>
      </c>
      <c r="DC554" s="4" t="s">
        <v>241</v>
      </c>
      <c r="DD554" s="4" t="s">
        <v>241</v>
      </c>
      <c r="DF554" s="4" t="s">
        <v>241</v>
      </c>
      <c r="DI554" s="4" t="s">
        <v>241</v>
      </c>
      <c r="DJ554" s="4" t="s">
        <v>241</v>
      </c>
      <c r="DK554" s="4" t="s">
        <v>241</v>
      </c>
      <c r="DL554" s="4" t="s">
        <v>241</v>
      </c>
      <c r="DM554" s="4" t="s">
        <v>323</v>
      </c>
      <c r="DN554" s="4" t="s">
        <v>278</v>
      </c>
      <c r="DO554" s="6">
        <f>1597</f>
        <v>1597</v>
      </c>
      <c r="DP554" s="4" t="s">
        <v>241</v>
      </c>
      <c r="DQ554" s="4" t="s">
        <v>241</v>
      </c>
      <c r="DR554" s="4" t="s">
        <v>241</v>
      </c>
      <c r="DS554" s="4" t="s">
        <v>241</v>
      </c>
      <c r="DV554" s="4" t="s">
        <v>699</v>
      </c>
      <c r="DW554" s="4" t="s">
        <v>336</v>
      </c>
      <c r="HO554" s="4" t="s">
        <v>277</v>
      </c>
      <c r="HR554" s="4" t="s">
        <v>278</v>
      </c>
      <c r="HS554" s="4" t="s">
        <v>278</v>
      </c>
    </row>
    <row r="555" spans="1:240" x14ac:dyDescent="0.4">
      <c r="A555" s="4">
        <v>2</v>
      </c>
      <c r="B555" s="4" t="s">
        <v>239</v>
      </c>
      <c r="C555" s="4">
        <v>586</v>
      </c>
      <c r="D555" s="4">
        <v>1</v>
      </c>
      <c r="E555" s="4">
        <v>1</v>
      </c>
      <c r="F555" s="4" t="s">
        <v>240</v>
      </c>
      <c r="G555" s="4" t="s">
        <v>241</v>
      </c>
      <c r="H555" s="4" t="s">
        <v>241</v>
      </c>
      <c r="I555" s="4" t="s">
        <v>696</v>
      </c>
      <c r="J555" s="4" t="s">
        <v>653</v>
      </c>
      <c r="K555" s="4" t="s">
        <v>256</v>
      </c>
      <c r="L555" s="4" t="s">
        <v>2529</v>
      </c>
      <c r="M555" s="5" t="s">
        <v>698</v>
      </c>
      <c r="N555" s="4" t="s">
        <v>2529</v>
      </c>
      <c r="O555" s="6">
        <f>170</f>
        <v>170</v>
      </c>
      <c r="P555" s="4" t="s">
        <v>276</v>
      </c>
      <c r="Q555" s="6">
        <f>1</f>
        <v>1</v>
      </c>
      <c r="R555" s="6">
        <f>11900000</f>
        <v>11900000</v>
      </c>
      <c r="S555" s="5" t="s">
        <v>2929</v>
      </c>
      <c r="T555" s="4" t="s">
        <v>348</v>
      </c>
      <c r="U555" s="4" t="s">
        <v>373</v>
      </c>
      <c r="W555" s="6">
        <f>11899999</f>
        <v>11899999</v>
      </c>
      <c r="X555" s="4" t="s">
        <v>243</v>
      </c>
      <c r="Y555" s="4" t="s">
        <v>244</v>
      </c>
      <c r="Z555" s="4" t="s">
        <v>465</v>
      </c>
      <c r="AA555" s="4" t="s">
        <v>241</v>
      </c>
      <c r="AD555" s="4" t="s">
        <v>241</v>
      </c>
      <c r="AF555" s="5" t="s">
        <v>241</v>
      </c>
      <c r="AI555" s="5" t="s">
        <v>249</v>
      </c>
      <c r="AJ555" s="4" t="s">
        <v>251</v>
      </c>
      <c r="AK555" s="4" t="s">
        <v>252</v>
      </c>
      <c r="BA555" s="4" t="s">
        <v>254</v>
      </c>
      <c r="BB555" s="4" t="s">
        <v>241</v>
      </c>
      <c r="BC555" s="4" t="s">
        <v>255</v>
      </c>
      <c r="BD555" s="4" t="s">
        <v>241</v>
      </c>
      <c r="BE555" s="4" t="s">
        <v>257</v>
      </c>
      <c r="BF555" s="4" t="s">
        <v>241</v>
      </c>
      <c r="BJ555" s="4" t="s">
        <v>259</v>
      </c>
      <c r="BK555" s="5" t="s">
        <v>260</v>
      </c>
      <c r="BL555" s="4" t="s">
        <v>261</v>
      </c>
      <c r="BM555" s="4" t="s">
        <v>262</v>
      </c>
      <c r="BN555" s="4" t="s">
        <v>241</v>
      </c>
      <c r="BO555" s="6">
        <f>0</f>
        <v>0</v>
      </c>
      <c r="BP555" s="6">
        <f>0</f>
        <v>0</v>
      </c>
      <c r="BQ555" s="4" t="s">
        <v>263</v>
      </c>
      <c r="BR555" s="4" t="s">
        <v>264</v>
      </c>
      <c r="CF555" s="4" t="s">
        <v>241</v>
      </c>
      <c r="CG555" s="4" t="s">
        <v>241</v>
      </c>
      <c r="CK555" s="4" t="s">
        <v>265</v>
      </c>
      <c r="CL555" s="4" t="s">
        <v>266</v>
      </c>
      <c r="CM555" s="4" t="s">
        <v>241</v>
      </c>
      <c r="CO555" s="4" t="s">
        <v>305</v>
      </c>
      <c r="CP555" s="5" t="s">
        <v>268</v>
      </c>
      <c r="CQ555" s="4" t="s">
        <v>269</v>
      </c>
      <c r="CR555" s="4" t="s">
        <v>270</v>
      </c>
      <c r="CS555" s="4" t="s">
        <v>241</v>
      </c>
      <c r="CT555" s="4" t="s">
        <v>241</v>
      </c>
      <c r="CU555" s="4">
        <v>0</v>
      </c>
      <c r="CV555" s="4" t="s">
        <v>271</v>
      </c>
      <c r="CW555" s="4" t="s">
        <v>415</v>
      </c>
      <c r="CX555" s="4" t="s">
        <v>416</v>
      </c>
      <c r="CZ555" s="6">
        <f>11900000</f>
        <v>11900000</v>
      </c>
      <c r="DA555" s="6">
        <f>0</f>
        <v>0</v>
      </c>
      <c r="DC555" s="4" t="s">
        <v>241</v>
      </c>
      <c r="DD555" s="4" t="s">
        <v>241</v>
      </c>
      <c r="DF555" s="4" t="s">
        <v>241</v>
      </c>
      <c r="DI555" s="4" t="s">
        <v>241</v>
      </c>
      <c r="DJ555" s="4" t="s">
        <v>241</v>
      </c>
      <c r="DK555" s="4" t="s">
        <v>241</v>
      </c>
      <c r="DL555" s="4" t="s">
        <v>241</v>
      </c>
      <c r="DM555" s="4" t="s">
        <v>277</v>
      </c>
      <c r="DN555" s="4" t="s">
        <v>278</v>
      </c>
      <c r="DO555" s="6">
        <f>170</f>
        <v>170</v>
      </c>
      <c r="DP555" s="4" t="s">
        <v>241</v>
      </c>
      <c r="DQ555" s="4" t="s">
        <v>241</v>
      </c>
      <c r="DR555" s="4" t="s">
        <v>241</v>
      </c>
      <c r="DS555" s="4" t="s">
        <v>241</v>
      </c>
      <c r="DV555" s="4" t="s">
        <v>699</v>
      </c>
      <c r="DW555" s="4" t="s">
        <v>351</v>
      </c>
      <c r="HO555" s="4" t="s">
        <v>277</v>
      </c>
      <c r="HR555" s="4" t="s">
        <v>278</v>
      </c>
      <c r="HS555" s="4" t="s">
        <v>278</v>
      </c>
    </row>
    <row r="556" spans="1:240" x14ac:dyDescent="0.4">
      <c r="A556" s="4">
        <v>2</v>
      </c>
      <c r="B556" s="4" t="s">
        <v>239</v>
      </c>
      <c r="C556" s="4">
        <v>587</v>
      </c>
      <c r="D556" s="4">
        <v>1</v>
      </c>
      <c r="E556" s="4">
        <v>1</v>
      </c>
      <c r="F556" s="4" t="s">
        <v>240</v>
      </c>
      <c r="G556" s="4" t="s">
        <v>241</v>
      </c>
      <c r="H556" s="4" t="s">
        <v>241</v>
      </c>
      <c r="I556" s="4" t="s">
        <v>696</v>
      </c>
      <c r="J556" s="4" t="s">
        <v>653</v>
      </c>
      <c r="K556" s="4" t="s">
        <v>256</v>
      </c>
      <c r="L556" s="4" t="s">
        <v>3018</v>
      </c>
      <c r="M556" s="5" t="s">
        <v>698</v>
      </c>
      <c r="N556" s="4" t="s">
        <v>3018</v>
      </c>
      <c r="O556" s="6">
        <f>208</f>
        <v>208</v>
      </c>
      <c r="P556" s="4" t="s">
        <v>276</v>
      </c>
      <c r="Q556" s="6">
        <f>1</f>
        <v>1</v>
      </c>
      <c r="R556" s="6">
        <f>20800000</f>
        <v>20800000</v>
      </c>
      <c r="S556" s="5" t="s">
        <v>2929</v>
      </c>
      <c r="T556" s="4" t="s">
        <v>357</v>
      </c>
      <c r="U556" s="4" t="s">
        <v>373</v>
      </c>
      <c r="W556" s="6">
        <f>20799999</f>
        <v>20799999</v>
      </c>
      <c r="X556" s="4" t="s">
        <v>243</v>
      </c>
      <c r="Y556" s="4" t="s">
        <v>244</v>
      </c>
      <c r="Z556" s="4" t="s">
        <v>465</v>
      </c>
      <c r="AA556" s="4" t="s">
        <v>241</v>
      </c>
      <c r="AD556" s="4" t="s">
        <v>241</v>
      </c>
      <c r="AF556" s="5" t="s">
        <v>241</v>
      </c>
      <c r="AI556" s="5" t="s">
        <v>249</v>
      </c>
      <c r="AJ556" s="4" t="s">
        <v>251</v>
      </c>
      <c r="AK556" s="4" t="s">
        <v>252</v>
      </c>
      <c r="BA556" s="4" t="s">
        <v>254</v>
      </c>
      <c r="BB556" s="4" t="s">
        <v>241</v>
      </c>
      <c r="BC556" s="4" t="s">
        <v>255</v>
      </c>
      <c r="BD556" s="4" t="s">
        <v>241</v>
      </c>
      <c r="BE556" s="4" t="s">
        <v>257</v>
      </c>
      <c r="BF556" s="4" t="s">
        <v>241</v>
      </c>
      <c r="BJ556" s="4" t="s">
        <v>367</v>
      </c>
      <c r="BK556" s="5" t="s">
        <v>249</v>
      </c>
      <c r="BL556" s="4" t="s">
        <v>261</v>
      </c>
      <c r="BM556" s="4" t="s">
        <v>262</v>
      </c>
      <c r="BN556" s="4" t="s">
        <v>241</v>
      </c>
      <c r="BO556" s="6">
        <f>0</f>
        <v>0</v>
      </c>
      <c r="BP556" s="6">
        <f>0</f>
        <v>0</v>
      </c>
      <c r="BQ556" s="4" t="s">
        <v>263</v>
      </c>
      <c r="BR556" s="4" t="s">
        <v>264</v>
      </c>
      <c r="CF556" s="4" t="s">
        <v>241</v>
      </c>
      <c r="CG556" s="4" t="s">
        <v>241</v>
      </c>
      <c r="CK556" s="4" t="s">
        <v>265</v>
      </c>
      <c r="CL556" s="4" t="s">
        <v>266</v>
      </c>
      <c r="CM556" s="4" t="s">
        <v>241</v>
      </c>
      <c r="CO556" s="4" t="s">
        <v>305</v>
      </c>
      <c r="CP556" s="5" t="s">
        <v>268</v>
      </c>
      <c r="CQ556" s="4" t="s">
        <v>269</v>
      </c>
      <c r="CR556" s="4" t="s">
        <v>270</v>
      </c>
      <c r="CS556" s="4" t="s">
        <v>241</v>
      </c>
      <c r="CT556" s="4" t="s">
        <v>241</v>
      </c>
      <c r="CU556" s="4">
        <v>0</v>
      </c>
      <c r="CV556" s="4" t="s">
        <v>271</v>
      </c>
      <c r="CW556" s="4" t="s">
        <v>272</v>
      </c>
      <c r="CX556" s="4" t="s">
        <v>356</v>
      </c>
      <c r="CZ556" s="6">
        <f>20800000</f>
        <v>20800000</v>
      </c>
      <c r="DA556" s="6">
        <f>0</f>
        <v>0</v>
      </c>
      <c r="DC556" s="4" t="s">
        <v>241</v>
      </c>
      <c r="DD556" s="4" t="s">
        <v>241</v>
      </c>
      <c r="DF556" s="4" t="s">
        <v>241</v>
      </c>
      <c r="DI556" s="4" t="s">
        <v>241</v>
      </c>
      <c r="DJ556" s="4" t="s">
        <v>241</v>
      </c>
      <c r="DK556" s="4" t="s">
        <v>241</v>
      </c>
      <c r="DL556" s="4" t="s">
        <v>241</v>
      </c>
      <c r="DM556" s="4" t="s">
        <v>277</v>
      </c>
      <c r="DN556" s="4" t="s">
        <v>278</v>
      </c>
      <c r="DO556" s="6">
        <f>208</f>
        <v>208</v>
      </c>
      <c r="DP556" s="4" t="s">
        <v>241</v>
      </c>
      <c r="DQ556" s="4" t="s">
        <v>241</v>
      </c>
      <c r="DR556" s="4" t="s">
        <v>241</v>
      </c>
      <c r="DS556" s="4" t="s">
        <v>241</v>
      </c>
      <c r="DV556" s="4" t="s">
        <v>699</v>
      </c>
      <c r="DW556" s="4" t="s">
        <v>300</v>
      </c>
      <c r="HO556" s="4" t="s">
        <v>277</v>
      </c>
      <c r="HR556" s="4" t="s">
        <v>278</v>
      </c>
      <c r="HS556" s="4" t="s">
        <v>278</v>
      </c>
    </row>
    <row r="557" spans="1:240" x14ac:dyDescent="0.4">
      <c r="A557" s="4">
        <v>2</v>
      </c>
      <c r="B557" s="4" t="s">
        <v>239</v>
      </c>
      <c r="C557" s="4">
        <v>588</v>
      </c>
      <c r="D557" s="4">
        <v>1</v>
      </c>
      <c r="E557" s="4">
        <v>3</v>
      </c>
      <c r="F557" s="4" t="s">
        <v>326</v>
      </c>
      <c r="G557" s="4" t="s">
        <v>241</v>
      </c>
      <c r="H557" s="4" t="s">
        <v>241</v>
      </c>
      <c r="I557" s="4" t="s">
        <v>696</v>
      </c>
      <c r="J557" s="4" t="s">
        <v>653</v>
      </c>
      <c r="K557" s="4" t="s">
        <v>256</v>
      </c>
      <c r="L557" s="4" t="s">
        <v>2769</v>
      </c>
      <c r="M557" s="5" t="s">
        <v>698</v>
      </c>
      <c r="N557" s="4" t="s">
        <v>2768</v>
      </c>
      <c r="O557" s="6">
        <f>0</f>
        <v>0</v>
      </c>
      <c r="P557" s="4" t="s">
        <v>276</v>
      </c>
      <c r="Q557" s="6">
        <f>2088660</f>
        <v>2088660</v>
      </c>
      <c r="R557" s="6">
        <f>2853360</f>
        <v>2853360</v>
      </c>
      <c r="S557" s="5" t="s">
        <v>425</v>
      </c>
      <c r="T557" s="4" t="s">
        <v>348</v>
      </c>
      <c r="U557" s="4" t="s">
        <v>297</v>
      </c>
      <c r="V557" s="6">
        <f>191175</f>
        <v>191175</v>
      </c>
      <c r="W557" s="6">
        <f>764700</f>
        <v>764700</v>
      </c>
      <c r="X557" s="4" t="s">
        <v>243</v>
      </c>
      <c r="Y557" s="4" t="s">
        <v>244</v>
      </c>
      <c r="Z557" s="4" t="s">
        <v>465</v>
      </c>
      <c r="AA557" s="4" t="s">
        <v>241</v>
      </c>
      <c r="AD557" s="4" t="s">
        <v>241</v>
      </c>
      <c r="AE557" s="5" t="s">
        <v>241</v>
      </c>
      <c r="AF557" s="5" t="s">
        <v>241</v>
      </c>
      <c r="AH557" s="5" t="s">
        <v>241</v>
      </c>
      <c r="AI557" s="5" t="s">
        <v>249</v>
      </c>
      <c r="AJ557" s="4" t="s">
        <v>251</v>
      </c>
      <c r="AK557" s="4" t="s">
        <v>252</v>
      </c>
      <c r="AQ557" s="4" t="s">
        <v>241</v>
      </c>
      <c r="AR557" s="4" t="s">
        <v>241</v>
      </c>
      <c r="AS557" s="4" t="s">
        <v>241</v>
      </c>
      <c r="AT557" s="5" t="s">
        <v>241</v>
      </c>
      <c r="AU557" s="5" t="s">
        <v>241</v>
      </c>
      <c r="AV557" s="5" t="s">
        <v>241</v>
      </c>
      <c r="AY557" s="4" t="s">
        <v>286</v>
      </c>
      <c r="AZ557" s="4" t="s">
        <v>286</v>
      </c>
      <c r="BA557" s="4" t="s">
        <v>254</v>
      </c>
      <c r="BB557" s="4" t="s">
        <v>287</v>
      </c>
      <c r="BC557" s="4" t="s">
        <v>255</v>
      </c>
      <c r="BD557" s="4" t="s">
        <v>241</v>
      </c>
      <c r="BE557" s="4" t="s">
        <v>257</v>
      </c>
      <c r="BF557" s="4" t="s">
        <v>241</v>
      </c>
      <c r="BJ557" s="4" t="s">
        <v>288</v>
      </c>
      <c r="BK557" s="5" t="s">
        <v>289</v>
      </c>
      <c r="BL557" s="4" t="s">
        <v>290</v>
      </c>
      <c r="BM557" s="4" t="s">
        <v>290</v>
      </c>
      <c r="BN557" s="4" t="s">
        <v>241</v>
      </c>
      <c r="BP557" s="6">
        <f>-191175</f>
        <v>-191175</v>
      </c>
      <c r="BQ557" s="4" t="s">
        <v>263</v>
      </c>
      <c r="BR557" s="4" t="s">
        <v>264</v>
      </c>
      <c r="BS557" s="4" t="s">
        <v>241</v>
      </c>
      <c r="BT557" s="4" t="s">
        <v>241</v>
      </c>
      <c r="BU557" s="4" t="s">
        <v>241</v>
      </c>
      <c r="BV557" s="4" t="s">
        <v>241</v>
      </c>
      <c r="CE557" s="4" t="s">
        <v>264</v>
      </c>
      <c r="CF557" s="4" t="s">
        <v>241</v>
      </c>
      <c r="CG557" s="4" t="s">
        <v>241</v>
      </c>
      <c r="CK557" s="4" t="s">
        <v>291</v>
      </c>
      <c r="CL557" s="4" t="s">
        <v>266</v>
      </c>
      <c r="CM557" s="4" t="s">
        <v>241</v>
      </c>
      <c r="CO557" s="4" t="s">
        <v>413</v>
      </c>
      <c r="CP557" s="5" t="s">
        <v>268</v>
      </c>
      <c r="CQ557" s="4" t="s">
        <v>269</v>
      </c>
      <c r="CR557" s="4" t="s">
        <v>270</v>
      </c>
      <c r="CS557" s="4" t="s">
        <v>293</v>
      </c>
      <c r="CT557" s="4" t="s">
        <v>241</v>
      </c>
      <c r="CU557" s="4">
        <v>6.7000000000000004E-2</v>
      </c>
      <c r="CV557" s="4" t="s">
        <v>271</v>
      </c>
      <c r="CW557" s="4" t="s">
        <v>415</v>
      </c>
      <c r="CX557" s="4" t="s">
        <v>416</v>
      </c>
      <c r="CY557" s="6">
        <f>0</f>
        <v>0</v>
      </c>
      <c r="CZ557" s="6">
        <f>2853360</f>
        <v>2853360</v>
      </c>
      <c r="DA557" s="6">
        <f>2088660</f>
        <v>2088660</v>
      </c>
      <c r="DC557" s="4" t="s">
        <v>241</v>
      </c>
      <c r="DD557" s="4" t="s">
        <v>241</v>
      </c>
      <c r="DF557" s="4" t="s">
        <v>241</v>
      </c>
      <c r="DG557" s="6">
        <f>0</f>
        <v>0</v>
      </c>
      <c r="DI557" s="4" t="s">
        <v>241</v>
      </c>
      <c r="DJ557" s="4" t="s">
        <v>241</v>
      </c>
      <c r="DK557" s="4" t="s">
        <v>241</v>
      </c>
      <c r="DL557" s="4" t="s">
        <v>241</v>
      </c>
      <c r="DM557" s="4" t="s">
        <v>278</v>
      </c>
      <c r="DN557" s="4" t="s">
        <v>278</v>
      </c>
      <c r="DO557" s="6" t="s">
        <v>241</v>
      </c>
      <c r="DP557" s="4" t="s">
        <v>241</v>
      </c>
      <c r="DQ557" s="4" t="s">
        <v>241</v>
      </c>
      <c r="DR557" s="4" t="s">
        <v>241</v>
      </c>
      <c r="DS557" s="4" t="s">
        <v>241</v>
      </c>
      <c r="DV557" s="4" t="s">
        <v>699</v>
      </c>
      <c r="DW557" s="4" t="s">
        <v>341</v>
      </c>
      <c r="GN557" s="4" t="s">
        <v>2770</v>
      </c>
      <c r="HO557" s="4" t="s">
        <v>351</v>
      </c>
      <c r="HR557" s="4" t="s">
        <v>278</v>
      </c>
      <c r="HS557" s="4" t="s">
        <v>278</v>
      </c>
      <c r="HT557" s="4" t="s">
        <v>241</v>
      </c>
      <c r="HU557" s="4" t="s">
        <v>241</v>
      </c>
      <c r="HV557" s="4" t="s">
        <v>241</v>
      </c>
      <c r="HW557" s="4" t="s">
        <v>241</v>
      </c>
      <c r="HX557" s="4" t="s">
        <v>241</v>
      </c>
      <c r="HY557" s="4" t="s">
        <v>241</v>
      </c>
      <c r="HZ557" s="4" t="s">
        <v>241</v>
      </c>
      <c r="IA557" s="4" t="s">
        <v>241</v>
      </c>
      <c r="IB557" s="4" t="s">
        <v>241</v>
      </c>
      <c r="IC557" s="4" t="s">
        <v>241</v>
      </c>
      <c r="ID557" s="4" t="s">
        <v>241</v>
      </c>
      <c r="IE557" s="4" t="s">
        <v>241</v>
      </c>
      <c r="IF557" s="4" t="s">
        <v>241</v>
      </c>
    </row>
    <row r="558" spans="1:240" x14ac:dyDescent="0.4">
      <c r="A558" s="4">
        <v>2</v>
      </c>
      <c r="B558" s="4" t="s">
        <v>239</v>
      </c>
      <c r="C558" s="4">
        <v>589</v>
      </c>
      <c r="D558" s="4">
        <v>1</v>
      </c>
      <c r="E558" s="4">
        <v>3</v>
      </c>
      <c r="F558" s="4" t="s">
        <v>326</v>
      </c>
      <c r="G558" s="4" t="s">
        <v>241</v>
      </c>
      <c r="H558" s="4" t="s">
        <v>241</v>
      </c>
      <c r="I558" s="4" t="s">
        <v>696</v>
      </c>
      <c r="J558" s="4" t="s">
        <v>653</v>
      </c>
      <c r="K558" s="4" t="s">
        <v>256</v>
      </c>
      <c r="L558" s="4" t="s">
        <v>241</v>
      </c>
      <c r="M558" s="5" t="s">
        <v>698</v>
      </c>
      <c r="N558" s="4" t="s">
        <v>2749</v>
      </c>
      <c r="O558" s="6">
        <f>0</f>
        <v>0</v>
      </c>
      <c r="P558" s="4" t="s">
        <v>276</v>
      </c>
      <c r="Q558" s="6">
        <f>2619828</f>
        <v>2619828</v>
      </c>
      <c r="R558" s="6">
        <f>3278880</f>
        <v>3278880</v>
      </c>
      <c r="S558" s="5" t="s">
        <v>1209</v>
      </c>
      <c r="T558" s="4" t="s">
        <v>348</v>
      </c>
      <c r="U558" s="4" t="s">
        <v>323</v>
      </c>
      <c r="V558" s="6">
        <f>219684</f>
        <v>219684</v>
      </c>
      <c r="W558" s="6">
        <f>659052</f>
        <v>659052</v>
      </c>
      <c r="X558" s="4" t="s">
        <v>243</v>
      </c>
      <c r="Y558" s="4" t="s">
        <v>244</v>
      </c>
      <c r="Z558" s="4" t="s">
        <v>241</v>
      </c>
      <c r="AA558" s="4" t="s">
        <v>241</v>
      </c>
      <c r="AD558" s="4" t="s">
        <v>241</v>
      </c>
      <c r="AE558" s="5" t="s">
        <v>241</v>
      </c>
      <c r="AF558" s="5" t="s">
        <v>241</v>
      </c>
      <c r="AH558" s="5" t="s">
        <v>241</v>
      </c>
      <c r="AI558" s="5" t="s">
        <v>249</v>
      </c>
      <c r="AJ558" s="4" t="s">
        <v>251</v>
      </c>
      <c r="AK558" s="4" t="s">
        <v>252</v>
      </c>
      <c r="AQ558" s="4" t="s">
        <v>241</v>
      </c>
      <c r="AR558" s="4" t="s">
        <v>241</v>
      </c>
      <c r="AS558" s="4" t="s">
        <v>241</v>
      </c>
      <c r="AT558" s="5" t="s">
        <v>241</v>
      </c>
      <c r="AU558" s="5" t="s">
        <v>241</v>
      </c>
      <c r="AV558" s="5" t="s">
        <v>241</v>
      </c>
      <c r="AY558" s="4" t="s">
        <v>286</v>
      </c>
      <c r="AZ558" s="4" t="s">
        <v>286</v>
      </c>
      <c r="BA558" s="4" t="s">
        <v>254</v>
      </c>
      <c r="BB558" s="4" t="s">
        <v>287</v>
      </c>
      <c r="BC558" s="4" t="s">
        <v>255</v>
      </c>
      <c r="BD558" s="4" t="s">
        <v>241</v>
      </c>
      <c r="BE558" s="4" t="s">
        <v>257</v>
      </c>
      <c r="BF558" s="4" t="s">
        <v>241</v>
      </c>
      <c r="BJ558" s="4" t="s">
        <v>288</v>
      </c>
      <c r="BK558" s="5" t="s">
        <v>289</v>
      </c>
      <c r="BL558" s="4" t="s">
        <v>290</v>
      </c>
      <c r="BM558" s="4" t="s">
        <v>290</v>
      </c>
      <c r="BN558" s="4" t="s">
        <v>241</v>
      </c>
      <c r="BP558" s="6">
        <f>-219684</f>
        <v>-219684</v>
      </c>
      <c r="BQ558" s="4" t="s">
        <v>263</v>
      </c>
      <c r="BR558" s="4" t="s">
        <v>264</v>
      </c>
      <c r="BS558" s="4" t="s">
        <v>241</v>
      </c>
      <c r="BT558" s="4" t="s">
        <v>241</v>
      </c>
      <c r="BU558" s="4" t="s">
        <v>241</v>
      </c>
      <c r="BV558" s="4" t="s">
        <v>241</v>
      </c>
      <c r="CE558" s="4" t="s">
        <v>264</v>
      </c>
      <c r="CF558" s="4" t="s">
        <v>241</v>
      </c>
      <c r="CG558" s="4" t="s">
        <v>241</v>
      </c>
      <c r="CK558" s="4" t="s">
        <v>291</v>
      </c>
      <c r="CL558" s="4" t="s">
        <v>266</v>
      </c>
      <c r="CM558" s="4" t="s">
        <v>241</v>
      </c>
      <c r="CO558" s="4" t="s">
        <v>421</v>
      </c>
      <c r="CP558" s="5" t="s">
        <v>268</v>
      </c>
      <c r="CQ558" s="4" t="s">
        <v>269</v>
      </c>
      <c r="CR558" s="4" t="s">
        <v>270</v>
      </c>
      <c r="CS558" s="4" t="s">
        <v>293</v>
      </c>
      <c r="CT558" s="4" t="s">
        <v>241</v>
      </c>
      <c r="CU558" s="4">
        <v>6.7000000000000004E-2</v>
      </c>
      <c r="CV558" s="4" t="s">
        <v>271</v>
      </c>
      <c r="CW558" s="4" t="s">
        <v>415</v>
      </c>
      <c r="CX558" s="4" t="s">
        <v>422</v>
      </c>
      <c r="CY558" s="6">
        <f>0</f>
        <v>0</v>
      </c>
      <c r="CZ558" s="6">
        <f>3278880</f>
        <v>3278880</v>
      </c>
      <c r="DA558" s="6">
        <f>2619828</f>
        <v>2619828</v>
      </c>
      <c r="DC558" s="4" t="s">
        <v>241</v>
      </c>
      <c r="DD558" s="4" t="s">
        <v>241</v>
      </c>
      <c r="DF558" s="4" t="s">
        <v>241</v>
      </c>
      <c r="DG558" s="6">
        <f>0</f>
        <v>0</v>
      </c>
      <c r="DI558" s="4" t="s">
        <v>241</v>
      </c>
      <c r="DJ558" s="4" t="s">
        <v>241</v>
      </c>
      <c r="DK558" s="4" t="s">
        <v>241</v>
      </c>
      <c r="DL558" s="4" t="s">
        <v>241</v>
      </c>
      <c r="DM558" s="4" t="s">
        <v>278</v>
      </c>
      <c r="DN558" s="4" t="s">
        <v>278</v>
      </c>
      <c r="DO558" s="6" t="s">
        <v>241</v>
      </c>
      <c r="DP558" s="4" t="s">
        <v>241</v>
      </c>
      <c r="DQ558" s="4" t="s">
        <v>241</v>
      </c>
      <c r="DR558" s="4" t="s">
        <v>241</v>
      </c>
      <c r="DS558" s="4" t="s">
        <v>241</v>
      </c>
      <c r="DV558" s="4" t="s">
        <v>699</v>
      </c>
      <c r="DW558" s="4" t="s">
        <v>343</v>
      </c>
      <c r="GN558" s="4" t="s">
        <v>2767</v>
      </c>
      <c r="HO558" s="4" t="s">
        <v>336</v>
      </c>
      <c r="HR558" s="4" t="s">
        <v>278</v>
      </c>
      <c r="HS558" s="4" t="s">
        <v>278</v>
      </c>
      <c r="HT558" s="4" t="s">
        <v>241</v>
      </c>
      <c r="HU558" s="4" t="s">
        <v>241</v>
      </c>
      <c r="HV558" s="4" t="s">
        <v>241</v>
      </c>
      <c r="HW558" s="4" t="s">
        <v>241</v>
      </c>
      <c r="HX558" s="4" t="s">
        <v>241</v>
      </c>
      <c r="HY558" s="4" t="s">
        <v>241</v>
      </c>
      <c r="HZ558" s="4" t="s">
        <v>241</v>
      </c>
      <c r="IA558" s="4" t="s">
        <v>241</v>
      </c>
      <c r="IB558" s="4" t="s">
        <v>241</v>
      </c>
      <c r="IC558" s="4" t="s">
        <v>241</v>
      </c>
      <c r="ID558" s="4" t="s">
        <v>241</v>
      </c>
      <c r="IE558" s="4" t="s">
        <v>241</v>
      </c>
      <c r="IF558" s="4" t="s">
        <v>241</v>
      </c>
    </row>
    <row r="559" spans="1:240" x14ac:dyDescent="0.4">
      <c r="A559" s="4">
        <v>2</v>
      </c>
      <c r="B559" s="4" t="s">
        <v>239</v>
      </c>
      <c r="C559" s="4">
        <v>590</v>
      </c>
      <c r="D559" s="4">
        <v>1</v>
      </c>
      <c r="E559" s="4">
        <v>3</v>
      </c>
      <c r="F559" s="4" t="s">
        <v>326</v>
      </c>
      <c r="G559" s="4" t="s">
        <v>241</v>
      </c>
      <c r="H559" s="4" t="s">
        <v>241</v>
      </c>
      <c r="I559" s="4" t="s">
        <v>696</v>
      </c>
      <c r="J559" s="4" t="s">
        <v>653</v>
      </c>
      <c r="K559" s="4" t="s">
        <v>256</v>
      </c>
      <c r="L559" s="4" t="s">
        <v>241</v>
      </c>
      <c r="M559" s="5" t="s">
        <v>698</v>
      </c>
      <c r="N559" s="4" t="s">
        <v>2765</v>
      </c>
      <c r="O559" s="6">
        <f>0</f>
        <v>0</v>
      </c>
      <c r="P559" s="4" t="s">
        <v>276</v>
      </c>
      <c r="Q559" s="6">
        <f>215106</f>
        <v>215106</v>
      </c>
      <c r="R559" s="6">
        <f>279720</f>
        <v>279720</v>
      </c>
      <c r="S559" s="5" t="s">
        <v>2718</v>
      </c>
      <c r="T559" s="4" t="s">
        <v>322</v>
      </c>
      <c r="U559" s="4" t="s">
        <v>323</v>
      </c>
      <c r="V559" s="6">
        <f>21538</f>
        <v>21538</v>
      </c>
      <c r="W559" s="6">
        <f>64614</f>
        <v>64614</v>
      </c>
      <c r="X559" s="4" t="s">
        <v>243</v>
      </c>
      <c r="Y559" s="4" t="s">
        <v>244</v>
      </c>
      <c r="Z559" s="4" t="s">
        <v>241</v>
      </c>
      <c r="AA559" s="4" t="s">
        <v>241</v>
      </c>
      <c r="AD559" s="4" t="s">
        <v>241</v>
      </c>
      <c r="AE559" s="5" t="s">
        <v>241</v>
      </c>
      <c r="AF559" s="5" t="s">
        <v>241</v>
      </c>
      <c r="AH559" s="5" t="s">
        <v>241</v>
      </c>
      <c r="AI559" s="5" t="s">
        <v>249</v>
      </c>
      <c r="AJ559" s="4" t="s">
        <v>251</v>
      </c>
      <c r="AK559" s="4" t="s">
        <v>252</v>
      </c>
      <c r="AQ559" s="4" t="s">
        <v>241</v>
      </c>
      <c r="AR559" s="4" t="s">
        <v>241</v>
      </c>
      <c r="AS559" s="4" t="s">
        <v>241</v>
      </c>
      <c r="AT559" s="5" t="s">
        <v>241</v>
      </c>
      <c r="AU559" s="5" t="s">
        <v>241</v>
      </c>
      <c r="AV559" s="5" t="s">
        <v>241</v>
      </c>
      <c r="AY559" s="4" t="s">
        <v>286</v>
      </c>
      <c r="AZ559" s="4" t="s">
        <v>286</v>
      </c>
      <c r="BA559" s="4" t="s">
        <v>254</v>
      </c>
      <c r="BB559" s="4" t="s">
        <v>287</v>
      </c>
      <c r="BC559" s="4" t="s">
        <v>255</v>
      </c>
      <c r="BD559" s="4" t="s">
        <v>241</v>
      </c>
      <c r="BE559" s="4" t="s">
        <v>257</v>
      </c>
      <c r="BF559" s="4" t="s">
        <v>241</v>
      </c>
      <c r="BJ559" s="4" t="s">
        <v>288</v>
      </c>
      <c r="BK559" s="5" t="s">
        <v>289</v>
      </c>
      <c r="BL559" s="4" t="s">
        <v>290</v>
      </c>
      <c r="BM559" s="4" t="s">
        <v>290</v>
      </c>
      <c r="BN559" s="4" t="s">
        <v>241</v>
      </c>
      <c r="BP559" s="6">
        <f>-21538</f>
        <v>-21538</v>
      </c>
      <c r="BQ559" s="4" t="s">
        <v>263</v>
      </c>
      <c r="BR559" s="4" t="s">
        <v>264</v>
      </c>
      <c r="BS559" s="4" t="s">
        <v>241</v>
      </c>
      <c r="BT559" s="4" t="s">
        <v>241</v>
      </c>
      <c r="BU559" s="4" t="s">
        <v>241</v>
      </c>
      <c r="BV559" s="4" t="s">
        <v>241</v>
      </c>
      <c r="CE559" s="4" t="s">
        <v>264</v>
      </c>
      <c r="CF559" s="4" t="s">
        <v>241</v>
      </c>
      <c r="CG559" s="4" t="s">
        <v>241</v>
      </c>
      <c r="CK559" s="4" t="s">
        <v>291</v>
      </c>
      <c r="CL559" s="4" t="s">
        <v>266</v>
      </c>
      <c r="CM559" s="4" t="s">
        <v>241</v>
      </c>
      <c r="CO559" s="4" t="s">
        <v>421</v>
      </c>
      <c r="CP559" s="5" t="s">
        <v>268</v>
      </c>
      <c r="CQ559" s="4" t="s">
        <v>269</v>
      </c>
      <c r="CR559" s="4" t="s">
        <v>270</v>
      </c>
      <c r="CS559" s="4" t="s">
        <v>293</v>
      </c>
      <c r="CT559" s="4" t="s">
        <v>241</v>
      </c>
      <c r="CU559" s="4">
        <v>7.6999999999999999E-2</v>
      </c>
      <c r="CV559" s="4" t="s">
        <v>271</v>
      </c>
      <c r="CW559" s="4" t="s">
        <v>415</v>
      </c>
      <c r="CX559" s="4" t="s">
        <v>428</v>
      </c>
      <c r="CY559" s="6">
        <f>0</f>
        <v>0</v>
      </c>
      <c r="CZ559" s="6">
        <f>279720</f>
        <v>279720</v>
      </c>
      <c r="DA559" s="6">
        <f>215106</f>
        <v>215106</v>
      </c>
      <c r="DC559" s="4" t="s">
        <v>241</v>
      </c>
      <c r="DD559" s="4" t="s">
        <v>241</v>
      </c>
      <c r="DF559" s="4" t="s">
        <v>241</v>
      </c>
      <c r="DG559" s="6">
        <f>0</f>
        <v>0</v>
      </c>
      <c r="DI559" s="4" t="s">
        <v>241</v>
      </c>
      <c r="DJ559" s="4" t="s">
        <v>241</v>
      </c>
      <c r="DK559" s="4" t="s">
        <v>241</v>
      </c>
      <c r="DL559" s="4" t="s">
        <v>241</v>
      </c>
      <c r="DM559" s="4" t="s">
        <v>278</v>
      </c>
      <c r="DN559" s="4" t="s">
        <v>278</v>
      </c>
      <c r="DO559" s="6" t="s">
        <v>241</v>
      </c>
      <c r="DP559" s="4" t="s">
        <v>241</v>
      </c>
      <c r="DQ559" s="4" t="s">
        <v>241</v>
      </c>
      <c r="DR559" s="4" t="s">
        <v>241</v>
      </c>
      <c r="DS559" s="4" t="s">
        <v>241</v>
      </c>
      <c r="DV559" s="4" t="s">
        <v>699</v>
      </c>
      <c r="DW559" s="4" t="s">
        <v>417</v>
      </c>
      <c r="GN559" s="4" t="s">
        <v>2766</v>
      </c>
      <c r="HO559" s="4" t="s">
        <v>336</v>
      </c>
      <c r="HR559" s="4" t="s">
        <v>278</v>
      </c>
      <c r="HS559" s="4" t="s">
        <v>278</v>
      </c>
      <c r="HT559" s="4" t="s">
        <v>241</v>
      </c>
      <c r="HU559" s="4" t="s">
        <v>241</v>
      </c>
      <c r="HV559" s="4" t="s">
        <v>241</v>
      </c>
      <c r="HW559" s="4" t="s">
        <v>241</v>
      </c>
      <c r="HX559" s="4" t="s">
        <v>241</v>
      </c>
      <c r="HY559" s="4" t="s">
        <v>241</v>
      </c>
      <c r="HZ559" s="4" t="s">
        <v>241</v>
      </c>
      <c r="IA559" s="4" t="s">
        <v>241</v>
      </c>
      <c r="IB559" s="4" t="s">
        <v>241</v>
      </c>
      <c r="IC559" s="4" t="s">
        <v>241</v>
      </c>
      <c r="ID559" s="4" t="s">
        <v>241</v>
      </c>
      <c r="IE559" s="4" t="s">
        <v>241</v>
      </c>
      <c r="IF559" s="4" t="s">
        <v>241</v>
      </c>
    </row>
    <row r="560" spans="1:240" x14ac:dyDescent="0.4">
      <c r="A560" s="4">
        <v>2</v>
      </c>
      <c r="B560" s="4" t="s">
        <v>239</v>
      </c>
      <c r="C560" s="4">
        <v>591</v>
      </c>
      <c r="D560" s="4">
        <v>1</v>
      </c>
      <c r="E560" s="4">
        <v>3</v>
      </c>
      <c r="F560" s="4" t="s">
        <v>326</v>
      </c>
      <c r="G560" s="4" t="s">
        <v>241</v>
      </c>
      <c r="H560" s="4" t="s">
        <v>241</v>
      </c>
      <c r="I560" s="4" t="s">
        <v>696</v>
      </c>
      <c r="J560" s="4" t="s">
        <v>653</v>
      </c>
      <c r="K560" s="4" t="s">
        <v>256</v>
      </c>
      <c r="L560" s="4" t="s">
        <v>241</v>
      </c>
      <c r="M560" s="5" t="s">
        <v>698</v>
      </c>
      <c r="N560" s="4" t="s">
        <v>2747</v>
      </c>
      <c r="O560" s="6">
        <f>0</f>
        <v>0</v>
      </c>
      <c r="P560" s="4" t="s">
        <v>276</v>
      </c>
      <c r="Q560" s="6">
        <f>52359596</f>
        <v>52359596</v>
      </c>
      <c r="R560" s="6">
        <f>61890774</f>
        <v>61890774</v>
      </c>
      <c r="S560" s="5" t="s">
        <v>1104</v>
      </c>
      <c r="T560" s="4" t="s">
        <v>322</v>
      </c>
      <c r="U560" s="4" t="s">
        <v>277</v>
      </c>
      <c r="V560" s="6">
        <f>4765589</f>
        <v>4765589</v>
      </c>
      <c r="W560" s="6">
        <f>9531178</f>
        <v>9531178</v>
      </c>
      <c r="X560" s="4" t="s">
        <v>243</v>
      </c>
      <c r="Y560" s="4" t="s">
        <v>244</v>
      </c>
      <c r="Z560" s="4" t="s">
        <v>241</v>
      </c>
      <c r="AA560" s="4" t="s">
        <v>241</v>
      </c>
      <c r="AD560" s="4" t="s">
        <v>241</v>
      </c>
      <c r="AE560" s="5" t="s">
        <v>241</v>
      </c>
      <c r="AF560" s="5" t="s">
        <v>241</v>
      </c>
      <c r="AH560" s="5" t="s">
        <v>241</v>
      </c>
      <c r="AI560" s="5" t="s">
        <v>249</v>
      </c>
      <c r="AJ560" s="4" t="s">
        <v>251</v>
      </c>
      <c r="AK560" s="4" t="s">
        <v>252</v>
      </c>
      <c r="AQ560" s="4" t="s">
        <v>241</v>
      </c>
      <c r="AR560" s="4" t="s">
        <v>241</v>
      </c>
      <c r="AS560" s="4" t="s">
        <v>241</v>
      </c>
      <c r="AT560" s="5" t="s">
        <v>241</v>
      </c>
      <c r="AU560" s="5" t="s">
        <v>241</v>
      </c>
      <c r="AV560" s="5" t="s">
        <v>241</v>
      </c>
      <c r="AY560" s="4" t="s">
        <v>286</v>
      </c>
      <c r="AZ560" s="4" t="s">
        <v>286</v>
      </c>
      <c r="BA560" s="4" t="s">
        <v>254</v>
      </c>
      <c r="BB560" s="4" t="s">
        <v>287</v>
      </c>
      <c r="BC560" s="4" t="s">
        <v>255</v>
      </c>
      <c r="BD560" s="4" t="s">
        <v>241</v>
      </c>
      <c r="BE560" s="4" t="s">
        <v>257</v>
      </c>
      <c r="BF560" s="4" t="s">
        <v>241</v>
      </c>
      <c r="BJ560" s="4" t="s">
        <v>288</v>
      </c>
      <c r="BK560" s="5" t="s">
        <v>289</v>
      </c>
      <c r="BL560" s="4" t="s">
        <v>290</v>
      </c>
      <c r="BM560" s="4" t="s">
        <v>290</v>
      </c>
      <c r="BN560" s="4" t="s">
        <v>241</v>
      </c>
      <c r="BP560" s="6">
        <f>-4765589</f>
        <v>-4765589</v>
      </c>
      <c r="BQ560" s="4" t="s">
        <v>263</v>
      </c>
      <c r="BR560" s="4" t="s">
        <v>264</v>
      </c>
      <c r="BS560" s="4" t="s">
        <v>241</v>
      </c>
      <c r="BT560" s="4" t="s">
        <v>241</v>
      </c>
      <c r="BU560" s="4" t="s">
        <v>241</v>
      </c>
      <c r="BV560" s="4" t="s">
        <v>241</v>
      </c>
      <c r="CE560" s="4" t="s">
        <v>264</v>
      </c>
      <c r="CF560" s="4" t="s">
        <v>241</v>
      </c>
      <c r="CG560" s="4" t="s">
        <v>241</v>
      </c>
      <c r="CK560" s="4" t="s">
        <v>291</v>
      </c>
      <c r="CL560" s="4" t="s">
        <v>266</v>
      </c>
      <c r="CM560" s="4" t="s">
        <v>241</v>
      </c>
      <c r="CO560" s="4" t="s">
        <v>331</v>
      </c>
      <c r="CP560" s="5" t="s">
        <v>268</v>
      </c>
      <c r="CQ560" s="4" t="s">
        <v>269</v>
      </c>
      <c r="CR560" s="4" t="s">
        <v>270</v>
      </c>
      <c r="CS560" s="4" t="s">
        <v>293</v>
      </c>
      <c r="CT560" s="4" t="s">
        <v>241</v>
      </c>
      <c r="CU560" s="4">
        <v>7.6999999999999999E-2</v>
      </c>
      <c r="CV560" s="4" t="s">
        <v>271</v>
      </c>
      <c r="CW560" s="4" t="s">
        <v>415</v>
      </c>
      <c r="CX560" s="4" t="s">
        <v>428</v>
      </c>
      <c r="CY560" s="6">
        <f>0</f>
        <v>0</v>
      </c>
      <c r="CZ560" s="6">
        <f>61890774</f>
        <v>61890774</v>
      </c>
      <c r="DA560" s="6">
        <f>52359596</f>
        <v>52359596</v>
      </c>
      <c r="DC560" s="4" t="s">
        <v>241</v>
      </c>
      <c r="DD560" s="4" t="s">
        <v>241</v>
      </c>
      <c r="DF560" s="4" t="s">
        <v>241</v>
      </c>
      <c r="DG560" s="6">
        <f>0</f>
        <v>0</v>
      </c>
      <c r="DI560" s="4" t="s">
        <v>241</v>
      </c>
      <c r="DJ560" s="4" t="s">
        <v>241</v>
      </c>
      <c r="DK560" s="4" t="s">
        <v>241</v>
      </c>
      <c r="DL560" s="4" t="s">
        <v>241</v>
      </c>
      <c r="DM560" s="4" t="s">
        <v>278</v>
      </c>
      <c r="DN560" s="4" t="s">
        <v>278</v>
      </c>
      <c r="DO560" s="6" t="s">
        <v>241</v>
      </c>
      <c r="DP560" s="4" t="s">
        <v>241</v>
      </c>
      <c r="DQ560" s="4" t="s">
        <v>241</v>
      </c>
      <c r="DR560" s="4" t="s">
        <v>241</v>
      </c>
      <c r="DS560" s="4" t="s">
        <v>241</v>
      </c>
      <c r="DV560" s="4" t="s">
        <v>699</v>
      </c>
      <c r="DW560" s="4" t="s">
        <v>427</v>
      </c>
      <c r="GN560" s="4" t="s">
        <v>2764</v>
      </c>
      <c r="HO560" s="4" t="s">
        <v>297</v>
      </c>
      <c r="HR560" s="4" t="s">
        <v>278</v>
      </c>
      <c r="HS560" s="4" t="s">
        <v>278</v>
      </c>
      <c r="HT560" s="4" t="s">
        <v>241</v>
      </c>
      <c r="HU560" s="4" t="s">
        <v>241</v>
      </c>
      <c r="HV560" s="4" t="s">
        <v>241</v>
      </c>
      <c r="HW560" s="4" t="s">
        <v>241</v>
      </c>
      <c r="HX560" s="4" t="s">
        <v>241</v>
      </c>
      <c r="HY560" s="4" t="s">
        <v>241</v>
      </c>
      <c r="HZ560" s="4" t="s">
        <v>241</v>
      </c>
      <c r="IA560" s="4" t="s">
        <v>241</v>
      </c>
      <c r="IB560" s="4" t="s">
        <v>241</v>
      </c>
      <c r="IC560" s="4" t="s">
        <v>241</v>
      </c>
      <c r="ID560" s="4" t="s">
        <v>241</v>
      </c>
      <c r="IE560" s="4" t="s">
        <v>241</v>
      </c>
      <c r="IF560" s="4" t="s">
        <v>241</v>
      </c>
    </row>
    <row r="561" spans="1:240" x14ac:dyDescent="0.4">
      <c r="A561" s="4">
        <v>2</v>
      </c>
      <c r="B561" s="4" t="s">
        <v>239</v>
      </c>
      <c r="C561" s="4">
        <v>592</v>
      </c>
      <c r="D561" s="4">
        <v>1</v>
      </c>
      <c r="E561" s="4">
        <v>3</v>
      </c>
      <c r="F561" s="4" t="s">
        <v>240</v>
      </c>
      <c r="G561" s="4" t="s">
        <v>241</v>
      </c>
      <c r="H561" s="4" t="s">
        <v>241</v>
      </c>
      <c r="I561" s="4" t="s">
        <v>707</v>
      </c>
      <c r="J561" s="4" t="s">
        <v>653</v>
      </c>
      <c r="K561" s="4" t="s">
        <v>256</v>
      </c>
      <c r="L561" s="4" t="s">
        <v>651</v>
      </c>
      <c r="M561" s="5" t="s">
        <v>709</v>
      </c>
      <c r="N561" s="4" t="s">
        <v>651</v>
      </c>
      <c r="O561" s="6">
        <f>3710</f>
        <v>3710</v>
      </c>
      <c r="P561" s="4" t="s">
        <v>276</v>
      </c>
      <c r="Q561" s="6">
        <f>71120700</f>
        <v>71120700</v>
      </c>
      <c r="R561" s="6">
        <f>500850000</f>
        <v>500850000</v>
      </c>
      <c r="S561" s="5" t="s">
        <v>708</v>
      </c>
      <c r="T561" s="4" t="s">
        <v>668</v>
      </c>
      <c r="U561" s="4" t="s">
        <v>333</v>
      </c>
      <c r="V561" s="6">
        <f>11018700</f>
        <v>11018700</v>
      </c>
      <c r="W561" s="6">
        <f>429729300</f>
        <v>429729300</v>
      </c>
      <c r="X561" s="4" t="s">
        <v>243</v>
      </c>
      <c r="Y561" s="4" t="s">
        <v>244</v>
      </c>
      <c r="Z561" s="4" t="s">
        <v>465</v>
      </c>
      <c r="AA561" s="4" t="s">
        <v>241</v>
      </c>
      <c r="AD561" s="4" t="s">
        <v>241</v>
      </c>
      <c r="AE561" s="5" t="s">
        <v>241</v>
      </c>
      <c r="AF561" s="5" t="s">
        <v>241</v>
      </c>
      <c r="AH561" s="5" t="s">
        <v>241</v>
      </c>
      <c r="AI561" s="5" t="s">
        <v>249</v>
      </c>
      <c r="AJ561" s="4" t="s">
        <v>251</v>
      </c>
      <c r="AK561" s="4" t="s">
        <v>252</v>
      </c>
      <c r="AQ561" s="4" t="s">
        <v>241</v>
      </c>
      <c r="AR561" s="4" t="s">
        <v>241</v>
      </c>
      <c r="AS561" s="4" t="s">
        <v>241</v>
      </c>
      <c r="AT561" s="5" t="s">
        <v>241</v>
      </c>
      <c r="AU561" s="5" t="s">
        <v>241</v>
      </c>
      <c r="AV561" s="5" t="s">
        <v>241</v>
      </c>
      <c r="AY561" s="4" t="s">
        <v>286</v>
      </c>
      <c r="AZ561" s="4" t="s">
        <v>286</v>
      </c>
      <c r="BA561" s="4" t="s">
        <v>254</v>
      </c>
      <c r="BB561" s="4" t="s">
        <v>287</v>
      </c>
      <c r="BC561" s="4" t="s">
        <v>255</v>
      </c>
      <c r="BD561" s="4" t="s">
        <v>241</v>
      </c>
      <c r="BE561" s="4" t="s">
        <v>257</v>
      </c>
      <c r="BF561" s="4" t="s">
        <v>241</v>
      </c>
      <c r="BJ561" s="4" t="s">
        <v>288</v>
      </c>
      <c r="BK561" s="5" t="s">
        <v>289</v>
      </c>
      <c r="BL561" s="4" t="s">
        <v>290</v>
      </c>
      <c r="BM561" s="4" t="s">
        <v>290</v>
      </c>
      <c r="BN561" s="4" t="s">
        <v>241</v>
      </c>
      <c r="BO561" s="6">
        <f>0</f>
        <v>0</v>
      </c>
      <c r="BP561" s="6">
        <f>-11018700</f>
        <v>-11018700</v>
      </c>
      <c r="BQ561" s="4" t="s">
        <v>263</v>
      </c>
      <c r="BR561" s="4" t="s">
        <v>264</v>
      </c>
      <c r="BS561" s="4" t="s">
        <v>241</v>
      </c>
      <c r="BT561" s="4" t="s">
        <v>241</v>
      </c>
      <c r="BU561" s="4" t="s">
        <v>241</v>
      </c>
      <c r="BV561" s="4" t="s">
        <v>241</v>
      </c>
      <c r="CE561" s="4" t="s">
        <v>264</v>
      </c>
      <c r="CF561" s="4" t="s">
        <v>241</v>
      </c>
      <c r="CG561" s="4" t="s">
        <v>241</v>
      </c>
      <c r="CK561" s="4" t="s">
        <v>265</v>
      </c>
      <c r="CL561" s="4" t="s">
        <v>266</v>
      </c>
      <c r="CM561" s="4" t="s">
        <v>241</v>
      </c>
      <c r="CO561" s="4" t="s">
        <v>710</v>
      </c>
      <c r="CP561" s="5" t="s">
        <v>268</v>
      </c>
      <c r="CQ561" s="4" t="s">
        <v>269</v>
      </c>
      <c r="CR561" s="4" t="s">
        <v>270</v>
      </c>
      <c r="CS561" s="4" t="s">
        <v>293</v>
      </c>
      <c r="CT561" s="4" t="s">
        <v>241</v>
      </c>
      <c r="CU561" s="4">
        <v>2.1999999999999999E-2</v>
      </c>
      <c r="CV561" s="4" t="s">
        <v>271</v>
      </c>
      <c r="CW561" s="4" t="s">
        <v>655</v>
      </c>
      <c r="CX561" s="4" t="s">
        <v>295</v>
      </c>
      <c r="CY561" s="6">
        <f>0</f>
        <v>0</v>
      </c>
      <c r="CZ561" s="6">
        <f>500850000</f>
        <v>500850000</v>
      </c>
      <c r="DA561" s="6">
        <f>71120700</f>
        <v>71120700</v>
      </c>
      <c r="DC561" s="4" t="s">
        <v>241</v>
      </c>
      <c r="DD561" s="4" t="s">
        <v>241</v>
      </c>
      <c r="DF561" s="4" t="s">
        <v>241</v>
      </c>
      <c r="DG561" s="6">
        <f>0</f>
        <v>0</v>
      </c>
      <c r="DI561" s="4" t="s">
        <v>241</v>
      </c>
      <c r="DJ561" s="4" t="s">
        <v>241</v>
      </c>
      <c r="DK561" s="4" t="s">
        <v>241</v>
      </c>
      <c r="DL561" s="4" t="s">
        <v>241</v>
      </c>
      <c r="DM561" s="4" t="s">
        <v>297</v>
      </c>
      <c r="DN561" s="4" t="s">
        <v>278</v>
      </c>
      <c r="DO561" s="6">
        <f>3710</f>
        <v>3710</v>
      </c>
      <c r="DP561" s="4" t="s">
        <v>241</v>
      </c>
      <c r="DQ561" s="4" t="s">
        <v>241</v>
      </c>
      <c r="DR561" s="4" t="s">
        <v>241</v>
      </c>
      <c r="DS561" s="4" t="s">
        <v>241</v>
      </c>
      <c r="DV561" s="4" t="s">
        <v>711</v>
      </c>
      <c r="DW561" s="4" t="s">
        <v>277</v>
      </c>
      <c r="GN561" s="4" t="s">
        <v>712</v>
      </c>
      <c r="HO561" s="4" t="s">
        <v>300</v>
      </c>
      <c r="HR561" s="4" t="s">
        <v>278</v>
      </c>
      <c r="HS561" s="4" t="s">
        <v>278</v>
      </c>
      <c r="HT561" s="4" t="s">
        <v>241</v>
      </c>
      <c r="HU561" s="4" t="s">
        <v>241</v>
      </c>
      <c r="HV561" s="4" t="s">
        <v>241</v>
      </c>
      <c r="HW561" s="4" t="s">
        <v>241</v>
      </c>
      <c r="HX561" s="4" t="s">
        <v>241</v>
      </c>
      <c r="HY561" s="4" t="s">
        <v>241</v>
      </c>
      <c r="HZ561" s="4" t="s">
        <v>241</v>
      </c>
      <c r="IA561" s="4" t="s">
        <v>241</v>
      </c>
      <c r="IB561" s="4" t="s">
        <v>241</v>
      </c>
      <c r="IC561" s="4" t="s">
        <v>241</v>
      </c>
      <c r="ID561" s="4" t="s">
        <v>241</v>
      </c>
      <c r="IE561" s="4" t="s">
        <v>241</v>
      </c>
      <c r="IF561" s="4" t="s">
        <v>241</v>
      </c>
    </row>
    <row r="562" spans="1:240" x14ac:dyDescent="0.4">
      <c r="A562" s="4">
        <v>2</v>
      </c>
      <c r="B562" s="4" t="s">
        <v>239</v>
      </c>
      <c r="C562" s="4">
        <v>593</v>
      </c>
      <c r="D562" s="4">
        <v>1</v>
      </c>
      <c r="E562" s="4">
        <v>3</v>
      </c>
      <c r="F562" s="4" t="s">
        <v>240</v>
      </c>
      <c r="G562" s="4" t="s">
        <v>241</v>
      </c>
      <c r="H562" s="4" t="s">
        <v>241</v>
      </c>
      <c r="I562" s="4" t="s">
        <v>707</v>
      </c>
      <c r="J562" s="4" t="s">
        <v>653</v>
      </c>
      <c r="K562" s="4" t="s">
        <v>256</v>
      </c>
      <c r="L562" s="4" t="s">
        <v>1003</v>
      </c>
      <c r="M562" s="5" t="s">
        <v>709</v>
      </c>
      <c r="N562" s="4" t="s">
        <v>1003</v>
      </c>
      <c r="O562" s="6">
        <f>1588</f>
        <v>1588</v>
      </c>
      <c r="P562" s="4" t="s">
        <v>276</v>
      </c>
      <c r="Q562" s="6">
        <f>100075760</f>
        <v>100075760</v>
      </c>
      <c r="R562" s="6">
        <f>365240000</f>
        <v>365240000</v>
      </c>
      <c r="S562" s="5" t="s">
        <v>1129</v>
      </c>
      <c r="T562" s="4" t="s">
        <v>668</v>
      </c>
      <c r="U562" s="4" t="s">
        <v>552</v>
      </c>
      <c r="V562" s="6">
        <f>8035280</f>
        <v>8035280</v>
      </c>
      <c r="W562" s="6">
        <f>265164240</f>
        <v>265164240</v>
      </c>
      <c r="X562" s="4" t="s">
        <v>243</v>
      </c>
      <c r="Y562" s="4" t="s">
        <v>244</v>
      </c>
      <c r="Z562" s="4" t="s">
        <v>465</v>
      </c>
      <c r="AA562" s="4" t="s">
        <v>241</v>
      </c>
      <c r="AD562" s="4" t="s">
        <v>241</v>
      </c>
      <c r="AE562" s="5" t="s">
        <v>241</v>
      </c>
      <c r="AF562" s="5" t="s">
        <v>241</v>
      </c>
      <c r="AH562" s="5" t="s">
        <v>241</v>
      </c>
      <c r="AI562" s="5" t="s">
        <v>249</v>
      </c>
      <c r="AJ562" s="4" t="s">
        <v>251</v>
      </c>
      <c r="AK562" s="4" t="s">
        <v>252</v>
      </c>
      <c r="AQ562" s="4" t="s">
        <v>241</v>
      </c>
      <c r="AR562" s="4" t="s">
        <v>241</v>
      </c>
      <c r="AS562" s="4" t="s">
        <v>241</v>
      </c>
      <c r="AT562" s="5" t="s">
        <v>241</v>
      </c>
      <c r="AU562" s="5" t="s">
        <v>241</v>
      </c>
      <c r="AV562" s="5" t="s">
        <v>241</v>
      </c>
      <c r="AY562" s="4" t="s">
        <v>286</v>
      </c>
      <c r="AZ562" s="4" t="s">
        <v>286</v>
      </c>
      <c r="BA562" s="4" t="s">
        <v>254</v>
      </c>
      <c r="BB562" s="4" t="s">
        <v>287</v>
      </c>
      <c r="BC562" s="4" t="s">
        <v>255</v>
      </c>
      <c r="BD562" s="4" t="s">
        <v>241</v>
      </c>
      <c r="BE562" s="4" t="s">
        <v>257</v>
      </c>
      <c r="BF562" s="4" t="s">
        <v>241</v>
      </c>
      <c r="BJ562" s="4" t="s">
        <v>288</v>
      </c>
      <c r="BK562" s="5" t="s">
        <v>289</v>
      </c>
      <c r="BL562" s="4" t="s">
        <v>290</v>
      </c>
      <c r="BM562" s="4" t="s">
        <v>290</v>
      </c>
      <c r="BN562" s="4" t="s">
        <v>241</v>
      </c>
      <c r="BO562" s="6">
        <f>0</f>
        <v>0</v>
      </c>
      <c r="BP562" s="6">
        <f>-8035280</f>
        <v>-8035280</v>
      </c>
      <c r="BQ562" s="4" t="s">
        <v>263</v>
      </c>
      <c r="BR562" s="4" t="s">
        <v>264</v>
      </c>
      <c r="BS562" s="4" t="s">
        <v>241</v>
      </c>
      <c r="BT562" s="4" t="s">
        <v>241</v>
      </c>
      <c r="BU562" s="4" t="s">
        <v>241</v>
      </c>
      <c r="BV562" s="4" t="s">
        <v>241</v>
      </c>
      <c r="CE562" s="4" t="s">
        <v>264</v>
      </c>
      <c r="CF562" s="4" t="s">
        <v>241</v>
      </c>
      <c r="CG562" s="4" t="s">
        <v>241</v>
      </c>
      <c r="CK562" s="4" t="s">
        <v>291</v>
      </c>
      <c r="CL562" s="4" t="s">
        <v>266</v>
      </c>
      <c r="CM562" s="4" t="s">
        <v>241</v>
      </c>
      <c r="CO562" s="4" t="s">
        <v>551</v>
      </c>
      <c r="CP562" s="5" t="s">
        <v>268</v>
      </c>
      <c r="CQ562" s="4" t="s">
        <v>269</v>
      </c>
      <c r="CR562" s="4" t="s">
        <v>270</v>
      </c>
      <c r="CS562" s="4" t="s">
        <v>293</v>
      </c>
      <c r="CT562" s="4" t="s">
        <v>241</v>
      </c>
      <c r="CU562" s="4">
        <v>2.1999999999999999E-2</v>
      </c>
      <c r="CV562" s="4" t="s">
        <v>271</v>
      </c>
      <c r="CW562" s="4" t="s">
        <v>1006</v>
      </c>
      <c r="CX562" s="4" t="s">
        <v>295</v>
      </c>
      <c r="CY562" s="6">
        <f>0</f>
        <v>0</v>
      </c>
      <c r="CZ562" s="6">
        <f>365240000</f>
        <v>365240000</v>
      </c>
      <c r="DA562" s="6">
        <f>100075760</f>
        <v>100075760</v>
      </c>
      <c r="DC562" s="4" t="s">
        <v>241</v>
      </c>
      <c r="DD562" s="4" t="s">
        <v>241</v>
      </c>
      <c r="DF562" s="4" t="s">
        <v>241</v>
      </c>
      <c r="DG562" s="6">
        <f>0</f>
        <v>0</v>
      </c>
      <c r="DI562" s="4" t="s">
        <v>241</v>
      </c>
      <c r="DJ562" s="4" t="s">
        <v>241</v>
      </c>
      <c r="DK562" s="4" t="s">
        <v>241</v>
      </c>
      <c r="DL562" s="4" t="s">
        <v>241</v>
      </c>
      <c r="DM562" s="4" t="s">
        <v>323</v>
      </c>
      <c r="DN562" s="4" t="s">
        <v>278</v>
      </c>
      <c r="DO562" s="6">
        <f>1588</f>
        <v>1588</v>
      </c>
      <c r="DP562" s="4" t="s">
        <v>241</v>
      </c>
      <c r="DQ562" s="4" t="s">
        <v>241</v>
      </c>
      <c r="DR562" s="4" t="s">
        <v>241</v>
      </c>
      <c r="DS562" s="4" t="s">
        <v>241</v>
      </c>
      <c r="DV562" s="4" t="s">
        <v>711</v>
      </c>
      <c r="DW562" s="4" t="s">
        <v>323</v>
      </c>
      <c r="GN562" s="4" t="s">
        <v>1130</v>
      </c>
      <c r="HO562" s="4" t="s">
        <v>300</v>
      </c>
      <c r="HR562" s="4" t="s">
        <v>278</v>
      </c>
      <c r="HS562" s="4" t="s">
        <v>278</v>
      </c>
      <c r="HT562" s="4" t="s">
        <v>241</v>
      </c>
      <c r="HU562" s="4" t="s">
        <v>241</v>
      </c>
      <c r="HV562" s="4" t="s">
        <v>241</v>
      </c>
      <c r="HW562" s="4" t="s">
        <v>241</v>
      </c>
      <c r="HX562" s="4" t="s">
        <v>241</v>
      </c>
      <c r="HY562" s="4" t="s">
        <v>241</v>
      </c>
      <c r="HZ562" s="4" t="s">
        <v>241</v>
      </c>
      <c r="IA562" s="4" t="s">
        <v>241</v>
      </c>
      <c r="IB562" s="4" t="s">
        <v>241</v>
      </c>
      <c r="IC562" s="4" t="s">
        <v>241</v>
      </c>
      <c r="ID562" s="4" t="s">
        <v>241</v>
      </c>
      <c r="IE562" s="4" t="s">
        <v>241</v>
      </c>
      <c r="IF562" s="4" t="s">
        <v>241</v>
      </c>
    </row>
    <row r="563" spans="1:240" x14ac:dyDescent="0.4">
      <c r="A563" s="4">
        <v>2</v>
      </c>
      <c r="B563" s="4" t="s">
        <v>239</v>
      </c>
      <c r="C563" s="4">
        <v>594</v>
      </c>
      <c r="D563" s="4">
        <v>1</v>
      </c>
      <c r="E563" s="4">
        <v>1</v>
      </c>
      <c r="F563" s="4" t="s">
        <v>240</v>
      </c>
      <c r="G563" s="4" t="s">
        <v>241</v>
      </c>
      <c r="H563" s="4" t="s">
        <v>241</v>
      </c>
      <c r="I563" s="4" t="s">
        <v>707</v>
      </c>
      <c r="J563" s="4" t="s">
        <v>653</v>
      </c>
      <c r="K563" s="4" t="s">
        <v>256</v>
      </c>
      <c r="L563" s="4" t="s">
        <v>429</v>
      </c>
      <c r="M563" s="5" t="s">
        <v>709</v>
      </c>
      <c r="N563" s="4" t="s">
        <v>429</v>
      </c>
      <c r="O563" s="6">
        <f>167</f>
        <v>167</v>
      </c>
      <c r="P563" s="4" t="s">
        <v>276</v>
      </c>
      <c r="Q563" s="6">
        <f>1</f>
        <v>1</v>
      </c>
      <c r="R563" s="6">
        <f>10020000</f>
        <v>10020000</v>
      </c>
      <c r="S563" s="5" t="s">
        <v>1148</v>
      </c>
      <c r="T563" s="4" t="s">
        <v>441</v>
      </c>
      <c r="U563" s="4" t="s">
        <v>1096</v>
      </c>
      <c r="W563" s="6">
        <f>10019999</f>
        <v>10019999</v>
      </c>
      <c r="X563" s="4" t="s">
        <v>243</v>
      </c>
      <c r="Y563" s="4" t="s">
        <v>244</v>
      </c>
      <c r="Z563" s="4" t="s">
        <v>465</v>
      </c>
      <c r="AA563" s="4" t="s">
        <v>241</v>
      </c>
      <c r="AD563" s="4" t="s">
        <v>241</v>
      </c>
      <c r="AF563" s="5" t="s">
        <v>241</v>
      </c>
      <c r="AI563" s="5" t="s">
        <v>249</v>
      </c>
      <c r="AJ563" s="4" t="s">
        <v>251</v>
      </c>
      <c r="AK563" s="4" t="s">
        <v>252</v>
      </c>
      <c r="BA563" s="4" t="s">
        <v>254</v>
      </c>
      <c r="BB563" s="4" t="s">
        <v>241</v>
      </c>
      <c r="BC563" s="4" t="s">
        <v>255</v>
      </c>
      <c r="BD563" s="4" t="s">
        <v>241</v>
      </c>
      <c r="BE563" s="4" t="s">
        <v>257</v>
      </c>
      <c r="BF563" s="4" t="s">
        <v>241</v>
      </c>
      <c r="BJ563" s="4" t="s">
        <v>377</v>
      </c>
      <c r="BK563" s="5" t="s">
        <v>378</v>
      </c>
      <c r="BL563" s="4" t="s">
        <v>261</v>
      </c>
      <c r="BM563" s="4" t="s">
        <v>262</v>
      </c>
      <c r="BN563" s="4" t="s">
        <v>241</v>
      </c>
      <c r="BO563" s="6">
        <f>0</f>
        <v>0</v>
      </c>
      <c r="BP563" s="6">
        <f>0</f>
        <v>0</v>
      </c>
      <c r="BQ563" s="4" t="s">
        <v>263</v>
      </c>
      <c r="BR563" s="4" t="s">
        <v>264</v>
      </c>
      <c r="CF563" s="4" t="s">
        <v>241</v>
      </c>
      <c r="CG563" s="4" t="s">
        <v>241</v>
      </c>
      <c r="CK563" s="4" t="s">
        <v>265</v>
      </c>
      <c r="CL563" s="4" t="s">
        <v>266</v>
      </c>
      <c r="CM563" s="4" t="s">
        <v>241</v>
      </c>
      <c r="CO563" s="4" t="s">
        <v>1095</v>
      </c>
      <c r="CP563" s="5" t="s">
        <v>268</v>
      </c>
      <c r="CQ563" s="4" t="s">
        <v>269</v>
      </c>
      <c r="CR563" s="4" t="s">
        <v>270</v>
      </c>
      <c r="CS563" s="4" t="s">
        <v>241</v>
      </c>
      <c r="CT563" s="4" t="s">
        <v>241</v>
      </c>
      <c r="CU563" s="4">
        <v>0</v>
      </c>
      <c r="CV563" s="4" t="s">
        <v>271</v>
      </c>
      <c r="CW563" s="4" t="s">
        <v>272</v>
      </c>
      <c r="CX563" s="4" t="s">
        <v>487</v>
      </c>
      <c r="CZ563" s="6">
        <f>10020000</f>
        <v>10020000</v>
      </c>
      <c r="DA563" s="6">
        <f>0</f>
        <v>0</v>
      </c>
      <c r="DC563" s="4" t="s">
        <v>241</v>
      </c>
      <c r="DD563" s="4" t="s">
        <v>241</v>
      </c>
      <c r="DF563" s="4" t="s">
        <v>241</v>
      </c>
      <c r="DI563" s="4" t="s">
        <v>241</v>
      </c>
      <c r="DJ563" s="4" t="s">
        <v>241</v>
      </c>
      <c r="DK563" s="4" t="s">
        <v>241</v>
      </c>
      <c r="DL563" s="4" t="s">
        <v>241</v>
      </c>
      <c r="DM563" s="4" t="s">
        <v>277</v>
      </c>
      <c r="DN563" s="4" t="s">
        <v>278</v>
      </c>
      <c r="DO563" s="6">
        <f>167</f>
        <v>167</v>
      </c>
      <c r="DP563" s="4" t="s">
        <v>241</v>
      </c>
      <c r="DQ563" s="4" t="s">
        <v>241</v>
      </c>
      <c r="DR563" s="4" t="s">
        <v>241</v>
      </c>
      <c r="DS563" s="4" t="s">
        <v>241</v>
      </c>
      <c r="DV563" s="4" t="s">
        <v>711</v>
      </c>
      <c r="DW563" s="4" t="s">
        <v>297</v>
      </c>
      <c r="HO563" s="4" t="s">
        <v>277</v>
      </c>
      <c r="HR563" s="4" t="s">
        <v>278</v>
      </c>
      <c r="HS563" s="4" t="s">
        <v>278</v>
      </c>
    </row>
    <row r="564" spans="1:240" x14ac:dyDescent="0.4">
      <c r="A564" s="4">
        <v>2</v>
      </c>
      <c r="B564" s="4" t="s">
        <v>239</v>
      </c>
      <c r="C564" s="4">
        <v>595</v>
      </c>
      <c r="D564" s="4">
        <v>1</v>
      </c>
      <c r="E564" s="4">
        <v>1</v>
      </c>
      <c r="F564" s="4" t="s">
        <v>240</v>
      </c>
      <c r="G564" s="4" t="s">
        <v>241</v>
      </c>
      <c r="H564" s="4" t="s">
        <v>241</v>
      </c>
      <c r="I564" s="4" t="s">
        <v>707</v>
      </c>
      <c r="J564" s="4" t="s">
        <v>653</v>
      </c>
      <c r="K564" s="4" t="s">
        <v>256</v>
      </c>
      <c r="L564" s="4" t="s">
        <v>429</v>
      </c>
      <c r="M564" s="5" t="s">
        <v>709</v>
      </c>
      <c r="N564" s="4" t="s">
        <v>429</v>
      </c>
      <c r="O564" s="6">
        <f>58</f>
        <v>58</v>
      </c>
      <c r="P564" s="4" t="s">
        <v>276</v>
      </c>
      <c r="Q564" s="6">
        <f>1</f>
        <v>1</v>
      </c>
      <c r="R564" s="6">
        <f>3480000</f>
        <v>3480000</v>
      </c>
      <c r="S564" s="5" t="s">
        <v>708</v>
      </c>
      <c r="T564" s="4" t="s">
        <v>441</v>
      </c>
      <c r="U564" s="4" t="s">
        <v>473</v>
      </c>
      <c r="W564" s="6">
        <f>3479999</f>
        <v>3479999</v>
      </c>
      <c r="X564" s="4" t="s">
        <v>243</v>
      </c>
      <c r="Y564" s="4" t="s">
        <v>244</v>
      </c>
      <c r="Z564" s="4" t="s">
        <v>465</v>
      </c>
      <c r="AA564" s="4" t="s">
        <v>241</v>
      </c>
      <c r="AD564" s="4" t="s">
        <v>241</v>
      </c>
      <c r="AF564" s="5" t="s">
        <v>241</v>
      </c>
      <c r="AI564" s="5" t="s">
        <v>249</v>
      </c>
      <c r="AJ564" s="4" t="s">
        <v>251</v>
      </c>
      <c r="AK564" s="4" t="s">
        <v>252</v>
      </c>
      <c r="BA564" s="4" t="s">
        <v>254</v>
      </c>
      <c r="BB564" s="4" t="s">
        <v>241</v>
      </c>
      <c r="BC564" s="4" t="s">
        <v>255</v>
      </c>
      <c r="BD564" s="4" t="s">
        <v>241</v>
      </c>
      <c r="BE564" s="4" t="s">
        <v>257</v>
      </c>
      <c r="BF564" s="4" t="s">
        <v>241</v>
      </c>
      <c r="BJ564" s="4" t="s">
        <v>259</v>
      </c>
      <c r="BK564" s="5" t="s">
        <v>260</v>
      </c>
      <c r="BL564" s="4" t="s">
        <v>261</v>
      </c>
      <c r="BM564" s="4" t="s">
        <v>262</v>
      </c>
      <c r="BN564" s="4" t="s">
        <v>241</v>
      </c>
      <c r="BO564" s="6">
        <f>0</f>
        <v>0</v>
      </c>
      <c r="BP564" s="6">
        <f>0</f>
        <v>0</v>
      </c>
      <c r="BQ564" s="4" t="s">
        <v>263</v>
      </c>
      <c r="BR564" s="4" t="s">
        <v>264</v>
      </c>
      <c r="CF564" s="4" t="s">
        <v>241</v>
      </c>
      <c r="CG564" s="4" t="s">
        <v>241</v>
      </c>
      <c r="CK564" s="4" t="s">
        <v>265</v>
      </c>
      <c r="CL564" s="4" t="s">
        <v>266</v>
      </c>
      <c r="CM564" s="4" t="s">
        <v>241</v>
      </c>
      <c r="CO564" s="4" t="s">
        <v>710</v>
      </c>
      <c r="CP564" s="5" t="s">
        <v>268</v>
      </c>
      <c r="CQ564" s="4" t="s">
        <v>269</v>
      </c>
      <c r="CR564" s="4" t="s">
        <v>270</v>
      </c>
      <c r="CS564" s="4" t="s">
        <v>241</v>
      </c>
      <c r="CT564" s="4" t="s">
        <v>241</v>
      </c>
      <c r="CU564" s="4">
        <v>0</v>
      </c>
      <c r="CV564" s="4" t="s">
        <v>271</v>
      </c>
      <c r="CW564" s="4" t="s">
        <v>272</v>
      </c>
      <c r="CX564" s="4" t="s">
        <v>487</v>
      </c>
      <c r="CZ564" s="6">
        <f>3480000</f>
        <v>3480000</v>
      </c>
      <c r="DA564" s="6">
        <f>0</f>
        <v>0</v>
      </c>
      <c r="DC564" s="4" t="s">
        <v>241</v>
      </c>
      <c r="DD564" s="4" t="s">
        <v>241</v>
      </c>
      <c r="DF564" s="4" t="s">
        <v>241</v>
      </c>
      <c r="DI564" s="4" t="s">
        <v>241</v>
      </c>
      <c r="DJ564" s="4" t="s">
        <v>241</v>
      </c>
      <c r="DK564" s="4" t="s">
        <v>241</v>
      </c>
      <c r="DL564" s="4" t="s">
        <v>241</v>
      </c>
      <c r="DM564" s="4" t="s">
        <v>277</v>
      </c>
      <c r="DN564" s="4" t="s">
        <v>278</v>
      </c>
      <c r="DO564" s="6">
        <f>58</f>
        <v>58</v>
      </c>
      <c r="DP564" s="4" t="s">
        <v>241</v>
      </c>
      <c r="DQ564" s="4" t="s">
        <v>241</v>
      </c>
      <c r="DR564" s="4" t="s">
        <v>241</v>
      </c>
      <c r="DS564" s="4" t="s">
        <v>241</v>
      </c>
      <c r="DV564" s="4" t="s">
        <v>711</v>
      </c>
      <c r="DW564" s="4" t="s">
        <v>336</v>
      </c>
      <c r="HO564" s="4" t="s">
        <v>277</v>
      </c>
      <c r="HR564" s="4" t="s">
        <v>278</v>
      </c>
      <c r="HS564" s="4" t="s">
        <v>278</v>
      </c>
    </row>
    <row r="565" spans="1:240" x14ac:dyDescent="0.4">
      <c r="A565" s="4">
        <v>2</v>
      </c>
      <c r="B565" s="4" t="s">
        <v>239</v>
      </c>
      <c r="C565" s="4">
        <v>596</v>
      </c>
      <c r="D565" s="4">
        <v>1</v>
      </c>
      <c r="E565" s="4">
        <v>1</v>
      </c>
      <c r="F565" s="4" t="s">
        <v>240</v>
      </c>
      <c r="G565" s="4" t="s">
        <v>241</v>
      </c>
      <c r="H565" s="4" t="s">
        <v>241</v>
      </c>
      <c r="I565" s="4" t="s">
        <v>707</v>
      </c>
      <c r="J565" s="4" t="s">
        <v>653</v>
      </c>
      <c r="K565" s="4" t="s">
        <v>256</v>
      </c>
      <c r="L565" s="4" t="s">
        <v>429</v>
      </c>
      <c r="M565" s="5" t="s">
        <v>709</v>
      </c>
      <c r="N565" s="4" t="s">
        <v>429</v>
      </c>
      <c r="O565" s="6">
        <f>14</f>
        <v>14</v>
      </c>
      <c r="P565" s="4" t="s">
        <v>276</v>
      </c>
      <c r="Q565" s="6">
        <f>1</f>
        <v>1</v>
      </c>
      <c r="R565" s="6">
        <f>1330000</f>
        <v>1330000</v>
      </c>
      <c r="S565" s="5" t="s">
        <v>3017</v>
      </c>
      <c r="T565" s="4" t="s">
        <v>274</v>
      </c>
      <c r="U565" s="4" t="s">
        <v>274</v>
      </c>
      <c r="W565" s="6">
        <f>1329999</f>
        <v>1329999</v>
      </c>
      <c r="X565" s="4" t="s">
        <v>243</v>
      </c>
      <c r="Y565" s="4" t="s">
        <v>244</v>
      </c>
      <c r="Z565" s="4" t="s">
        <v>465</v>
      </c>
      <c r="AA565" s="4" t="s">
        <v>241</v>
      </c>
      <c r="AD565" s="4" t="s">
        <v>241</v>
      </c>
      <c r="AF565" s="5" t="s">
        <v>241</v>
      </c>
      <c r="AI565" s="5" t="s">
        <v>249</v>
      </c>
      <c r="AJ565" s="4" t="s">
        <v>251</v>
      </c>
      <c r="AK565" s="4" t="s">
        <v>252</v>
      </c>
      <c r="BA565" s="4" t="s">
        <v>254</v>
      </c>
      <c r="BB565" s="4" t="s">
        <v>241</v>
      </c>
      <c r="BC565" s="4" t="s">
        <v>255</v>
      </c>
      <c r="BD565" s="4" t="s">
        <v>241</v>
      </c>
      <c r="BE565" s="4" t="s">
        <v>257</v>
      </c>
      <c r="BF565" s="4" t="s">
        <v>241</v>
      </c>
      <c r="BJ565" s="4" t="s">
        <v>367</v>
      </c>
      <c r="BK565" s="5" t="s">
        <v>249</v>
      </c>
      <c r="BL565" s="4" t="s">
        <v>261</v>
      </c>
      <c r="BM565" s="4" t="s">
        <v>262</v>
      </c>
      <c r="BN565" s="4" t="s">
        <v>241</v>
      </c>
      <c r="BO565" s="6">
        <f>0</f>
        <v>0</v>
      </c>
      <c r="BP565" s="6">
        <f>0</f>
        <v>0</v>
      </c>
      <c r="BQ565" s="4" t="s">
        <v>263</v>
      </c>
      <c r="BR565" s="4" t="s">
        <v>264</v>
      </c>
      <c r="CF565" s="4" t="s">
        <v>241</v>
      </c>
      <c r="CG565" s="4" t="s">
        <v>241</v>
      </c>
      <c r="CK565" s="4" t="s">
        <v>291</v>
      </c>
      <c r="CL565" s="4" t="s">
        <v>266</v>
      </c>
      <c r="CM565" s="4" t="s">
        <v>241</v>
      </c>
      <c r="CO565" s="4" t="s">
        <v>439</v>
      </c>
      <c r="CP565" s="5" t="s">
        <v>268</v>
      </c>
      <c r="CQ565" s="4" t="s">
        <v>269</v>
      </c>
      <c r="CR565" s="4" t="s">
        <v>270</v>
      </c>
      <c r="CS565" s="4" t="s">
        <v>241</v>
      </c>
      <c r="CT565" s="4" t="s">
        <v>241</v>
      </c>
      <c r="CU565" s="4">
        <v>0</v>
      </c>
      <c r="CV565" s="4" t="s">
        <v>271</v>
      </c>
      <c r="CW565" s="4" t="s">
        <v>272</v>
      </c>
      <c r="CX565" s="4" t="s">
        <v>273</v>
      </c>
      <c r="CZ565" s="6">
        <f>1330000</f>
        <v>1330000</v>
      </c>
      <c r="DA565" s="6">
        <f>0</f>
        <v>0</v>
      </c>
      <c r="DC565" s="4" t="s">
        <v>241</v>
      </c>
      <c r="DD565" s="4" t="s">
        <v>241</v>
      </c>
      <c r="DF565" s="4" t="s">
        <v>241</v>
      </c>
      <c r="DI565" s="4" t="s">
        <v>241</v>
      </c>
      <c r="DJ565" s="4" t="s">
        <v>241</v>
      </c>
      <c r="DK565" s="4" t="s">
        <v>241</v>
      </c>
      <c r="DL565" s="4" t="s">
        <v>241</v>
      </c>
      <c r="DM565" s="4" t="s">
        <v>277</v>
      </c>
      <c r="DN565" s="4" t="s">
        <v>278</v>
      </c>
      <c r="DO565" s="6">
        <f>14</f>
        <v>14</v>
      </c>
      <c r="DP565" s="4" t="s">
        <v>241</v>
      </c>
      <c r="DQ565" s="4" t="s">
        <v>241</v>
      </c>
      <c r="DR565" s="4" t="s">
        <v>241</v>
      </c>
      <c r="DS565" s="4" t="s">
        <v>241</v>
      </c>
      <c r="DV565" s="4" t="s">
        <v>711</v>
      </c>
      <c r="DW565" s="4" t="s">
        <v>351</v>
      </c>
      <c r="HO565" s="4" t="s">
        <v>277</v>
      </c>
      <c r="HR565" s="4" t="s">
        <v>278</v>
      </c>
      <c r="HS565" s="4" t="s">
        <v>278</v>
      </c>
    </row>
    <row r="566" spans="1:240" x14ac:dyDescent="0.4">
      <c r="A566" s="4">
        <v>2</v>
      </c>
      <c r="B566" s="4" t="s">
        <v>239</v>
      </c>
      <c r="C566" s="4">
        <v>597</v>
      </c>
      <c r="D566" s="4">
        <v>1</v>
      </c>
      <c r="E566" s="4">
        <v>1</v>
      </c>
      <c r="F566" s="4" t="s">
        <v>240</v>
      </c>
      <c r="G566" s="4" t="s">
        <v>241</v>
      </c>
      <c r="H566" s="4" t="s">
        <v>241</v>
      </c>
      <c r="I566" s="4" t="s">
        <v>707</v>
      </c>
      <c r="J566" s="4" t="s">
        <v>653</v>
      </c>
      <c r="K566" s="4" t="s">
        <v>256</v>
      </c>
      <c r="L566" s="4" t="s">
        <v>429</v>
      </c>
      <c r="M566" s="5" t="s">
        <v>709</v>
      </c>
      <c r="N566" s="4" t="s">
        <v>429</v>
      </c>
      <c r="O566" s="6">
        <f>14</f>
        <v>14</v>
      </c>
      <c r="P566" s="4" t="s">
        <v>276</v>
      </c>
      <c r="Q566" s="6">
        <f>1</f>
        <v>1</v>
      </c>
      <c r="R566" s="6">
        <f>1330000</f>
        <v>1330000</v>
      </c>
      <c r="S566" s="5" t="s">
        <v>3017</v>
      </c>
      <c r="T566" s="4" t="s">
        <v>274</v>
      </c>
      <c r="U566" s="4" t="s">
        <v>274</v>
      </c>
      <c r="W566" s="6">
        <f>1329999</f>
        <v>1329999</v>
      </c>
      <c r="X566" s="4" t="s">
        <v>243</v>
      </c>
      <c r="Y566" s="4" t="s">
        <v>244</v>
      </c>
      <c r="Z566" s="4" t="s">
        <v>465</v>
      </c>
      <c r="AA566" s="4" t="s">
        <v>241</v>
      </c>
      <c r="AD566" s="4" t="s">
        <v>241</v>
      </c>
      <c r="AF566" s="5" t="s">
        <v>241</v>
      </c>
      <c r="AI566" s="5" t="s">
        <v>249</v>
      </c>
      <c r="AJ566" s="4" t="s">
        <v>251</v>
      </c>
      <c r="AK566" s="4" t="s">
        <v>252</v>
      </c>
      <c r="BA566" s="4" t="s">
        <v>254</v>
      </c>
      <c r="BB566" s="4" t="s">
        <v>241</v>
      </c>
      <c r="BC566" s="4" t="s">
        <v>255</v>
      </c>
      <c r="BD566" s="4" t="s">
        <v>241</v>
      </c>
      <c r="BE566" s="4" t="s">
        <v>257</v>
      </c>
      <c r="BF566" s="4" t="s">
        <v>241</v>
      </c>
      <c r="BH566" s="4" t="s">
        <v>993</v>
      </c>
      <c r="BJ566" s="4" t="s">
        <v>367</v>
      </c>
      <c r="BK566" s="5" t="s">
        <v>249</v>
      </c>
      <c r="BL566" s="4" t="s">
        <v>261</v>
      </c>
      <c r="BM566" s="4" t="s">
        <v>262</v>
      </c>
      <c r="BN566" s="4" t="s">
        <v>241</v>
      </c>
      <c r="BO566" s="6">
        <f>0</f>
        <v>0</v>
      </c>
      <c r="BP566" s="6">
        <f>0</f>
        <v>0</v>
      </c>
      <c r="BQ566" s="4" t="s">
        <v>263</v>
      </c>
      <c r="BR566" s="4" t="s">
        <v>264</v>
      </c>
      <c r="CF566" s="4" t="s">
        <v>241</v>
      </c>
      <c r="CG566" s="4" t="s">
        <v>241</v>
      </c>
      <c r="CK566" s="4" t="s">
        <v>291</v>
      </c>
      <c r="CL566" s="4" t="s">
        <v>266</v>
      </c>
      <c r="CM566" s="4" t="s">
        <v>241</v>
      </c>
      <c r="CO566" s="4" t="s">
        <v>439</v>
      </c>
      <c r="CP566" s="5" t="s">
        <v>268</v>
      </c>
      <c r="CQ566" s="4" t="s">
        <v>269</v>
      </c>
      <c r="CR566" s="4" t="s">
        <v>270</v>
      </c>
      <c r="CS566" s="4" t="s">
        <v>241</v>
      </c>
      <c r="CT566" s="4" t="s">
        <v>241</v>
      </c>
      <c r="CU566" s="4">
        <v>0</v>
      </c>
      <c r="CV566" s="4" t="s">
        <v>271</v>
      </c>
      <c r="CW566" s="4" t="s">
        <v>272</v>
      </c>
      <c r="CX566" s="4" t="s">
        <v>273</v>
      </c>
      <c r="CZ566" s="6">
        <f>1330000</f>
        <v>1330000</v>
      </c>
      <c r="DA566" s="6">
        <f>0</f>
        <v>0</v>
      </c>
      <c r="DC566" s="4" t="s">
        <v>241</v>
      </c>
      <c r="DD566" s="4" t="s">
        <v>241</v>
      </c>
      <c r="DF566" s="4" t="s">
        <v>241</v>
      </c>
      <c r="DI566" s="4" t="s">
        <v>241</v>
      </c>
      <c r="DJ566" s="4" t="s">
        <v>241</v>
      </c>
      <c r="DK566" s="4" t="s">
        <v>241</v>
      </c>
      <c r="DL566" s="4" t="s">
        <v>241</v>
      </c>
      <c r="DM566" s="4" t="s">
        <v>277</v>
      </c>
      <c r="DN566" s="4" t="s">
        <v>278</v>
      </c>
      <c r="DO566" s="6">
        <f>14</f>
        <v>14</v>
      </c>
      <c r="DP566" s="4" t="s">
        <v>241</v>
      </c>
      <c r="DQ566" s="4" t="s">
        <v>241</v>
      </c>
      <c r="DR566" s="4" t="s">
        <v>241</v>
      </c>
      <c r="DS566" s="4" t="s">
        <v>241</v>
      </c>
      <c r="DV566" s="4" t="s">
        <v>711</v>
      </c>
      <c r="DW566" s="4" t="s">
        <v>300</v>
      </c>
      <c r="HO566" s="4" t="s">
        <v>277</v>
      </c>
      <c r="HR566" s="4" t="s">
        <v>278</v>
      </c>
      <c r="HS566" s="4" t="s">
        <v>278</v>
      </c>
    </row>
    <row r="567" spans="1:240" x14ac:dyDescent="0.4">
      <c r="A567" s="4">
        <v>2</v>
      </c>
      <c r="B567" s="4" t="s">
        <v>239</v>
      </c>
      <c r="C567" s="4">
        <v>598</v>
      </c>
      <c r="D567" s="4">
        <v>1</v>
      </c>
      <c r="E567" s="4">
        <v>1</v>
      </c>
      <c r="F567" s="4" t="s">
        <v>240</v>
      </c>
      <c r="G567" s="4" t="s">
        <v>241</v>
      </c>
      <c r="H567" s="4" t="s">
        <v>241</v>
      </c>
      <c r="I567" s="4" t="s">
        <v>707</v>
      </c>
      <c r="J567" s="4" t="s">
        <v>653</v>
      </c>
      <c r="K567" s="4" t="s">
        <v>256</v>
      </c>
      <c r="L567" s="4" t="s">
        <v>429</v>
      </c>
      <c r="M567" s="5" t="s">
        <v>709</v>
      </c>
      <c r="N567" s="4" t="s">
        <v>429</v>
      </c>
      <c r="O567" s="6">
        <f>14</f>
        <v>14</v>
      </c>
      <c r="P567" s="4" t="s">
        <v>276</v>
      </c>
      <c r="Q567" s="6">
        <f>1</f>
        <v>1</v>
      </c>
      <c r="R567" s="6">
        <f>1330000</f>
        <v>1330000</v>
      </c>
      <c r="S567" s="5" t="s">
        <v>3017</v>
      </c>
      <c r="T567" s="4" t="s">
        <v>274</v>
      </c>
      <c r="U567" s="4" t="s">
        <v>274</v>
      </c>
      <c r="W567" s="6">
        <f>1329999</f>
        <v>1329999</v>
      </c>
      <c r="X567" s="4" t="s">
        <v>243</v>
      </c>
      <c r="Y567" s="4" t="s">
        <v>244</v>
      </c>
      <c r="Z567" s="4" t="s">
        <v>465</v>
      </c>
      <c r="AA567" s="4" t="s">
        <v>241</v>
      </c>
      <c r="AD567" s="4" t="s">
        <v>241</v>
      </c>
      <c r="AF567" s="5" t="s">
        <v>241</v>
      </c>
      <c r="AI567" s="5" t="s">
        <v>249</v>
      </c>
      <c r="AJ567" s="4" t="s">
        <v>251</v>
      </c>
      <c r="AK567" s="4" t="s">
        <v>252</v>
      </c>
      <c r="BA567" s="4" t="s">
        <v>254</v>
      </c>
      <c r="BB567" s="4" t="s">
        <v>241</v>
      </c>
      <c r="BC567" s="4" t="s">
        <v>255</v>
      </c>
      <c r="BD567" s="4" t="s">
        <v>241</v>
      </c>
      <c r="BE567" s="4" t="s">
        <v>257</v>
      </c>
      <c r="BF567" s="4" t="s">
        <v>241</v>
      </c>
      <c r="BJ567" s="4" t="s">
        <v>367</v>
      </c>
      <c r="BK567" s="5" t="s">
        <v>249</v>
      </c>
      <c r="BL567" s="4" t="s">
        <v>261</v>
      </c>
      <c r="BM567" s="4" t="s">
        <v>262</v>
      </c>
      <c r="BN567" s="4" t="s">
        <v>241</v>
      </c>
      <c r="BO567" s="6">
        <f>0</f>
        <v>0</v>
      </c>
      <c r="BP567" s="6">
        <f>0</f>
        <v>0</v>
      </c>
      <c r="BQ567" s="4" t="s">
        <v>263</v>
      </c>
      <c r="BR567" s="4" t="s">
        <v>264</v>
      </c>
      <c r="CF567" s="4" t="s">
        <v>241</v>
      </c>
      <c r="CG567" s="4" t="s">
        <v>241</v>
      </c>
      <c r="CK567" s="4" t="s">
        <v>291</v>
      </c>
      <c r="CL567" s="4" t="s">
        <v>266</v>
      </c>
      <c r="CM567" s="4" t="s">
        <v>241</v>
      </c>
      <c r="CO567" s="4" t="s">
        <v>439</v>
      </c>
      <c r="CP567" s="5" t="s">
        <v>268</v>
      </c>
      <c r="CQ567" s="4" t="s">
        <v>269</v>
      </c>
      <c r="CR567" s="4" t="s">
        <v>270</v>
      </c>
      <c r="CS567" s="4" t="s">
        <v>241</v>
      </c>
      <c r="CT567" s="4" t="s">
        <v>241</v>
      </c>
      <c r="CU567" s="4">
        <v>0</v>
      </c>
      <c r="CV567" s="4" t="s">
        <v>271</v>
      </c>
      <c r="CW567" s="4" t="s">
        <v>272</v>
      </c>
      <c r="CX567" s="4" t="s">
        <v>273</v>
      </c>
      <c r="CZ567" s="6">
        <f>1330000</f>
        <v>1330000</v>
      </c>
      <c r="DA567" s="6">
        <f>0</f>
        <v>0</v>
      </c>
      <c r="DC567" s="4" t="s">
        <v>241</v>
      </c>
      <c r="DD567" s="4" t="s">
        <v>241</v>
      </c>
      <c r="DF567" s="4" t="s">
        <v>241</v>
      </c>
      <c r="DI567" s="4" t="s">
        <v>241</v>
      </c>
      <c r="DJ567" s="4" t="s">
        <v>241</v>
      </c>
      <c r="DK567" s="4" t="s">
        <v>241</v>
      </c>
      <c r="DL567" s="4" t="s">
        <v>241</v>
      </c>
      <c r="DM567" s="4" t="s">
        <v>277</v>
      </c>
      <c r="DN567" s="4" t="s">
        <v>278</v>
      </c>
      <c r="DO567" s="6">
        <f>14</f>
        <v>14</v>
      </c>
      <c r="DP567" s="4" t="s">
        <v>241</v>
      </c>
      <c r="DQ567" s="4" t="s">
        <v>241</v>
      </c>
      <c r="DR567" s="4" t="s">
        <v>241</v>
      </c>
      <c r="DS567" s="4" t="s">
        <v>241</v>
      </c>
      <c r="DV567" s="4" t="s">
        <v>711</v>
      </c>
      <c r="DW567" s="4" t="s">
        <v>341</v>
      </c>
      <c r="HO567" s="4" t="s">
        <v>277</v>
      </c>
      <c r="HR567" s="4" t="s">
        <v>278</v>
      </c>
      <c r="HS567" s="4" t="s">
        <v>278</v>
      </c>
    </row>
    <row r="568" spans="1:240" x14ac:dyDescent="0.4">
      <c r="A568" s="4">
        <v>2</v>
      </c>
      <c r="B568" s="4" t="s">
        <v>239</v>
      </c>
      <c r="C568" s="4">
        <v>599</v>
      </c>
      <c r="D568" s="4">
        <v>1</v>
      </c>
      <c r="E568" s="4">
        <v>1</v>
      </c>
      <c r="F568" s="4" t="s">
        <v>240</v>
      </c>
      <c r="G568" s="4" t="s">
        <v>241</v>
      </c>
      <c r="H568" s="4" t="s">
        <v>241</v>
      </c>
      <c r="I568" s="4" t="s">
        <v>707</v>
      </c>
      <c r="J568" s="4" t="s">
        <v>653</v>
      </c>
      <c r="K568" s="4" t="s">
        <v>256</v>
      </c>
      <c r="L568" s="4" t="s">
        <v>414</v>
      </c>
      <c r="M568" s="5" t="s">
        <v>709</v>
      </c>
      <c r="N568" s="4" t="s">
        <v>414</v>
      </c>
      <c r="O568" s="6">
        <f>31</f>
        <v>31</v>
      </c>
      <c r="P568" s="4" t="s">
        <v>276</v>
      </c>
      <c r="Q568" s="6">
        <f>1</f>
        <v>1</v>
      </c>
      <c r="R568" s="6">
        <f>4030000</f>
        <v>4030000</v>
      </c>
      <c r="S568" s="5" t="s">
        <v>708</v>
      </c>
      <c r="T568" s="4" t="s">
        <v>348</v>
      </c>
      <c r="U568" s="4" t="s">
        <v>473</v>
      </c>
      <c r="W568" s="6">
        <f>4029999</f>
        <v>4029999</v>
      </c>
      <c r="X568" s="4" t="s">
        <v>243</v>
      </c>
      <c r="Y568" s="4" t="s">
        <v>244</v>
      </c>
      <c r="Z568" s="4" t="s">
        <v>465</v>
      </c>
      <c r="AA568" s="4" t="s">
        <v>241</v>
      </c>
      <c r="AD568" s="4" t="s">
        <v>241</v>
      </c>
      <c r="AF568" s="5" t="s">
        <v>241</v>
      </c>
      <c r="AI568" s="5" t="s">
        <v>249</v>
      </c>
      <c r="AJ568" s="4" t="s">
        <v>251</v>
      </c>
      <c r="AK568" s="4" t="s">
        <v>252</v>
      </c>
      <c r="BA568" s="4" t="s">
        <v>254</v>
      </c>
      <c r="BB568" s="4" t="s">
        <v>241</v>
      </c>
      <c r="BC568" s="4" t="s">
        <v>255</v>
      </c>
      <c r="BD568" s="4" t="s">
        <v>241</v>
      </c>
      <c r="BE568" s="4" t="s">
        <v>257</v>
      </c>
      <c r="BF568" s="4" t="s">
        <v>241</v>
      </c>
      <c r="BJ568" s="4" t="s">
        <v>367</v>
      </c>
      <c r="BK568" s="5" t="s">
        <v>249</v>
      </c>
      <c r="BL568" s="4" t="s">
        <v>261</v>
      </c>
      <c r="BM568" s="4" t="s">
        <v>262</v>
      </c>
      <c r="BN568" s="4" t="s">
        <v>241</v>
      </c>
      <c r="BO568" s="6">
        <f>0</f>
        <v>0</v>
      </c>
      <c r="BP568" s="6">
        <f>0</f>
        <v>0</v>
      </c>
      <c r="BQ568" s="4" t="s">
        <v>263</v>
      </c>
      <c r="BR568" s="4" t="s">
        <v>264</v>
      </c>
      <c r="CF568" s="4" t="s">
        <v>241</v>
      </c>
      <c r="CG568" s="4" t="s">
        <v>241</v>
      </c>
      <c r="CK568" s="4" t="s">
        <v>265</v>
      </c>
      <c r="CL568" s="4" t="s">
        <v>266</v>
      </c>
      <c r="CM568" s="4" t="s">
        <v>241</v>
      </c>
      <c r="CO568" s="4" t="s">
        <v>710</v>
      </c>
      <c r="CP568" s="5" t="s">
        <v>268</v>
      </c>
      <c r="CQ568" s="4" t="s">
        <v>269</v>
      </c>
      <c r="CR568" s="4" t="s">
        <v>270</v>
      </c>
      <c r="CS568" s="4" t="s">
        <v>241</v>
      </c>
      <c r="CT568" s="4" t="s">
        <v>241</v>
      </c>
      <c r="CU568" s="4">
        <v>0</v>
      </c>
      <c r="CV568" s="4" t="s">
        <v>271</v>
      </c>
      <c r="CW568" s="4" t="s">
        <v>415</v>
      </c>
      <c r="CX568" s="4" t="s">
        <v>416</v>
      </c>
      <c r="CZ568" s="6">
        <f>4030000</f>
        <v>4030000</v>
      </c>
      <c r="DA568" s="6">
        <f>0</f>
        <v>0</v>
      </c>
      <c r="DC568" s="4" t="s">
        <v>241</v>
      </c>
      <c r="DD568" s="4" t="s">
        <v>241</v>
      </c>
      <c r="DF568" s="4" t="s">
        <v>241</v>
      </c>
      <c r="DI568" s="4" t="s">
        <v>241</v>
      </c>
      <c r="DJ568" s="4" t="s">
        <v>241</v>
      </c>
      <c r="DK568" s="4" t="s">
        <v>241</v>
      </c>
      <c r="DL568" s="4" t="s">
        <v>241</v>
      </c>
      <c r="DM568" s="4" t="s">
        <v>277</v>
      </c>
      <c r="DN568" s="4" t="s">
        <v>278</v>
      </c>
      <c r="DO568" s="6">
        <f>31</f>
        <v>31</v>
      </c>
      <c r="DP568" s="4" t="s">
        <v>241</v>
      </c>
      <c r="DQ568" s="4" t="s">
        <v>241</v>
      </c>
      <c r="DR568" s="4" t="s">
        <v>241</v>
      </c>
      <c r="DS568" s="4" t="s">
        <v>241</v>
      </c>
      <c r="DV568" s="4" t="s">
        <v>711</v>
      </c>
      <c r="DW568" s="4" t="s">
        <v>343</v>
      </c>
      <c r="HO568" s="4" t="s">
        <v>277</v>
      </c>
      <c r="HR568" s="4" t="s">
        <v>278</v>
      </c>
      <c r="HS568" s="4" t="s">
        <v>278</v>
      </c>
    </row>
    <row r="569" spans="1:240" x14ac:dyDescent="0.4">
      <c r="A569" s="4">
        <v>2</v>
      </c>
      <c r="B569" s="4" t="s">
        <v>239</v>
      </c>
      <c r="C569" s="4">
        <v>600</v>
      </c>
      <c r="D569" s="4">
        <v>1</v>
      </c>
      <c r="E569" s="4">
        <v>1</v>
      </c>
      <c r="F569" s="4" t="s">
        <v>240</v>
      </c>
      <c r="G569" s="4" t="s">
        <v>241</v>
      </c>
      <c r="H569" s="4" t="s">
        <v>241</v>
      </c>
      <c r="I569" s="4" t="s">
        <v>707</v>
      </c>
      <c r="J569" s="4" t="s">
        <v>653</v>
      </c>
      <c r="K569" s="4" t="s">
        <v>256</v>
      </c>
      <c r="L569" s="4" t="s">
        <v>340</v>
      </c>
      <c r="M569" s="5" t="s">
        <v>709</v>
      </c>
      <c r="N569" s="4" t="s">
        <v>340</v>
      </c>
      <c r="O569" s="6">
        <f>9</f>
        <v>9</v>
      </c>
      <c r="P569" s="4" t="s">
        <v>276</v>
      </c>
      <c r="Q569" s="6">
        <f>1</f>
        <v>1</v>
      </c>
      <c r="R569" s="6">
        <f>3213000</f>
        <v>3213000</v>
      </c>
      <c r="S569" s="5" t="s">
        <v>438</v>
      </c>
      <c r="T569" s="4" t="s">
        <v>348</v>
      </c>
      <c r="U569" s="4" t="s">
        <v>274</v>
      </c>
      <c r="W569" s="6">
        <f>3212999</f>
        <v>3212999</v>
      </c>
      <c r="X569" s="4" t="s">
        <v>243</v>
      </c>
      <c r="Y569" s="4" t="s">
        <v>244</v>
      </c>
      <c r="Z569" s="4" t="s">
        <v>465</v>
      </c>
      <c r="AA569" s="4" t="s">
        <v>241</v>
      </c>
      <c r="AD569" s="4" t="s">
        <v>241</v>
      </c>
      <c r="AF569" s="5" t="s">
        <v>241</v>
      </c>
      <c r="AI569" s="5" t="s">
        <v>249</v>
      </c>
      <c r="AJ569" s="4" t="s">
        <v>251</v>
      </c>
      <c r="AK569" s="4" t="s">
        <v>252</v>
      </c>
      <c r="BA569" s="4" t="s">
        <v>254</v>
      </c>
      <c r="BB569" s="4" t="s">
        <v>241</v>
      </c>
      <c r="BC569" s="4" t="s">
        <v>255</v>
      </c>
      <c r="BD569" s="4" t="s">
        <v>241</v>
      </c>
      <c r="BE569" s="4" t="s">
        <v>257</v>
      </c>
      <c r="BF569" s="4" t="s">
        <v>241</v>
      </c>
      <c r="BJ569" s="4" t="s">
        <v>367</v>
      </c>
      <c r="BK569" s="5" t="s">
        <v>249</v>
      </c>
      <c r="BL569" s="4" t="s">
        <v>261</v>
      </c>
      <c r="BM569" s="4" t="s">
        <v>262</v>
      </c>
      <c r="BN569" s="4" t="s">
        <v>241</v>
      </c>
      <c r="BO569" s="6">
        <f>0</f>
        <v>0</v>
      </c>
      <c r="BP569" s="6">
        <f>0</f>
        <v>0</v>
      </c>
      <c r="BQ569" s="4" t="s">
        <v>263</v>
      </c>
      <c r="BR569" s="4" t="s">
        <v>264</v>
      </c>
      <c r="CF569" s="4" t="s">
        <v>241</v>
      </c>
      <c r="CG569" s="4" t="s">
        <v>241</v>
      </c>
      <c r="CK569" s="4" t="s">
        <v>291</v>
      </c>
      <c r="CL569" s="4" t="s">
        <v>266</v>
      </c>
      <c r="CM569" s="4" t="s">
        <v>241</v>
      </c>
      <c r="CO569" s="4" t="s">
        <v>439</v>
      </c>
      <c r="CP569" s="5" t="s">
        <v>268</v>
      </c>
      <c r="CQ569" s="4" t="s">
        <v>269</v>
      </c>
      <c r="CR569" s="4" t="s">
        <v>270</v>
      </c>
      <c r="CS569" s="4" t="s">
        <v>241</v>
      </c>
      <c r="CT569" s="4" t="s">
        <v>241</v>
      </c>
      <c r="CU569" s="4">
        <v>0</v>
      </c>
      <c r="CV569" s="4" t="s">
        <v>271</v>
      </c>
      <c r="CW569" s="4" t="s">
        <v>332</v>
      </c>
      <c r="CX569" s="4" t="s">
        <v>347</v>
      </c>
      <c r="CZ569" s="6">
        <f>3213000</f>
        <v>3213000</v>
      </c>
      <c r="DA569" s="6">
        <f>0</f>
        <v>0</v>
      </c>
      <c r="DC569" s="4" t="s">
        <v>241</v>
      </c>
      <c r="DD569" s="4" t="s">
        <v>241</v>
      </c>
      <c r="DF569" s="4" t="s">
        <v>241</v>
      </c>
      <c r="DI569" s="4" t="s">
        <v>241</v>
      </c>
      <c r="DJ569" s="4" t="s">
        <v>241</v>
      </c>
      <c r="DK569" s="4" t="s">
        <v>241</v>
      </c>
      <c r="DL569" s="4" t="s">
        <v>241</v>
      </c>
      <c r="DM569" s="4" t="s">
        <v>277</v>
      </c>
      <c r="DN569" s="4" t="s">
        <v>278</v>
      </c>
      <c r="DO569" s="6">
        <f>9</f>
        <v>9</v>
      </c>
      <c r="DP569" s="4" t="s">
        <v>241</v>
      </c>
      <c r="DQ569" s="4" t="s">
        <v>241</v>
      </c>
      <c r="DR569" s="4" t="s">
        <v>241</v>
      </c>
      <c r="DS569" s="4" t="s">
        <v>241</v>
      </c>
      <c r="DV569" s="4" t="s">
        <v>711</v>
      </c>
      <c r="DW569" s="4" t="s">
        <v>417</v>
      </c>
      <c r="HO569" s="4" t="s">
        <v>277</v>
      </c>
      <c r="HR569" s="4" t="s">
        <v>278</v>
      </c>
      <c r="HS569" s="4" t="s">
        <v>278</v>
      </c>
    </row>
    <row r="570" spans="1:240" x14ac:dyDescent="0.4">
      <c r="A570" s="4">
        <v>2</v>
      </c>
      <c r="B570" s="4" t="s">
        <v>239</v>
      </c>
      <c r="C570" s="4">
        <v>601</v>
      </c>
      <c r="D570" s="4">
        <v>1</v>
      </c>
      <c r="E570" s="4">
        <v>3</v>
      </c>
      <c r="F570" s="4" t="s">
        <v>326</v>
      </c>
      <c r="G570" s="4" t="s">
        <v>241</v>
      </c>
      <c r="H570" s="4" t="s">
        <v>241</v>
      </c>
      <c r="I570" s="4" t="s">
        <v>707</v>
      </c>
      <c r="J570" s="4" t="s">
        <v>653</v>
      </c>
      <c r="K570" s="4" t="s">
        <v>256</v>
      </c>
      <c r="L570" s="4" t="s">
        <v>241</v>
      </c>
      <c r="M570" s="5" t="s">
        <v>709</v>
      </c>
      <c r="N570" s="4" t="s">
        <v>2747</v>
      </c>
      <c r="O570" s="6">
        <f>0</f>
        <v>0</v>
      </c>
      <c r="P570" s="4" t="s">
        <v>276</v>
      </c>
      <c r="Q570" s="6">
        <f>32169728</f>
        <v>32169728</v>
      </c>
      <c r="R570" s="6">
        <f>38025682</f>
        <v>38025682</v>
      </c>
      <c r="S570" s="5" t="s">
        <v>1104</v>
      </c>
      <c r="T570" s="4" t="s">
        <v>322</v>
      </c>
      <c r="U570" s="4" t="s">
        <v>277</v>
      </c>
      <c r="V570" s="6">
        <f>2927977</f>
        <v>2927977</v>
      </c>
      <c r="W570" s="6">
        <f>5855954</f>
        <v>5855954</v>
      </c>
      <c r="X570" s="4" t="s">
        <v>243</v>
      </c>
      <c r="Y570" s="4" t="s">
        <v>244</v>
      </c>
      <c r="Z570" s="4" t="s">
        <v>241</v>
      </c>
      <c r="AA570" s="4" t="s">
        <v>241</v>
      </c>
      <c r="AD570" s="4" t="s">
        <v>241</v>
      </c>
      <c r="AE570" s="5" t="s">
        <v>241</v>
      </c>
      <c r="AF570" s="5" t="s">
        <v>241</v>
      </c>
      <c r="AH570" s="5" t="s">
        <v>241</v>
      </c>
      <c r="AI570" s="5" t="s">
        <v>882</v>
      </c>
      <c r="AJ570" s="4" t="s">
        <v>251</v>
      </c>
      <c r="AK570" s="4" t="s">
        <v>252</v>
      </c>
      <c r="AQ570" s="4" t="s">
        <v>241</v>
      </c>
      <c r="AR570" s="4" t="s">
        <v>241</v>
      </c>
      <c r="AS570" s="4" t="s">
        <v>241</v>
      </c>
      <c r="AT570" s="5" t="s">
        <v>241</v>
      </c>
      <c r="AU570" s="5" t="s">
        <v>241</v>
      </c>
      <c r="AV570" s="5" t="s">
        <v>241</v>
      </c>
      <c r="AY570" s="4" t="s">
        <v>286</v>
      </c>
      <c r="AZ570" s="4" t="s">
        <v>286</v>
      </c>
      <c r="BA570" s="4" t="s">
        <v>254</v>
      </c>
      <c r="BB570" s="4" t="s">
        <v>287</v>
      </c>
      <c r="BC570" s="4" t="s">
        <v>255</v>
      </c>
      <c r="BD570" s="4" t="s">
        <v>241</v>
      </c>
      <c r="BE570" s="4" t="s">
        <v>257</v>
      </c>
      <c r="BF570" s="4" t="s">
        <v>241</v>
      </c>
      <c r="BJ570" s="4" t="s">
        <v>288</v>
      </c>
      <c r="BK570" s="5" t="s">
        <v>289</v>
      </c>
      <c r="BL570" s="4" t="s">
        <v>290</v>
      </c>
      <c r="BM570" s="4" t="s">
        <v>290</v>
      </c>
      <c r="BN570" s="4" t="s">
        <v>241</v>
      </c>
      <c r="BP570" s="6">
        <f>-2927977</f>
        <v>-2927977</v>
      </c>
      <c r="BQ570" s="4" t="s">
        <v>263</v>
      </c>
      <c r="BR570" s="4" t="s">
        <v>264</v>
      </c>
      <c r="BS570" s="4" t="s">
        <v>241</v>
      </c>
      <c r="BT570" s="4" t="s">
        <v>241</v>
      </c>
      <c r="BU570" s="4" t="s">
        <v>241</v>
      </c>
      <c r="BV570" s="4" t="s">
        <v>241</v>
      </c>
      <c r="CE570" s="4" t="s">
        <v>264</v>
      </c>
      <c r="CF570" s="4" t="s">
        <v>241</v>
      </c>
      <c r="CG570" s="4" t="s">
        <v>241</v>
      </c>
      <c r="CK570" s="4" t="s">
        <v>291</v>
      </c>
      <c r="CL570" s="4" t="s">
        <v>266</v>
      </c>
      <c r="CM570" s="4" t="s">
        <v>241</v>
      </c>
      <c r="CO570" s="4" t="s">
        <v>331</v>
      </c>
      <c r="CP570" s="5" t="s">
        <v>268</v>
      </c>
      <c r="CQ570" s="4" t="s">
        <v>269</v>
      </c>
      <c r="CR570" s="4" t="s">
        <v>270</v>
      </c>
      <c r="CS570" s="4" t="s">
        <v>293</v>
      </c>
      <c r="CT570" s="4" t="s">
        <v>241</v>
      </c>
      <c r="CU570" s="4">
        <v>7.6999999999999999E-2</v>
      </c>
      <c r="CV570" s="4" t="s">
        <v>271</v>
      </c>
      <c r="CW570" s="4" t="s">
        <v>415</v>
      </c>
      <c r="CX570" s="4" t="s">
        <v>428</v>
      </c>
      <c r="CY570" s="6">
        <f>0</f>
        <v>0</v>
      </c>
      <c r="CZ570" s="6">
        <f>38025682</f>
        <v>38025682</v>
      </c>
      <c r="DA570" s="6">
        <f>32169728</f>
        <v>32169728</v>
      </c>
      <c r="DC570" s="4" t="s">
        <v>241</v>
      </c>
      <c r="DD570" s="4" t="s">
        <v>241</v>
      </c>
      <c r="DF570" s="4" t="s">
        <v>241</v>
      </c>
      <c r="DG570" s="6">
        <f>0</f>
        <v>0</v>
      </c>
      <c r="DI570" s="4" t="s">
        <v>241</v>
      </c>
      <c r="DJ570" s="4" t="s">
        <v>241</v>
      </c>
      <c r="DK570" s="4" t="s">
        <v>241</v>
      </c>
      <c r="DL570" s="4" t="s">
        <v>241</v>
      </c>
      <c r="DM570" s="4" t="s">
        <v>278</v>
      </c>
      <c r="DN570" s="4" t="s">
        <v>278</v>
      </c>
      <c r="DO570" s="6" t="s">
        <v>241</v>
      </c>
      <c r="DP570" s="4" t="s">
        <v>241</v>
      </c>
      <c r="DQ570" s="4" t="s">
        <v>241</v>
      </c>
      <c r="DR570" s="4" t="s">
        <v>241</v>
      </c>
      <c r="DS570" s="4" t="s">
        <v>241</v>
      </c>
      <c r="DV570" s="4" t="s">
        <v>711</v>
      </c>
      <c r="DW570" s="4" t="s">
        <v>427</v>
      </c>
      <c r="GN570" s="4" t="s">
        <v>2763</v>
      </c>
      <c r="HO570" s="4" t="s">
        <v>297</v>
      </c>
      <c r="HR570" s="4" t="s">
        <v>278</v>
      </c>
      <c r="HS570" s="4" t="s">
        <v>278</v>
      </c>
      <c r="HT570" s="4" t="s">
        <v>241</v>
      </c>
      <c r="HU570" s="4" t="s">
        <v>241</v>
      </c>
      <c r="HV570" s="4" t="s">
        <v>241</v>
      </c>
      <c r="HW570" s="4" t="s">
        <v>241</v>
      </c>
      <c r="HX570" s="4" t="s">
        <v>241</v>
      </c>
      <c r="HY570" s="4" t="s">
        <v>241</v>
      </c>
      <c r="HZ570" s="4" t="s">
        <v>241</v>
      </c>
      <c r="IA570" s="4" t="s">
        <v>241</v>
      </c>
      <c r="IB570" s="4" t="s">
        <v>241</v>
      </c>
      <c r="IC570" s="4" t="s">
        <v>241</v>
      </c>
      <c r="ID570" s="4" t="s">
        <v>241</v>
      </c>
      <c r="IE570" s="4" t="s">
        <v>241</v>
      </c>
      <c r="IF570" s="4" t="s">
        <v>241</v>
      </c>
    </row>
    <row r="571" spans="1:240" x14ac:dyDescent="0.4">
      <c r="A571" s="4">
        <v>2</v>
      </c>
      <c r="B571" s="4" t="s">
        <v>239</v>
      </c>
      <c r="C571" s="4">
        <v>602</v>
      </c>
      <c r="D571" s="4">
        <v>1</v>
      </c>
      <c r="E571" s="4">
        <v>1</v>
      </c>
      <c r="F571" s="4" t="s">
        <v>240</v>
      </c>
      <c r="G571" s="4" t="s">
        <v>241</v>
      </c>
      <c r="H571" s="4" t="s">
        <v>241</v>
      </c>
      <c r="I571" s="4" t="s">
        <v>702</v>
      </c>
      <c r="J571" s="4" t="s">
        <v>653</v>
      </c>
      <c r="K571" s="4" t="s">
        <v>256</v>
      </c>
      <c r="L571" s="4" t="s">
        <v>2529</v>
      </c>
      <c r="M571" s="5" t="s">
        <v>704</v>
      </c>
      <c r="N571" s="4" t="s">
        <v>2529</v>
      </c>
      <c r="O571" s="6">
        <f>28</f>
        <v>28</v>
      </c>
      <c r="P571" s="4" t="s">
        <v>276</v>
      </c>
      <c r="Q571" s="6">
        <f>1</f>
        <v>1</v>
      </c>
      <c r="R571" s="6">
        <f>1680000</f>
        <v>1680000</v>
      </c>
      <c r="S571" s="5" t="s">
        <v>2938</v>
      </c>
      <c r="T571" s="4" t="s">
        <v>348</v>
      </c>
      <c r="U571" s="4" t="s">
        <v>306</v>
      </c>
      <c r="W571" s="6">
        <f>1679999</f>
        <v>1679999</v>
      </c>
      <c r="X571" s="4" t="s">
        <v>243</v>
      </c>
      <c r="Y571" s="4" t="s">
        <v>244</v>
      </c>
      <c r="Z571" s="4" t="s">
        <v>465</v>
      </c>
      <c r="AA571" s="4" t="s">
        <v>241</v>
      </c>
      <c r="AD571" s="4" t="s">
        <v>241</v>
      </c>
      <c r="AF571" s="5" t="s">
        <v>241</v>
      </c>
      <c r="AI571" s="5" t="s">
        <v>882</v>
      </c>
      <c r="AJ571" s="4" t="s">
        <v>251</v>
      </c>
      <c r="AK571" s="4" t="s">
        <v>252</v>
      </c>
      <c r="BA571" s="4" t="s">
        <v>254</v>
      </c>
      <c r="BB571" s="4" t="s">
        <v>241</v>
      </c>
      <c r="BC571" s="4" t="s">
        <v>255</v>
      </c>
      <c r="BD571" s="4" t="s">
        <v>241</v>
      </c>
      <c r="BE571" s="4" t="s">
        <v>257</v>
      </c>
      <c r="BF571" s="4" t="s">
        <v>241</v>
      </c>
      <c r="BH571" s="4" t="s">
        <v>993</v>
      </c>
      <c r="BJ571" s="4" t="s">
        <v>377</v>
      </c>
      <c r="BK571" s="5" t="s">
        <v>378</v>
      </c>
      <c r="BL571" s="4" t="s">
        <v>261</v>
      </c>
      <c r="BM571" s="4" t="s">
        <v>262</v>
      </c>
      <c r="BN571" s="4" t="s">
        <v>241</v>
      </c>
      <c r="BO571" s="6">
        <f>0</f>
        <v>0</v>
      </c>
      <c r="BP571" s="6">
        <f>0</f>
        <v>0</v>
      </c>
      <c r="BQ571" s="4" t="s">
        <v>263</v>
      </c>
      <c r="BR571" s="4" t="s">
        <v>264</v>
      </c>
      <c r="CF571" s="4" t="s">
        <v>241</v>
      </c>
      <c r="CG571" s="4" t="s">
        <v>241</v>
      </c>
      <c r="CK571" s="4" t="s">
        <v>265</v>
      </c>
      <c r="CL571" s="4" t="s">
        <v>266</v>
      </c>
      <c r="CM571" s="4" t="s">
        <v>241</v>
      </c>
      <c r="CO571" s="4" t="s">
        <v>1603</v>
      </c>
      <c r="CP571" s="5" t="s">
        <v>268</v>
      </c>
      <c r="CQ571" s="4" t="s">
        <v>269</v>
      </c>
      <c r="CR571" s="4" t="s">
        <v>270</v>
      </c>
      <c r="CS571" s="4" t="s">
        <v>241</v>
      </c>
      <c r="CT571" s="4" t="s">
        <v>241</v>
      </c>
      <c r="CU571" s="4">
        <v>0</v>
      </c>
      <c r="CV571" s="4" t="s">
        <v>271</v>
      </c>
      <c r="CW571" s="4" t="s">
        <v>415</v>
      </c>
      <c r="CX571" s="4" t="s">
        <v>416</v>
      </c>
      <c r="CZ571" s="6">
        <f>1680000</f>
        <v>1680000</v>
      </c>
      <c r="DA571" s="6">
        <f>0</f>
        <v>0</v>
      </c>
      <c r="DC571" s="4" t="s">
        <v>241</v>
      </c>
      <c r="DD571" s="4" t="s">
        <v>241</v>
      </c>
      <c r="DF571" s="4" t="s">
        <v>241</v>
      </c>
      <c r="DI571" s="4" t="s">
        <v>241</v>
      </c>
      <c r="DJ571" s="4" t="s">
        <v>241</v>
      </c>
      <c r="DK571" s="4" t="s">
        <v>241</v>
      </c>
      <c r="DL571" s="4" t="s">
        <v>241</v>
      </c>
      <c r="DM571" s="4" t="s">
        <v>277</v>
      </c>
      <c r="DN571" s="4" t="s">
        <v>278</v>
      </c>
      <c r="DO571" s="6">
        <f>28</f>
        <v>28</v>
      </c>
      <c r="DP571" s="4" t="s">
        <v>241</v>
      </c>
      <c r="DQ571" s="4" t="s">
        <v>241</v>
      </c>
      <c r="DR571" s="4" t="s">
        <v>241</v>
      </c>
      <c r="DS571" s="4" t="s">
        <v>241</v>
      </c>
      <c r="DV571" s="4" t="s">
        <v>705</v>
      </c>
      <c r="DW571" s="4" t="s">
        <v>277</v>
      </c>
      <c r="HO571" s="4" t="s">
        <v>277</v>
      </c>
      <c r="HR571" s="4" t="s">
        <v>278</v>
      </c>
      <c r="HS571" s="4" t="s">
        <v>278</v>
      </c>
    </row>
    <row r="572" spans="1:240" x14ac:dyDescent="0.4">
      <c r="A572" s="4">
        <v>2</v>
      </c>
      <c r="B572" s="4" t="s">
        <v>239</v>
      </c>
      <c r="C572" s="4">
        <v>603</v>
      </c>
      <c r="D572" s="4">
        <v>1</v>
      </c>
      <c r="E572" s="4">
        <v>1</v>
      </c>
      <c r="F572" s="4" t="s">
        <v>240</v>
      </c>
      <c r="G572" s="4" t="s">
        <v>241</v>
      </c>
      <c r="H572" s="4" t="s">
        <v>241</v>
      </c>
      <c r="I572" s="4" t="s">
        <v>702</v>
      </c>
      <c r="J572" s="4" t="s">
        <v>653</v>
      </c>
      <c r="K572" s="4" t="s">
        <v>256</v>
      </c>
      <c r="L572" s="4" t="s">
        <v>651</v>
      </c>
      <c r="M572" s="5" t="s">
        <v>704</v>
      </c>
      <c r="N572" s="4" t="s">
        <v>651</v>
      </c>
      <c r="O572" s="6">
        <f>5665</f>
        <v>5665</v>
      </c>
      <c r="P572" s="4" t="s">
        <v>276</v>
      </c>
      <c r="Q572" s="6">
        <f>1</f>
        <v>1</v>
      </c>
      <c r="R572" s="6">
        <f>764775000</f>
        <v>764775000</v>
      </c>
      <c r="S572" s="5" t="s">
        <v>881</v>
      </c>
      <c r="T572" s="4" t="s">
        <v>668</v>
      </c>
      <c r="U572" s="4" t="s">
        <v>296</v>
      </c>
      <c r="W572" s="6">
        <f>764774999</f>
        <v>764774999</v>
      </c>
      <c r="X572" s="4" t="s">
        <v>243</v>
      </c>
      <c r="Y572" s="4" t="s">
        <v>244</v>
      </c>
      <c r="Z572" s="4" t="s">
        <v>465</v>
      </c>
      <c r="AA572" s="4" t="s">
        <v>241</v>
      </c>
      <c r="AD572" s="4" t="s">
        <v>241</v>
      </c>
      <c r="AF572" s="5" t="s">
        <v>241</v>
      </c>
      <c r="AI572" s="5" t="s">
        <v>882</v>
      </c>
      <c r="AJ572" s="4" t="s">
        <v>251</v>
      </c>
      <c r="AK572" s="4" t="s">
        <v>252</v>
      </c>
      <c r="BA572" s="4" t="s">
        <v>254</v>
      </c>
      <c r="BB572" s="4" t="s">
        <v>241</v>
      </c>
      <c r="BC572" s="4" t="s">
        <v>255</v>
      </c>
      <c r="BD572" s="4" t="s">
        <v>241</v>
      </c>
      <c r="BE572" s="4" t="s">
        <v>257</v>
      </c>
      <c r="BF572" s="4" t="s">
        <v>241</v>
      </c>
      <c r="BJ572" s="4" t="s">
        <v>259</v>
      </c>
      <c r="BK572" s="5" t="s">
        <v>260</v>
      </c>
      <c r="BL572" s="4" t="s">
        <v>261</v>
      </c>
      <c r="BM572" s="4" t="s">
        <v>262</v>
      </c>
      <c r="BN572" s="4" t="s">
        <v>241</v>
      </c>
      <c r="BO572" s="6">
        <f>0</f>
        <v>0</v>
      </c>
      <c r="BP572" s="6">
        <f>0</f>
        <v>0</v>
      </c>
      <c r="BQ572" s="4" t="s">
        <v>263</v>
      </c>
      <c r="BR572" s="4" t="s">
        <v>264</v>
      </c>
      <c r="CF572" s="4" t="s">
        <v>241</v>
      </c>
      <c r="CG572" s="4" t="s">
        <v>241</v>
      </c>
      <c r="CK572" s="4" t="s">
        <v>265</v>
      </c>
      <c r="CL572" s="4" t="s">
        <v>266</v>
      </c>
      <c r="CM572" s="4" t="s">
        <v>241</v>
      </c>
      <c r="CO572" s="4" t="s">
        <v>733</v>
      </c>
      <c r="CP572" s="5" t="s">
        <v>268</v>
      </c>
      <c r="CQ572" s="4" t="s">
        <v>269</v>
      </c>
      <c r="CR572" s="4" t="s">
        <v>270</v>
      </c>
      <c r="CS572" s="4" t="s">
        <v>241</v>
      </c>
      <c r="CT572" s="4" t="s">
        <v>241</v>
      </c>
      <c r="CU572" s="4">
        <v>0</v>
      </c>
      <c r="CV572" s="4" t="s">
        <v>271</v>
      </c>
      <c r="CW572" s="4" t="s">
        <v>655</v>
      </c>
      <c r="CX572" s="4" t="s">
        <v>295</v>
      </c>
      <c r="CZ572" s="6">
        <f>764775000</f>
        <v>764775000</v>
      </c>
      <c r="DA572" s="6">
        <f>0</f>
        <v>0</v>
      </c>
      <c r="DC572" s="4" t="s">
        <v>241</v>
      </c>
      <c r="DD572" s="4" t="s">
        <v>241</v>
      </c>
      <c r="DF572" s="4" t="s">
        <v>241</v>
      </c>
      <c r="DI572" s="4" t="s">
        <v>241</v>
      </c>
      <c r="DJ572" s="4" t="s">
        <v>241</v>
      </c>
      <c r="DK572" s="4" t="s">
        <v>241</v>
      </c>
      <c r="DL572" s="4" t="s">
        <v>241</v>
      </c>
      <c r="DM572" s="4" t="s">
        <v>297</v>
      </c>
      <c r="DN572" s="4" t="s">
        <v>278</v>
      </c>
      <c r="DO572" s="6">
        <f>5665</f>
        <v>5665</v>
      </c>
      <c r="DP572" s="4" t="s">
        <v>241</v>
      </c>
      <c r="DQ572" s="4" t="s">
        <v>241</v>
      </c>
      <c r="DR572" s="4" t="s">
        <v>241</v>
      </c>
      <c r="DS572" s="4" t="s">
        <v>241</v>
      </c>
      <c r="DV572" s="4" t="s">
        <v>705</v>
      </c>
      <c r="DW572" s="4" t="s">
        <v>323</v>
      </c>
      <c r="HO572" s="4" t="s">
        <v>277</v>
      </c>
      <c r="HR572" s="4" t="s">
        <v>278</v>
      </c>
      <c r="HS572" s="4" t="s">
        <v>278</v>
      </c>
    </row>
    <row r="573" spans="1:240" x14ac:dyDescent="0.4">
      <c r="A573" s="4">
        <v>2</v>
      </c>
      <c r="B573" s="4" t="s">
        <v>239</v>
      </c>
      <c r="C573" s="4">
        <v>604</v>
      </c>
      <c r="D573" s="4">
        <v>1</v>
      </c>
      <c r="E573" s="4">
        <v>1</v>
      </c>
      <c r="F573" s="4" t="s">
        <v>240</v>
      </c>
      <c r="G573" s="4" t="s">
        <v>241</v>
      </c>
      <c r="H573" s="4" t="s">
        <v>241</v>
      </c>
      <c r="I573" s="4" t="s">
        <v>702</v>
      </c>
      <c r="J573" s="4" t="s">
        <v>653</v>
      </c>
      <c r="K573" s="4" t="s">
        <v>256</v>
      </c>
      <c r="L573" s="4" t="s">
        <v>1003</v>
      </c>
      <c r="M573" s="5" t="s">
        <v>704</v>
      </c>
      <c r="N573" s="4" t="s">
        <v>1003</v>
      </c>
      <c r="O573" s="6">
        <f>1282</f>
        <v>1282</v>
      </c>
      <c r="P573" s="4" t="s">
        <v>276</v>
      </c>
      <c r="Q573" s="6">
        <f>1</f>
        <v>1</v>
      </c>
      <c r="R573" s="6">
        <f>102560000</f>
        <v>102560000</v>
      </c>
      <c r="S573" s="5" t="s">
        <v>1093</v>
      </c>
      <c r="T573" s="4" t="s">
        <v>357</v>
      </c>
      <c r="U573" s="4" t="s">
        <v>1096</v>
      </c>
      <c r="W573" s="6">
        <f>102559999</f>
        <v>102559999</v>
      </c>
      <c r="X573" s="4" t="s">
        <v>243</v>
      </c>
      <c r="Y573" s="4" t="s">
        <v>244</v>
      </c>
      <c r="Z573" s="4" t="s">
        <v>465</v>
      </c>
      <c r="AA573" s="4" t="s">
        <v>241</v>
      </c>
      <c r="AD573" s="4" t="s">
        <v>241</v>
      </c>
      <c r="AF573" s="5" t="s">
        <v>241</v>
      </c>
      <c r="AI573" s="5" t="s">
        <v>1094</v>
      </c>
      <c r="AJ573" s="4" t="s">
        <v>251</v>
      </c>
      <c r="AK573" s="4" t="s">
        <v>252</v>
      </c>
      <c r="BA573" s="4" t="s">
        <v>254</v>
      </c>
      <c r="BB573" s="4" t="s">
        <v>241</v>
      </c>
      <c r="BC573" s="4" t="s">
        <v>255</v>
      </c>
      <c r="BD573" s="4" t="s">
        <v>241</v>
      </c>
      <c r="BE573" s="4" t="s">
        <v>257</v>
      </c>
      <c r="BF573" s="4" t="s">
        <v>241</v>
      </c>
      <c r="BJ573" s="4" t="s">
        <v>259</v>
      </c>
      <c r="BK573" s="5" t="s">
        <v>1094</v>
      </c>
      <c r="BL573" s="4" t="s">
        <v>261</v>
      </c>
      <c r="BM573" s="4" t="s">
        <v>262</v>
      </c>
      <c r="BN573" s="4" t="s">
        <v>241</v>
      </c>
      <c r="BO573" s="6">
        <f>0</f>
        <v>0</v>
      </c>
      <c r="BP573" s="6">
        <f>0</f>
        <v>0</v>
      </c>
      <c r="BQ573" s="4" t="s">
        <v>263</v>
      </c>
      <c r="BR573" s="4" t="s">
        <v>264</v>
      </c>
      <c r="CF573" s="4" t="s">
        <v>241</v>
      </c>
      <c r="CG573" s="4" t="s">
        <v>241</v>
      </c>
      <c r="CK573" s="4" t="s">
        <v>265</v>
      </c>
      <c r="CL573" s="4" t="s">
        <v>266</v>
      </c>
      <c r="CM573" s="4" t="s">
        <v>241</v>
      </c>
      <c r="CO573" s="4" t="s">
        <v>1095</v>
      </c>
      <c r="CP573" s="5" t="s">
        <v>268</v>
      </c>
      <c r="CQ573" s="4" t="s">
        <v>269</v>
      </c>
      <c r="CR573" s="4" t="s">
        <v>270</v>
      </c>
      <c r="CS573" s="4" t="s">
        <v>241</v>
      </c>
      <c r="CT573" s="4" t="s">
        <v>241</v>
      </c>
      <c r="CU573" s="4">
        <v>0</v>
      </c>
      <c r="CV573" s="4" t="s">
        <v>271</v>
      </c>
      <c r="CW573" s="4" t="s">
        <v>1006</v>
      </c>
      <c r="CX573" s="4" t="s">
        <v>487</v>
      </c>
      <c r="CZ573" s="6">
        <f>102560000</f>
        <v>102560000</v>
      </c>
      <c r="DA573" s="6">
        <f>0</f>
        <v>0</v>
      </c>
      <c r="DC573" s="4" t="s">
        <v>241</v>
      </c>
      <c r="DD573" s="4" t="s">
        <v>241</v>
      </c>
      <c r="DF573" s="4" t="s">
        <v>241</v>
      </c>
      <c r="DI573" s="4" t="s">
        <v>241</v>
      </c>
      <c r="DJ573" s="4" t="s">
        <v>241</v>
      </c>
      <c r="DK573" s="4" t="s">
        <v>241</v>
      </c>
      <c r="DL573" s="4" t="s">
        <v>241</v>
      </c>
      <c r="DM573" s="4" t="s">
        <v>323</v>
      </c>
      <c r="DN573" s="4" t="s">
        <v>278</v>
      </c>
      <c r="DO573" s="6">
        <f>1282</f>
        <v>1282</v>
      </c>
      <c r="DP573" s="4" t="s">
        <v>241</v>
      </c>
      <c r="DQ573" s="4" t="s">
        <v>241</v>
      </c>
      <c r="DR573" s="4" t="s">
        <v>241</v>
      </c>
      <c r="DS573" s="4" t="s">
        <v>241</v>
      </c>
      <c r="DV573" s="4" t="s">
        <v>705</v>
      </c>
      <c r="DW573" s="4" t="s">
        <v>297</v>
      </c>
      <c r="HO573" s="4" t="s">
        <v>277</v>
      </c>
      <c r="HR573" s="4" t="s">
        <v>278</v>
      </c>
      <c r="HS573" s="4" t="s">
        <v>278</v>
      </c>
    </row>
    <row r="574" spans="1:240" x14ac:dyDescent="0.4">
      <c r="A574" s="4">
        <v>2</v>
      </c>
      <c r="B574" s="4" t="s">
        <v>239</v>
      </c>
      <c r="C574" s="4">
        <v>605</v>
      </c>
      <c r="D574" s="4">
        <v>1</v>
      </c>
      <c r="E574" s="4">
        <v>3</v>
      </c>
      <c r="F574" s="4" t="s">
        <v>240</v>
      </c>
      <c r="G574" s="4" t="s">
        <v>241</v>
      </c>
      <c r="H574" s="4" t="s">
        <v>241</v>
      </c>
      <c r="I574" s="4" t="s">
        <v>702</v>
      </c>
      <c r="J574" s="4" t="s">
        <v>653</v>
      </c>
      <c r="K574" s="4" t="s">
        <v>256</v>
      </c>
      <c r="L574" s="4" t="s">
        <v>1012</v>
      </c>
      <c r="M574" s="5" t="s">
        <v>704</v>
      </c>
      <c r="N574" s="4" t="s">
        <v>1012</v>
      </c>
      <c r="O574" s="6">
        <f>1239</f>
        <v>1239</v>
      </c>
      <c r="P574" s="4" t="s">
        <v>276</v>
      </c>
      <c r="Q574" s="6">
        <f>2168250</f>
        <v>2168250</v>
      </c>
      <c r="R574" s="6">
        <f>216825000</f>
        <v>216825000</v>
      </c>
      <c r="S574" s="5" t="s">
        <v>1149</v>
      </c>
      <c r="T574" s="4" t="s">
        <v>357</v>
      </c>
      <c r="U574" s="4" t="s">
        <v>552</v>
      </c>
      <c r="V574" s="6">
        <f>6504750</f>
        <v>6504750</v>
      </c>
      <c r="W574" s="6">
        <f>214656750</f>
        <v>214656750</v>
      </c>
      <c r="X574" s="4" t="s">
        <v>243</v>
      </c>
      <c r="Y574" s="4" t="s">
        <v>244</v>
      </c>
      <c r="Z574" s="4" t="s">
        <v>465</v>
      </c>
      <c r="AA574" s="4" t="s">
        <v>241</v>
      </c>
      <c r="AD574" s="4" t="s">
        <v>241</v>
      </c>
      <c r="AE574" s="5" t="s">
        <v>241</v>
      </c>
      <c r="AF574" s="5" t="s">
        <v>241</v>
      </c>
      <c r="AH574" s="5" t="s">
        <v>241</v>
      </c>
      <c r="AI574" s="5" t="s">
        <v>1094</v>
      </c>
      <c r="AJ574" s="4" t="s">
        <v>251</v>
      </c>
      <c r="AK574" s="4" t="s">
        <v>252</v>
      </c>
      <c r="AQ574" s="4" t="s">
        <v>241</v>
      </c>
      <c r="AR574" s="4" t="s">
        <v>241</v>
      </c>
      <c r="AS574" s="4" t="s">
        <v>241</v>
      </c>
      <c r="AT574" s="5" t="s">
        <v>241</v>
      </c>
      <c r="AU574" s="5" t="s">
        <v>241</v>
      </c>
      <c r="AV574" s="5" t="s">
        <v>241</v>
      </c>
      <c r="AY574" s="4" t="s">
        <v>286</v>
      </c>
      <c r="AZ574" s="4" t="s">
        <v>286</v>
      </c>
      <c r="BA574" s="4" t="s">
        <v>254</v>
      </c>
      <c r="BB574" s="4" t="s">
        <v>287</v>
      </c>
      <c r="BC574" s="4" t="s">
        <v>255</v>
      </c>
      <c r="BD574" s="4" t="s">
        <v>241</v>
      </c>
      <c r="BE574" s="4" t="s">
        <v>257</v>
      </c>
      <c r="BF574" s="4" t="s">
        <v>241</v>
      </c>
      <c r="BJ574" s="4" t="s">
        <v>288</v>
      </c>
      <c r="BK574" s="5" t="s">
        <v>289</v>
      </c>
      <c r="BL574" s="4" t="s">
        <v>290</v>
      </c>
      <c r="BM574" s="4" t="s">
        <v>290</v>
      </c>
      <c r="BN574" s="4" t="s">
        <v>241</v>
      </c>
      <c r="BO574" s="6">
        <f>0</f>
        <v>0</v>
      </c>
      <c r="BP574" s="6">
        <f>-6504750</f>
        <v>-6504750</v>
      </c>
      <c r="BQ574" s="4" t="s">
        <v>263</v>
      </c>
      <c r="BR574" s="4" t="s">
        <v>264</v>
      </c>
      <c r="BS574" s="4" t="s">
        <v>241</v>
      </c>
      <c r="BT574" s="4" t="s">
        <v>241</v>
      </c>
      <c r="BU574" s="4" t="s">
        <v>241</v>
      </c>
      <c r="BV574" s="4" t="s">
        <v>241</v>
      </c>
      <c r="CE574" s="4" t="s">
        <v>264</v>
      </c>
      <c r="CF574" s="4" t="s">
        <v>241</v>
      </c>
      <c r="CG574" s="4" t="s">
        <v>241</v>
      </c>
      <c r="CK574" s="4" t="s">
        <v>291</v>
      </c>
      <c r="CL574" s="4" t="s">
        <v>266</v>
      </c>
      <c r="CM574" s="4" t="s">
        <v>241</v>
      </c>
      <c r="CO574" s="4" t="s">
        <v>551</v>
      </c>
      <c r="CP574" s="5" t="s">
        <v>268</v>
      </c>
      <c r="CQ574" s="4" t="s">
        <v>269</v>
      </c>
      <c r="CR574" s="4" t="s">
        <v>270</v>
      </c>
      <c r="CS574" s="4" t="s">
        <v>293</v>
      </c>
      <c r="CT574" s="4" t="s">
        <v>241</v>
      </c>
      <c r="CU574" s="4">
        <v>0.03</v>
      </c>
      <c r="CV574" s="4" t="s">
        <v>271</v>
      </c>
      <c r="CW574" s="4" t="s">
        <v>1006</v>
      </c>
      <c r="CX574" s="4" t="s">
        <v>487</v>
      </c>
      <c r="CY574" s="6">
        <f>0</f>
        <v>0</v>
      </c>
      <c r="CZ574" s="6">
        <f>216825000</f>
        <v>216825000</v>
      </c>
      <c r="DA574" s="6">
        <f>2168250</f>
        <v>2168250</v>
      </c>
      <c r="DC574" s="4" t="s">
        <v>241</v>
      </c>
      <c r="DD574" s="4" t="s">
        <v>241</v>
      </c>
      <c r="DF574" s="4" t="s">
        <v>241</v>
      </c>
      <c r="DG574" s="6">
        <f>0</f>
        <v>0</v>
      </c>
      <c r="DI574" s="4" t="s">
        <v>241</v>
      </c>
      <c r="DJ574" s="4" t="s">
        <v>241</v>
      </c>
      <c r="DK574" s="4" t="s">
        <v>241</v>
      </c>
      <c r="DL574" s="4" t="s">
        <v>241</v>
      </c>
      <c r="DM574" s="4" t="s">
        <v>323</v>
      </c>
      <c r="DN574" s="4" t="s">
        <v>278</v>
      </c>
      <c r="DO574" s="6">
        <f>1239</f>
        <v>1239</v>
      </c>
      <c r="DP574" s="4" t="s">
        <v>241</v>
      </c>
      <c r="DQ574" s="4" t="s">
        <v>241</v>
      </c>
      <c r="DR574" s="4" t="s">
        <v>241</v>
      </c>
      <c r="DS574" s="4" t="s">
        <v>241</v>
      </c>
      <c r="DV574" s="4" t="s">
        <v>705</v>
      </c>
      <c r="DW574" s="4" t="s">
        <v>336</v>
      </c>
      <c r="GN574" s="4" t="s">
        <v>1150</v>
      </c>
      <c r="HO574" s="4" t="s">
        <v>300</v>
      </c>
      <c r="HR574" s="4" t="s">
        <v>278</v>
      </c>
      <c r="HS574" s="4" t="s">
        <v>278</v>
      </c>
      <c r="HT574" s="4" t="s">
        <v>241</v>
      </c>
      <c r="HU574" s="4" t="s">
        <v>241</v>
      </c>
      <c r="HV574" s="4" t="s">
        <v>241</v>
      </c>
      <c r="HW574" s="4" t="s">
        <v>241</v>
      </c>
      <c r="HX574" s="4" t="s">
        <v>241</v>
      </c>
      <c r="HY574" s="4" t="s">
        <v>241</v>
      </c>
      <c r="HZ574" s="4" t="s">
        <v>241</v>
      </c>
      <c r="IA574" s="4" t="s">
        <v>241</v>
      </c>
      <c r="IB574" s="4" t="s">
        <v>241</v>
      </c>
      <c r="IC574" s="4" t="s">
        <v>241</v>
      </c>
      <c r="ID574" s="4" t="s">
        <v>241</v>
      </c>
      <c r="IE574" s="4" t="s">
        <v>241</v>
      </c>
      <c r="IF574" s="4" t="s">
        <v>241</v>
      </c>
    </row>
    <row r="575" spans="1:240" x14ac:dyDescent="0.4">
      <c r="A575" s="4">
        <v>2</v>
      </c>
      <c r="B575" s="4" t="s">
        <v>239</v>
      </c>
      <c r="C575" s="4">
        <v>606</v>
      </c>
      <c r="D575" s="4">
        <v>1</v>
      </c>
      <c r="E575" s="4">
        <v>1</v>
      </c>
      <c r="F575" s="4" t="s">
        <v>240</v>
      </c>
      <c r="G575" s="4" t="s">
        <v>241</v>
      </c>
      <c r="H575" s="4" t="s">
        <v>241</v>
      </c>
      <c r="I575" s="4" t="s">
        <v>702</v>
      </c>
      <c r="J575" s="4" t="s">
        <v>653</v>
      </c>
      <c r="K575" s="4" t="s">
        <v>256</v>
      </c>
      <c r="L575" s="4" t="s">
        <v>1003</v>
      </c>
      <c r="M575" s="5" t="s">
        <v>704</v>
      </c>
      <c r="N575" s="4" t="s">
        <v>1069</v>
      </c>
      <c r="O575" s="6">
        <f>343</f>
        <v>343</v>
      </c>
      <c r="P575" s="4" t="s">
        <v>276</v>
      </c>
      <c r="Q575" s="6">
        <f>1</f>
        <v>1</v>
      </c>
      <c r="R575" s="6">
        <f>27440000</f>
        <v>27440000</v>
      </c>
      <c r="S575" s="5" t="s">
        <v>1070</v>
      </c>
      <c r="T575" s="4" t="s">
        <v>357</v>
      </c>
      <c r="U575" s="4" t="s">
        <v>1071</v>
      </c>
      <c r="W575" s="6">
        <f>27439999</f>
        <v>27439999</v>
      </c>
      <c r="X575" s="4" t="s">
        <v>243</v>
      </c>
      <c r="Y575" s="4" t="s">
        <v>244</v>
      </c>
      <c r="Z575" s="4" t="s">
        <v>465</v>
      </c>
      <c r="AA575" s="4" t="s">
        <v>241</v>
      </c>
      <c r="AD575" s="4" t="s">
        <v>241</v>
      </c>
      <c r="AF575" s="5" t="s">
        <v>241</v>
      </c>
      <c r="AI575" s="5" t="s">
        <v>249</v>
      </c>
      <c r="AJ575" s="4" t="s">
        <v>251</v>
      </c>
      <c r="AK575" s="4" t="s">
        <v>252</v>
      </c>
      <c r="BA575" s="4" t="s">
        <v>254</v>
      </c>
      <c r="BB575" s="4" t="s">
        <v>241</v>
      </c>
      <c r="BC575" s="4" t="s">
        <v>255</v>
      </c>
      <c r="BD575" s="4" t="s">
        <v>241</v>
      </c>
      <c r="BE575" s="4" t="s">
        <v>257</v>
      </c>
      <c r="BF575" s="4" t="s">
        <v>241</v>
      </c>
      <c r="BJ575" s="4" t="s">
        <v>367</v>
      </c>
      <c r="BK575" s="5" t="s">
        <v>249</v>
      </c>
      <c r="BL575" s="4" t="s">
        <v>261</v>
      </c>
      <c r="BM575" s="4" t="s">
        <v>262</v>
      </c>
      <c r="BN575" s="4" t="s">
        <v>241</v>
      </c>
      <c r="BO575" s="6">
        <f>0</f>
        <v>0</v>
      </c>
      <c r="BP575" s="6">
        <f>0</f>
        <v>0</v>
      </c>
      <c r="BQ575" s="4" t="s">
        <v>263</v>
      </c>
      <c r="BR575" s="4" t="s">
        <v>264</v>
      </c>
      <c r="CF575" s="4" t="s">
        <v>241</v>
      </c>
      <c r="CG575" s="4" t="s">
        <v>241</v>
      </c>
      <c r="CK575" s="4" t="s">
        <v>265</v>
      </c>
      <c r="CL575" s="4" t="s">
        <v>266</v>
      </c>
      <c r="CM575" s="4" t="s">
        <v>241</v>
      </c>
      <c r="CO575" s="4" t="s">
        <v>741</v>
      </c>
      <c r="CP575" s="5" t="s">
        <v>268</v>
      </c>
      <c r="CQ575" s="4" t="s">
        <v>269</v>
      </c>
      <c r="CR575" s="4" t="s">
        <v>270</v>
      </c>
      <c r="CS575" s="4" t="s">
        <v>241</v>
      </c>
      <c r="CT575" s="4" t="s">
        <v>241</v>
      </c>
      <c r="CU575" s="4">
        <v>0</v>
      </c>
      <c r="CV575" s="4" t="s">
        <v>271</v>
      </c>
      <c r="CW575" s="4" t="s">
        <v>1006</v>
      </c>
      <c r="CX575" s="4" t="s">
        <v>487</v>
      </c>
      <c r="CZ575" s="6">
        <f>27440000</f>
        <v>27440000</v>
      </c>
      <c r="DA575" s="6">
        <f>0</f>
        <v>0</v>
      </c>
      <c r="DC575" s="4" t="s">
        <v>241</v>
      </c>
      <c r="DD575" s="4" t="s">
        <v>241</v>
      </c>
      <c r="DF575" s="4" t="s">
        <v>241</v>
      </c>
      <c r="DI575" s="4" t="s">
        <v>241</v>
      </c>
      <c r="DJ575" s="4" t="s">
        <v>241</v>
      </c>
      <c r="DK575" s="4" t="s">
        <v>241</v>
      </c>
      <c r="DL575" s="4" t="s">
        <v>241</v>
      </c>
      <c r="DM575" s="4" t="s">
        <v>277</v>
      </c>
      <c r="DN575" s="4" t="s">
        <v>278</v>
      </c>
      <c r="DO575" s="6">
        <f>343</f>
        <v>343</v>
      </c>
      <c r="DP575" s="4" t="s">
        <v>241</v>
      </c>
      <c r="DQ575" s="4" t="s">
        <v>241</v>
      </c>
      <c r="DR575" s="4" t="s">
        <v>241</v>
      </c>
      <c r="DS575" s="4" t="s">
        <v>241</v>
      </c>
      <c r="DV575" s="4" t="s">
        <v>705</v>
      </c>
      <c r="DW575" s="4" t="s">
        <v>351</v>
      </c>
      <c r="HO575" s="4" t="s">
        <v>277</v>
      </c>
      <c r="HR575" s="4" t="s">
        <v>278</v>
      </c>
      <c r="HS575" s="4" t="s">
        <v>278</v>
      </c>
    </row>
    <row r="576" spans="1:240" x14ac:dyDescent="0.4">
      <c r="A576" s="4">
        <v>2</v>
      </c>
      <c r="B576" s="4" t="s">
        <v>239</v>
      </c>
      <c r="C576" s="4">
        <v>607</v>
      </c>
      <c r="D576" s="4">
        <v>1</v>
      </c>
      <c r="E576" s="4">
        <v>1</v>
      </c>
      <c r="F576" s="4" t="s">
        <v>240</v>
      </c>
      <c r="G576" s="4" t="s">
        <v>241</v>
      </c>
      <c r="H576" s="4" t="s">
        <v>241</v>
      </c>
      <c r="I576" s="4" t="s">
        <v>702</v>
      </c>
      <c r="J576" s="4" t="s">
        <v>653</v>
      </c>
      <c r="K576" s="4" t="s">
        <v>256</v>
      </c>
      <c r="L576" s="4" t="s">
        <v>3018</v>
      </c>
      <c r="M576" s="5" t="s">
        <v>704</v>
      </c>
      <c r="N576" s="4" t="s">
        <v>3018</v>
      </c>
      <c r="O576" s="6">
        <f>66</f>
        <v>66</v>
      </c>
      <c r="P576" s="4" t="s">
        <v>276</v>
      </c>
      <c r="Q576" s="6">
        <f>1</f>
        <v>1</v>
      </c>
      <c r="R576" s="6">
        <f>5280000</f>
        <v>5280000</v>
      </c>
      <c r="S576" s="5" t="s">
        <v>3738</v>
      </c>
      <c r="T576" s="4" t="s">
        <v>441</v>
      </c>
      <c r="U576" s="4" t="s">
        <v>306</v>
      </c>
      <c r="W576" s="6">
        <f>5279999</f>
        <v>5279999</v>
      </c>
      <c r="X576" s="4" t="s">
        <v>243</v>
      </c>
      <c r="Y576" s="4" t="s">
        <v>244</v>
      </c>
      <c r="Z576" s="4" t="s">
        <v>465</v>
      </c>
      <c r="AA576" s="4" t="s">
        <v>241</v>
      </c>
      <c r="AD576" s="4" t="s">
        <v>241</v>
      </c>
      <c r="AF576" s="5" t="s">
        <v>241</v>
      </c>
      <c r="AI576" s="5" t="s">
        <v>249</v>
      </c>
      <c r="AJ576" s="4" t="s">
        <v>251</v>
      </c>
      <c r="AK576" s="4" t="s">
        <v>252</v>
      </c>
      <c r="BA576" s="4" t="s">
        <v>254</v>
      </c>
      <c r="BB576" s="4" t="s">
        <v>241</v>
      </c>
      <c r="BC576" s="4" t="s">
        <v>255</v>
      </c>
      <c r="BD576" s="4" t="s">
        <v>241</v>
      </c>
      <c r="BE576" s="4" t="s">
        <v>257</v>
      </c>
      <c r="BF576" s="4" t="s">
        <v>241</v>
      </c>
      <c r="BJ576" s="4" t="s">
        <v>367</v>
      </c>
      <c r="BK576" s="5" t="s">
        <v>249</v>
      </c>
      <c r="BL576" s="4" t="s">
        <v>261</v>
      </c>
      <c r="BM576" s="4" t="s">
        <v>262</v>
      </c>
      <c r="BN576" s="4" t="s">
        <v>241</v>
      </c>
      <c r="BO576" s="6">
        <f>0</f>
        <v>0</v>
      </c>
      <c r="BP576" s="6">
        <f>0</f>
        <v>0</v>
      </c>
      <c r="BQ576" s="4" t="s">
        <v>263</v>
      </c>
      <c r="BR576" s="4" t="s">
        <v>264</v>
      </c>
      <c r="CF576" s="4" t="s">
        <v>241</v>
      </c>
      <c r="CG576" s="4" t="s">
        <v>241</v>
      </c>
      <c r="CK576" s="4" t="s">
        <v>265</v>
      </c>
      <c r="CL576" s="4" t="s">
        <v>266</v>
      </c>
      <c r="CM576" s="4" t="s">
        <v>241</v>
      </c>
      <c r="CO576" s="4" t="s">
        <v>1603</v>
      </c>
      <c r="CP576" s="5" t="s">
        <v>268</v>
      </c>
      <c r="CQ576" s="4" t="s">
        <v>269</v>
      </c>
      <c r="CR576" s="4" t="s">
        <v>270</v>
      </c>
      <c r="CS576" s="4" t="s">
        <v>241</v>
      </c>
      <c r="CT576" s="4" t="s">
        <v>241</v>
      </c>
      <c r="CU576" s="4">
        <v>0</v>
      </c>
      <c r="CV576" s="4" t="s">
        <v>271</v>
      </c>
      <c r="CW576" s="4" t="s">
        <v>272</v>
      </c>
      <c r="CX576" s="4" t="s">
        <v>487</v>
      </c>
      <c r="CZ576" s="6">
        <f>5280000</f>
        <v>5280000</v>
      </c>
      <c r="DA576" s="6">
        <f>0</f>
        <v>0</v>
      </c>
      <c r="DC576" s="4" t="s">
        <v>241</v>
      </c>
      <c r="DD576" s="4" t="s">
        <v>241</v>
      </c>
      <c r="DF576" s="4" t="s">
        <v>241</v>
      </c>
      <c r="DI576" s="4" t="s">
        <v>241</v>
      </c>
      <c r="DJ576" s="4" t="s">
        <v>241</v>
      </c>
      <c r="DK576" s="4" t="s">
        <v>241</v>
      </c>
      <c r="DL576" s="4" t="s">
        <v>241</v>
      </c>
      <c r="DM576" s="4" t="s">
        <v>277</v>
      </c>
      <c r="DN576" s="4" t="s">
        <v>278</v>
      </c>
      <c r="DO576" s="6">
        <f>66</f>
        <v>66</v>
      </c>
      <c r="DP576" s="4" t="s">
        <v>241</v>
      </c>
      <c r="DQ576" s="4" t="s">
        <v>241</v>
      </c>
      <c r="DR576" s="4" t="s">
        <v>241</v>
      </c>
      <c r="DS576" s="4" t="s">
        <v>241</v>
      </c>
      <c r="DV576" s="4" t="s">
        <v>705</v>
      </c>
      <c r="DW576" s="4" t="s">
        <v>300</v>
      </c>
      <c r="HO576" s="4" t="s">
        <v>277</v>
      </c>
      <c r="HR576" s="4" t="s">
        <v>278</v>
      </c>
      <c r="HS576" s="4" t="s">
        <v>278</v>
      </c>
    </row>
    <row r="577" spans="1:240" x14ac:dyDescent="0.4">
      <c r="A577" s="4">
        <v>2</v>
      </c>
      <c r="B577" s="4" t="s">
        <v>239</v>
      </c>
      <c r="C577" s="4">
        <v>608</v>
      </c>
      <c r="D577" s="4">
        <v>1</v>
      </c>
      <c r="E577" s="4">
        <v>1</v>
      </c>
      <c r="F577" s="4" t="s">
        <v>240</v>
      </c>
      <c r="G577" s="4" t="s">
        <v>241</v>
      </c>
      <c r="H577" s="4" t="s">
        <v>241</v>
      </c>
      <c r="I577" s="4" t="s">
        <v>702</v>
      </c>
      <c r="J577" s="4" t="s">
        <v>653</v>
      </c>
      <c r="K577" s="4" t="s">
        <v>256</v>
      </c>
      <c r="L577" s="4" t="s">
        <v>414</v>
      </c>
      <c r="M577" s="5" t="s">
        <v>704</v>
      </c>
      <c r="N577" s="4" t="s">
        <v>414</v>
      </c>
      <c r="O577" s="6">
        <f>59</f>
        <v>59</v>
      </c>
      <c r="P577" s="4" t="s">
        <v>276</v>
      </c>
      <c r="Q577" s="6">
        <f>1</f>
        <v>1</v>
      </c>
      <c r="R577" s="6">
        <f>3540000</f>
        <v>3540000</v>
      </c>
      <c r="S577" s="5" t="s">
        <v>1108</v>
      </c>
      <c r="T577" s="4" t="s">
        <v>348</v>
      </c>
      <c r="U577" s="4" t="s">
        <v>1110</v>
      </c>
      <c r="W577" s="6">
        <f>3539999</f>
        <v>3539999</v>
      </c>
      <c r="X577" s="4" t="s">
        <v>243</v>
      </c>
      <c r="Y577" s="4" t="s">
        <v>244</v>
      </c>
      <c r="Z577" s="4" t="s">
        <v>465</v>
      </c>
      <c r="AA577" s="4" t="s">
        <v>241</v>
      </c>
      <c r="AD577" s="4" t="s">
        <v>241</v>
      </c>
      <c r="AF577" s="5" t="s">
        <v>241</v>
      </c>
      <c r="AI577" s="5" t="s">
        <v>249</v>
      </c>
      <c r="AJ577" s="4" t="s">
        <v>251</v>
      </c>
      <c r="AK577" s="4" t="s">
        <v>252</v>
      </c>
      <c r="BA577" s="4" t="s">
        <v>254</v>
      </c>
      <c r="BB577" s="4" t="s">
        <v>241</v>
      </c>
      <c r="BC577" s="4" t="s">
        <v>255</v>
      </c>
      <c r="BD577" s="4" t="s">
        <v>241</v>
      </c>
      <c r="BE577" s="4" t="s">
        <v>257</v>
      </c>
      <c r="BF577" s="4" t="s">
        <v>241</v>
      </c>
      <c r="BJ577" s="4" t="s">
        <v>367</v>
      </c>
      <c r="BK577" s="5" t="s">
        <v>249</v>
      </c>
      <c r="BL577" s="4" t="s">
        <v>261</v>
      </c>
      <c r="BM577" s="4" t="s">
        <v>262</v>
      </c>
      <c r="BN577" s="4" t="s">
        <v>241</v>
      </c>
      <c r="BO577" s="6">
        <f>0</f>
        <v>0</v>
      </c>
      <c r="BP577" s="6">
        <f>0</f>
        <v>0</v>
      </c>
      <c r="BQ577" s="4" t="s">
        <v>263</v>
      </c>
      <c r="BR577" s="4" t="s">
        <v>264</v>
      </c>
      <c r="CF577" s="4" t="s">
        <v>241</v>
      </c>
      <c r="CG577" s="4" t="s">
        <v>241</v>
      </c>
      <c r="CK577" s="4" t="s">
        <v>265</v>
      </c>
      <c r="CL577" s="4" t="s">
        <v>266</v>
      </c>
      <c r="CM577" s="4" t="s">
        <v>241</v>
      </c>
      <c r="CO577" s="4" t="s">
        <v>1109</v>
      </c>
      <c r="CP577" s="5" t="s">
        <v>268</v>
      </c>
      <c r="CQ577" s="4" t="s">
        <v>269</v>
      </c>
      <c r="CR577" s="4" t="s">
        <v>270</v>
      </c>
      <c r="CS577" s="4" t="s">
        <v>241</v>
      </c>
      <c r="CT577" s="4" t="s">
        <v>241</v>
      </c>
      <c r="CU577" s="4">
        <v>0</v>
      </c>
      <c r="CV577" s="4" t="s">
        <v>271</v>
      </c>
      <c r="CW577" s="4" t="s">
        <v>415</v>
      </c>
      <c r="CX577" s="4" t="s">
        <v>416</v>
      </c>
      <c r="CZ577" s="6">
        <f>3540000</f>
        <v>3540000</v>
      </c>
      <c r="DA577" s="6">
        <f>0</f>
        <v>0</v>
      </c>
      <c r="DC577" s="4" t="s">
        <v>241</v>
      </c>
      <c r="DD577" s="4" t="s">
        <v>241</v>
      </c>
      <c r="DF577" s="4" t="s">
        <v>241</v>
      </c>
      <c r="DI577" s="4" t="s">
        <v>241</v>
      </c>
      <c r="DJ577" s="4" t="s">
        <v>241</v>
      </c>
      <c r="DK577" s="4" t="s">
        <v>241</v>
      </c>
      <c r="DL577" s="4" t="s">
        <v>241</v>
      </c>
      <c r="DM577" s="4" t="s">
        <v>277</v>
      </c>
      <c r="DN577" s="4" t="s">
        <v>278</v>
      </c>
      <c r="DO577" s="6">
        <f>59</f>
        <v>59</v>
      </c>
      <c r="DP577" s="4" t="s">
        <v>241</v>
      </c>
      <c r="DQ577" s="4" t="s">
        <v>241</v>
      </c>
      <c r="DR577" s="4" t="s">
        <v>241</v>
      </c>
      <c r="DS577" s="4" t="s">
        <v>241</v>
      </c>
      <c r="DV577" s="4" t="s">
        <v>705</v>
      </c>
      <c r="DW577" s="4" t="s">
        <v>341</v>
      </c>
      <c r="HO577" s="4" t="s">
        <v>277</v>
      </c>
      <c r="HR577" s="4" t="s">
        <v>278</v>
      </c>
      <c r="HS577" s="4" t="s">
        <v>278</v>
      </c>
    </row>
    <row r="578" spans="1:240" x14ac:dyDescent="0.4">
      <c r="A578" s="4">
        <v>2</v>
      </c>
      <c r="B578" s="4" t="s">
        <v>239</v>
      </c>
      <c r="C578" s="4">
        <v>609</v>
      </c>
      <c r="D578" s="4">
        <v>1</v>
      </c>
      <c r="E578" s="4">
        <v>3</v>
      </c>
      <c r="F578" s="4" t="s">
        <v>326</v>
      </c>
      <c r="G578" s="4" t="s">
        <v>241</v>
      </c>
      <c r="H578" s="4" t="s">
        <v>241</v>
      </c>
      <c r="I578" s="4" t="s">
        <v>702</v>
      </c>
      <c r="J578" s="4" t="s">
        <v>653</v>
      </c>
      <c r="K578" s="4" t="s">
        <v>256</v>
      </c>
      <c r="L578" s="4" t="s">
        <v>2724</v>
      </c>
      <c r="M578" s="5" t="s">
        <v>704</v>
      </c>
      <c r="N578" s="4" t="s">
        <v>2761</v>
      </c>
      <c r="O578" s="6">
        <f>0</f>
        <v>0</v>
      </c>
      <c r="P578" s="4" t="s">
        <v>276</v>
      </c>
      <c r="Q578" s="6">
        <f>520033</f>
        <v>520033</v>
      </c>
      <c r="R578" s="6">
        <f>710425</f>
        <v>710425</v>
      </c>
      <c r="S578" s="5" t="s">
        <v>380</v>
      </c>
      <c r="T578" s="4" t="s">
        <v>348</v>
      </c>
      <c r="U578" s="4" t="s">
        <v>297</v>
      </c>
      <c r="V578" s="6">
        <f>47598</f>
        <v>47598</v>
      </c>
      <c r="W578" s="6">
        <f>190392</f>
        <v>190392</v>
      </c>
      <c r="X578" s="4" t="s">
        <v>243</v>
      </c>
      <c r="Y578" s="4" t="s">
        <v>244</v>
      </c>
      <c r="Z578" s="4" t="s">
        <v>465</v>
      </c>
      <c r="AA578" s="4" t="s">
        <v>241</v>
      </c>
      <c r="AD578" s="4" t="s">
        <v>241</v>
      </c>
      <c r="AE578" s="5" t="s">
        <v>241</v>
      </c>
      <c r="AF578" s="5" t="s">
        <v>241</v>
      </c>
      <c r="AH578" s="5" t="s">
        <v>241</v>
      </c>
      <c r="AI578" s="5" t="s">
        <v>249</v>
      </c>
      <c r="AJ578" s="4" t="s">
        <v>251</v>
      </c>
      <c r="AK578" s="4" t="s">
        <v>252</v>
      </c>
      <c r="AQ578" s="4" t="s">
        <v>241</v>
      </c>
      <c r="AR578" s="4" t="s">
        <v>241</v>
      </c>
      <c r="AS578" s="4" t="s">
        <v>241</v>
      </c>
      <c r="AT578" s="5" t="s">
        <v>241</v>
      </c>
      <c r="AU578" s="5" t="s">
        <v>241</v>
      </c>
      <c r="AV578" s="5" t="s">
        <v>241</v>
      </c>
      <c r="AY578" s="4" t="s">
        <v>286</v>
      </c>
      <c r="AZ578" s="4" t="s">
        <v>286</v>
      </c>
      <c r="BA578" s="4" t="s">
        <v>254</v>
      </c>
      <c r="BB578" s="4" t="s">
        <v>287</v>
      </c>
      <c r="BC578" s="4" t="s">
        <v>255</v>
      </c>
      <c r="BD578" s="4" t="s">
        <v>241</v>
      </c>
      <c r="BE578" s="4" t="s">
        <v>257</v>
      </c>
      <c r="BF578" s="4" t="s">
        <v>241</v>
      </c>
      <c r="BJ578" s="4" t="s">
        <v>288</v>
      </c>
      <c r="BK578" s="5" t="s">
        <v>289</v>
      </c>
      <c r="BL578" s="4" t="s">
        <v>290</v>
      </c>
      <c r="BM578" s="4" t="s">
        <v>290</v>
      </c>
      <c r="BN578" s="4" t="s">
        <v>241</v>
      </c>
      <c r="BP578" s="6">
        <f>-47598</f>
        <v>-47598</v>
      </c>
      <c r="BQ578" s="4" t="s">
        <v>263</v>
      </c>
      <c r="BR578" s="4" t="s">
        <v>264</v>
      </c>
      <c r="BS578" s="4" t="s">
        <v>241</v>
      </c>
      <c r="BT578" s="4" t="s">
        <v>241</v>
      </c>
      <c r="BU578" s="4" t="s">
        <v>241</v>
      </c>
      <c r="BV578" s="4" t="s">
        <v>241</v>
      </c>
      <c r="CE578" s="4" t="s">
        <v>264</v>
      </c>
      <c r="CF578" s="4" t="s">
        <v>241</v>
      </c>
      <c r="CG578" s="4" t="s">
        <v>241</v>
      </c>
      <c r="CK578" s="4" t="s">
        <v>291</v>
      </c>
      <c r="CL578" s="4" t="s">
        <v>266</v>
      </c>
      <c r="CM578" s="4" t="s">
        <v>241</v>
      </c>
      <c r="CO578" s="4" t="s">
        <v>413</v>
      </c>
      <c r="CP578" s="5" t="s">
        <v>268</v>
      </c>
      <c r="CQ578" s="4" t="s">
        <v>269</v>
      </c>
      <c r="CR578" s="4" t="s">
        <v>270</v>
      </c>
      <c r="CS578" s="4" t="s">
        <v>293</v>
      </c>
      <c r="CT578" s="4" t="s">
        <v>241</v>
      </c>
      <c r="CU578" s="4">
        <v>6.7000000000000004E-2</v>
      </c>
      <c r="CV578" s="4" t="s">
        <v>271</v>
      </c>
      <c r="CW578" s="4" t="s">
        <v>415</v>
      </c>
      <c r="CX578" s="4" t="s">
        <v>422</v>
      </c>
      <c r="CY578" s="6">
        <f>0</f>
        <v>0</v>
      </c>
      <c r="CZ578" s="6">
        <f>710425</f>
        <v>710425</v>
      </c>
      <c r="DA578" s="6">
        <f>520033</f>
        <v>520033</v>
      </c>
      <c r="DC578" s="4" t="s">
        <v>241</v>
      </c>
      <c r="DD578" s="4" t="s">
        <v>241</v>
      </c>
      <c r="DF578" s="4" t="s">
        <v>241</v>
      </c>
      <c r="DG578" s="6">
        <f>0</f>
        <v>0</v>
      </c>
      <c r="DI578" s="4" t="s">
        <v>241</v>
      </c>
      <c r="DJ578" s="4" t="s">
        <v>241</v>
      </c>
      <c r="DK578" s="4" t="s">
        <v>241</v>
      </c>
      <c r="DL578" s="4" t="s">
        <v>241</v>
      </c>
      <c r="DM578" s="4" t="s">
        <v>278</v>
      </c>
      <c r="DN578" s="4" t="s">
        <v>278</v>
      </c>
      <c r="DO578" s="6" t="s">
        <v>241</v>
      </c>
      <c r="DP578" s="4" t="s">
        <v>241</v>
      </c>
      <c r="DQ578" s="4" t="s">
        <v>241</v>
      </c>
      <c r="DR578" s="4" t="s">
        <v>241</v>
      </c>
      <c r="DS578" s="4" t="s">
        <v>241</v>
      </c>
      <c r="DV578" s="4" t="s">
        <v>705</v>
      </c>
      <c r="DW578" s="4" t="s">
        <v>343</v>
      </c>
      <c r="GN578" s="4" t="s">
        <v>2762</v>
      </c>
      <c r="HO578" s="4" t="s">
        <v>351</v>
      </c>
      <c r="HR578" s="4" t="s">
        <v>278</v>
      </c>
      <c r="HS578" s="4" t="s">
        <v>278</v>
      </c>
      <c r="HT578" s="4" t="s">
        <v>241</v>
      </c>
      <c r="HU578" s="4" t="s">
        <v>241</v>
      </c>
      <c r="HV578" s="4" t="s">
        <v>241</v>
      </c>
      <c r="HW578" s="4" t="s">
        <v>241</v>
      </c>
      <c r="HX578" s="4" t="s">
        <v>241</v>
      </c>
      <c r="HY578" s="4" t="s">
        <v>241</v>
      </c>
      <c r="HZ578" s="4" t="s">
        <v>241</v>
      </c>
      <c r="IA578" s="4" t="s">
        <v>241</v>
      </c>
      <c r="IB578" s="4" t="s">
        <v>241</v>
      </c>
      <c r="IC578" s="4" t="s">
        <v>241</v>
      </c>
      <c r="ID578" s="4" t="s">
        <v>241</v>
      </c>
      <c r="IE578" s="4" t="s">
        <v>241</v>
      </c>
      <c r="IF578" s="4" t="s">
        <v>241</v>
      </c>
    </row>
    <row r="579" spans="1:240" x14ac:dyDescent="0.4">
      <c r="A579" s="4">
        <v>2</v>
      </c>
      <c r="B579" s="4" t="s">
        <v>239</v>
      </c>
      <c r="C579" s="4">
        <v>610</v>
      </c>
      <c r="D579" s="4">
        <v>1</v>
      </c>
      <c r="E579" s="4">
        <v>3</v>
      </c>
      <c r="F579" s="4" t="s">
        <v>326</v>
      </c>
      <c r="G579" s="4" t="s">
        <v>241</v>
      </c>
      <c r="H579" s="4" t="s">
        <v>241</v>
      </c>
      <c r="I579" s="4" t="s">
        <v>702</v>
      </c>
      <c r="J579" s="4" t="s">
        <v>653</v>
      </c>
      <c r="K579" s="4" t="s">
        <v>256</v>
      </c>
      <c r="L579" s="4" t="s">
        <v>241</v>
      </c>
      <c r="M579" s="5" t="s">
        <v>704</v>
      </c>
      <c r="N579" s="4" t="s">
        <v>701</v>
      </c>
      <c r="O579" s="6">
        <f>0</f>
        <v>0</v>
      </c>
      <c r="P579" s="4" t="s">
        <v>276</v>
      </c>
      <c r="Q579" s="6">
        <f>149292</f>
        <v>149292</v>
      </c>
      <c r="R579" s="6">
        <f>159840</f>
        <v>159840</v>
      </c>
      <c r="S579" s="5" t="s">
        <v>703</v>
      </c>
      <c r="T579" s="4" t="s">
        <v>668</v>
      </c>
      <c r="U579" s="4" t="s">
        <v>323</v>
      </c>
      <c r="V579" s="6">
        <f>3516</f>
        <v>3516</v>
      </c>
      <c r="W579" s="6">
        <f>10548</f>
        <v>10548</v>
      </c>
      <c r="X579" s="4" t="s">
        <v>243</v>
      </c>
      <c r="Y579" s="4" t="s">
        <v>244</v>
      </c>
      <c r="Z579" s="4" t="s">
        <v>241</v>
      </c>
      <c r="AA579" s="4" t="s">
        <v>241</v>
      </c>
      <c r="AD579" s="4" t="s">
        <v>241</v>
      </c>
      <c r="AE579" s="5" t="s">
        <v>241</v>
      </c>
      <c r="AF579" s="5" t="s">
        <v>241</v>
      </c>
      <c r="AH579" s="5" t="s">
        <v>241</v>
      </c>
      <c r="AI579" s="5" t="s">
        <v>249</v>
      </c>
      <c r="AJ579" s="4" t="s">
        <v>251</v>
      </c>
      <c r="AK579" s="4" t="s">
        <v>252</v>
      </c>
      <c r="AQ579" s="4" t="s">
        <v>241</v>
      </c>
      <c r="AR579" s="4" t="s">
        <v>241</v>
      </c>
      <c r="AS579" s="4" t="s">
        <v>241</v>
      </c>
      <c r="AT579" s="5" t="s">
        <v>241</v>
      </c>
      <c r="AU579" s="5" t="s">
        <v>241</v>
      </c>
      <c r="AV579" s="5" t="s">
        <v>241</v>
      </c>
      <c r="AY579" s="4" t="s">
        <v>286</v>
      </c>
      <c r="AZ579" s="4" t="s">
        <v>286</v>
      </c>
      <c r="BA579" s="4" t="s">
        <v>254</v>
      </c>
      <c r="BB579" s="4" t="s">
        <v>287</v>
      </c>
      <c r="BC579" s="4" t="s">
        <v>255</v>
      </c>
      <c r="BD579" s="4" t="s">
        <v>241</v>
      </c>
      <c r="BE579" s="4" t="s">
        <v>257</v>
      </c>
      <c r="BF579" s="4" t="s">
        <v>241</v>
      </c>
      <c r="BJ579" s="4" t="s">
        <v>288</v>
      </c>
      <c r="BK579" s="5" t="s">
        <v>289</v>
      </c>
      <c r="BL579" s="4" t="s">
        <v>290</v>
      </c>
      <c r="BM579" s="4" t="s">
        <v>290</v>
      </c>
      <c r="BN579" s="4" t="s">
        <v>241</v>
      </c>
      <c r="BP579" s="6">
        <f>-3516</f>
        <v>-3516</v>
      </c>
      <c r="BQ579" s="4" t="s">
        <v>263</v>
      </c>
      <c r="BR579" s="4" t="s">
        <v>264</v>
      </c>
      <c r="BS579" s="4" t="s">
        <v>241</v>
      </c>
      <c r="BT579" s="4" t="s">
        <v>241</v>
      </c>
      <c r="BU579" s="4" t="s">
        <v>241</v>
      </c>
      <c r="BV579" s="4" t="s">
        <v>241</v>
      </c>
      <c r="CE579" s="4" t="s">
        <v>264</v>
      </c>
      <c r="CF579" s="4" t="s">
        <v>241</v>
      </c>
      <c r="CG579" s="4" t="s">
        <v>241</v>
      </c>
      <c r="CK579" s="4" t="s">
        <v>291</v>
      </c>
      <c r="CL579" s="4" t="s">
        <v>266</v>
      </c>
      <c r="CM579" s="4" t="s">
        <v>241</v>
      </c>
      <c r="CO579" s="4" t="s">
        <v>421</v>
      </c>
      <c r="CP579" s="5" t="s">
        <v>268</v>
      </c>
      <c r="CQ579" s="4" t="s">
        <v>269</v>
      </c>
      <c r="CR579" s="4" t="s">
        <v>270</v>
      </c>
      <c r="CS579" s="4" t="s">
        <v>293</v>
      </c>
      <c r="CT579" s="4" t="s">
        <v>241</v>
      </c>
      <c r="CU579" s="4">
        <v>2.1999999999999999E-2</v>
      </c>
      <c r="CV579" s="4" t="s">
        <v>271</v>
      </c>
      <c r="CW579" s="4" t="s">
        <v>655</v>
      </c>
      <c r="CX579" s="4" t="s">
        <v>295</v>
      </c>
      <c r="CY579" s="6">
        <f>0</f>
        <v>0</v>
      </c>
      <c r="CZ579" s="6">
        <f>159840</f>
        <v>159840</v>
      </c>
      <c r="DA579" s="6">
        <f>149292</f>
        <v>149292</v>
      </c>
      <c r="DC579" s="4" t="s">
        <v>241</v>
      </c>
      <c r="DD579" s="4" t="s">
        <v>241</v>
      </c>
      <c r="DF579" s="4" t="s">
        <v>241</v>
      </c>
      <c r="DG579" s="6">
        <f>0</f>
        <v>0</v>
      </c>
      <c r="DI579" s="4" t="s">
        <v>241</v>
      </c>
      <c r="DJ579" s="4" t="s">
        <v>241</v>
      </c>
      <c r="DK579" s="4" t="s">
        <v>241</v>
      </c>
      <c r="DL579" s="4" t="s">
        <v>241</v>
      </c>
      <c r="DM579" s="4" t="s">
        <v>278</v>
      </c>
      <c r="DN579" s="4" t="s">
        <v>278</v>
      </c>
      <c r="DO579" s="6" t="s">
        <v>241</v>
      </c>
      <c r="DP579" s="4" t="s">
        <v>241</v>
      </c>
      <c r="DQ579" s="4" t="s">
        <v>241</v>
      </c>
      <c r="DR579" s="4" t="s">
        <v>241</v>
      </c>
      <c r="DS579" s="4" t="s">
        <v>241</v>
      </c>
      <c r="DV579" s="4" t="s">
        <v>705</v>
      </c>
      <c r="DW579" s="4" t="s">
        <v>417</v>
      </c>
      <c r="GN579" s="4" t="s">
        <v>706</v>
      </c>
      <c r="HO579" s="4" t="s">
        <v>336</v>
      </c>
      <c r="HR579" s="4" t="s">
        <v>278</v>
      </c>
      <c r="HS579" s="4" t="s">
        <v>278</v>
      </c>
      <c r="HT579" s="4" t="s">
        <v>241</v>
      </c>
      <c r="HU579" s="4" t="s">
        <v>241</v>
      </c>
      <c r="HV579" s="4" t="s">
        <v>241</v>
      </c>
      <c r="HW579" s="4" t="s">
        <v>241</v>
      </c>
      <c r="HX579" s="4" t="s">
        <v>241</v>
      </c>
      <c r="HY579" s="4" t="s">
        <v>241</v>
      </c>
      <c r="HZ579" s="4" t="s">
        <v>241</v>
      </c>
      <c r="IA579" s="4" t="s">
        <v>241</v>
      </c>
      <c r="IB579" s="4" t="s">
        <v>241</v>
      </c>
      <c r="IC579" s="4" t="s">
        <v>241</v>
      </c>
      <c r="ID579" s="4" t="s">
        <v>241</v>
      </c>
      <c r="IE579" s="4" t="s">
        <v>241</v>
      </c>
      <c r="IF579" s="4" t="s">
        <v>241</v>
      </c>
    </row>
    <row r="580" spans="1:240" x14ac:dyDescent="0.4">
      <c r="A580" s="4">
        <v>2</v>
      </c>
      <c r="B580" s="4" t="s">
        <v>239</v>
      </c>
      <c r="C580" s="4">
        <v>611</v>
      </c>
      <c r="D580" s="4">
        <v>1</v>
      </c>
      <c r="E580" s="4">
        <v>3</v>
      </c>
      <c r="F580" s="4" t="s">
        <v>326</v>
      </c>
      <c r="G580" s="4" t="s">
        <v>241</v>
      </c>
      <c r="H580" s="4" t="s">
        <v>241</v>
      </c>
      <c r="I580" s="4" t="s">
        <v>702</v>
      </c>
      <c r="J580" s="4" t="s">
        <v>653</v>
      </c>
      <c r="K580" s="4" t="s">
        <v>256</v>
      </c>
      <c r="L580" s="4" t="s">
        <v>241</v>
      </c>
      <c r="M580" s="5" t="s">
        <v>704</v>
      </c>
      <c r="N580" s="4" t="s">
        <v>2747</v>
      </c>
      <c r="O580" s="6">
        <f>0</f>
        <v>0</v>
      </c>
      <c r="P580" s="4" t="s">
        <v>276</v>
      </c>
      <c r="Q580" s="6">
        <f>42771956</f>
        <v>42771956</v>
      </c>
      <c r="R580" s="6">
        <f>50557866</f>
        <v>50557866</v>
      </c>
      <c r="S580" s="5" t="s">
        <v>1104</v>
      </c>
      <c r="T580" s="4" t="s">
        <v>322</v>
      </c>
      <c r="U580" s="4" t="s">
        <v>277</v>
      </c>
      <c r="V580" s="6">
        <f>3892955</f>
        <v>3892955</v>
      </c>
      <c r="W580" s="6">
        <f>7785910</f>
        <v>7785910</v>
      </c>
      <c r="X580" s="4" t="s">
        <v>243</v>
      </c>
      <c r="Y580" s="4" t="s">
        <v>244</v>
      </c>
      <c r="Z580" s="4" t="s">
        <v>241</v>
      </c>
      <c r="AA580" s="4" t="s">
        <v>241</v>
      </c>
      <c r="AD580" s="4" t="s">
        <v>241</v>
      </c>
      <c r="AE580" s="5" t="s">
        <v>241</v>
      </c>
      <c r="AF580" s="5" t="s">
        <v>241</v>
      </c>
      <c r="AH580" s="5" t="s">
        <v>241</v>
      </c>
      <c r="AI580" s="5" t="s">
        <v>249</v>
      </c>
      <c r="AJ580" s="4" t="s">
        <v>251</v>
      </c>
      <c r="AK580" s="4" t="s">
        <v>252</v>
      </c>
      <c r="AQ580" s="4" t="s">
        <v>241</v>
      </c>
      <c r="AR580" s="4" t="s">
        <v>241</v>
      </c>
      <c r="AS580" s="4" t="s">
        <v>241</v>
      </c>
      <c r="AT580" s="5" t="s">
        <v>241</v>
      </c>
      <c r="AU580" s="5" t="s">
        <v>241</v>
      </c>
      <c r="AV580" s="5" t="s">
        <v>241</v>
      </c>
      <c r="AY580" s="4" t="s">
        <v>286</v>
      </c>
      <c r="AZ580" s="4" t="s">
        <v>286</v>
      </c>
      <c r="BA580" s="4" t="s">
        <v>254</v>
      </c>
      <c r="BB580" s="4" t="s">
        <v>287</v>
      </c>
      <c r="BC580" s="4" t="s">
        <v>255</v>
      </c>
      <c r="BD580" s="4" t="s">
        <v>241</v>
      </c>
      <c r="BE580" s="4" t="s">
        <v>257</v>
      </c>
      <c r="BF580" s="4" t="s">
        <v>241</v>
      </c>
      <c r="BJ580" s="4" t="s">
        <v>288</v>
      </c>
      <c r="BK580" s="5" t="s">
        <v>289</v>
      </c>
      <c r="BL580" s="4" t="s">
        <v>290</v>
      </c>
      <c r="BM580" s="4" t="s">
        <v>290</v>
      </c>
      <c r="BN580" s="4" t="s">
        <v>241</v>
      </c>
      <c r="BP580" s="6">
        <f>-3892955</f>
        <v>-3892955</v>
      </c>
      <c r="BQ580" s="4" t="s">
        <v>263</v>
      </c>
      <c r="BR580" s="4" t="s">
        <v>264</v>
      </c>
      <c r="BS580" s="4" t="s">
        <v>241</v>
      </c>
      <c r="BT580" s="4" t="s">
        <v>241</v>
      </c>
      <c r="BU580" s="4" t="s">
        <v>241</v>
      </c>
      <c r="BV580" s="4" t="s">
        <v>241</v>
      </c>
      <c r="CE580" s="4" t="s">
        <v>264</v>
      </c>
      <c r="CF580" s="4" t="s">
        <v>241</v>
      </c>
      <c r="CG580" s="4" t="s">
        <v>241</v>
      </c>
      <c r="CK580" s="4" t="s">
        <v>291</v>
      </c>
      <c r="CL580" s="4" t="s">
        <v>266</v>
      </c>
      <c r="CM580" s="4" t="s">
        <v>241</v>
      </c>
      <c r="CO580" s="4" t="s">
        <v>331</v>
      </c>
      <c r="CP580" s="5" t="s">
        <v>268</v>
      </c>
      <c r="CQ580" s="4" t="s">
        <v>269</v>
      </c>
      <c r="CR580" s="4" t="s">
        <v>270</v>
      </c>
      <c r="CS580" s="4" t="s">
        <v>293</v>
      </c>
      <c r="CT580" s="4" t="s">
        <v>241</v>
      </c>
      <c r="CU580" s="4">
        <v>7.6999999999999999E-2</v>
      </c>
      <c r="CV580" s="4" t="s">
        <v>271</v>
      </c>
      <c r="CW580" s="4" t="s">
        <v>415</v>
      </c>
      <c r="CX580" s="4" t="s">
        <v>428</v>
      </c>
      <c r="CY580" s="6">
        <f>0</f>
        <v>0</v>
      </c>
      <c r="CZ580" s="6">
        <f>50557866</f>
        <v>50557866</v>
      </c>
      <c r="DA580" s="6">
        <f>42771956</f>
        <v>42771956</v>
      </c>
      <c r="DC580" s="4" t="s">
        <v>241</v>
      </c>
      <c r="DD580" s="4" t="s">
        <v>241</v>
      </c>
      <c r="DF580" s="4" t="s">
        <v>241</v>
      </c>
      <c r="DG580" s="6">
        <f>0</f>
        <v>0</v>
      </c>
      <c r="DI580" s="4" t="s">
        <v>241</v>
      </c>
      <c r="DJ580" s="4" t="s">
        <v>241</v>
      </c>
      <c r="DK580" s="4" t="s">
        <v>241</v>
      </c>
      <c r="DL580" s="4" t="s">
        <v>241</v>
      </c>
      <c r="DM580" s="4" t="s">
        <v>278</v>
      </c>
      <c r="DN580" s="4" t="s">
        <v>278</v>
      </c>
      <c r="DO580" s="6" t="s">
        <v>241</v>
      </c>
      <c r="DP580" s="4" t="s">
        <v>241</v>
      </c>
      <c r="DQ580" s="4" t="s">
        <v>241</v>
      </c>
      <c r="DR580" s="4" t="s">
        <v>241</v>
      </c>
      <c r="DS580" s="4" t="s">
        <v>241</v>
      </c>
      <c r="DV580" s="4" t="s">
        <v>705</v>
      </c>
      <c r="DW580" s="4" t="s">
        <v>427</v>
      </c>
      <c r="GN580" s="4" t="s">
        <v>2760</v>
      </c>
      <c r="HO580" s="4" t="s">
        <v>297</v>
      </c>
      <c r="HR580" s="4" t="s">
        <v>278</v>
      </c>
      <c r="HS580" s="4" t="s">
        <v>278</v>
      </c>
      <c r="HT580" s="4" t="s">
        <v>241</v>
      </c>
      <c r="HU580" s="4" t="s">
        <v>241</v>
      </c>
      <c r="HV580" s="4" t="s">
        <v>241</v>
      </c>
      <c r="HW580" s="4" t="s">
        <v>241</v>
      </c>
      <c r="HX580" s="4" t="s">
        <v>241</v>
      </c>
      <c r="HY580" s="4" t="s">
        <v>241</v>
      </c>
      <c r="HZ580" s="4" t="s">
        <v>241</v>
      </c>
      <c r="IA580" s="4" t="s">
        <v>241</v>
      </c>
      <c r="IB580" s="4" t="s">
        <v>241</v>
      </c>
      <c r="IC580" s="4" t="s">
        <v>241</v>
      </c>
      <c r="ID580" s="4" t="s">
        <v>241</v>
      </c>
      <c r="IE580" s="4" t="s">
        <v>241</v>
      </c>
      <c r="IF580" s="4" t="s">
        <v>241</v>
      </c>
    </row>
    <row r="581" spans="1:240" x14ac:dyDescent="0.4">
      <c r="A581" s="4">
        <v>2</v>
      </c>
      <c r="B581" s="4" t="s">
        <v>239</v>
      </c>
      <c r="C581" s="4">
        <v>612</v>
      </c>
      <c r="D581" s="4">
        <v>1</v>
      </c>
      <c r="E581" s="4">
        <v>1</v>
      </c>
      <c r="F581" s="4" t="s">
        <v>240</v>
      </c>
      <c r="G581" s="4" t="s">
        <v>241</v>
      </c>
      <c r="H581" s="4" t="s">
        <v>241</v>
      </c>
      <c r="I581" s="4" t="s">
        <v>690</v>
      </c>
      <c r="J581" s="4" t="s">
        <v>653</v>
      </c>
      <c r="K581" s="4" t="s">
        <v>256</v>
      </c>
      <c r="L581" s="4" t="s">
        <v>1012</v>
      </c>
      <c r="M581" s="5" t="s">
        <v>692</v>
      </c>
      <c r="N581" s="4" t="s">
        <v>1012</v>
      </c>
      <c r="O581" s="6">
        <f>481</f>
        <v>481</v>
      </c>
      <c r="P581" s="4" t="s">
        <v>276</v>
      </c>
      <c r="Q581" s="6">
        <f>1</f>
        <v>1</v>
      </c>
      <c r="R581" s="6">
        <f>38480000</f>
        <v>38480000</v>
      </c>
      <c r="S581" s="5" t="s">
        <v>839</v>
      </c>
      <c r="T581" s="4" t="s">
        <v>357</v>
      </c>
      <c r="U581" s="4" t="s">
        <v>669</v>
      </c>
      <c r="W581" s="6">
        <f>38479999</f>
        <v>38479999</v>
      </c>
      <c r="X581" s="4" t="s">
        <v>243</v>
      </c>
      <c r="Y581" s="4" t="s">
        <v>244</v>
      </c>
      <c r="Z581" s="4" t="s">
        <v>465</v>
      </c>
      <c r="AA581" s="4" t="s">
        <v>241</v>
      </c>
      <c r="AD581" s="4" t="s">
        <v>241</v>
      </c>
      <c r="AF581" s="5" t="s">
        <v>241</v>
      </c>
      <c r="AI581" s="5" t="s">
        <v>249</v>
      </c>
      <c r="AJ581" s="4" t="s">
        <v>251</v>
      </c>
      <c r="AK581" s="4" t="s">
        <v>252</v>
      </c>
      <c r="BA581" s="4" t="s">
        <v>254</v>
      </c>
      <c r="BB581" s="4" t="s">
        <v>241</v>
      </c>
      <c r="BC581" s="4" t="s">
        <v>255</v>
      </c>
      <c r="BD581" s="4" t="s">
        <v>241</v>
      </c>
      <c r="BE581" s="4" t="s">
        <v>257</v>
      </c>
      <c r="BF581" s="4" t="s">
        <v>241</v>
      </c>
      <c r="BJ581" s="4" t="s">
        <v>367</v>
      </c>
      <c r="BK581" s="5" t="s">
        <v>249</v>
      </c>
      <c r="BL581" s="4" t="s">
        <v>261</v>
      </c>
      <c r="BM581" s="4" t="s">
        <v>262</v>
      </c>
      <c r="BN581" s="4" t="s">
        <v>241</v>
      </c>
      <c r="BO581" s="6">
        <f>0</f>
        <v>0</v>
      </c>
      <c r="BP581" s="6">
        <f>0</f>
        <v>0</v>
      </c>
      <c r="BQ581" s="4" t="s">
        <v>263</v>
      </c>
      <c r="BR581" s="4" t="s">
        <v>264</v>
      </c>
      <c r="CF581" s="4" t="s">
        <v>241</v>
      </c>
      <c r="CG581" s="4" t="s">
        <v>241</v>
      </c>
      <c r="CK581" s="4" t="s">
        <v>265</v>
      </c>
      <c r="CL581" s="4" t="s">
        <v>266</v>
      </c>
      <c r="CM581" s="4" t="s">
        <v>241</v>
      </c>
      <c r="CO581" s="4" t="s">
        <v>841</v>
      </c>
      <c r="CP581" s="5" t="s">
        <v>268</v>
      </c>
      <c r="CQ581" s="4" t="s">
        <v>269</v>
      </c>
      <c r="CR581" s="4" t="s">
        <v>270</v>
      </c>
      <c r="CS581" s="4" t="s">
        <v>241</v>
      </c>
      <c r="CT581" s="4" t="s">
        <v>241</v>
      </c>
      <c r="CU581" s="4">
        <v>0</v>
      </c>
      <c r="CV581" s="4" t="s">
        <v>271</v>
      </c>
      <c r="CW581" s="4" t="s">
        <v>1006</v>
      </c>
      <c r="CX581" s="4" t="s">
        <v>487</v>
      </c>
      <c r="CZ581" s="6">
        <f>38480000</f>
        <v>38480000</v>
      </c>
      <c r="DA581" s="6">
        <f>0</f>
        <v>0</v>
      </c>
      <c r="DC581" s="4" t="s">
        <v>241</v>
      </c>
      <c r="DD581" s="4" t="s">
        <v>241</v>
      </c>
      <c r="DF581" s="4" t="s">
        <v>241</v>
      </c>
      <c r="DI581" s="4" t="s">
        <v>241</v>
      </c>
      <c r="DJ581" s="4" t="s">
        <v>241</v>
      </c>
      <c r="DK581" s="4" t="s">
        <v>241</v>
      </c>
      <c r="DL581" s="4" t="s">
        <v>241</v>
      </c>
      <c r="DM581" s="4" t="s">
        <v>277</v>
      </c>
      <c r="DN581" s="4" t="s">
        <v>278</v>
      </c>
      <c r="DO581" s="6">
        <f>481</f>
        <v>481</v>
      </c>
      <c r="DP581" s="4" t="s">
        <v>241</v>
      </c>
      <c r="DQ581" s="4" t="s">
        <v>241</v>
      </c>
      <c r="DR581" s="4" t="s">
        <v>241</v>
      </c>
      <c r="DS581" s="4" t="s">
        <v>241</v>
      </c>
      <c r="DV581" s="4" t="s">
        <v>694</v>
      </c>
      <c r="DW581" s="4" t="s">
        <v>277</v>
      </c>
      <c r="HO581" s="4" t="s">
        <v>277</v>
      </c>
      <c r="HR581" s="4" t="s">
        <v>278</v>
      </c>
      <c r="HS581" s="4" t="s">
        <v>278</v>
      </c>
    </row>
    <row r="582" spans="1:240" x14ac:dyDescent="0.4">
      <c r="A582" s="4">
        <v>2</v>
      </c>
      <c r="B582" s="4" t="s">
        <v>239</v>
      </c>
      <c r="C582" s="4">
        <v>613</v>
      </c>
      <c r="D582" s="4">
        <v>1</v>
      </c>
      <c r="E582" s="4">
        <v>3</v>
      </c>
      <c r="F582" s="4" t="s">
        <v>240</v>
      </c>
      <c r="G582" s="4" t="s">
        <v>241</v>
      </c>
      <c r="H582" s="4" t="s">
        <v>241</v>
      </c>
      <c r="I582" s="4" t="s">
        <v>690</v>
      </c>
      <c r="J582" s="4" t="s">
        <v>653</v>
      </c>
      <c r="K582" s="4" t="s">
        <v>256</v>
      </c>
      <c r="L582" s="4" t="s">
        <v>2529</v>
      </c>
      <c r="M582" s="5" t="s">
        <v>692</v>
      </c>
      <c r="N582" s="4" t="s">
        <v>2529</v>
      </c>
      <c r="O582" s="6">
        <f>87</f>
        <v>87</v>
      </c>
      <c r="P582" s="4" t="s">
        <v>276</v>
      </c>
      <c r="Q582" s="6">
        <f>1</f>
        <v>1</v>
      </c>
      <c r="R582" s="6">
        <f>14181000</f>
        <v>14181000</v>
      </c>
      <c r="S582" s="5" t="s">
        <v>345</v>
      </c>
      <c r="T582" s="4" t="s">
        <v>348</v>
      </c>
      <c r="U582" s="4" t="s">
        <v>349</v>
      </c>
      <c r="V582" s="6">
        <f>879221</f>
        <v>879221</v>
      </c>
      <c r="W582" s="6">
        <f>14180999</f>
        <v>14180999</v>
      </c>
      <c r="X582" s="4" t="s">
        <v>243</v>
      </c>
      <c r="Y582" s="4" t="s">
        <v>244</v>
      </c>
      <c r="Z582" s="4" t="s">
        <v>465</v>
      </c>
      <c r="AA582" s="4" t="s">
        <v>241</v>
      </c>
      <c r="AD582" s="4" t="s">
        <v>241</v>
      </c>
      <c r="AE582" s="5" t="s">
        <v>241</v>
      </c>
      <c r="AF582" s="5" t="s">
        <v>241</v>
      </c>
      <c r="AH582" s="5" t="s">
        <v>241</v>
      </c>
      <c r="AI582" s="5" t="s">
        <v>249</v>
      </c>
      <c r="AJ582" s="4" t="s">
        <v>251</v>
      </c>
      <c r="AK582" s="4" t="s">
        <v>252</v>
      </c>
      <c r="AQ582" s="4" t="s">
        <v>241</v>
      </c>
      <c r="AR582" s="4" t="s">
        <v>241</v>
      </c>
      <c r="AS582" s="4" t="s">
        <v>241</v>
      </c>
      <c r="AT582" s="5" t="s">
        <v>241</v>
      </c>
      <c r="AU582" s="5" t="s">
        <v>241</v>
      </c>
      <c r="AV582" s="5" t="s">
        <v>241</v>
      </c>
      <c r="AY582" s="4" t="s">
        <v>286</v>
      </c>
      <c r="AZ582" s="4" t="s">
        <v>286</v>
      </c>
      <c r="BA582" s="4" t="s">
        <v>254</v>
      </c>
      <c r="BB582" s="4" t="s">
        <v>287</v>
      </c>
      <c r="BC582" s="4" t="s">
        <v>255</v>
      </c>
      <c r="BD582" s="4" t="s">
        <v>241</v>
      </c>
      <c r="BE582" s="4" t="s">
        <v>257</v>
      </c>
      <c r="BF582" s="4" t="s">
        <v>241</v>
      </c>
      <c r="BJ582" s="4" t="s">
        <v>288</v>
      </c>
      <c r="BK582" s="5" t="s">
        <v>289</v>
      </c>
      <c r="BL582" s="4" t="s">
        <v>290</v>
      </c>
      <c r="BM582" s="4" t="s">
        <v>290</v>
      </c>
      <c r="BN582" s="4" t="s">
        <v>241</v>
      </c>
      <c r="BO582" s="6">
        <f>0</f>
        <v>0</v>
      </c>
      <c r="BP582" s="6">
        <f>-879221</f>
        <v>-879221</v>
      </c>
      <c r="BQ582" s="4" t="s">
        <v>263</v>
      </c>
      <c r="BR582" s="4" t="s">
        <v>264</v>
      </c>
      <c r="BS582" s="4" t="s">
        <v>241</v>
      </c>
      <c r="BT582" s="4" t="s">
        <v>241</v>
      </c>
      <c r="BU582" s="4" t="s">
        <v>241</v>
      </c>
      <c r="BV582" s="4" t="s">
        <v>241</v>
      </c>
      <c r="CE582" s="4" t="s">
        <v>264</v>
      </c>
      <c r="CF582" s="4" t="s">
        <v>241</v>
      </c>
      <c r="CG582" s="4" t="s">
        <v>241</v>
      </c>
      <c r="CK582" s="4" t="s">
        <v>291</v>
      </c>
      <c r="CL582" s="4" t="s">
        <v>266</v>
      </c>
      <c r="CM582" s="4" t="s">
        <v>241</v>
      </c>
      <c r="CO582" s="4" t="s">
        <v>346</v>
      </c>
      <c r="CP582" s="5" t="s">
        <v>268</v>
      </c>
      <c r="CQ582" s="4" t="s">
        <v>269</v>
      </c>
      <c r="CR582" s="4" t="s">
        <v>270</v>
      </c>
      <c r="CS582" s="4" t="s">
        <v>293</v>
      </c>
      <c r="CT582" s="4" t="s">
        <v>241</v>
      </c>
      <c r="CU582" s="4">
        <v>6.7000000000000004E-2</v>
      </c>
      <c r="CV582" s="4" t="s">
        <v>271</v>
      </c>
      <c r="CW582" s="4" t="s">
        <v>415</v>
      </c>
      <c r="CX582" s="4" t="s">
        <v>416</v>
      </c>
      <c r="CY582" s="6">
        <f>0</f>
        <v>0</v>
      </c>
      <c r="CZ582" s="6">
        <f>14181000</f>
        <v>14181000</v>
      </c>
      <c r="DA582" s="6">
        <f>1</f>
        <v>1</v>
      </c>
      <c r="DC582" s="4" t="s">
        <v>241</v>
      </c>
      <c r="DD582" s="4" t="s">
        <v>241</v>
      </c>
      <c r="DF582" s="4" t="s">
        <v>241</v>
      </c>
      <c r="DG582" s="6">
        <f>0</f>
        <v>0</v>
      </c>
      <c r="DI582" s="4" t="s">
        <v>241</v>
      </c>
      <c r="DJ582" s="4" t="s">
        <v>241</v>
      </c>
      <c r="DK582" s="4" t="s">
        <v>241</v>
      </c>
      <c r="DL582" s="4" t="s">
        <v>241</v>
      </c>
      <c r="DM582" s="4" t="s">
        <v>277</v>
      </c>
      <c r="DN582" s="4" t="s">
        <v>278</v>
      </c>
      <c r="DO582" s="6">
        <f>87</f>
        <v>87</v>
      </c>
      <c r="DP582" s="4" t="s">
        <v>241</v>
      </c>
      <c r="DQ582" s="4" t="s">
        <v>241</v>
      </c>
      <c r="DR582" s="4" t="s">
        <v>241</v>
      </c>
      <c r="DS582" s="4" t="s">
        <v>241</v>
      </c>
      <c r="DV582" s="4" t="s">
        <v>694</v>
      </c>
      <c r="DW582" s="4" t="s">
        <v>323</v>
      </c>
      <c r="GN582" s="4" t="s">
        <v>2759</v>
      </c>
      <c r="HO582" s="4" t="s">
        <v>300</v>
      </c>
      <c r="HR582" s="4" t="s">
        <v>278</v>
      </c>
      <c r="HS582" s="4" t="s">
        <v>278</v>
      </c>
      <c r="HT582" s="4" t="s">
        <v>241</v>
      </c>
      <c r="HU582" s="4" t="s">
        <v>241</v>
      </c>
      <c r="HV582" s="4" t="s">
        <v>241</v>
      </c>
      <c r="HW582" s="4" t="s">
        <v>241</v>
      </c>
      <c r="HX582" s="4" t="s">
        <v>241</v>
      </c>
      <c r="HY582" s="4" t="s">
        <v>241</v>
      </c>
      <c r="HZ582" s="4" t="s">
        <v>241</v>
      </c>
      <c r="IA582" s="4" t="s">
        <v>241</v>
      </c>
      <c r="IB582" s="4" t="s">
        <v>241</v>
      </c>
      <c r="IC582" s="4" t="s">
        <v>241</v>
      </c>
      <c r="ID582" s="4" t="s">
        <v>241</v>
      </c>
      <c r="IE582" s="4" t="s">
        <v>241</v>
      </c>
      <c r="IF582" s="4" t="s">
        <v>241</v>
      </c>
    </row>
    <row r="583" spans="1:240" x14ac:dyDescent="0.4">
      <c r="A583" s="4">
        <v>2</v>
      </c>
      <c r="B583" s="4" t="s">
        <v>239</v>
      </c>
      <c r="C583" s="4">
        <v>614</v>
      </c>
      <c r="D583" s="4">
        <v>1</v>
      </c>
      <c r="E583" s="4">
        <v>3</v>
      </c>
      <c r="F583" s="4" t="s">
        <v>240</v>
      </c>
      <c r="G583" s="4" t="s">
        <v>241</v>
      </c>
      <c r="H583" s="4" t="s">
        <v>241</v>
      </c>
      <c r="I583" s="4" t="s">
        <v>690</v>
      </c>
      <c r="J583" s="4" t="s">
        <v>653</v>
      </c>
      <c r="K583" s="4" t="s">
        <v>256</v>
      </c>
      <c r="L583" s="4" t="s">
        <v>651</v>
      </c>
      <c r="M583" s="5" t="s">
        <v>692</v>
      </c>
      <c r="N583" s="4" t="s">
        <v>651</v>
      </c>
      <c r="O583" s="6">
        <f>2946</f>
        <v>2946</v>
      </c>
      <c r="P583" s="4" t="s">
        <v>276</v>
      </c>
      <c r="Q583" s="6">
        <f>609611268</f>
        <v>609611268</v>
      </c>
      <c r="R583" s="6">
        <f>739819500</f>
        <v>739819500</v>
      </c>
      <c r="S583" s="5" t="s">
        <v>691</v>
      </c>
      <c r="T583" s="4" t="s">
        <v>668</v>
      </c>
      <c r="U583" s="4" t="s">
        <v>341</v>
      </c>
      <c r="V583" s="6">
        <f>16276029</f>
        <v>16276029</v>
      </c>
      <c r="W583" s="6">
        <f>130208232</f>
        <v>130208232</v>
      </c>
      <c r="X583" s="4" t="s">
        <v>243</v>
      </c>
      <c r="Y583" s="4" t="s">
        <v>244</v>
      </c>
      <c r="Z583" s="4" t="s">
        <v>465</v>
      </c>
      <c r="AA583" s="4" t="s">
        <v>241</v>
      </c>
      <c r="AD583" s="4" t="s">
        <v>241</v>
      </c>
      <c r="AE583" s="5" t="s">
        <v>241</v>
      </c>
      <c r="AF583" s="5" t="s">
        <v>241</v>
      </c>
      <c r="AH583" s="5" t="s">
        <v>241</v>
      </c>
      <c r="AI583" s="5" t="s">
        <v>249</v>
      </c>
      <c r="AJ583" s="4" t="s">
        <v>251</v>
      </c>
      <c r="AK583" s="4" t="s">
        <v>252</v>
      </c>
      <c r="AQ583" s="4" t="s">
        <v>241</v>
      </c>
      <c r="AR583" s="4" t="s">
        <v>241</v>
      </c>
      <c r="AS583" s="4" t="s">
        <v>241</v>
      </c>
      <c r="AT583" s="5" t="s">
        <v>241</v>
      </c>
      <c r="AU583" s="5" t="s">
        <v>241</v>
      </c>
      <c r="AV583" s="5" t="s">
        <v>241</v>
      </c>
      <c r="AY583" s="4" t="s">
        <v>286</v>
      </c>
      <c r="AZ583" s="4" t="s">
        <v>286</v>
      </c>
      <c r="BA583" s="4" t="s">
        <v>254</v>
      </c>
      <c r="BB583" s="4" t="s">
        <v>287</v>
      </c>
      <c r="BC583" s="4" t="s">
        <v>255</v>
      </c>
      <c r="BD583" s="4" t="s">
        <v>241</v>
      </c>
      <c r="BE583" s="4" t="s">
        <v>257</v>
      </c>
      <c r="BF583" s="4" t="s">
        <v>241</v>
      </c>
      <c r="BJ583" s="4" t="s">
        <v>288</v>
      </c>
      <c r="BK583" s="5" t="s">
        <v>289</v>
      </c>
      <c r="BL583" s="4" t="s">
        <v>290</v>
      </c>
      <c r="BM583" s="4" t="s">
        <v>290</v>
      </c>
      <c r="BN583" s="4" t="s">
        <v>241</v>
      </c>
      <c r="BO583" s="6">
        <f>0</f>
        <v>0</v>
      </c>
      <c r="BP583" s="6">
        <f>-16276029</f>
        <v>-16276029</v>
      </c>
      <c r="BQ583" s="4" t="s">
        <v>263</v>
      </c>
      <c r="BR583" s="4" t="s">
        <v>264</v>
      </c>
      <c r="BS583" s="4" t="s">
        <v>241</v>
      </c>
      <c r="BT583" s="4" t="s">
        <v>241</v>
      </c>
      <c r="BU583" s="4" t="s">
        <v>241</v>
      </c>
      <c r="BV583" s="4" t="s">
        <v>241</v>
      </c>
      <c r="CE583" s="4" t="s">
        <v>264</v>
      </c>
      <c r="CF583" s="4" t="s">
        <v>241</v>
      </c>
      <c r="CG583" s="4" t="s">
        <v>241</v>
      </c>
      <c r="CK583" s="4" t="s">
        <v>291</v>
      </c>
      <c r="CL583" s="4" t="s">
        <v>266</v>
      </c>
      <c r="CM583" s="4" t="s">
        <v>241</v>
      </c>
      <c r="CO583" s="4" t="s">
        <v>693</v>
      </c>
      <c r="CP583" s="5" t="s">
        <v>268</v>
      </c>
      <c r="CQ583" s="4" t="s">
        <v>269</v>
      </c>
      <c r="CR583" s="4" t="s">
        <v>270</v>
      </c>
      <c r="CS583" s="4" t="s">
        <v>293</v>
      </c>
      <c r="CT583" s="4" t="s">
        <v>241</v>
      </c>
      <c r="CU583" s="4">
        <v>2.1999999999999999E-2</v>
      </c>
      <c r="CV583" s="4" t="s">
        <v>271</v>
      </c>
      <c r="CW583" s="4" t="s">
        <v>655</v>
      </c>
      <c r="CX583" s="4" t="s">
        <v>295</v>
      </c>
      <c r="CY583" s="6">
        <f>0</f>
        <v>0</v>
      </c>
      <c r="CZ583" s="6">
        <f>739819500</f>
        <v>739819500</v>
      </c>
      <c r="DA583" s="6">
        <f>609611268</f>
        <v>609611268</v>
      </c>
      <c r="DC583" s="4" t="s">
        <v>241</v>
      </c>
      <c r="DD583" s="4" t="s">
        <v>241</v>
      </c>
      <c r="DF583" s="4" t="s">
        <v>241</v>
      </c>
      <c r="DG583" s="6">
        <f>0</f>
        <v>0</v>
      </c>
      <c r="DI583" s="4" t="s">
        <v>241</v>
      </c>
      <c r="DJ583" s="4" t="s">
        <v>241</v>
      </c>
      <c r="DK583" s="4" t="s">
        <v>241</v>
      </c>
      <c r="DL583" s="4" t="s">
        <v>241</v>
      </c>
      <c r="DM583" s="4" t="s">
        <v>297</v>
      </c>
      <c r="DN583" s="4" t="s">
        <v>278</v>
      </c>
      <c r="DO583" s="6">
        <f>2946</f>
        <v>2946</v>
      </c>
      <c r="DP583" s="4" t="s">
        <v>241</v>
      </c>
      <c r="DQ583" s="4" t="s">
        <v>241</v>
      </c>
      <c r="DR583" s="4" t="s">
        <v>241</v>
      </c>
      <c r="DS583" s="4" t="s">
        <v>241</v>
      </c>
      <c r="DV583" s="4" t="s">
        <v>694</v>
      </c>
      <c r="DW583" s="4" t="s">
        <v>297</v>
      </c>
      <c r="GN583" s="4" t="s">
        <v>695</v>
      </c>
      <c r="HO583" s="4" t="s">
        <v>300</v>
      </c>
      <c r="HR583" s="4" t="s">
        <v>278</v>
      </c>
      <c r="HS583" s="4" t="s">
        <v>278</v>
      </c>
      <c r="HT583" s="4" t="s">
        <v>241</v>
      </c>
      <c r="HU583" s="4" t="s">
        <v>241</v>
      </c>
      <c r="HV583" s="4" t="s">
        <v>241</v>
      </c>
      <c r="HW583" s="4" t="s">
        <v>241</v>
      </c>
      <c r="HX583" s="4" t="s">
        <v>241</v>
      </c>
      <c r="HY583" s="4" t="s">
        <v>241</v>
      </c>
      <c r="HZ583" s="4" t="s">
        <v>241</v>
      </c>
      <c r="IA583" s="4" t="s">
        <v>241</v>
      </c>
      <c r="IB583" s="4" t="s">
        <v>241</v>
      </c>
      <c r="IC583" s="4" t="s">
        <v>241</v>
      </c>
      <c r="ID583" s="4" t="s">
        <v>241</v>
      </c>
      <c r="IE583" s="4" t="s">
        <v>241</v>
      </c>
      <c r="IF583" s="4" t="s">
        <v>241</v>
      </c>
    </row>
    <row r="584" spans="1:240" x14ac:dyDescent="0.4">
      <c r="A584" s="4">
        <v>2</v>
      </c>
      <c r="B584" s="4" t="s">
        <v>239</v>
      </c>
      <c r="C584" s="4">
        <v>615</v>
      </c>
      <c r="D584" s="4">
        <v>1</v>
      </c>
      <c r="E584" s="4">
        <v>3</v>
      </c>
      <c r="F584" s="4" t="s">
        <v>240</v>
      </c>
      <c r="G584" s="4" t="s">
        <v>241</v>
      </c>
      <c r="H584" s="4" t="s">
        <v>241</v>
      </c>
      <c r="I584" s="4" t="s">
        <v>690</v>
      </c>
      <c r="J584" s="4" t="s">
        <v>653</v>
      </c>
      <c r="K584" s="4" t="s">
        <v>256</v>
      </c>
      <c r="L584" s="4" t="s">
        <v>1003</v>
      </c>
      <c r="M584" s="5" t="s">
        <v>692</v>
      </c>
      <c r="N584" s="4" t="s">
        <v>1003</v>
      </c>
      <c r="O584" s="6">
        <f>1428</f>
        <v>1428</v>
      </c>
      <c r="P584" s="4" t="s">
        <v>276</v>
      </c>
      <c r="Q584" s="6">
        <f>338535456</f>
        <v>338535456</v>
      </c>
      <c r="R584" s="6">
        <f>410844000</f>
        <v>410844000</v>
      </c>
      <c r="S584" s="5" t="s">
        <v>691</v>
      </c>
      <c r="T584" s="4" t="s">
        <v>668</v>
      </c>
      <c r="U584" s="4" t="s">
        <v>341</v>
      </c>
      <c r="V584" s="6">
        <f>9038568</f>
        <v>9038568</v>
      </c>
      <c r="W584" s="6">
        <f>72308544</f>
        <v>72308544</v>
      </c>
      <c r="X584" s="4" t="s">
        <v>243</v>
      </c>
      <c r="Y584" s="4" t="s">
        <v>244</v>
      </c>
      <c r="Z584" s="4" t="s">
        <v>465</v>
      </c>
      <c r="AA584" s="4" t="s">
        <v>241</v>
      </c>
      <c r="AD584" s="4" t="s">
        <v>241</v>
      </c>
      <c r="AE584" s="5" t="s">
        <v>241</v>
      </c>
      <c r="AF584" s="5" t="s">
        <v>241</v>
      </c>
      <c r="AH584" s="5" t="s">
        <v>241</v>
      </c>
      <c r="AI584" s="5" t="s">
        <v>249</v>
      </c>
      <c r="AJ584" s="4" t="s">
        <v>251</v>
      </c>
      <c r="AK584" s="4" t="s">
        <v>252</v>
      </c>
      <c r="AQ584" s="4" t="s">
        <v>241</v>
      </c>
      <c r="AR584" s="4" t="s">
        <v>241</v>
      </c>
      <c r="AS584" s="4" t="s">
        <v>241</v>
      </c>
      <c r="AT584" s="5" t="s">
        <v>241</v>
      </c>
      <c r="AU584" s="5" t="s">
        <v>241</v>
      </c>
      <c r="AV584" s="5" t="s">
        <v>241</v>
      </c>
      <c r="AY584" s="4" t="s">
        <v>286</v>
      </c>
      <c r="AZ584" s="4" t="s">
        <v>286</v>
      </c>
      <c r="BA584" s="4" t="s">
        <v>254</v>
      </c>
      <c r="BB584" s="4" t="s">
        <v>287</v>
      </c>
      <c r="BC584" s="4" t="s">
        <v>255</v>
      </c>
      <c r="BD584" s="4" t="s">
        <v>241</v>
      </c>
      <c r="BE584" s="4" t="s">
        <v>257</v>
      </c>
      <c r="BF584" s="4" t="s">
        <v>241</v>
      </c>
      <c r="BJ584" s="4" t="s">
        <v>288</v>
      </c>
      <c r="BK584" s="5" t="s">
        <v>289</v>
      </c>
      <c r="BL584" s="4" t="s">
        <v>290</v>
      </c>
      <c r="BM584" s="4" t="s">
        <v>290</v>
      </c>
      <c r="BN584" s="4" t="s">
        <v>241</v>
      </c>
      <c r="BO584" s="6">
        <f>0</f>
        <v>0</v>
      </c>
      <c r="BP584" s="6">
        <f>-9038568</f>
        <v>-9038568</v>
      </c>
      <c r="BQ584" s="4" t="s">
        <v>263</v>
      </c>
      <c r="BR584" s="4" t="s">
        <v>264</v>
      </c>
      <c r="BS584" s="4" t="s">
        <v>241</v>
      </c>
      <c r="BT584" s="4" t="s">
        <v>241</v>
      </c>
      <c r="BU584" s="4" t="s">
        <v>241</v>
      </c>
      <c r="BV584" s="4" t="s">
        <v>241</v>
      </c>
      <c r="CE584" s="4" t="s">
        <v>264</v>
      </c>
      <c r="CF584" s="4" t="s">
        <v>241</v>
      </c>
      <c r="CG584" s="4" t="s">
        <v>241</v>
      </c>
      <c r="CK584" s="4" t="s">
        <v>291</v>
      </c>
      <c r="CL584" s="4" t="s">
        <v>266</v>
      </c>
      <c r="CM584" s="4" t="s">
        <v>241</v>
      </c>
      <c r="CO584" s="4" t="s">
        <v>693</v>
      </c>
      <c r="CP584" s="5" t="s">
        <v>268</v>
      </c>
      <c r="CQ584" s="4" t="s">
        <v>269</v>
      </c>
      <c r="CR584" s="4" t="s">
        <v>270</v>
      </c>
      <c r="CS584" s="4" t="s">
        <v>293</v>
      </c>
      <c r="CT584" s="4" t="s">
        <v>241</v>
      </c>
      <c r="CU584" s="4">
        <v>2.1999999999999999E-2</v>
      </c>
      <c r="CV584" s="4" t="s">
        <v>271</v>
      </c>
      <c r="CW584" s="4" t="s">
        <v>1006</v>
      </c>
      <c r="CX584" s="4" t="s">
        <v>295</v>
      </c>
      <c r="CY584" s="6">
        <f>0</f>
        <v>0</v>
      </c>
      <c r="CZ584" s="6">
        <f>410844000</f>
        <v>410844000</v>
      </c>
      <c r="DA584" s="6">
        <f>338535456</f>
        <v>338535456</v>
      </c>
      <c r="DC584" s="4" t="s">
        <v>241</v>
      </c>
      <c r="DD584" s="4" t="s">
        <v>241</v>
      </c>
      <c r="DF584" s="4" t="s">
        <v>241</v>
      </c>
      <c r="DG584" s="6">
        <f>0</f>
        <v>0</v>
      </c>
      <c r="DI584" s="4" t="s">
        <v>241</v>
      </c>
      <c r="DJ584" s="4" t="s">
        <v>241</v>
      </c>
      <c r="DK584" s="4" t="s">
        <v>241</v>
      </c>
      <c r="DL584" s="4" t="s">
        <v>241</v>
      </c>
      <c r="DM584" s="4" t="s">
        <v>323</v>
      </c>
      <c r="DN584" s="4" t="s">
        <v>278</v>
      </c>
      <c r="DO584" s="6">
        <f>1428</f>
        <v>1428</v>
      </c>
      <c r="DP584" s="4" t="s">
        <v>241</v>
      </c>
      <c r="DQ584" s="4" t="s">
        <v>241</v>
      </c>
      <c r="DR584" s="4" t="s">
        <v>241</v>
      </c>
      <c r="DS584" s="4" t="s">
        <v>241</v>
      </c>
      <c r="DV584" s="4" t="s">
        <v>694</v>
      </c>
      <c r="DW584" s="4" t="s">
        <v>336</v>
      </c>
      <c r="GN584" s="4" t="s">
        <v>1154</v>
      </c>
      <c r="HO584" s="4" t="s">
        <v>300</v>
      </c>
      <c r="HR584" s="4" t="s">
        <v>278</v>
      </c>
      <c r="HS584" s="4" t="s">
        <v>278</v>
      </c>
      <c r="HT584" s="4" t="s">
        <v>241</v>
      </c>
      <c r="HU584" s="4" t="s">
        <v>241</v>
      </c>
      <c r="HV584" s="4" t="s">
        <v>241</v>
      </c>
      <c r="HW584" s="4" t="s">
        <v>241</v>
      </c>
      <c r="HX584" s="4" t="s">
        <v>241</v>
      </c>
      <c r="HY584" s="4" t="s">
        <v>241</v>
      </c>
      <c r="HZ584" s="4" t="s">
        <v>241</v>
      </c>
      <c r="IA584" s="4" t="s">
        <v>241</v>
      </c>
      <c r="IB584" s="4" t="s">
        <v>241</v>
      </c>
      <c r="IC584" s="4" t="s">
        <v>241</v>
      </c>
      <c r="ID584" s="4" t="s">
        <v>241</v>
      </c>
      <c r="IE584" s="4" t="s">
        <v>241</v>
      </c>
      <c r="IF584" s="4" t="s">
        <v>241</v>
      </c>
    </row>
    <row r="585" spans="1:240" x14ac:dyDescent="0.4">
      <c r="A585" s="4">
        <v>2</v>
      </c>
      <c r="B585" s="4" t="s">
        <v>239</v>
      </c>
      <c r="C585" s="4">
        <v>616</v>
      </c>
      <c r="D585" s="4">
        <v>1</v>
      </c>
      <c r="E585" s="4">
        <v>3</v>
      </c>
      <c r="F585" s="4" t="s">
        <v>326</v>
      </c>
      <c r="G585" s="4" t="s">
        <v>241</v>
      </c>
      <c r="H585" s="4" t="s">
        <v>241</v>
      </c>
      <c r="I585" s="4" t="s">
        <v>690</v>
      </c>
      <c r="J585" s="4" t="s">
        <v>653</v>
      </c>
      <c r="K585" s="4" t="s">
        <v>256</v>
      </c>
      <c r="L585" s="4" t="s">
        <v>241</v>
      </c>
      <c r="M585" s="5" t="s">
        <v>692</v>
      </c>
      <c r="N585" s="4" t="s">
        <v>2747</v>
      </c>
      <c r="O585" s="6">
        <f>0</f>
        <v>0</v>
      </c>
      <c r="P585" s="4" t="s">
        <v>276</v>
      </c>
      <c r="Q585" s="6">
        <f>21714097</f>
        <v>21714097</v>
      </c>
      <c r="R585" s="6">
        <f>25666781</f>
        <v>25666781</v>
      </c>
      <c r="S585" s="5" t="s">
        <v>1104</v>
      </c>
      <c r="T585" s="4" t="s">
        <v>322</v>
      </c>
      <c r="U585" s="4" t="s">
        <v>277</v>
      </c>
      <c r="V585" s="6">
        <f>1976342</f>
        <v>1976342</v>
      </c>
      <c r="W585" s="6">
        <f>3952684</f>
        <v>3952684</v>
      </c>
      <c r="X585" s="4" t="s">
        <v>243</v>
      </c>
      <c r="Y585" s="4" t="s">
        <v>244</v>
      </c>
      <c r="Z585" s="4" t="s">
        <v>241</v>
      </c>
      <c r="AA585" s="4" t="s">
        <v>241</v>
      </c>
      <c r="AD585" s="4" t="s">
        <v>241</v>
      </c>
      <c r="AE585" s="5" t="s">
        <v>241</v>
      </c>
      <c r="AF585" s="5" t="s">
        <v>241</v>
      </c>
      <c r="AH585" s="5" t="s">
        <v>241</v>
      </c>
      <c r="AI585" s="5" t="s">
        <v>249</v>
      </c>
      <c r="AJ585" s="4" t="s">
        <v>251</v>
      </c>
      <c r="AK585" s="4" t="s">
        <v>252</v>
      </c>
      <c r="AQ585" s="4" t="s">
        <v>241</v>
      </c>
      <c r="AR585" s="4" t="s">
        <v>241</v>
      </c>
      <c r="AS585" s="4" t="s">
        <v>241</v>
      </c>
      <c r="AT585" s="5" t="s">
        <v>241</v>
      </c>
      <c r="AU585" s="5" t="s">
        <v>241</v>
      </c>
      <c r="AV585" s="5" t="s">
        <v>241</v>
      </c>
      <c r="AY585" s="4" t="s">
        <v>286</v>
      </c>
      <c r="AZ585" s="4" t="s">
        <v>286</v>
      </c>
      <c r="BA585" s="4" t="s">
        <v>254</v>
      </c>
      <c r="BB585" s="4" t="s">
        <v>287</v>
      </c>
      <c r="BC585" s="4" t="s">
        <v>255</v>
      </c>
      <c r="BD585" s="4" t="s">
        <v>241</v>
      </c>
      <c r="BE585" s="4" t="s">
        <v>257</v>
      </c>
      <c r="BF585" s="4" t="s">
        <v>241</v>
      </c>
      <c r="BJ585" s="4" t="s">
        <v>288</v>
      </c>
      <c r="BK585" s="5" t="s">
        <v>289</v>
      </c>
      <c r="BL585" s="4" t="s">
        <v>290</v>
      </c>
      <c r="BM585" s="4" t="s">
        <v>290</v>
      </c>
      <c r="BN585" s="4" t="s">
        <v>241</v>
      </c>
      <c r="BP585" s="6">
        <f>-1976342</f>
        <v>-1976342</v>
      </c>
      <c r="BQ585" s="4" t="s">
        <v>263</v>
      </c>
      <c r="BR585" s="4" t="s">
        <v>264</v>
      </c>
      <c r="BS585" s="4" t="s">
        <v>241</v>
      </c>
      <c r="BT585" s="4" t="s">
        <v>241</v>
      </c>
      <c r="BU585" s="4" t="s">
        <v>241</v>
      </c>
      <c r="BV585" s="4" t="s">
        <v>241</v>
      </c>
      <c r="CE585" s="4" t="s">
        <v>264</v>
      </c>
      <c r="CF585" s="4" t="s">
        <v>241</v>
      </c>
      <c r="CG585" s="4" t="s">
        <v>241</v>
      </c>
      <c r="CK585" s="4" t="s">
        <v>291</v>
      </c>
      <c r="CL585" s="4" t="s">
        <v>266</v>
      </c>
      <c r="CM585" s="4" t="s">
        <v>241</v>
      </c>
      <c r="CO585" s="4" t="s">
        <v>331</v>
      </c>
      <c r="CP585" s="5" t="s">
        <v>268</v>
      </c>
      <c r="CQ585" s="4" t="s">
        <v>269</v>
      </c>
      <c r="CR585" s="4" t="s">
        <v>270</v>
      </c>
      <c r="CS585" s="4" t="s">
        <v>293</v>
      </c>
      <c r="CT585" s="4" t="s">
        <v>241</v>
      </c>
      <c r="CU585" s="4">
        <v>7.6999999999999999E-2</v>
      </c>
      <c r="CV585" s="4" t="s">
        <v>271</v>
      </c>
      <c r="CW585" s="4" t="s">
        <v>415</v>
      </c>
      <c r="CX585" s="4" t="s">
        <v>428</v>
      </c>
      <c r="CY585" s="6">
        <f>0</f>
        <v>0</v>
      </c>
      <c r="CZ585" s="6">
        <f>25666781</f>
        <v>25666781</v>
      </c>
      <c r="DA585" s="6">
        <f>21714097</f>
        <v>21714097</v>
      </c>
      <c r="DC585" s="4" t="s">
        <v>241</v>
      </c>
      <c r="DD585" s="4" t="s">
        <v>241</v>
      </c>
      <c r="DF585" s="4" t="s">
        <v>241</v>
      </c>
      <c r="DG585" s="6">
        <f>0</f>
        <v>0</v>
      </c>
      <c r="DI585" s="4" t="s">
        <v>241</v>
      </c>
      <c r="DJ585" s="4" t="s">
        <v>241</v>
      </c>
      <c r="DK585" s="4" t="s">
        <v>241</v>
      </c>
      <c r="DL585" s="4" t="s">
        <v>241</v>
      </c>
      <c r="DM585" s="4" t="s">
        <v>278</v>
      </c>
      <c r="DN585" s="4" t="s">
        <v>278</v>
      </c>
      <c r="DO585" s="6" t="s">
        <v>241</v>
      </c>
      <c r="DP585" s="4" t="s">
        <v>241</v>
      </c>
      <c r="DQ585" s="4" t="s">
        <v>241</v>
      </c>
      <c r="DR585" s="4" t="s">
        <v>241</v>
      </c>
      <c r="DS585" s="4" t="s">
        <v>241</v>
      </c>
      <c r="DV585" s="4" t="s">
        <v>694</v>
      </c>
      <c r="DW585" s="4" t="s">
        <v>351</v>
      </c>
      <c r="GN585" s="4" t="s">
        <v>2758</v>
      </c>
      <c r="HO585" s="4" t="s">
        <v>297</v>
      </c>
      <c r="HR585" s="4" t="s">
        <v>278</v>
      </c>
      <c r="HS585" s="4" t="s">
        <v>278</v>
      </c>
      <c r="HT585" s="4" t="s">
        <v>241</v>
      </c>
      <c r="HU585" s="4" t="s">
        <v>241</v>
      </c>
      <c r="HV585" s="4" t="s">
        <v>241</v>
      </c>
      <c r="HW585" s="4" t="s">
        <v>241</v>
      </c>
      <c r="HX585" s="4" t="s">
        <v>241</v>
      </c>
      <c r="HY585" s="4" t="s">
        <v>241</v>
      </c>
      <c r="HZ585" s="4" t="s">
        <v>241</v>
      </c>
      <c r="IA585" s="4" t="s">
        <v>241</v>
      </c>
      <c r="IB585" s="4" t="s">
        <v>241</v>
      </c>
      <c r="IC585" s="4" t="s">
        <v>241</v>
      </c>
      <c r="ID585" s="4" t="s">
        <v>241</v>
      </c>
      <c r="IE585" s="4" t="s">
        <v>241</v>
      </c>
      <c r="IF585" s="4" t="s">
        <v>241</v>
      </c>
    </row>
    <row r="586" spans="1:240" x14ac:dyDescent="0.4">
      <c r="A586" s="4">
        <v>2</v>
      </c>
      <c r="B586" s="4" t="s">
        <v>239</v>
      </c>
      <c r="C586" s="4">
        <v>617</v>
      </c>
      <c r="D586" s="4">
        <v>1</v>
      </c>
      <c r="E586" s="4">
        <v>3</v>
      </c>
      <c r="F586" s="4" t="s">
        <v>240</v>
      </c>
      <c r="G586" s="4" t="s">
        <v>241</v>
      </c>
      <c r="H586" s="4" t="s">
        <v>241</v>
      </c>
      <c r="I586" s="4" t="s">
        <v>677</v>
      </c>
      <c r="J586" s="4" t="s">
        <v>653</v>
      </c>
      <c r="K586" s="4" t="s">
        <v>256</v>
      </c>
      <c r="L586" s="4" t="s">
        <v>651</v>
      </c>
      <c r="M586" s="5" t="s">
        <v>679</v>
      </c>
      <c r="N586" s="4" t="s">
        <v>651</v>
      </c>
      <c r="O586" s="6">
        <f>3566</f>
        <v>3566</v>
      </c>
      <c r="P586" s="4" t="s">
        <v>276</v>
      </c>
      <c r="Q586" s="6">
        <f>4814100</f>
        <v>4814100</v>
      </c>
      <c r="R586" s="6">
        <f>481410000</f>
        <v>481410000</v>
      </c>
      <c r="S586" s="5" t="s">
        <v>682</v>
      </c>
      <c r="T586" s="4" t="s">
        <v>668</v>
      </c>
      <c r="U586" s="4" t="s">
        <v>683</v>
      </c>
      <c r="V586" s="6">
        <f>10591020</f>
        <v>10591020</v>
      </c>
      <c r="W586" s="6">
        <f>476595900</f>
        <v>476595900</v>
      </c>
      <c r="X586" s="4" t="s">
        <v>243</v>
      </c>
      <c r="Y586" s="4" t="s">
        <v>244</v>
      </c>
      <c r="Z586" s="4" t="s">
        <v>465</v>
      </c>
      <c r="AA586" s="4" t="s">
        <v>241</v>
      </c>
      <c r="AD586" s="4" t="s">
        <v>241</v>
      </c>
      <c r="AE586" s="5" t="s">
        <v>241</v>
      </c>
      <c r="AF586" s="5" t="s">
        <v>241</v>
      </c>
      <c r="AH586" s="5" t="s">
        <v>241</v>
      </c>
      <c r="AI586" s="5" t="s">
        <v>678</v>
      </c>
      <c r="AJ586" s="4" t="s">
        <v>251</v>
      </c>
      <c r="AK586" s="4" t="s">
        <v>252</v>
      </c>
      <c r="AQ586" s="4" t="s">
        <v>241</v>
      </c>
      <c r="AR586" s="4" t="s">
        <v>241</v>
      </c>
      <c r="AS586" s="4" t="s">
        <v>241</v>
      </c>
      <c r="AT586" s="5" t="s">
        <v>241</v>
      </c>
      <c r="AU586" s="5" t="s">
        <v>241</v>
      </c>
      <c r="AV586" s="5" t="s">
        <v>241</v>
      </c>
      <c r="AY586" s="4" t="s">
        <v>286</v>
      </c>
      <c r="AZ586" s="4" t="s">
        <v>286</v>
      </c>
      <c r="BA586" s="4" t="s">
        <v>254</v>
      </c>
      <c r="BB586" s="4" t="s">
        <v>287</v>
      </c>
      <c r="BC586" s="4" t="s">
        <v>255</v>
      </c>
      <c r="BD586" s="4" t="s">
        <v>241</v>
      </c>
      <c r="BE586" s="4" t="s">
        <v>257</v>
      </c>
      <c r="BF586" s="4" t="s">
        <v>241</v>
      </c>
      <c r="BJ586" s="4" t="s">
        <v>288</v>
      </c>
      <c r="BK586" s="5" t="s">
        <v>289</v>
      </c>
      <c r="BL586" s="4" t="s">
        <v>290</v>
      </c>
      <c r="BM586" s="4" t="s">
        <v>290</v>
      </c>
      <c r="BN586" s="4" t="s">
        <v>241</v>
      </c>
      <c r="BO586" s="6">
        <f>0</f>
        <v>0</v>
      </c>
      <c r="BP586" s="6">
        <f>-10591020</f>
        <v>-10591020</v>
      </c>
      <c r="BQ586" s="4" t="s">
        <v>263</v>
      </c>
      <c r="BR586" s="4" t="s">
        <v>264</v>
      </c>
      <c r="BS586" s="4" t="s">
        <v>241</v>
      </c>
      <c r="BT586" s="4" t="s">
        <v>241</v>
      </c>
      <c r="BU586" s="4" t="s">
        <v>241</v>
      </c>
      <c r="BV586" s="4" t="s">
        <v>241</v>
      </c>
      <c r="CE586" s="4" t="s">
        <v>264</v>
      </c>
      <c r="CF586" s="4" t="s">
        <v>241</v>
      </c>
      <c r="CG586" s="4" t="s">
        <v>241</v>
      </c>
      <c r="CK586" s="4" t="s">
        <v>265</v>
      </c>
      <c r="CL586" s="4" t="s">
        <v>266</v>
      </c>
      <c r="CM586" s="4" t="s">
        <v>241</v>
      </c>
      <c r="CO586" s="4" t="s">
        <v>392</v>
      </c>
      <c r="CP586" s="5" t="s">
        <v>268</v>
      </c>
      <c r="CQ586" s="4" t="s">
        <v>269</v>
      </c>
      <c r="CR586" s="4" t="s">
        <v>270</v>
      </c>
      <c r="CS586" s="4" t="s">
        <v>293</v>
      </c>
      <c r="CT586" s="4" t="s">
        <v>241</v>
      </c>
      <c r="CU586" s="4">
        <v>2.1999999999999999E-2</v>
      </c>
      <c r="CV586" s="4" t="s">
        <v>271</v>
      </c>
      <c r="CW586" s="4" t="s">
        <v>655</v>
      </c>
      <c r="CX586" s="4" t="s">
        <v>295</v>
      </c>
      <c r="CY586" s="6">
        <f>0</f>
        <v>0</v>
      </c>
      <c r="CZ586" s="6">
        <f>481410000</f>
        <v>481410000</v>
      </c>
      <c r="DA586" s="6">
        <f>4814100</f>
        <v>4814100</v>
      </c>
      <c r="DC586" s="4" t="s">
        <v>241</v>
      </c>
      <c r="DD586" s="4" t="s">
        <v>241</v>
      </c>
      <c r="DF586" s="4" t="s">
        <v>241</v>
      </c>
      <c r="DG586" s="6">
        <f>0</f>
        <v>0</v>
      </c>
      <c r="DI586" s="4" t="s">
        <v>241</v>
      </c>
      <c r="DJ586" s="4" t="s">
        <v>241</v>
      </c>
      <c r="DK586" s="4" t="s">
        <v>241</v>
      </c>
      <c r="DL586" s="4" t="s">
        <v>241</v>
      </c>
      <c r="DM586" s="4" t="s">
        <v>297</v>
      </c>
      <c r="DN586" s="4" t="s">
        <v>278</v>
      </c>
      <c r="DO586" s="6">
        <f>3566</f>
        <v>3566</v>
      </c>
      <c r="DP586" s="4" t="s">
        <v>241</v>
      </c>
      <c r="DQ586" s="4" t="s">
        <v>241</v>
      </c>
      <c r="DR586" s="4" t="s">
        <v>241</v>
      </c>
      <c r="DS586" s="4" t="s">
        <v>241</v>
      </c>
      <c r="DV586" s="4" t="s">
        <v>680</v>
      </c>
      <c r="DW586" s="4" t="s">
        <v>277</v>
      </c>
      <c r="GN586" s="4" t="s">
        <v>684</v>
      </c>
      <c r="HO586" s="4" t="s">
        <v>300</v>
      </c>
      <c r="HR586" s="4" t="s">
        <v>278</v>
      </c>
      <c r="HS586" s="4" t="s">
        <v>278</v>
      </c>
      <c r="HT586" s="4" t="s">
        <v>241</v>
      </c>
      <c r="HU586" s="4" t="s">
        <v>241</v>
      </c>
      <c r="HV586" s="4" t="s">
        <v>241</v>
      </c>
      <c r="HW586" s="4" t="s">
        <v>241</v>
      </c>
      <c r="HX586" s="4" t="s">
        <v>241</v>
      </c>
      <c r="HY586" s="4" t="s">
        <v>241</v>
      </c>
      <c r="HZ586" s="4" t="s">
        <v>241</v>
      </c>
      <c r="IA586" s="4" t="s">
        <v>241</v>
      </c>
      <c r="IB586" s="4" t="s">
        <v>241</v>
      </c>
      <c r="IC586" s="4" t="s">
        <v>241</v>
      </c>
      <c r="ID586" s="4" t="s">
        <v>241</v>
      </c>
      <c r="IE586" s="4" t="s">
        <v>241</v>
      </c>
      <c r="IF586" s="4" t="s">
        <v>241</v>
      </c>
    </row>
    <row r="587" spans="1:240" x14ac:dyDescent="0.4">
      <c r="A587" s="4">
        <v>2</v>
      </c>
      <c r="B587" s="4" t="s">
        <v>239</v>
      </c>
      <c r="C587" s="4">
        <v>618</v>
      </c>
      <c r="D587" s="4">
        <v>1</v>
      </c>
      <c r="E587" s="4">
        <v>3</v>
      </c>
      <c r="F587" s="4" t="s">
        <v>240</v>
      </c>
      <c r="G587" s="4" t="s">
        <v>241</v>
      </c>
      <c r="H587" s="4" t="s">
        <v>241</v>
      </c>
      <c r="I587" s="4" t="s">
        <v>677</v>
      </c>
      <c r="J587" s="4" t="s">
        <v>653</v>
      </c>
      <c r="K587" s="4" t="s">
        <v>256</v>
      </c>
      <c r="L587" s="4" t="s">
        <v>651</v>
      </c>
      <c r="M587" s="5" t="s">
        <v>679</v>
      </c>
      <c r="N587" s="4" t="s">
        <v>651</v>
      </c>
      <c r="O587" s="6">
        <f>160</f>
        <v>160</v>
      </c>
      <c r="P587" s="4" t="s">
        <v>276</v>
      </c>
      <c r="Q587" s="6">
        <f>2928000</f>
        <v>2928000</v>
      </c>
      <c r="R587" s="6">
        <f>29280000</f>
        <v>29280000</v>
      </c>
      <c r="S587" s="5" t="s">
        <v>438</v>
      </c>
      <c r="T587" s="4" t="s">
        <v>357</v>
      </c>
      <c r="U587" s="4" t="s">
        <v>399</v>
      </c>
      <c r="V587" s="6">
        <f>878400</f>
        <v>878400</v>
      </c>
      <c r="W587" s="6">
        <f>26352000</f>
        <v>26352000</v>
      </c>
      <c r="X587" s="4" t="s">
        <v>243</v>
      </c>
      <c r="Y587" s="4" t="s">
        <v>244</v>
      </c>
      <c r="Z587" s="4" t="s">
        <v>465</v>
      </c>
      <c r="AA587" s="4" t="s">
        <v>241</v>
      </c>
      <c r="AD587" s="4" t="s">
        <v>241</v>
      </c>
      <c r="AE587" s="5" t="s">
        <v>241</v>
      </c>
      <c r="AF587" s="5" t="s">
        <v>241</v>
      </c>
      <c r="AH587" s="5" t="s">
        <v>241</v>
      </c>
      <c r="AI587" s="5" t="s">
        <v>678</v>
      </c>
      <c r="AJ587" s="4" t="s">
        <v>251</v>
      </c>
      <c r="AK587" s="4" t="s">
        <v>252</v>
      </c>
      <c r="AQ587" s="4" t="s">
        <v>241</v>
      </c>
      <c r="AR587" s="4" t="s">
        <v>241</v>
      </c>
      <c r="AS587" s="4" t="s">
        <v>241</v>
      </c>
      <c r="AT587" s="5" t="s">
        <v>241</v>
      </c>
      <c r="AU587" s="5" t="s">
        <v>241</v>
      </c>
      <c r="AV587" s="5" t="s">
        <v>241</v>
      </c>
      <c r="AY587" s="4" t="s">
        <v>286</v>
      </c>
      <c r="AZ587" s="4" t="s">
        <v>286</v>
      </c>
      <c r="BA587" s="4" t="s">
        <v>254</v>
      </c>
      <c r="BB587" s="4" t="s">
        <v>287</v>
      </c>
      <c r="BC587" s="4" t="s">
        <v>255</v>
      </c>
      <c r="BD587" s="4" t="s">
        <v>241</v>
      </c>
      <c r="BE587" s="4" t="s">
        <v>257</v>
      </c>
      <c r="BF587" s="4" t="s">
        <v>241</v>
      </c>
      <c r="BJ587" s="4" t="s">
        <v>288</v>
      </c>
      <c r="BK587" s="5" t="s">
        <v>289</v>
      </c>
      <c r="BL587" s="4" t="s">
        <v>290</v>
      </c>
      <c r="BM587" s="4" t="s">
        <v>290</v>
      </c>
      <c r="BN587" s="4" t="s">
        <v>241</v>
      </c>
      <c r="BO587" s="6">
        <f>0</f>
        <v>0</v>
      </c>
      <c r="BP587" s="6">
        <f>-878400</f>
        <v>-878400</v>
      </c>
      <c r="BQ587" s="4" t="s">
        <v>263</v>
      </c>
      <c r="BR587" s="4" t="s">
        <v>264</v>
      </c>
      <c r="BS587" s="4" t="s">
        <v>241</v>
      </c>
      <c r="BT587" s="4" t="s">
        <v>241</v>
      </c>
      <c r="BU587" s="4" t="s">
        <v>241</v>
      </c>
      <c r="BV587" s="4" t="s">
        <v>241</v>
      </c>
      <c r="CE587" s="4" t="s">
        <v>264</v>
      </c>
      <c r="CF587" s="4" t="s">
        <v>241</v>
      </c>
      <c r="CG587" s="4" t="s">
        <v>241</v>
      </c>
      <c r="CK587" s="4" t="s">
        <v>291</v>
      </c>
      <c r="CL587" s="4" t="s">
        <v>266</v>
      </c>
      <c r="CM587" s="4" t="s">
        <v>241</v>
      </c>
      <c r="CO587" s="4" t="s">
        <v>439</v>
      </c>
      <c r="CP587" s="5" t="s">
        <v>268</v>
      </c>
      <c r="CQ587" s="4" t="s">
        <v>269</v>
      </c>
      <c r="CR587" s="4" t="s">
        <v>270</v>
      </c>
      <c r="CS587" s="4" t="s">
        <v>293</v>
      </c>
      <c r="CT587" s="4" t="s">
        <v>241</v>
      </c>
      <c r="CU587" s="4">
        <v>0.03</v>
      </c>
      <c r="CV587" s="4" t="s">
        <v>271</v>
      </c>
      <c r="CW587" s="4" t="s">
        <v>655</v>
      </c>
      <c r="CX587" s="4" t="s">
        <v>487</v>
      </c>
      <c r="CY587" s="6">
        <f>0</f>
        <v>0</v>
      </c>
      <c r="CZ587" s="6">
        <f>29280000</f>
        <v>29280000</v>
      </c>
      <c r="DA587" s="6">
        <f>2928000</f>
        <v>2928000</v>
      </c>
      <c r="DC587" s="4" t="s">
        <v>241</v>
      </c>
      <c r="DD587" s="4" t="s">
        <v>241</v>
      </c>
      <c r="DF587" s="4" t="s">
        <v>241</v>
      </c>
      <c r="DG587" s="6">
        <f>0</f>
        <v>0</v>
      </c>
      <c r="DI587" s="4" t="s">
        <v>241</v>
      </c>
      <c r="DJ587" s="4" t="s">
        <v>241</v>
      </c>
      <c r="DK587" s="4" t="s">
        <v>241</v>
      </c>
      <c r="DL587" s="4" t="s">
        <v>241</v>
      </c>
      <c r="DM587" s="4" t="s">
        <v>323</v>
      </c>
      <c r="DN587" s="4" t="s">
        <v>278</v>
      </c>
      <c r="DO587" s="6">
        <f>160</f>
        <v>160</v>
      </c>
      <c r="DP587" s="4" t="s">
        <v>241</v>
      </c>
      <c r="DQ587" s="4" t="s">
        <v>241</v>
      </c>
      <c r="DR587" s="4" t="s">
        <v>241</v>
      </c>
      <c r="DS587" s="4" t="s">
        <v>241</v>
      </c>
      <c r="DV587" s="4" t="s">
        <v>680</v>
      </c>
      <c r="DW587" s="4" t="s">
        <v>323</v>
      </c>
      <c r="GN587" s="4" t="s">
        <v>681</v>
      </c>
      <c r="HO587" s="4" t="s">
        <v>300</v>
      </c>
      <c r="HR587" s="4" t="s">
        <v>278</v>
      </c>
      <c r="HS587" s="4" t="s">
        <v>278</v>
      </c>
      <c r="HT587" s="4" t="s">
        <v>241</v>
      </c>
      <c r="HU587" s="4" t="s">
        <v>241</v>
      </c>
      <c r="HV587" s="4" t="s">
        <v>241</v>
      </c>
      <c r="HW587" s="4" t="s">
        <v>241</v>
      </c>
      <c r="HX587" s="4" t="s">
        <v>241</v>
      </c>
      <c r="HY587" s="4" t="s">
        <v>241</v>
      </c>
      <c r="HZ587" s="4" t="s">
        <v>241</v>
      </c>
      <c r="IA587" s="4" t="s">
        <v>241</v>
      </c>
      <c r="IB587" s="4" t="s">
        <v>241</v>
      </c>
      <c r="IC587" s="4" t="s">
        <v>241</v>
      </c>
      <c r="ID587" s="4" t="s">
        <v>241</v>
      </c>
      <c r="IE587" s="4" t="s">
        <v>241</v>
      </c>
      <c r="IF587" s="4" t="s">
        <v>241</v>
      </c>
    </row>
    <row r="588" spans="1:240" x14ac:dyDescent="0.4">
      <c r="A588" s="4">
        <v>2</v>
      </c>
      <c r="B588" s="4" t="s">
        <v>239</v>
      </c>
      <c r="C588" s="4">
        <v>619</v>
      </c>
      <c r="D588" s="4">
        <v>1</v>
      </c>
      <c r="E588" s="4">
        <v>1</v>
      </c>
      <c r="F588" s="4" t="s">
        <v>240</v>
      </c>
      <c r="G588" s="4" t="s">
        <v>241</v>
      </c>
      <c r="H588" s="4" t="s">
        <v>241</v>
      </c>
      <c r="I588" s="4" t="s">
        <v>677</v>
      </c>
      <c r="J588" s="4" t="s">
        <v>653</v>
      </c>
      <c r="K588" s="4" t="s">
        <v>256</v>
      </c>
      <c r="L588" s="4" t="s">
        <v>1003</v>
      </c>
      <c r="M588" s="5" t="s">
        <v>679</v>
      </c>
      <c r="N588" s="4" t="s">
        <v>1003</v>
      </c>
      <c r="O588" s="6">
        <f>1054</f>
        <v>1054</v>
      </c>
      <c r="P588" s="4" t="s">
        <v>276</v>
      </c>
      <c r="Q588" s="6">
        <f>1</f>
        <v>1</v>
      </c>
      <c r="R588" s="6">
        <f>84320000</f>
        <v>84320000</v>
      </c>
      <c r="S588" s="5" t="s">
        <v>1166</v>
      </c>
      <c r="T588" s="4" t="s">
        <v>357</v>
      </c>
      <c r="U588" s="4" t="s">
        <v>777</v>
      </c>
      <c r="W588" s="6">
        <f>84319999</f>
        <v>84319999</v>
      </c>
      <c r="X588" s="4" t="s">
        <v>243</v>
      </c>
      <c r="Y588" s="4" t="s">
        <v>244</v>
      </c>
      <c r="Z588" s="4" t="s">
        <v>465</v>
      </c>
      <c r="AA588" s="4" t="s">
        <v>241</v>
      </c>
      <c r="AD588" s="4" t="s">
        <v>241</v>
      </c>
      <c r="AF588" s="5" t="s">
        <v>241</v>
      </c>
      <c r="AI588" s="5" t="s">
        <v>678</v>
      </c>
      <c r="AJ588" s="4" t="s">
        <v>251</v>
      </c>
      <c r="AK588" s="4" t="s">
        <v>252</v>
      </c>
      <c r="BA588" s="4" t="s">
        <v>254</v>
      </c>
      <c r="BB588" s="4" t="s">
        <v>241</v>
      </c>
      <c r="BC588" s="4" t="s">
        <v>255</v>
      </c>
      <c r="BD588" s="4" t="s">
        <v>241</v>
      </c>
      <c r="BE588" s="4" t="s">
        <v>257</v>
      </c>
      <c r="BF588" s="4" t="s">
        <v>241</v>
      </c>
      <c r="BJ588" s="4" t="s">
        <v>259</v>
      </c>
      <c r="BK588" s="5" t="s">
        <v>260</v>
      </c>
      <c r="BL588" s="4" t="s">
        <v>261</v>
      </c>
      <c r="BM588" s="4" t="s">
        <v>262</v>
      </c>
      <c r="BN588" s="4" t="s">
        <v>241</v>
      </c>
      <c r="BO588" s="6">
        <f>0</f>
        <v>0</v>
      </c>
      <c r="BP588" s="6">
        <f>0</f>
        <v>0</v>
      </c>
      <c r="BQ588" s="4" t="s">
        <v>263</v>
      </c>
      <c r="BR588" s="4" t="s">
        <v>264</v>
      </c>
      <c r="CF588" s="4" t="s">
        <v>241</v>
      </c>
      <c r="CG588" s="4" t="s">
        <v>241</v>
      </c>
      <c r="CK588" s="4" t="s">
        <v>265</v>
      </c>
      <c r="CL588" s="4" t="s">
        <v>266</v>
      </c>
      <c r="CM588" s="4" t="s">
        <v>241</v>
      </c>
      <c r="CO588" s="4" t="s">
        <v>956</v>
      </c>
      <c r="CP588" s="5" t="s">
        <v>268</v>
      </c>
      <c r="CQ588" s="4" t="s">
        <v>269</v>
      </c>
      <c r="CR588" s="4" t="s">
        <v>270</v>
      </c>
      <c r="CS588" s="4" t="s">
        <v>241</v>
      </c>
      <c r="CT588" s="4" t="s">
        <v>241</v>
      </c>
      <c r="CU588" s="4">
        <v>0</v>
      </c>
      <c r="CV588" s="4" t="s">
        <v>271</v>
      </c>
      <c r="CW588" s="4" t="s">
        <v>1006</v>
      </c>
      <c r="CX588" s="4" t="s">
        <v>487</v>
      </c>
      <c r="CZ588" s="6">
        <f>84320000</f>
        <v>84320000</v>
      </c>
      <c r="DA588" s="6">
        <f>0</f>
        <v>0</v>
      </c>
      <c r="DC588" s="4" t="s">
        <v>241</v>
      </c>
      <c r="DD588" s="4" t="s">
        <v>241</v>
      </c>
      <c r="DF588" s="4" t="s">
        <v>241</v>
      </c>
      <c r="DI588" s="4" t="s">
        <v>241</v>
      </c>
      <c r="DJ588" s="4" t="s">
        <v>241</v>
      </c>
      <c r="DK588" s="4" t="s">
        <v>241</v>
      </c>
      <c r="DL588" s="4" t="s">
        <v>241</v>
      </c>
      <c r="DM588" s="4" t="s">
        <v>323</v>
      </c>
      <c r="DN588" s="4" t="s">
        <v>278</v>
      </c>
      <c r="DO588" s="6">
        <f>1054</f>
        <v>1054</v>
      </c>
      <c r="DP588" s="4" t="s">
        <v>241</v>
      </c>
      <c r="DQ588" s="4" t="s">
        <v>241</v>
      </c>
      <c r="DR588" s="4" t="s">
        <v>241</v>
      </c>
      <c r="DS588" s="4" t="s">
        <v>241</v>
      </c>
      <c r="DV588" s="4" t="s">
        <v>680</v>
      </c>
      <c r="DW588" s="4" t="s">
        <v>297</v>
      </c>
      <c r="HO588" s="4" t="s">
        <v>277</v>
      </c>
      <c r="HR588" s="4" t="s">
        <v>278</v>
      </c>
      <c r="HS588" s="4" t="s">
        <v>278</v>
      </c>
    </row>
    <row r="589" spans="1:240" x14ac:dyDescent="0.4">
      <c r="A589" s="4">
        <v>2</v>
      </c>
      <c r="B589" s="4" t="s">
        <v>239</v>
      </c>
      <c r="C589" s="4">
        <v>620</v>
      </c>
      <c r="D589" s="4">
        <v>1</v>
      </c>
      <c r="E589" s="4">
        <v>1</v>
      </c>
      <c r="F589" s="4" t="s">
        <v>240</v>
      </c>
      <c r="G589" s="4" t="s">
        <v>241</v>
      </c>
      <c r="H589" s="4" t="s">
        <v>241</v>
      </c>
      <c r="I589" s="4" t="s">
        <v>677</v>
      </c>
      <c r="J589" s="4" t="s">
        <v>653</v>
      </c>
      <c r="K589" s="4" t="s">
        <v>256</v>
      </c>
      <c r="L589" s="4" t="s">
        <v>2529</v>
      </c>
      <c r="M589" s="5" t="s">
        <v>679</v>
      </c>
      <c r="N589" s="4" t="s">
        <v>2529</v>
      </c>
      <c r="O589" s="6">
        <f>90</f>
        <v>90</v>
      </c>
      <c r="P589" s="4" t="s">
        <v>276</v>
      </c>
      <c r="Q589" s="6">
        <f>1</f>
        <v>1</v>
      </c>
      <c r="R589" s="6">
        <f>14670000</f>
        <v>14670000</v>
      </c>
      <c r="S589" s="5" t="s">
        <v>2928</v>
      </c>
      <c r="T589" s="4" t="s">
        <v>348</v>
      </c>
      <c r="U589" s="4" t="s">
        <v>399</v>
      </c>
      <c r="W589" s="6">
        <f>14669999</f>
        <v>14669999</v>
      </c>
      <c r="X589" s="4" t="s">
        <v>243</v>
      </c>
      <c r="Y589" s="4" t="s">
        <v>244</v>
      </c>
      <c r="Z589" s="4" t="s">
        <v>465</v>
      </c>
      <c r="AA589" s="4" t="s">
        <v>241</v>
      </c>
      <c r="AD589" s="4" t="s">
        <v>241</v>
      </c>
      <c r="AF589" s="5" t="s">
        <v>241</v>
      </c>
      <c r="AI589" s="5" t="s">
        <v>249</v>
      </c>
      <c r="AJ589" s="4" t="s">
        <v>251</v>
      </c>
      <c r="AK589" s="4" t="s">
        <v>252</v>
      </c>
      <c r="BA589" s="4" t="s">
        <v>254</v>
      </c>
      <c r="BB589" s="4" t="s">
        <v>241</v>
      </c>
      <c r="BC589" s="4" t="s">
        <v>255</v>
      </c>
      <c r="BD589" s="4" t="s">
        <v>241</v>
      </c>
      <c r="BE589" s="4" t="s">
        <v>257</v>
      </c>
      <c r="BF589" s="4" t="s">
        <v>241</v>
      </c>
      <c r="BJ589" s="4" t="s">
        <v>367</v>
      </c>
      <c r="BK589" s="5" t="s">
        <v>249</v>
      </c>
      <c r="BL589" s="4" t="s">
        <v>261</v>
      </c>
      <c r="BM589" s="4" t="s">
        <v>262</v>
      </c>
      <c r="BN589" s="4" t="s">
        <v>241</v>
      </c>
      <c r="BO589" s="6">
        <f>0</f>
        <v>0</v>
      </c>
      <c r="BP589" s="6">
        <f>0</f>
        <v>0</v>
      </c>
      <c r="BQ589" s="4" t="s">
        <v>263</v>
      </c>
      <c r="BR589" s="4" t="s">
        <v>264</v>
      </c>
      <c r="CF589" s="4" t="s">
        <v>241</v>
      </c>
      <c r="CG589" s="4" t="s">
        <v>241</v>
      </c>
      <c r="CK589" s="4" t="s">
        <v>291</v>
      </c>
      <c r="CL589" s="4" t="s">
        <v>266</v>
      </c>
      <c r="CM589" s="4" t="s">
        <v>241</v>
      </c>
      <c r="CO589" s="4" t="s">
        <v>398</v>
      </c>
      <c r="CP589" s="5" t="s">
        <v>268</v>
      </c>
      <c r="CQ589" s="4" t="s">
        <v>269</v>
      </c>
      <c r="CR589" s="4" t="s">
        <v>270</v>
      </c>
      <c r="CS589" s="4" t="s">
        <v>241</v>
      </c>
      <c r="CT589" s="4" t="s">
        <v>241</v>
      </c>
      <c r="CU589" s="4">
        <v>0</v>
      </c>
      <c r="CV589" s="4" t="s">
        <v>271</v>
      </c>
      <c r="CW589" s="4" t="s">
        <v>415</v>
      </c>
      <c r="CX589" s="4" t="s">
        <v>416</v>
      </c>
      <c r="CZ589" s="6">
        <f>14670000</f>
        <v>14670000</v>
      </c>
      <c r="DA589" s="6">
        <f>0</f>
        <v>0</v>
      </c>
      <c r="DC589" s="4" t="s">
        <v>241</v>
      </c>
      <c r="DD589" s="4" t="s">
        <v>241</v>
      </c>
      <c r="DF589" s="4" t="s">
        <v>241</v>
      </c>
      <c r="DI589" s="4" t="s">
        <v>241</v>
      </c>
      <c r="DJ589" s="4" t="s">
        <v>241</v>
      </c>
      <c r="DK589" s="4" t="s">
        <v>241</v>
      </c>
      <c r="DL589" s="4" t="s">
        <v>241</v>
      </c>
      <c r="DM589" s="4" t="s">
        <v>277</v>
      </c>
      <c r="DN589" s="4" t="s">
        <v>278</v>
      </c>
      <c r="DO589" s="6">
        <f>90</f>
        <v>90</v>
      </c>
      <c r="DP589" s="4" t="s">
        <v>241</v>
      </c>
      <c r="DQ589" s="4" t="s">
        <v>241</v>
      </c>
      <c r="DR589" s="4" t="s">
        <v>241</v>
      </c>
      <c r="DS589" s="4" t="s">
        <v>241</v>
      </c>
      <c r="DV589" s="4" t="s">
        <v>680</v>
      </c>
      <c r="DW589" s="4" t="s">
        <v>336</v>
      </c>
      <c r="HO589" s="4" t="s">
        <v>277</v>
      </c>
      <c r="HR589" s="4" t="s">
        <v>278</v>
      </c>
      <c r="HS589" s="4" t="s">
        <v>278</v>
      </c>
    </row>
    <row r="590" spans="1:240" x14ac:dyDescent="0.4">
      <c r="A590" s="4">
        <v>2</v>
      </c>
      <c r="B590" s="4" t="s">
        <v>239</v>
      </c>
      <c r="C590" s="4">
        <v>621</v>
      </c>
      <c r="D590" s="4">
        <v>1</v>
      </c>
      <c r="E590" s="4">
        <v>1</v>
      </c>
      <c r="F590" s="4" t="s">
        <v>240</v>
      </c>
      <c r="G590" s="4" t="s">
        <v>241</v>
      </c>
      <c r="H590" s="4" t="s">
        <v>241</v>
      </c>
      <c r="I590" s="4" t="s">
        <v>677</v>
      </c>
      <c r="J590" s="4" t="s">
        <v>653</v>
      </c>
      <c r="K590" s="4" t="s">
        <v>256</v>
      </c>
      <c r="L590" s="4" t="s">
        <v>1012</v>
      </c>
      <c r="M590" s="5" t="s">
        <v>679</v>
      </c>
      <c r="N590" s="4" t="s">
        <v>1012</v>
      </c>
      <c r="O590" s="6">
        <f>178</f>
        <v>178</v>
      </c>
      <c r="P590" s="4" t="s">
        <v>276</v>
      </c>
      <c r="Q590" s="6">
        <f>1</f>
        <v>1</v>
      </c>
      <c r="R590" s="6">
        <f>16020000</f>
        <v>16020000</v>
      </c>
      <c r="S590" s="5" t="s">
        <v>1022</v>
      </c>
      <c r="T590" s="4" t="s">
        <v>314</v>
      </c>
      <c r="U590" s="4" t="s">
        <v>552</v>
      </c>
      <c r="W590" s="6">
        <f>16019999</f>
        <v>16019999</v>
      </c>
      <c r="X590" s="4" t="s">
        <v>243</v>
      </c>
      <c r="Y590" s="4" t="s">
        <v>244</v>
      </c>
      <c r="Z590" s="4" t="s">
        <v>465</v>
      </c>
      <c r="AA590" s="4" t="s">
        <v>241</v>
      </c>
      <c r="AD590" s="4" t="s">
        <v>241</v>
      </c>
      <c r="AF590" s="5" t="s">
        <v>241</v>
      </c>
      <c r="AI590" s="5" t="s">
        <v>249</v>
      </c>
      <c r="AJ590" s="4" t="s">
        <v>251</v>
      </c>
      <c r="AK590" s="4" t="s">
        <v>252</v>
      </c>
      <c r="BA590" s="4" t="s">
        <v>254</v>
      </c>
      <c r="BB590" s="4" t="s">
        <v>241</v>
      </c>
      <c r="BC590" s="4" t="s">
        <v>255</v>
      </c>
      <c r="BD590" s="4" t="s">
        <v>241</v>
      </c>
      <c r="BE590" s="4" t="s">
        <v>257</v>
      </c>
      <c r="BF590" s="4" t="s">
        <v>241</v>
      </c>
      <c r="BJ590" s="4" t="s">
        <v>374</v>
      </c>
      <c r="BK590" s="5" t="s">
        <v>375</v>
      </c>
      <c r="BL590" s="4" t="s">
        <v>261</v>
      </c>
      <c r="BM590" s="4" t="s">
        <v>262</v>
      </c>
      <c r="BN590" s="4" t="s">
        <v>241</v>
      </c>
      <c r="BO590" s="6">
        <f>0</f>
        <v>0</v>
      </c>
      <c r="BP590" s="6">
        <f>0</f>
        <v>0</v>
      </c>
      <c r="BQ590" s="4" t="s">
        <v>263</v>
      </c>
      <c r="BR590" s="4" t="s">
        <v>264</v>
      </c>
      <c r="CF590" s="4" t="s">
        <v>241</v>
      </c>
      <c r="CG590" s="4" t="s">
        <v>241</v>
      </c>
      <c r="CK590" s="4" t="s">
        <v>265</v>
      </c>
      <c r="CL590" s="4" t="s">
        <v>266</v>
      </c>
      <c r="CM590" s="4" t="s">
        <v>241</v>
      </c>
      <c r="CO590" s="4" t="s">
        <v>662</v>
      </c>
      <c r="CP590" s="5" t="s">
        <v>268</v>
      </c>
      <c r="CQ590" s="4" t="s">
        <v>269</v>
      </c>
      <c r="CR590" s="4" t="s">
        <v>270</v>
      </c>
      <c r="CS590" s="4" t="s">
        <v>241</v>
      </c>
      <c r="CT590" s="4" t="s">
        <v>241</v>
      </c>
      <c r="CU590" s="4">
        <v>0</v>
      </c>
      <c r="CV590" s="4" t="s">
        <v>271</v>
      </c>
      <c r="CW590" s="4" t="s">
        <v>1006</v>
      </c>
      <c r="CX590" s="4" t="s">
        <v>347</v>
      </c>
      <c r="CZ590" s="6">
        <f>16020000</f>
        <v>16020000</v>
      </c>
      <c r="DA590" s="6">
        <f>0</f>
        <v>0</v>
      </c>
      <c r="DC590" s="4" t="s">
        <v>241</v>
      </c>
      <c r="DD590" s="4" t="s">
        <v>241</v>
      </c>
      <c r="DF590" s="4" t="s">
        <v>241</v>
      </c>
      <c r="DI590" s="4" t="s">
        <v>241</v>
      </c>
      <c r="DJ590" s="4" t="s">
        <v>241</v>
      </c>
      <c r="DK590" s="4" t="s">
        <v>241</v>
      </c>
      <c r="DL590" s="4" t="s">
        <v>241</v>
      </c>
      <c r="DM590" s="4" t="s">
        <v>277</v>
      </c>
      <c r="DN590" s="4" t="s">
        <v>278</v>
      </c>
      <c r="DO590" s="6">
        <f>178</f>
        <v>178</v>
      </c>
      <c r="DP590" s="4" t="s">
        <v>241</v>
      </c>
      <c r="DQ590" s="4" t="s">
        <v>241</v>
      </c>
      <c r="DR590" s="4" t="s">
        <v>241</v>
      </c>
      <c r="DS590" s="4" t="s">
        <v>241</v>
      </c>
      <c r="DV590" s="4" t="s">
        <v>680</v>
      </c>
      <c r="DW590" s="4" t="s">
        <v>351</v>
      </c>
      <c r="HO590" s="4" t="s">
        <v>277</v>
      </c>
      <c r="HR590" s="4" t="s">
        <v>278</v>
      </c>
      <c r="HS590" s="4" t="s">
        <v>278</v>
      </c>
    </row>
    <row r="591" spans="1:240" x14ac:dyDescent="0.4">
      <c r="A591" s="4">
        <v>2</v>
      </c>
      <c r="B591" s="4" t="s">
        <v>239</v>
      </c>
      <c r="C591" s="4">
        <v>622</v>
      </c>
      <c r="D591" s="4">
        <v>1</v>
      </c>
      <c r="E591" s="4">
        <v>1</v>
      </c>
      <c r="F591" s="4" t="s">
        <v>240</v>
      </c>
      <c r="G591" s="4" t="s">
        <v>241</v>
      </c>
      <c r="H591" s="4" t="s">
        <v>241</v>
      </c>
      <c r="I591" s="4" t="s">
        <v>677</v>
      </c>
      <c r="J591" s="4" t="s">
        <v>653</v>
      </c>
      <c r="K591" s="4" t="s">
        <v>256</v>
      </c>
      <c r="L591" s="4" t="s">
        <v>429</v>
      </c>
      <c r="M591" s="5" t="s">
        <v>679</v>
      </c>
      <c r="N591" s="4" t="s">
        <v>429</v>
      </c>
      <c r="O591" s="6">
        <f>84</f>
        <v>84</v>
      </c>
      <c r="P591" s="4" t="s">
        <v>276</v>
      </c>
      <c r="Q591" s="6">
        <f>1</f>
        <v>1</v>
      </c>
      <c r="R591" s="6">
        <f>7644000</f>
        <v>7644000</v>
      </c>
      <c r="S591" s="5" t="s">
        <v>438</v>
      </c>
      <c r="T591" s="4" t="s">
        <v>348</v>
      </c>
      <c r="U591" s="4" t="s">
        <v>274</v>
      </c>
      <c r="W591" s="6">
        <f>7643999</f>
        <v>7643999</v>
      </c>
      <c r="X591" s="4" t="s">
        <v>243</v>
      </c>
      <c r="Y591" s="4" t="s">
        <v>244</v>
      </c>
      <c r="Z591" s="4" t="s">
        <v>465</v>
      </c>
      <c r="AA591" s="4" t="s">
        <v>241</v>
      </c>
      <c r="AD591" s="4" t="s">
        <v>241</v>
      </c>
      <c r="AF591" s="5" t="s">
        <v>241</v>
      </c>
      <c r="AI591" s="5" t="s">
        <v>249</v>
      </c>
      <c r="AJ591" s="4" t="s">
        <v>251</v>
      </c>
      <c r="AK591" s="4" t="s">
        <v>252</v>
      </c>
      <c r="BA591" s="4" t="s">
        <v>254</v>
      </c>
      <c r="BB591" s="4" t="s">
        <v>241</v>
      </c>
      <c r="BC591" s="4" t="s">
        <v>255</v>
      </c>
      <c r="BD591" s="4" t="s">
        <v>241</v>
      </c>
      <c r="BE591" s="4" t="s">
        <v>257</v>
      </c>
      <c r="BF591" s="4" t="s">
        <v>241</v>
      </c>
      <c r="BJ591" s="4" t="s">
        <v>377</v>
      </c>
      <c r="BK591" s="5" t="s">
        <v>378</v>
      </c>
      <c r="BL591" s="4" t="s">
        <v>261</v>
      </c>
      <c r="BM591" s="4" t="s">
        <v>262</v>
      </c>
      <c r="BN591" s="4" t="s">
        <v>241</v>
      </c>
      <c r="BO591" s="6">
        <f>0</f>
        <v>0</v>
      </c>
      <c r="BP591" s="6">
        <f>0</f>
        <v>0</v>
      </c>
      <c r="BQ591" s="4" t="s">
        <v>263</v>
      </c>
      <c r="BR591" s="4" t="s">
        <v>264</v>
      </c>
      <c r="CF591" s="4" t="s">
        <v>241</v>
      </c>
      <c r="CG591" s="4" t="s">
        <v>241</v>
      </c>
      <c r="CK591" s="4" t="s">
        <v>291</v>
      </c>
      <c r="CL591" s="4" t="s">
        <v>266</v>
      </c>
      <c r="CM591" s="4" t="s">
        <v>241</v>
      </c>
      <c r="CO591" s="4" t="s">
        <v>439</v>
      </c>
      <c r="CP591" s="5" t="s">
        <v>268</v>
      </c>
      <c r="CQ591" s="4" t="s">
        <v>269</v>
      </c>
      <c r="CR591" s="4" t="s">
        <v>270</v>
      </c>
      <c r="CS591" s="4" t="s">
        <v>241</v>
      </c>
      <c r="CT591" s="4" t="s">
        <v>241</v>
      </c>
      <c r="CU591" s="4">
        <v>0</v>
      </c>
      <c r="CV591" s="4" t="s">
        <v>271</v>
      </c>
      <c r="CW591" s="4" t="s">
        <v>272</v>
      </c>
      <c r="CX591" s="4" t="s">
        <v>347</v>
      </c>
      <c r="CZ591" s="6">
        <f>7644000</f>
        <v>7644000</v>
      </c>
      <c r="DA591" s="6">
        <f>0</f>
        <v>0</v>
      </c>
      <c r="DC591" s="4" t="s">
        <v>241</v>
      </c>
      <c r="DD591" s="4" t="s">
        <v>241</v>
      </c>
      <c r="DF591" s="4" t="s">
        <v>241</v>
      </c>
      <c r="DI591" s="4" t="s">
        <v>241</v>
      </c>
      <c r="DJ591" s="4" t="s">
        <v>241</v>
      </c>
      <c r="DK591" s="4" t="s">
        <v>241</v>
      </c>
      <c r="DL591" s="4" t="s">
        <v>241</v>
      </c>
      <c r="DM591" s="4" t="s">
        <v>277</v>
      </c>
      <c r="DN591" s="4" t="s">
        <v>278</v>
      </c>
      <c r="DO591" s="6">
        <f>84</f>
        <v>84</v>
      </c>
      <c r="DP591" s="4" t="s">
        <v>241</v>
      </c>
      <c r="DQ591" s="4" t="s">
        <v>241</v>
      </c>
      <c r="DR591" s="4" t="s">
        <v>241</v>
      </c>
      <c r="DS591" s="4" t="s">
        <v>241</v>
      </c>
      <c r="DV591" s="4" t="s">
        <v>680</v>
      </c>
      <c r="DW591" s="4" t="s">
        <v>300</v>
      </c>
      <c r="HO591" s="4" t="s">
        <v>277</v>
      </c>
      <c r="HR591" s="4" t="s">
        <v>278</v>
      </c>
      <c r="HS591" s="4" t="s">
        <v>278</v>
      </c>
    </row>
    <row r="592" spans="1:240" x14ac:dyDescent="0.4">
      <c r="A592" s="4">
        <v>2</v>
      </c>
      <c r="B592" s="4" t="s">
        <v>239</v>
      </c>
      <c r="C592" s="4">
        <v>623</v>
      </c>
      <c r="D592" s="4">
        <v>1</v>
      </c>
      <c r="E592" s="4">
        <v>3</v>
      </c>
      <c r="F592" s="4" t="s">
        <v>326</v>
      </c>
      <c r="G592" s="4" t="s">
        <v>241</v>
      </c>
      <c r="H592" s="4" t="s">
        <v>241</v>
      </c>
      <c r="I592" s="4" t="s">
        <v>677</v>
      </c>
      <c r="J592" s="4" t="s">
        <v>653</v>
      </c>
      <c r="K592" s="4" t="s">
        <v>256</v>
      </c>
      <c r="L592" s="4" t="s">
        <v>241</v>
      </c>
      <c r="M592" s="5" t="s">
        <v>679</v>
      </c>
      <c r="N592" s="4" t="s">
        <v>2755</v>
      </c>
      <c r="O592" s="6">
        <f>0</f>
        <v>0</v>
      </c>
      <c r="P592" s="4" t="s">
        <v>276</v>
      </c>
      <c r="Q592" s="6">
        <f>214336</f>
        <v>214336</v>
      </c>
      <c r="R592" s="6">
        <f>247500</f>
        <v>247500</v>
      </c>
      <c r="S592" s="5" t="s">
        <v>2756</v>
      </c>
      <c r="T592" s="4" t="s">
        <v>348</v>
      </c>
      <c r="U592" s="4" t="s">
        <v>277</v>
      </c>
      <c r="V592" s="6">
        <f>16582</f>
        <v>16582</v>
      </c>
      <c r="W592" s="6">
        <f>33164</f>
        <v>33164</v>
      </c>
      <c r="X592" s="4" t="s">
        <v>243</v>
      </c>
      <c r="Y592" s="4" t="s">
        <v>244</v>
      </c>
      <c r="Z592" s="4" t="s">
        <v>241</v>
      </c>
      <c r="AA592" s="4" t="s">
        <v>241</v>
      </c>
      <c r="AD592" s="4" t="s">
        <v>241</v>
      </c>
      <c r="AE592" s="5" t="s">
        <v>241</v>
      </c>
      <c r="AF592" s="5" t="s">
        <v>241</v>
      </c>
      <c r="AH592" s="5" t="s">
        <v>241</v>
      </c>
      <c r="AI592" s="5" t="s">
        <v>249</v>
      </c>
      <c r="AJ592" s="4" t="s">
        <v>251</v>
      </c>
      <c r="AK592" s="4" t="s">
        <v>252</v>
      </c>
      <c r="AQ592" s="4" t="s">
        <v>241</v>
      </c>
      <c r="AR592" s="4" t="s">
        <v>241</v>
      </c>
      <c r="AS592" s="4" t="s">
        <v>241</v>
      </c>
      <c r="AT592" s="5" t="s">
        <v>241</v>
      </c>
      <c r="AU592" s="5" t="s">
        <v>241</v>
      </c>
      <c r="AV592" s="5" t="s">
        <v>241</v>
      </c>
      <c r="AY592" s="4" t="s">
        <v>286</v>
      </c>
      <c r="AZ592" s="4" t="s">
        <v>286</v>
      </c>
      <c r="BA592" s="4" t="s">
        <v>254</v>
      </c>
      <c r="BB592" s="4" t="s">
        <v>287</v>
      </c>
      <c r="BC592" s="4" t="s">
        <v>255</v>
      </c>
      <c r="BD592" s="4" t="s">
        <v>241</v>
      </c>
      <c r="BE592" s="4" t="s">
        <v>257</v>
      </c>
      <c r="BF592" s="4" t="s">
        <v>241</v>
      </c>
      <c r="BJ592" s="4" t="s">
        <v>288</v>
      </c>
      <c r="BK592" s="5" t="s">
        <v>289</v>
      </c>
      <c r="BL592" s="4" t="s">
        <v>290</v>
      </c>
      <c r="BM592" s="4" t="s">
        <v>290</v>
      </c>
      <c r="BN592" s="4" t="s">
        <v>241</v>
      </c>
      <c r="BP592" s="6">
        <f>-16582</f>
        <v>-16582</v>
      </c>
      <c r="BQ592" s="4" t="s">
        <v>263</v>
      </c>
      <c r="BR592" s="4" t="s">
        <v>264</v>
      </c>
      <c r="BS592" s="4" t="s">
        <v>241</v>
      </c>
      <c r="BT592" s="4" t="s">
        <v>241</v>
      </c>
      <c r="BU592" s="4" t="s">
        <v>241</v>
      </c>
      <c r="BV592" s="4" t="s">
        <v>241</v>
      </c>
      <c r="CE592" s="4" t="s">
        <v>264</v>
      </c>
      <c r="CF592" s="4" t="s">
        <v>241</v>
      </c>
      <c r="CG592" s="4" t="s">
        <v>241</v>
      </c>
      <c r="CK592" s="4" t="s">
        <v>291</v>
      </c>
      <c r="CL592" s="4" t="s">
        <v>266</v>
      </c>
      <c r="CM592" s="4" t="s">
        <v>241</v>
      </c>
      <c r="CO592" s="4" t="s">
        <v>331</v>
      </c>
      <c r="CP592" s="5" t="s">
        <v>268</v>
      </c>
      <c r="CQ592" s="4" t="s">
        <v>269</v>
      </c>
      <c r="CR592" s="4" t="s">
        <v>270</v>
      </c>
      <c r="CS592" s="4" t="s">
        <v>293</v>
      </c>
      <c r="CT592" s="4" t="s">
        <v>241</v>
      </c>
      <c r="CU592" s="4">
        <v>6.7000000000000004E-2</v>
      </c>
      <c r="CV592" s="4" t="s">
        <v>271</v>
      </c>
      <c r="CW592" s="4" t="s">
        <v>415</v>
      </c>
      <c r="CX592" s="4" t="s">
        <v>416</v>
      </c>
      <c r="CY592" s="6">
        <f>0</f>
        <v>0</v>
      </c>
      <c r="CZ592" s="6">
        <f>247500</f>
        <v>247500</v>
      </c>
      <c r="DA592" s="6">
        <f>214336</f>
        <v>214336</v>
      </c>
      <c r="DC592" s="4" t="s">
        <v>241</v>
      </c>
      <c r="DD592" s="4" t="s">
        <v>241</v>
      </c>
      <c r="DF592" s="4" t="s">
        <v>241</v>
      </c>
      <c r="DG592" s="6">
        <f>0</f>
        <v>0</v>
      </c>
      <c r="DI592" s="4" t="s">
        <v>241</v>
      </c>
      <c r="DJ592" s="4" t="s">
        <v>241</v>
      </c>
      <c r="DK592" s="4" t="s">
        <v>241</v>
      </c>
      <c r="DL592" s="4" t="s">
        <v>241</v>
      </c>
      <c r="DM592" s="4" t="s">
        <v>278</v>
      </c>
      <c r="DN592" s="4" t="s">
        <v>278</v>
      </c>
      <c r="DO592" s="6" t="s">
        <v>241</v>
      </c>
      <c r="DP592" s="4" t="s">
        <v>241</v>
      </c>
      <c r="DQ592" s="4" t="s">
        <v>241</v>
      </c>
      <c r="DR592" s="4" t="s">
        <v>241</v>
      </c>
      <c r="DS592" s="4" t="s">
        <v>241</v>
      </c>
      <c r="DV592" s="4" t="s">
        <v>680</v>
      </c>
      <c r="DW592" s="4" t="s">
        <v>341</v>
      </c>
      <c r="GN592" s="4" t="s">
        <v>2757</v>
      </c>
      <c r="HO592" s="4" t="s">
        <v>297</v>
      </c>
      <c r="HR592" s="4" t="s">
        <v>278</v>
      </c>
      <c r="HS592" s="4" t="s">
        <v>278</v>
      </c>
      <c r="HT592" s="4" t="s">
        <v>241</v>
      </c>
      <c r="HU592" s="4" t="s">
        <v>241</v>
      </c>
      <c r="HV592" s="4" t="s">
        <v>241</v>
      </c>
      <c r="HW592" s="4" t="s">
        <v>241</v>
      </c>
      <c r="HX592" s="4" t="s">
        <v>241</v>
      </c>
      <c r="HY592" s="4" t="s">
        <v>241</v>
      </c>
      <c r="HZ592" s="4" t="s">
        <v>241</v>
      </c>
      <c r="IA592" s="4" t="s">
        <v>241</v>
      </c>
      <c r="IB592" s="4" t="s">
        <v>241</v>
      </c>
      <c r="IC592" s="4" t="s">
        <v>241</v>
      </c>
      <c r="ID592" s="4" t="s">
        <v>241</v>
      </c>
      <c r="IE592" s="4" t="s">
        <v>241</v>
      </c>
      <c r="IF592" s="4" t="s">
        <v>241</v>
      </c>
    </row>
    <row r="593" spans="1:240" x14ac:dyDescent="0.4">
      <c r="A593" s="4">
        <v>2</v>
      </c>
      <c r="B593" s="4" t="s">
        <v>239</v>
      </c>
      <c r="C593" s="4">
        <v>624</v>
      </c>
      <c r="D593" s="4">
        <v>1</v>
      </c>
      <c r="E593" s="4">
        <v>3</v>
      </c>
      <c r="F593" s="4" t="s">
        <v>326</v>
      </c>
      <c r="G593" s="4" t="s">
        <v>241</v>
      </c>
      <c r="H593" s="4" t="s">
        <v>241</v>
      </c>
      <c r="I593" s="4" t="s">
        <v>677</v>
      </c>
      <c r="J593" s="4" t="s">
        <v>653</v>
      </c>
      <c r="K593" s="4" t="s">
        <v>256</v>
      </c>
      <c r="L593" s="4" t="s">
        <v>241</v>
      </c>
      <c r="M593" s="5" t="s">
        <v>679</v>
      </c>
      <c r="N593" s="4" t="s">
        <v>2747</v>
      </c>
      <c r="O593" s="6">
        <f>0</f>
        <v>0</v>
      </c>
      <c r="P593" s="4" t="s">
        <v>276</v>
      </c>
      <c r="Q593" s="6">
        <f>30811936</f>
        <v>30811936</v>
      </c>
      <c r="R593" s="6">
        <f>36420728</f>
        <v>36420728</v>
      </c>
      <c r="S593" s="5" t="s">
        <v>1104</v>
      </c>
      <c r="T593" s="4" t="s">
        <v>322</v>
      </c>
      <c r="U593" s="4" t="s">
        <v>277</v>
      </c>
      <c r="V593" s="6">
        <f>2804396</f>
        <v>2804396</v>
      </c>
      <c r="W593" s="6">
        <f>5608792</f>
        <v>5608792</v>
      </c>
      <c r="X593" s="4" t="s">
        <v>243</v>
      </c>
      <c r="Y593" s="4" t="s">
        <v>244</v>
      </c>
      <c r="Z593" s="4" t="s">
        <v>241</v>
      </c>
      <c r="AA593" s="4" t="s">
        <v>241</v>
      </c>
      <c r="AD593" s="4" t="s">
        <v>241</v>
      </c>
      <c r="AE593" s="5" t="s">
        <v>241</v>
      </c>
      <c r="AF593" s="5" t="s">
        <v>241</v>
      </c>
      <c r="AH593" s="5" t="s">
        <v>241</v>
      </c>
      <c r="AI593" s="5" t="s">
        <v>249</v>
      </c>
      <c r="AJ593" s="4" t="s">
        <v>251</v>
      </c>
      <c r="AK593" s="4" t="s">
        <v>252</v>
      </c>
      <c r="AQ593" s="4" t="s">
        <v>241</v>
      </c>
      <c r="AR593" s="4" t="s">
        <v>241</v>
      </c>
      <c r="AS593" s="4" t="s">
        <v>241</v>
      </c>
      <c r="AT593" s="5" t="s">
        <v>241</v>
      </c>
      <c r="AU593" s="5" t="s">
        <v>241</v>
      </c>
      <c r="AV593" s="5" t="s">
        <v>241</v>
      </c>
      <c r="AY593" s="4" t="s">
        <v>286</v>
      </c>
      <c r="AZ593" s="4" t="s">
        <v>286</v>
      </c>
      <c r="BA593" s="4" t="s">
        <v>254</v>
      </c>
      <c r="BB593" s="4" t="s">
        <v>287</v>
      </c>
      <c r="BC593" s="4" t="s">
        <v>255</v>
      </c>
      <c r="BD593" s="4" t="s">
        <v>241</v>
      </c>
      <c r="BE593" s="4" t="s">
        <v>257</v>
      </c>
      <c r="BF593" s="4" t="s">
        <v>241</v>
      </c>
      <c r="BJ593" s="4" t="s">
        <v>288</v>
      </c>
      <c r="BK593" s="5" t="s">
        <v>289</v>
      </c>
      <c r="BL593" s="4" t="s">
        <v>290</v>
      </c>
      <c r="BM593" s="4" t="s">
        <v>290</v>
      </c>
      <c r="BN593" s="4" t="s">
        <v>241</v>
      </c>
      <c r="BP593" s="6">
        <f>-2804396</f>
        <v>-2804396</v>
      </c>
      <c r="BQ593" s="4" t="s">
        <v>263</v>
      </c>
      <c r="BR593" s="4" t="s">
        <v>264</v>
      </c>
      <c r="BS593" s="4" t="s">
        <v>241</v>
      </c>
      <c r="BT593" s="4" t="s">
        <v>241</v>
      </c>
      <c r="BU593" s="4" t="s">
        <v>241</v>
      </c>
      <c r="BV593" s="4" t="s">
        <v>241</v>
      </c>
      <c r="CE593" s="4" t="s">
        <v>264</v>
      </c>
      <c r="CF593" s="4" t="s">
        <v>241</v>
      </c>
      <c r="CG593" s="4" t="s">
        <v>241</v>
      </c>
      <c r="CK593" s="4" t="s">
        <v>291</v>
      </c>
      <c r="CL593" s="4" t="s">
        <v>266</v>
      </c>
      <c r="CM593" s="4" t="s">
        <v>241</v>
      </c>
      <c r="CO593" s="4" t="s">
        <v>331</v>
      </c>
      <c r="CP593" s="5" t="s">
        <v>268</v>
      </c>
      <c r="CQ593" s="4" t="s">
        <v>269</v>
      </c>
      <c r="CR593" s="4" t="s">
        <v>270</v>
      </c>
      <c r="CS593" s="4" t="s">
        <v>293</v>
      </c>
      <c r="CT593" s="4" t="s">
        <v>241</v>
      </c>
      <c r="CU593" s="4">
        <v>7.6999999999999999E-2</v>
      </c>
      <c r="CV593" s="4" t="s">
        <v>271</v>
      </c>
      <c r="CW593" s="4" t="s">
        <v>415</v>
      </c>
      <c r="CX593" s="4" t="s">
        <v>428</v>
      </c>
      <c r="CY593" s="6">
        <f>0</f>
        <v>0</v>
      </c>
      <c r="CZ593" s="6">
        <f>36420728</f>
        <v>36420728</v>
      </c>
      <c r="DA593" s="6">
        <f>30811936</f>
        <v>30811936</v>
      </c>
      <c r="DC593" s="4" t="s">
        <v>241</v>
      </c>
      <c r="DD593" s="4" t="s">
        <v>241</v>
      </c>
      <c r="DF593" s="4" t="s">
        <v>241</v>
      </c>
      <c r="DG593" s="6">
        <f>0</f>
        <v>0</v>
      </c>
      <c r="DI593" s="4" t="s">
        <v>241</v>
      </c>
      <c r="DJ593" s="4" t="s">
        <v>241</v>
      </c>
      <c r="DK593" s="4" t="s">
        <v>241</v>
      </c>
      <c r="DL593" s="4" t="s">
        <v>241</v>
      </c>
      <c r="DM593" s="4" t="s">
        <v>278</v>
      </c>
      <c r="DN593" s="4" t="s">
        <v>278</v>
      </c>
      <c r="DO593" s="6" t="s">
        <v>241</v>
      </c>
      <c r="DP593" s="4" t="s">
        <v>241</v>
      </c>
      <c r="DQ593" s="4" t="s">
        <v>241</v>
      </c>
      <c r="DR593" s="4" t="s">
        <v>241</v>
      </c>
      <c r="DS593" s="4" t="s">
        <v>241</v>
      </c>
      <c r="DV593" s="4" t="s">
        <v>680</v>
      </c>
      <c r="DW593" s="4" t="s">
        <v>343</v>
      </c>
      <c r="GN593" s="4" t="s">
        <v>2754</v>
      </c>
      <c r="HO593" s="4" t="s">
        <v>297</v>
      </c>
      <c r="HR593" s="4" t="s">
        <v>278</v>
      </c>
      <c r="HS593" s="4" t="s">
        <v>278</v>
      </c>
      <c r="HT593" s="4" t="s">
        <v>241</v>
      </c>
      <c r="HU593" s="4" t="s">
        <v>241</v>
      </c>
      <c r="HV593" s="4" t="s">
        <v>241</v>
      </c>
      <c r="HW593" s="4" t="s">
        <v>241</v>
      </c>
      <c r="HX593" s="4" t="s">
        <v>241</v>
      </c>
      <c r="HY593" s="4" t="s">
        <v>241</v>
      </c>
      <c r="HZ593" s="4" t="s">
        <v>241</v>
      </c>
      <c r="IA593" s="4" t="s">
        <v>241</v>
      </c>
      <c r="IB593" s="4" t="s">
        <v>241</v>
      </c>
      <c r="IC593" s="4" t="s">
        <v>241</v>
      </c>
      <c r="ID593" s="4" t="s">
        <v>241</v>
      </c>
      <c r="IE593" s="4" t="s">
        <v>241</v>
      </c>
      <c r="IF593" s="4" t="s">
        <v>241</v>
      </c>
    </row>
    <row r="594" spans="1:240" x14ac:dyDescent="0.4">
      <c r="A594" s="4">
        <v>2</v>
      </c>
      <c r="B594" s="4" t="s">
        <v>239</v>
      </c>
      <c r="C594" s="4">
        <v>625</v>
      </c>
      <c r="D594" s="4">
        <v>1</v>
      </c>
      <c r="E594" s="4">
        <v>1</v>
      </c>
      <c r="F594" s="4" t="s">
        <v>240</v>
      </c>
      <c r="G594" s="4" t="s">
        <v>241</v>
      </c>
      <c r="H594" s="4" t="s">
        <v>241</v>
      </c>
      <c r="I594" s="4" t="s">
        <v>780</v>
      </c>
      <c r="J594" s="4" t="s">
        <v>653</v>
      </c>
      <c r="K594" s="4" t="s">
        <v>256</v>
      </c>
      <c r="L594" s="4" t="s">
        <v>651</v>
      </c>
      <c r="M594" s="5" t="s">
        <v>782</v>
      </c>
      <c r="N594" s="4" t="s">
        <v>651</v>
      </c>
      <c r="O594" s="6">
        <f>3488</f>
        <v>3488</v>
      </c>
      <c r="P594" s="4" t="s">
        <v>276</v>
      </c>
      <c r="Q594" s="6">
        <f>1</f>
        <v>1</v>
      </c>
      <c r="R594" s="6">
        <f>470880000</f>
        <v>470880000</v>
      </c>
      <c r="S594" s="5" t="s">
        <v>781</v>
      </c>
      <c r="T594" s="4" t="s">
        <v>668</v>
      </c>
      <c r="U594" s="4" t="s">
        <v>306</v>
      </c>
      <c r="W594" s="6">
        <f>470879999</f>
        <v>470879999</v>
      </c>
      <c r="X594" s="4" t="s">
        <v>243</v>
      </c>
      <c r="Y594" s="4" t="s">
        <v>244</v>
      </c>
      <c r="Z594" s="4" t="s">
        <v>465</v>
      </c>
      <c r="AA594" s="4" t="s">
        <v>241</v>
      </c>
      <c r="AD594" s="4" t="s">
        <v>241</v>
      </c>
      <c r="AF594" s="5" t="s">
        <v>241</v>
      </c>
      <c r="AI594" s="5" t="s">
        <v>249</v>
      </c>
      <c r="AJ594" s="4" t="s">
        <v>251</v>
      </c>
      <c r="AK594" s="4" t="s">
        <v>252</v>
      </c>
      <c r="BA594" s="4" t="s">
        <v>254</v>
      </c>
      <c r="BB594" s="4" t="s">
        <v>241</v>
      </c>
      <c r="BC594" s="4" t="s">
        <v>255</v>
      </c>
      <c r="BD594" s="4" t="s">
        <v>241</v>
      </c>
      <c r="BE594" s="4" t="s">
        <v>257</v>
      </c>
      <c r="BF594" s="4" t="s">
        <v>241</v>
      </c>
      <c r="BJ594" s="4" t="s">
        <v>374</v>
      </c>
      <c r="BK594" s="5" t="s">
        <v>375</v>
      </c>
      <c r="BL594" s="4" t="s">
        <v>261</v>
      </c>
      <c r="BM594" s="4" t="s">
        <v>290</v>
      </c>
      <c r="BN594" s="4" t="s">
        <v>241</v>
      </c>
      <c r="BO594" s="6">
        <f>0</f>
        <v>0</v>
      </c>
      <c r="BP594" s="6">
        <f>0</f>
        <v>0</v>
      </c>
      <c r="BQ594" s="4" t="s">
        <v>263</v>
      </c>
      <c r="BR594" s="4" t="s">
        <v>264</v>
      </c>
      <c r="CF594" s="4" t="s">
        <v>241</v>
      </c>
      <c r="CG594" s="4" t="s">
        <v>241</v>
      </c>
      <c r="CK594" s="4" t="s">
        <v>265</v>
      </c>
      <c r="CL594" s="4" t="s">
        <v>266</v>
      </c>
      <c r="CM594" s="4" t="s">
        <v>241</v>
      </c>
      <c r="CO594" s="4" t="s">
        <v>305</v>
      </c>
      <c r="CP594" s="5" t="s">
        <v>268</v>
      </c>
      <c r="CQ594" s="4" t="s">
        <v>269</v>
      </c>
      <c r="CR594" s="4" t="s">
        <v>270</v>
      </c>
      <c r="CS594" s="4" t="s">
        <v>241</v>
      </c>
      <c r="CT594" s="4" t="s">
        <v>241</v>
      </c>
      <c r="CU594" s="4">
        <v>0</v>
      </c>
      <c r="CV594" s="4" t="s">
        <v>271</v>
      </c>
      <c r="CW594" s="4" t="s">
        <v>655</v>
      </c>
      <c r="CX594" s="4" t="s">
        <v>295</v>
      </c>
      <c r="CZ594" s="6">
        <f>470880000</f>
        <v>470880000</v>
      </c>
      <c r="DA594" s="6">
        <f>0</f>
        <v>0</v>
      </c>
      <c r="DC594" s="4" t="s">
        <v>241</v>
      </c>
      <c r="DD594" s="4" t="s">
        <v>241</v>
      </c>
      <c r="DF594" s="4" t="s">
        <v>241</v>
      </c>
      <c r="DI594" s="4" t="s">
        <v>241</v>
      </c>
      <c r="DJ594" s="4" t="s">
        <v>241</v>
      </c>
      <c r="DK594" s="4" t="s">
        <v>241</v>
      </c>
      <c r="DL594" s="4" t="s">
        <v>241</v>
      </c>
      <c r="DM594" s="4" t="s">
        <v>297</v>
      </c>
      <c r="DN594" s="4" t="s">
        <v>278</v>
      </c>
      <c r="DO594" s="6">
        <f>3488</f>
        <v>3488</v>
      </c>
      <c r="DP594" s="4" t="s">
        <v>241</v>
      </c>
      <c r="DQ594" s="4" t="s">
        <v>241</v>
      </c>
      <c r="DR594" s="4" t="s">
        <v>241</v>
      </c>
      <c r="DS594" s="4" t="s">
        <v>241</v>
      </c>
      <c r="DV594" s="4" t="s">
        <v>783</v>
      </c>
      <c r="DW594" s="4" t="s">
        <v>277</v>
      </c>
      <c r="HO594" s="4" t="s">
        <v>300</v>
      </c>
      <c r="HR594" s="4" t="s">
        <v>278</v>
      </c>
      <c r="HS594" s="4" t="s">
        <v>278</v>
      </c>
    </row>
    <row r="595" spans="1:240" x14ac:dyDescent="0.4">
      <c r="A595" s="4">
        <v>2</v>
      </c>
      <c r="B595" s="4" t="s">
        <v>239</v>
      </c>
      <c r="C595" s="4">
        <v>626</v>
      </c>
      <c r="D595" s="4">
        <v>1</v>
      </c>
      <c r="E595" s="4">
        <v>1</v>
      </c>
      <c r="F595" s="4" t="s">
        <v>240</v>
      </c>
      <c r="G595" s="4" t="s">
        <v>241</v>
      </c>
      <c r="H595" s="4" t="s">
        <v>241</v>
      </c>
      <c r="I595" s="4" t="s">
        <v>780</v>
      </c>
      <c r="J595" s="4" t="s">
        <v>653</v>
      </c>
      <c r="K595" s="4" t="s">
        <v>256</v>
      </c>
      <c r="L595" s="4" t="s">
        <v>1003</v>
      </c>
      <c r="M595" s="5" t="s">
        <v>782</v>
      </c>
      <c r="N595" s="4" t="s">
        <v>1003</v>
      </c>
      <c r="O595" s="6">
        <f>1180</f>
        <v>1180</v>
      </c>
      <c r="P595" s="4" t="s">
        <v>276</v>
      </c>
      <c r="Q595" s="6">
        <f>1</f>
        <v>1</v>
      </c>
      <c r="R595" s="6">
        <f>159300000</f>
        <v>159300000</v>
      </c>
      <c r="S595" s="5" t="s">
        <v>1111</v>
      </c>
      <c r="T595" s="4" t="s">
        <v>668</v>
      </c>
      <c r="U595" s="4" t="s">
        <v>306</v>
      </c>
      <c r="W595" s="6">
        <f>159299999</f>
        <v>159299999</v>
      </c>
      <c r="X595" s="4" t="s">
        <v>243</v>
      </c>
      <c r="Y595" s="4" t="s">
        <v>244</v>
      </c>
      <c r="Z595" s="4" t="s">
        <v>465</v>
      </c>
      <c r="AA595" s="4" t="s">
        <v>241</v>
      </c>
      <c r="AD595" s="4" t="s">
        <v>241</v>
      </c>
      <c r="AF595" s="5" t="s">
        <v>241</v>
      </c>
      <c r="AI595" s="5" t="s">
        <v>249</v>
      </c>
      <c r="AJ595" s="4" t="s">
        <v>251</v>
      </c>
      <c r="AK595" s="4" t="s">
        <v>252</v>
      </c>
      <c r="BA595" s="4" t="s">
        <v>254</v>
      </c>
      <c r="BB595" s="4" t="s">
        <v>241</v>
      </c>
      <c r="BC595" s="4" t="s">
        <v>255</v>
      </c>
      <c r="BD595" s="4" t="s">
        <v>241</v>
      </c>
      <c r="BE595" s="4" t="s">
        <v>257</v>
      </c>
      <c r="BF595" s="4" t="s">
        <v>241</v>
      </c>
      <c r="BJ595" s="4" t="s">
        <v>377</v>
      </c>
      <c r="BK595" s="5" t="s">
        <v>378</v>
      </c>
      <c r="BL595" s="4" t="s">
        <v>261</v>
      </c>
      <c r="BM595" s="4" t="s">
        <v>290</v>
      </c>
      <c r="BN595" s="4" t="s">
        <v>241</v>
      </c>
      <c r="BO595" s="6">
        <f>0</f>
        <v>0</v>
      </c>
      <c r="BP595" s="6">
        <f>0</f>
        <v>0</v>
      </c>
      <c r="BQ595" s="4" t="s">
        <v>263</v>
      </c>
      <c r="BR595" s="4" t="s">
        <v>264</v>
      </c>
      <c r="CF595" s="4" t="s">
        <v>241</v>
      </c>
      <c r="CG595" s="4" t="s">
        <v>241</v>
      </c>
      <c r="CK595" s="4" t="s">
        <v>265</v>
      </c>
      <c r="CL595" s="4" t="s">
        <v>266</v>
      </c>
      <c r="CM595" s="4" t="s">
        <v>241</v>
      </c>
      <c r="CO595" s="4" t="s">
        <v>305</v>
      </c>
      <c r="CP595" s="5" t="s">
        <v>268</v>
      </c>
      <c r="CQ595" s="4" t="s">
        <v>269</v>
      </c>
      <c r="CR595" s="4" t="s">
        <v>270</v>
      </c>
      <c r="CS595" s="4" t="s">
        <v>241</v>
      </c>
      <c r="CT595" s="4" t="s">
        <v>241</v>
      </c>
      <c r="CU595" s="4">
        <v>0</v>
      </c>
      <c r="CV595" s="4" t="s">
        <v>271</v>
      </c>
      <c r="CW595" s="4" t="s">
        <v>1006</v>
      </c>
      <c r="CX595" s="4" t="s">
        <v>295</v>
      </c>
      <c r="CZ595" s="6">
        <f>159300000</f>
        <v>159300000</v>
      </c>
      <c r="DA595" s="6">
        <f>0</f>
        <v>0</v>
      </c>
      <c r="DC595" s="4" t="s">
        <v>241</v>
      </c>
      <c r="DD595" s="4" t="s">
        <v>241</v>
      </c>
      <c r="DF595" s="4" t="s">
        <v>241</v>
      </c>
      <c r="DI595" s="4" t="s">
        <v>241</v>
      </c>
      <c r="DJ595" s="4" t="s">
        <v>241</v>
      </c>
      <c r="DK595" s="4" t="s">
        <v>241</v>
      </c>
      <c r="DL595" s="4" t="s">
        <v>241</v>
      </c>
      <c r="DM595" s="4" t="s">
        <v>323</v>
      </c>
      <c r="DN595" s="4" t="s">
        <v>278</v>
      </c>
      <c r="DO595" s="6">
        <f>1180</f>
        <v>1180</v>
      </c>
      <c r="DP595" s="4" t="s">
        <v>241</v>
      </c>
      <c r="DQ595" s="4" t="s">
        <v>241</v>
      </c>
      <c r="DR595" s="4" t="s">
        <v>241</v>
      </c>
      <c r="DS595" s="4" t="s">
        <v>241</v>
      </c>
      <c r="DV595" s="4" t="s">
        <v>783</v>
      </c>
      <c r="DW595" s="4" t="s">
        <v>323</v>
      </c>
      <c r="HO595" s="4" t="s">
        <v>300</v>
      </c>
      <c r="HR595" s="4" t="s">
        <v>278</v>
      </c>
      <c r="HS595" s="4" t="s">
        <v>278</v>
      </c>
    </row>
    <row r="596" spans="1:240" x14ac:dyDescent="0.4">
      <c r="A596" s="4">
        <v>2</v>
      </c>
      <c r="B596" s="4" t="s">
        <v>239</v>
      </c>
      <c r="C596" s="4">
        <v>627</v>
      </c>
      <c r="D596" s="4">
        <v>1</v>
      </c>
      <c r="E596" s="4">
        <v>1</v>
      </c>
      <c r="F596" s="4" t="s">
        <v>240</v>
      </c>
      <c r="G596" s="4" t="s">
        <v>241</v>
      </c>
      <c r="H596" s="4" t="s">
        <v>241</v>
      </c>
      <c r="I596" s="4" t="s">
        <v>780</v>
      </c>
      <c r="J596" s="4" t="s">
        <v>653</v>
      </c>
      <c r="K596" s="4" t="s">
        <v>256</v>
      </c>
      <c r="L596" s="4" t="s">
        <v>2529</v>
      </c>
      <c r="M596" s="5" t="s">
        <v>782</v>
      </c>
      <c r="N596" s="4" t="s">
        <v>2529</v>
      </c>
      <c r="O596" s="6">
        <f>36</f>
        <v>36</v>
      </c>
      <c r="P596" s="4" t="s">
        <v>276</v>
      </c>
      <c r="Q596" s="6">
        <f>1</f>
        <v>1</v>
      </c>
      <c r="R596" s="6">
        <f>2160000</f>
        <v>2160000</v>
      </c>
      <c r="S596" s="5" t="s">
        <v>372</v>
      </c>
      <c r="T596" s="4" t="s">
        <v>348</v>
      </c>
      <c r="U596" s="4" t="s">
        <v>373</v>
      </c>
      <c r="W596" s="6">
        <f>2159999</f>
        <v>2159999</v>
      </c>
      <c r="X596" s="4" t="s">
        <v>243</v>
      </c>
      <c r="Y596" s="4" t="s">
        <v>244</v>
      </c>
      <c r="Z596" s="4" t="s">
        <v>465</v>
      </c>
      <c r="AA596" s="4" t="s">
        <v>241</v>
      </c>
      <c r="AD596" s="4" t="s">
        <v>241</v>
      </c>
      <c r="AF596" s="5" t="s">
        <v>241</v>
      </c>
      <c r="AI596" s="5" t="s">
        <v>249</v>
      </c>
      <c r="AJ596" s="4" t="s">
        <v>251</v>
      </c>
      <c r="AK596" s="4" t="s">
        <v>252</v>
      </c>
      <c r="BA596" s="4" t="s">
        <v>254</v>
      </c>
      <c r="BB596" s="4" t="s">
        <v>241</v>
      </c>
      <c r="BC596" s="4" t="s">
        <v>255</v>
      </c>
      <c r="BD596" s="4" t="s">
        <v>241</v>
      </c>
      <c r="BE596" s="4" t="s">
        <v>257</v>
      </c>
      <c r="BF596" s="4" t="s">
        <v>241</v>
      </c>
      <c r="BJ596" s="4" t="s">
        <v>259</v>
      </c>
      <c r="BK596" s="5" t="s">
        <v>260</v>
      </c>
      <c r="BL596" s="4" t="s">
        <v>261</v>
      </c>
      <c r="BM596" s="4" t="s">
        <v>262</v>
      </c>
      <c r="BN596" s="4" t="s">
        <v>241</v>
      </c>
      <c r="BO596" s="6">
        <f>0</f>
        <v>0</v>
      </c>
      <c r="BP596" s="6">
        <f>0</f>
        <v>0</v>
      </c>
      <c r="BQ596" s="4" t="s">
        <v>263</v>
      </c>
      <c r="BR596" s="4" t="s">
        <v>264</v>
      </c>
      <c r="CF596" s="4" t="s">
        <v>241</v>
      </c>
      <c r="CG596" s="4" t="s">
        <v>241</v>
      </c>
      <c r="CK596" s="4" t="s">
        <v>265</v>
      </c>
      <c r="CL596" s="4" t="s">
        <v>266</v>
      </c>
      <c r="CM596" s="4" t="s">
        <v>241</v>
      </c>
      <c r="CO596" s="4" t="s">
        <v>305</v>
      </c>
      <c r="CP596" s="5" t="s">
        <v>268</v>
      </c>
      <c r="CQ596" s="4" t="s">
        <v>269</v>
      </c>
      <c r="CR596" s="4" t="s">
        <v>270</v>
      </c>
      <c r="CS596" s="4" t="s">
        <v>241</v>
      </c>
      <c r="CT596" s="4" t="s">
        <v>241</v>
      </c>
      <c r="CU596" s="4">
        <v>0</v>
      </c>
      <c r="CV596" s="4" t="s">
        <v>271</v>
      </c>
      <c r="CW596" s="4" t="s">
        <v>415</v>
      </c>
      <c r="CX596" s="4" t="s">
        <v>416</v>
      </c>
      <c r="CZ596" s="6">
        <f>2160000</f>
        <v>2160000</v>
      </c>
      <c r="DA596" s="6">
        <f>0</f>
        <v>0</v>
      </c>
      <c r="DC596" s="4" t="s">
        <v>241</v>
      </c>
      <c r="DD596" s="4" t="s">
        <v>241</v>
      </c>
      <c r="DF596" s="4" t="s">
        <v>241</v>
      </c>
      <c r="DI596" s="4" t="s">
        <v>241</v>
      </c>
      <c r="DJ596" s="4" t="s">
        <v>241</v>
      </c>
      <c r="DK596" s="4" t="s">
        <v>241</v>
      </c>
      <c r="DL596" s="4" t="s">
        <v>241</v>
      </c>
      <c r="DM596" s="4" t="s">
        <v>277</v>
      </c>
      <c r="DN596" s="4" t="s">
        <v>278</v>
      </c>
      <c r="DO596" s="6">
        <f>36</f>
        <v>36</v>
      </c>
      <c r="DP596" s="4" t="s">
        <v>241</v>
      </c>
      <c r="DQ596" s="4" t="s">
        <v>241</v>
      </c>
      <c r="DR596" s="4" t="s">
        <v>241</v>
      </c>
      <c r="DS596" s="4" t="s">
        <v>241</v>
      </c>
      <c r="DV596" s="4" t="s">
        <v>783</v>
      </c>
      <c r="DW596" s="4" t="s">
        <v>297</v>
      </c>
      <c r="HO596" s="4" t="s">
        <v>277</v>
      </c>
      <c r="HR596" s="4" t="s">
        <v>278</v>
      </c>
      <c r="HS596" s="4" t="s">
        <v>278</v>
      </c>
    </row>
    <row r="597" spans="1:240" x14ac:dyDescent="0.4">
      <c r="A597" s="4">
        <v>2</v>
      </c>
      <c r="B597" s="4" t="s">
        <v>239</v>
      </c>
      <c r="C597" s="4">
        <v>628</v>
      </c>
      <c r="D597" s="4">
        <v>1</v>
      </c>
      <c r="E597" s="4">
        <v>3</v>
      </c>
      <c r="F597" s="4" t="s">
        <v>326</v>
      </c>
      <c r="G597" s="4" t="s">
        <v>241</v>
      </c>
      <c r="H597" s="4" t="s">
        <v>241</v>
      </c>
      <c r="I597" s="4" t="s">
        <v>780</v>
      </c>
      <c r="J597" s="4" t="s">
        <v>653</v>
      </c>
      <c r="K597" s="4" t="s">
        <v>256</v>
      </c>
      <c r="L597" s="4" t="s">
        <v>2752</v>
      </c>
      <c r="M597" s="5" t="s">
        <v>782</v>
      </c>
      <c r="N597" s="4" t="s">
        <v>2751</v>
      </c>
      <c r="O597" s="6">
        <f>0</f>
        <v>0</v>
      </c>
      <c r="P597" s="4" t="s">
        <v>276</v>
      </c>
      <c r="Q597" s="6">
        <f>865362</f>
        <v>865362</v>
      </c>
      <c r="R597" s="6">
        <f>1442270</f>
        <v>1442270</v>
      </c>
      <c r="S597" s="5" t="s">
        <v>388</v>
      </c>
      <c r="T597" s="4" t="s">
        <v>427</v>
      </c>
      <c r="U597" s="4" t="s">
        <v>297</v>
      </c>
      <c r="V597" s="6">
        <f>144227</f>
        <v>144227</v>
      </c>
      <c r="W597" s="6">
        <f>576908</f>
        <v>576908</v>
      </c>
      <c r="X597" s="4" t="s">
        <v>243</v>
      </c>
      <c r="Y597" s="4" t="s">
        <v>244</v>
      </c>
      <c r="Z597" s="4" t="s">
        <v>465</v>
      </c>
      <c r="AA597" s="4" t="s">
        <v>241</v>
      </c>
      <c r="AD597" s="4" t="s">
        <v>241</v>
      </c>
      <c r="AE597" s="5" t="s">
        <v>241</v>
      </c>
      <c r="AF597" s="5" t="s">
        <v>241</v>
      </c>
      <c r="AH597" s="5" t="s">
        <v>241</v>
      </c>
      <c r="AI597" s="5" t="s">
        <v>249</v>
      </c>
      <c r="AJ597" s="4" t="s">
        <v>251</v>
      </c>
      <c r="AK597" s="4" t="s">
        <v>252</v>
      </c>
      <c r="AQ597" s="4" t="s">
        <v>241</v>
      </c>
      <c r="AR597" s="4" t="s">
        <v>241</v>
      </c>
      <c r="AS597" s="4" t="s">
        <v>241</v>
      </c>
      <c r="AT597" s="5" t="s">
        <v>241</v>
      </c>
      <c r="AU597" s="5" t="s">
        <v>241</v>
      </c>
      <c r="AV597" s="5" t="s">
        <v>241</v>
      </c>
      <c r="AY597" s="4" t="s">
        <v>286</v>
      </c>
      <c r="AZ597" s="4" t="s">
        <v>286</v>
      </c>
      <c r="BA597" s="4" t="s">
        <v>254</v>
      </c>
      <c r="BB597" s="4" t="s">
        <v>287</v>
      </c>
      <c r="BC597" s="4" t="s">
        <v>255</v>
      </c>
      <c r="BD597" s="4" t="s">
        <v>241</v>
      </c>
      <c r="BE597" s="4" t="s">
        <v>257</v>
      </c>
      <c r="BF597" s="4" t="s">
        <v>241</v>
      </c>
      <c r="BJ597" s="4" t="s">
        <v>288</v>
      </c>
      <c r="BK597" s="5" t="s">
        <v>289</v>
      </c>
      <c r="BL597" s="4" t="s">
        <v>290</v>
      </c>
      <c r="BM597" s="4" t="s">
        <v>290</v>
      </c>
      <c r="BN597" s="4" t="s">
        <v>241</v>
      </c>
      <c r="BP597" s="6">
        <f>-144227</f>
        <v>-144227</v>
      </c>
      <c r="BQ597" s="4" t="s">
        <v>263</v>
      </c>
      <c r="BR597" s="4" t="s">
        <v>264</v>
      </c>
      <c r="BS597" s="4" t="s">
        <v>241</v>
      </c>
      <c r="BT597" s="4" t="s">
        <v>241</v>
      </c>
      <c r="BU597" s="4" t="s">
        <v>241</v>
      </c>
      <c r="BV597" s="4" t="s">
        <v>241</v>
      </c>
      <c r="CE597" s="4" t="s">
        <v>264</v>
      </c>
      <c r="CF597" s="4" t="s">
        <v>241</v>
      </c>
      <c r="CG597" s="4" t="s">
        <v>241</v>
      </c>
      <c r="CK597" s="4" t="s">
        <v>291</v>
      </c>
      <c r="CL597" s="4" t="s">
        <v>266</v>
      </c>
      <c r="CM597" s="4" t="s">
        <v>241</v>
      </c>
      <c r="CO597" s="4" t="s">
        <v>413</v>
      </c>
      <c r="CP597" s="5" t="s">
        <v>268</v>
      </c>
      <c r="CQ597" s="4" t="s">
        <v>269</v>
      </c>
      <c r="CR597" s="4" t="s">
        <v>270</v>
      </c>
      <c r="CS597" s="4" t="s">
        <v>293</v>
      </c>
      <c r="CT597" s="4" t="s">
        <v>241</v>
      </c>
      <c r="CU597" s="4">
        <v>0.1</v>
      </c>
      <c r="CV597" s="4" t="s">
        <v>271</v>
      </c>
      <c r="CW597" s="4" t="s">
        <v>415</v>
      </c>
      <c r="CX597" s="4" t="s">
        <v>2714</v>
      </c>
      <c r="CY597" s="6">
        <f>0</f>
        <v>0</v>
      </c>
      <c r="CZ597" s="6">
        <f>1442270</f>
        <v>1442270</v>
      </c>
      <c r="DA597" s="6">
        <f>865362</f>
        <v>865362</v>
      </c>
      <c r="DC597" s="4" t="s">
        <v>241</v>
      </c>
      <c r="DD597" s="4" t="s">
        <v>241</v>
      </c>
      <c r="DF597" s="4" t="s">
        <v>241</v>
      </c>
      <c r="DG597" s="6">
        <f>0</f>
        <v>0</v>
      </c>
      <c r="DI597" s="4" t="s">
        <v>241</v>
      </c>
      <c r="DJ597" s="4" t="s">
        <v>241</v>
      </c>
      <c r="DK597" s="4" t="s">
        <v>241</v>
      </c>
      <c r="DL597" s="4" t="s">
        <v>241</v>
      </c>
      <c r="DM597" s="4" t="s">
        <v>278</v>
      </c>
      <c r="DN597" s="4" t="s">
        <v>278</v>
      </c>
      <c r="DO597" s="6" t="s">
        <v>241</v>
      </c>
      <c r="DP597" s="4" t="s">
        <v>241</v>
      </c>
      <c r="DQ597" s="4" t="s">
        <v>241</v>
      </c>
      <c r="DR597" s="4" t="s">
        <v>241</v>
      </c>
      <c r="DS597" s="4" t="s">
        <v>241</v>
      </c>
      <c r="DV597" s="4" t="s">
        <v>783</v>
      </c>
      <c r="DW597" s="4" t="s">
        <v>336</v>
      </c>
      <c r="GN597" s="4" t="s">
        <v>2753</v>
      </c>
      <c r="HO597" s="4" t="s">
        <v>351</v>
      </c>
      <c r="HR597" s="4" t="s">
        <v>278</v>
      </c>
      <c r="HS597" s="4" t="s">
        <v>278</v>
      </c>
      <c r="HT597" s="4" t="s">
        <v>241</v>
      </c>
      <c r="HU597" s="4" t="s">
        <v>241</v>
      </c>
      <c r="HV597" s="4" t="s">
        <v>241</v>
      </c>
      <c r="HW597" s="4" t="s">
        <v>241</v>
      </c>
      <c r="HX597" s="4" t="s">
        <v>241</v>
      </c>
      <c r="HY597" s="4" t="s">
        <v>241</v>
      </c>
      <c r="HZ597" s="4" t="s">
        <v>241</v>
      </c>
      <c r="IA597" s="4" t="s">
        <v>241</v>
      </c>
      <c r="IB597" s="4" t="s">
        <v>241</v>
      </c>
      <c r="IC597" s="4" t="s">
        <v>241</v>
      </c>
      <c r="ID597" s="4" t="s">
        <v>241</v>
      </c>
      <c r="IE597" s="4" t="s">
        <v>241</v>
      </c>
      <c r="IF597" s="4" t="s">
        <v>241</v>
      </c>
    </row>
    <row r="598" spans="1:240" x14ac:dyDescent="0.4">
      <c r="A598" s="4">
        <v>2</v>
      </c>
      <c r="B598" s="4" t="s">
        <v>239</v>
      </c>
      <c r="C598" s="4">
        <v>629</v>
      </c>
      <c r="D598" s="4">
        <v>1</v>
      </c>
      <c r="E598" s="4">
        <v>3</v>
      </c>
      <c r="F598" s="4" t="s">
        <v>326</v>
      </c>
      <c r="G598" s="4" t="s">
        <v>241</v>
      </c>
      <c r="H598" s="4" t="s">
        <v>241</v>
      </c>
      <c r="I598" s="4" t="s">
        <v>780</v>
      </c>
      <c r="J598" s="4" t="s">
        <v>653</v>
      </c>
      <c r="K598" s="4" t="s">
        <v>256</v>
      </c>
      <c r="L598" s="4" t="s">
        <v>241</v>
      </c>
      <c r="M598" s="5" t="s">
        <v>782</v>
      </c>
      <c r="N598" s="4" t="s">
        <v>2749</v>
      </c>
      <c r="O598" s="6">
        <f>0</f>
        <v>0</v>
      </c>
      <c r="P598" s="4" t="s">
        <v>276</v>
      </c>
      <c r="Q598" s="6">
        <f>783038</f>
        <v>783038</v>
      </c>
      <c r="R598" s="6">
        <f>904200</f>
        <v>904200</v>
      </c>
      <c r="S598" s="5" t="s">
        <v>329</v>
      </c>
      <c r="T598" s="4" t="s">
        <v>348</v>
      </c>
      <c r="U598" s="4" t="s">
        <v>277</v>
      </c>
      <c r="V598" s="6">
        <f>60581</f>
        <v>60581</v>
      </c>
      <c r="W598" s="6">
        <f>121162</f>
        <v>121162</v>
      </c>
      <c r="X598" s="4" t="s">
        <v>243</v>
      </c>
      <c r="Y598" s="4" t="s">
        <v>244</v>
      </c>
      <c r="Z598" s="4" t="s">
        <v>241</v>
      </c>
      <c r="AA598" s="4" t="s">
        <v>241</v>
      </c>
      <c r="AD598" s="4" t="s">
        <v>241</v>
      </c>
      <c r="AE598" s="5" t="s">
        <v>241</v>
      </c>
      <c r="AF598" s="5" t="s">
        <v>241</v>
      </c>
      <c r="AH598" s="5" t="s">
        <v>241</v>
      </c>
      <c r="AI598" s="5" t="s">
        <v>249</v>
      </c>
      <c r="AJ598" s="4" t="s">
        <v>251</v>
      </c>
      <c r="AK598" s="4" t="s">
        <v>252</v>
      </c>
      <c r="AQ598" s="4" t="s">
        <v>241</v>
      </c>
      <c r="AR598" s="4" t="s">
        <v>241</v>
      </c>
      <c r="AS598" s="4" t="s">
        <v>241</v>
      </c>
      <c r="AT598" s="5" t="s">
        <v>241</v>
      </c>
      <c r="AU598" s="5" t="s">
        <v>241</v>
      </c>
      <c r="AV598" s="5" t="s">
        <v>241</v>
      </c>
      <c r="AY598" s="4" t="s">
        <v>286</v>
      </c>
      <c r="AZ598" s="4" t="s">
        <v>286</v>
      </c>
      <c r="BA598" s="4" t="s">
        <v>254</v>
      </c>
      <c r="BB598" s="4" t="s">
        <v>287</v>
      </c>
      <c r="BC598" s="4" t="s">
        <v>255</v>
      </c>
      <c r="BD598" s="4" t="s">
        <v>241</v>
      </c>
      <c r="BE598" s="4" t="s">
        <v>257</v>
      </c>
      <c r="BF598" s="4" t="s">
        <v>241</v>
      </c>
      <c r="BJ598" s="4" t="s">
        <v>288</v>
      </c>
      <c r="BK598" s="5" t="s">
        <v>289</v>
      </c>
      <c r="BL598" s="4" t="s">
        <v>290</v>
      </c>
      <c r="BM598" s="4" t="s">
        <v>290</v>
      </c>
      <c r="BN598" s="4" t="s">
        <v>241</v>
      </c>
      <c r="BP598" s="6">
        <f>-60581</f>
        <v>-60581</v>
      </c>
      <c r="BQ598" s="4" t="s">
        <v>263</v>
      </c>
      <c r="BR598" s="4" t="s">
        <v>264</v>
      </c>
      <c r="BS598" s="4" t="s">
        <v>241</v>
      </c>
      <c r="BT598" s="4" t="s">
        <v>241</v>
      </c>
      <c r="BU598" s="4" t="s">
        <v>241</v>
      </c>
      <c r="BV598" s="4" t="s">
        <v>241</v>
      </c>
      <c r="CE598" s="4" t="s">
        <v>264</v>
      </c>
      <c r="CF598" s="4" t="s">
        <v>241</v>
      </c>
      <c r="CG598" s="4" t="s">
        <v>241</v>
      </c>
      <c r="CK598" s="4" t="s">
        <v>291</v>
      </c>
      <c r="CL598" s="4" t="s">
        <v>266</v>
      </c>
      <c r="CM598" s="4" t="s">
        <v>241</v>
      </c>
      <c r="CO598" s="4" t="s">
        <v>331</v>
      </c>
      <c r="CP598" s="5" t="s">
        <v>268</v>
      </c>
      <c r="CQ598" s="4" t="s">
        <v>269</v>
      </c>
      <c r="CR598" s="4" t="s">
        <v>270</v>
      </c>
      <c r="CS598" s="4" t="s">
        <v>293</v>
      </c>
      <c r="CT598" s="4" t="s">
        <v>241</v>
      </c>
      <c r="CU598" s="4">
        <v>6.7000000000000004E-2</v>
      </c>
      <c r="CV598" s="4" t="s">
        <v>271</v>
      </c>
      <c r="CW598" s="4" t="s">
        <v>415</v>
      </c>
      <c r="CX598" s="4" t="s">
        <v>422</v>
      </c>
      <c r="CY598" s="6">
        <f>0</f>
        <v>0</v>
      </c>
      <c r="CZ598" s="6">
        <f>904200</f>
        <v>904200</v>
      </c>
      <c r="DA598" s="6">
        <f>783038</f>
        <v>783038</v>
      </c>
      <c r="DC598" s="4" t="s">
        <v>241</v>
      </c>
      <c r="DD598" s="4" t="s">
        <v>241</v>
      </c>
      <c r="DF598" s="4" t="s">
        <v>241</v>
      </c>
      <c r="DG598" s="6">
        <f>0</f>
        <v>0</v>
      </c>
      <c r="DI598" s="4" t="s">
        <v>241</v>
      </c>
      <c r="DJ598" s="4" t="s">
        <v>241</v>
      </c>
      <c r="DK598" s="4" t="s">
        <v>241</v>
      </c>
      <c r="DL598" s="4" t="s">
        <v>241</v>
      </c>
      <c r="DM598" s="4" t="s">
        <v>278</v>
      </c>
      <c r="DN598" s="4" t="s">
        <v>278</v>
      </c>
      <c r="DO598" s="6" t="s">
        <v>241</v>
      </c>
      <c r="DP598" s="4" t="s">
        <v>241</v>
      </c>
      <c r="DQ598" s="4" t="s">
        <v>241</v>
      </c>
      <c r="DR598" s="4" t="s">
        <v>241</v>
      </c>
      <c r="DS598" s="4" t="s">
        <v>241</v>
      </c>
      <c r="DV598" s="4" t="s">
        <v>783</v>
      </c>
      <c r="DW598" s="4" t="s">
        <v>351</v>
      </c>
      <c r="GN598" s="4" t="s">
        <v>2750</v>
      </c>
      <c r="HO598" s="4" t="s">
        <v>297</v>
      </c>
      <c r="HR598" s="4" t="s">
        <v>278</v>
      </c>
      <c r="HS598" s="4" t="s">
        <v>278</v>
      </c>
      <c r="HT598" s="4" t="s">
        <v>241</v>
      </c>
      <c r="HU598" s="4" t="s">
        <v>241</v>
      </c>
      <c r="HV598" s="4" t="s">
        <v>241</v>
      </c>
      <c r="HW598" s="4" t="s">
        <v>241</v>
      </c>
      <c r="HX598" s="4" t="s">
        <v>241</v>
      </c>
      <c r="HY598" s="4" t="s">
        <v>241</v>
      </c>
      <c r="HZ598" s="4" t="s">
        <v>241</v>
      </c>
      <c r="IA598" s="4" t="s">
        <v>241</v>
      </c>
      <c r="IB598" s="4" t="s">
        <v>241</v>
      </c>
      <c r="IC598" s="4" t="s">
        <v>241</v>
      </c>
      <c r="ID598" s="4" t="s">
        <v>241</v>
      </c>
      <c r="IE598" s="4" t="s">
        <v>241</v>
      </c>
      <c r="IF598" s="4" t="s">
        <v>241</v>
      </c>
    </row>
    <row r="599" spans="1:240" x14ac:dyDescent="0.4">
      <c r="A599" s="4">
        <v>2</v>
      </c>
      <c r="B599" s="4" t="s">
        <v>239</v>
      </c>
      <c r="C599" s="4">
        <v>630</v>
      </c>
      <c r="D599" s="4">
        <v>1</v>
      </c>
      <c r="E599" s="4">
        <v>3</v>
      </c>
      <c r="F599" s="4" t="s">
        <v>326</v>
      </c>
      <c r="G599" s="4" t="s">
        <v>241</v>
      </c>
      <c r="H599" s="4" t="s">
        <v>241</v>
      </c>
      <c r="I599" s="4" t="s">
        <v>780</v>
      </c>
      <c r="J599" s="4" t="s">
        <v>653</v>
      </c>
      <c r="K599" s="4" t="s">
        <v>256</v>
      </c>
      <c r="L599" s="4" t="s">
        <v>241</v>
      </c>
      <c r="M599" s="5" t="s">
        <v>782</v>
      </c>
      <c r="N599" s="4" t="s">
        <v>2747</v>
      </c>
      <c r="O599" s="6">
        <f>0</f>
        <v>0</v>
      </c>
      <c r="P599" s="4" t="s">
        <v>276</v>
      </c>
      <c r="Q599" s="6">
        <f>18461736</f>
        <v>18461736</v>
      </c>
      <c r="R599" s="6">
        <f>21822382</f>
        <v>21822382</v>
      </c>
      <c r="S599" s="5" t="s">
        <v>1104</v>
      </c>
      <c r="T599" s="4" t="s">
        <v>322</v>
      </c>
      <c r="U599" s="4" t="s">
        <v>277</v>
      </c>
      <c r="V599" s="6">
        <f>1680323</f>
        <v>1680323</v>
      </c>
      <c r="W599" s="6">
        <f>3360646</f>
        <v>3360646</v>
      </c>
      <c r="X599" s="4" t="s">
        <v>243</v>
      </c>
      <c r="Y599" s="4" t="s">
        <v>244</v>
      </c>
      <c r="Z599" s="4" t="s">
        <v>241</v>
      </c>
      <c r="AA599" s="4" t="s">
        <v>241</v>
      </c>
      <c r="AD599" s="4" t="s">
        <v>241</v>
      </c>
      <c r="AE599" s="5" t="s">
        <v>241</v>
      </c>
      <c r="AF599" s="5" t="s">
        <v>241</v>
      </c>
      <c r="AH599" s="5" t="s">
        <v>241</v>
      </c>
      <c r="AI599" s="5" t="s">
        <v>249</v>
      </c>
      <c r="AJ599" s="4" t="s">
        <v>251</v>
      </c>
      <c r="AK599" s="4" t="s">
        <v>252</v>
      </c>
      <c r="AQ599" s="4" t="s">
        <v>241</v>
      </c>
      <c r="AR599" s="4" t="s">
        <v>241</v>
      </c>
      <c r="AS599" s="4" t="s">
        <v>241</v>
      </c>
      <c r="AT599" s="5" t="s">
        <v>241</v>
      </c>
      <c r="AU599" s="5" t="s">
        <v>241</v>
      </c>
      <c r="AV599" s="5" t="s">
        <v>241</v>
      </c>
      <c r="AY599" s="4" t="s">
        <v>286</v>
      </c>
      <c r="AZ599" s="4" t="s">
        <v>286</v>
      </c>
      <c r="BA599" s="4" t="s">
        <v>254</v>
      </c>
      <c r="BB599" s="4" t="s">
        <v>287</v>
      </c>
      <c r="BC599" s="4" t="s">
        <v>255</v>
      </c>
      <c r="BD599" s="4" t="s">
        <v>241</v>
      </c>
      <c r="BE599" s="4" t="s">
        <v>257</v>
      </c>
      <c r="BF599" s="4" t="s">
        <v>241</v>
      </c>
      <c r="BJ599" s="4" t="s">
        <v>288</v>
      </c>
      <c r="BK599" s="5" t="s">
        <v>289</v>
      </c>
      <c r="BL599" s="4" t="s">
        <v>290</v>
      </c>
      <c r="BM599" s="4" t="s">
        <v>290</v>
      </c>
      <c r="BN599" s="4" t="s">
        <v>241</v>
      </c>
      <c r="BP599" s="6">
        <f>-1680323</f>
        <v>-1680323</v>
      </c>
      <c r="BQ599" s="4" t="s">
        <v>263</v>
      </c>
      <c r="BR599" s="4" t="s">
        <v>264</v>
      </c>
      <c r="BS599" s="4" t="s">
        <v>241</v>
      </c>
      <c r="BT599" s="4" t="s">
        <v>241</v>
      </c>
      <c r="BU599" s="4" t="s">
        <v>241</v>
      </c>
      <c r="BV599" s="4" t="s">
        <v>241</v>
      </c>
      <c r="CE599" s="4" t="s">
        <v>264</v>
      </c>
      <c r="CF599" s="4" t="s">
        <v>241</v>
      </c>
      <c r="CG599" s="4" t="s">
        <v>241</v>
      </c>
      <c r="CK599" s="4" t="s">
        <v>291</v>
      </c>
      <c r="CL599" s="4" t="s">
        <v>266</v>
      </c>
      <c r="CM599" s="4" t="s">
        <v>241</v>
      </c>
      <c r="CO599" s="4" t="s">
        <v>331</v>
      </c>
      <c r="CP599" s="5" t="s">
        <v>268</v>
      </c>
      <c r="CQ599" s="4" t="s">
        <v>269</v>
      </c>
      <c r="CR599" s="4" t="s">
        <v>270</v>
      </c>
      <c r="CS599" s="4" t="s">
        <v>293</v>
      </c>
      <c r="CT599" s="4" t="s">
        <v>241</v>
      </c>
      <c r="CU599" s="4">
        <v>7.6999999999999999E-2</v>
      </c>
      <c r="CV599" s="4" t="s">
        <v>271</v>
      </c>
      <c r="CW599" s="4" t="s">
        <v>415</v>
      </c>
      <c r="CX599" s="4" t="s">
        <v>428</v>
      </c>
      <c r="CY599" s="6">
        <f>0</f>
        <v>0</v>
      </c>
      <c r="CZ599" s="6">
        <f>21822382</f>
        <v>21822382</v>
      </c>
      <c r="DA599" s="6">
        <f>18461736</f>
        <v>18461736</v>
      </c>
      <c r="DC599" s="4" t="s">
        <v>241</v>
      </c>
      <c r="DD599" s="4" t="s">
        <v>241</v>
      </c>
      <c r="DF599" s="4" t="s">
        <v>241</v>
      </c>
      <c r="DG599" s="6">
        <f>0</f>
        <v>0</v>
      </c>
      <c r="DI599" s="4" t="s">
        <v>241</v>
      </c>
      <c r="DJ599" s="4" t="s">
        <v>241</v>
      </c>
      <c r="DK599" s="4" t="s">
        <v>241</v>
      </c>
      <c r="DL599" s="4" t="s">
        <v>241</v>
      </c>
      <c r="DM599" s="4" t="s">
        <v>278</v>
      </c>
      <c r="DN599" s="4" t="s">
        <v>278</v>
      </c>
      <c r="DO599" s="6" t="s">
        <v>241</v>
      </c>
      <c r="DP599" s="4" t="s">
        <v>241</v>
      </c>
      <c r="DQ599" s="4" t="s">
        <v>241</v>
      </c>
      <c r="DR599" s="4" t="s">
        <v>241</v>
      </c>
      <c r="DS599" s="4" t="s">
        <v>241</v>
      </c>
      <c r="DV599" s="4" t="s">
        <v>783</v>
      </c>
      <c r="DW599" s="4" t="s">
        <v>300</v>
      </c>
      <c r="GN599" s="4" t="s">
        <v>2748</v>
      </c>
      <c r="HO599" s="4" t="s">
        <v>297</v>
      </c>
      <c r="HR599" s="4" t="s">
        <v>278</v>
      </c>
      <c r="HS599" s="4" t="s">
        <v>278</v>
      </c>
      <c r="HT599" s="4" t="s">
        <v>241</v>
      </c>
      <c r="HU599" s="4" t="s">
        <v>241</v>
      </c>
      <c r="HV599" s="4" t="s">
        <v>241</v>
      </c>
      <c r="HW599" s="4" t="s">
        <v>241</v>
      </c>
      <c r="HX599" s="4" t="s">
        <v>241</v>
      </c>
      <c r="HY599" s="4" t="s">
        <v>241</v>
      </c>
      <c r="HZ599" s="4" t="s">
        <v>241</v>
      </c>
      <c r="IA599" s="4" t="s">
        <v>241</v>
      </c>
      <c r="IB599" s="4" t="s">
        <v>241</v>
      </c>
      <c r="IC599" s="4" t="s">
        <v>241</v>
      </c>
      <c r="ID599" s="4" t="s">
        <v>241</v>
      </c>
      <c r="IE599" s="4" t="s">
        <v>241</v>
      </c>
      <c r="IF599" s="4" t="s">
        <v>241</v>
      </c>
    </row>
    <row r="600" spans="1:240" x14ac:dyDescent="0.4">
      <c r="A600" s="4">
        <v>2</v>
      </c>
      <c r="B600" s="4" t="s">
        <v>239</v>
      </c>
      <c r="C600" s="4">
        <v>631</v>
      </c>
      <c r="D600" s="4">
        <v>1</v>
      </c>
      <c r="E600" s="4">
        <v>3</v>
      </c>
      <c r="F600" s="4" t="s">
        <v>326</v>
      </c>
      <c r="G600" s="4" t="s">
        <v>241</v>
      </c>
      <c r="H600" s="4" t="s">
        <v>241</v>
      </c>
      <c r="I600" s="4" t="s">
        <v>780</v>
      </c>
      <c r="J600" s="4" t="s">
        <v>653</v>
      </c>
      <c r="K600" s="4" t="s">
        <v>256</v>
      </c>
      <c r="L600" s="4" t="s">
        <v>241</v>
      </c>
      <c r="M600" s="5" t="s">
        <v>782</v>
      </c>
      <c r="N600" s="4" t="s">
        <v>2744</v>
      </c>
      <c r="O600" s="6">
        <f>0</f>
        <v>0</v>
      </c>
      <c r="P600" s="4" t="s">
        <v>276</v>
      </c>
      <c r="Q600" s="6">
        <f>1624480</f>
        <v>1624480</v>
      </c>
      <c r="R600" s="6">
        <f>1760000</f>
        <v>1760000</v>
      </c>
      <c r="S600" s="5" t="s">
        <v>2745</v>
      </c>
      <c r="T600" s="4" t="s">
        <v>322</v>
      </c>
      <c r="U600" s="4" t="s">
        <v>278</v>
      </c>
      <c r="V600" s="6">
        <f>1759999</f>
        <v>1759999</v>
      </c>
      <c r="W600" s="6">
        <f>135520</f>
        <v>135520</v>
      </c>
      <c r="X600" s="4" t="s">
        <v>243</v>
      </c>
      <c r="Y600" s="4" t="s">
        <v>244</v>
      </c>
      <c r="Z600" s="4" t="s">
        <v>241</v>
      </c>
      <c r="AA600" s="4" t="s">
        <v>241</v>
      </c>
      <c r="AD600" s="4" t="s">
        <v>241</v>
      </c>
      <c r="AE600" s="5" t="s">
        <v>241</v>
      </c>
      <c r="AF600" s="5" t="s">
        <v>241</v>
      </c>
      <c r="AH600" s="5" t="s">
        <v>241</v>
      </c>
      <c r="AI600" s="5" t="s">
        <v>249</v>
      </c>
      <c r="AJ600" s="4" t="s">
        <v>251</v>
      </c>
      <c r="AK600" s="4" t="s">
        <v>252</v>
      </c>
      <c r="AQ600" s="4" t="s">
        <v>241</v>
      </c>
      <c r="AR600" s="4" t="s">
        <v>241</v>
      </c>
      <c r="AS600" s="4" t="s">
        <v>241</v>
      </c>
      <c r="AT600" s="5" t="s">
        <v>241</v>
      </c>
      <c r="AU600" s="5" t="s">
        <v>241</v>
      </c>
      <c r="AV600" s="5" t="s">
        <v>241</v>
      </c>
      <c r="AY600" s="4" t="s">
        <v>286</v>
      </c>
      <c r="AZ600" s="4" t="s">
        <v>286</v>
      </c>
      <c r="BA600" s="4" t="s">
        <v>254</v>
      </c>
      <c r="BB600" s="4" t="s">
        <v>287</v>
      </c>
      <c r="BC600" s="4" t="s">
        <v>255</v>
      </c>
      <c r="BD600" s="4" t="s">
        <v>241</v>
      </c>
      <c r="BE600" s="4" t="s">
        <v>257</v>
      </c>
      <c r="BF600" s="4" t="s">
        <v>241</v>
      </c>
      <c r="BJ600" s="4" t="s">
        <v>288</v>
      </c>
      <c r="BK600" s="5" t="s">
        <v>289</v>
      </c>
      <c r="BL600" s="4" t="s">
        <v>290</v>
      </c>
      <c r="BM600" s="4" t="s">
        <v>290</v>
      </c>
      <c r="BN600" s="4" t="s">
        <v>241</v>
      </c>
      <c r="BP600" s="6">
        <f>-135520</f>
        <v>-135520</v>
      </c>
      <c r="BQ600" s="4" t="s">
        <v>263</v>
      </c>
      <c r="BR600" s="4" t="s">
        <v>264</v>
      </c>
      <c r="BS600" s="4" t="s">
        <v>241</v>
      </c>
      <c r="BT600" s="4" t="s">
        <v>241</v>
      </c>
      <c r="BU600" s="4" t="s">
        <v>241</v>
      </c>
      <c r="BV600" s="4" t="s">
        <v>241</v>
      </c>
      <c r="CE600" s="4" t="s">
        <v>264</v>
      </c>
      <c r="CF600" s="4" t="s">
        <v>241</v>
      </c>
      <c r="CG600" s="4" t="s">
        <v>241</v>
      </c>
      <c r="CK600" s="4" t="s">
        <v>291</v>
      </c>
      <c r="CL600" s="4" t="s">
        <v>266</v>
      </c>
      <c r="CM600" s="4" t="s">
        <v>241</v>
      </c>
      <c r="CO600" s="4" t="s">
        <v>426</v>
      </c>
      <c r="CP600" s="5" t="s">
        <v>268</v>
      </c>
      <c r="CQ600" s="4" t="s">
        <v>269</v>
      </c>
      <c r="CR600" s="4" t="s">
        <v>270</v>
      </c>
      <c r="CS600" s="4" t="s">
        <v>293</v>
      </c>
      <c r="CT600" s="4" t="s">
        <v>241</v>
      </c>
      <c r="CU600" s="4">
        <v>7.6999999999999999E-2</v>
      </c>
      <c r="CV600" s="4" t="s">
        <v>271</v>
      </c>
      <c r="CW600" s="4" t="s">
        <v>415</v>
      </c>
      <c r="CX600" s="4" t="s">
        <v>428</v>
      </c>
      <c r="CY600" s="6">
        <f>0</f>
        <v>0</v>
      </c>
      <c r="CZ600" s="6">
        <f>1760000</f>
        <v>1760000</v>
      </c>
      <c r="DA600" s="6">
        <f>1</f>
        <v>1</v>
      </c>
      <c r="DC600" s="4" t="s">
        <v>241</v>
      </c>
      <c r="DD600" s="4" t="s">
        <v>241</v>
      </c>
      <c r="DF600" s="4" t="s">
        <v>241</v>
      </c>
      <c r="DG600" s="6">
        <f>0</f>
        <v>0</v>
      </c>
      <c r="DI600" s="4" t="s">
        <v>241</v>
      </c>
      <c r="DJ600" s="4" t="s">
        <v>241</v>
      </c>
      <c r="DK600" s="4" t="s">
        <v>241</v>
      </c>
      <c r="DL600" s="4" t="s">
        <v>241</v>
      </c>
      <c r="DM600" s="4" t="s">
        <v>278</v>
      </c>
      <c r="DN600" s="4" t="s">
        <v>278</v>
      </c>
      <c r="DO600" s="6" t="s">
        <v>241</v>
      </c>
      <c r="DP600" s="4" t="s">
        <v>241</v>
      </c>
      <c r="DQ600" s="4" t="s">
        <v>241</v>
      </c>
      <c r="DR600" s="4" t="s">
        <v>241</v>
      </c>
      <c r="DS600" s="4" t="s">
        <v>241</v>
      </c>
      <c r="DV600" s="4" t="s">
        <v>783</v>
      </c>
      <c r="DW600" s="4" t="s">
        <v>341</v>
      </c>
      <c r="GN600" s="4" t="s">
        <v>2746</v>
      </c>
      <c r="HO600" s="4" t="s">
        <v>323</v>
      </c>
      <c r="HR600" s="4" t="s">
        <v>278</v>
      </c>
      <c r="HS600" s="4" t="s">
        <v>278</v>
      </c>
      <c r="HT600" s="4" t="s">
        <v>241</v>
      </c>
      <c r="HU600" s="4" t="s">
        <v>241</v>
      </c>
      <c r="HV600" s="4" t="s">
        <v>241</v>
      </c>
      <c r="HW600" s="4" t="s">
        <v>241</v>
      </c>
      <c r="HX600" s="4" t="s">
        <v>241</v>
      </c>
      <c r="HY600" s="4" t="s">
        <v>241</v>
      </c>
      <c r="HZ600" s="4" t="s">
        <v>241</v>
      </c>
      <c r="IA600" s="4" t="s">
        <v>241</v>
      </c>
      <c r="IB600" s="4" t="s">
        <v>241</v>
      </c>
      <c r="IC600" s="4" t="s">
        <v>241</v>
      </c>
      <c r="ID600" s="4" t="s">
        <v>241</v>
      </c>
      <c r="IE600" s="4" t="s">
        <v>241</v>
      </c>
      <c r="IF600" s="4" t="s">
        <v>241</v>
      </c>
    </row>
    <row r="601" spans="1:240" x14ac:dyDescent="0.4">
      <c r="A601" s="4">
        <v>2</v>
      </c>
      <c r="B601" s="4" t="s">
        <v>239</v>
      </c>
      <c r="C601" s="4">
        <v>637</v>
      </c>
      <c r="D601" s="4">
        <v>1</v>
      </c>
      <c r="E601" s="4">
        <v>1</v>
      </c>
      <c r="F601" s="4" t="s">
        <v>240</v>
      </c>
      <c r="G601" s="4" t="s">
        <v>241</v>
      </c>
      <c r="H601" s="4" t="s">
        <v>241</v>
      </c>
      <c r="I601" s="4" t="s">
        <v>2145</v>
      </c>
      <c r="J601" s="4" t="s">
        <v>344</v>
      </c>
      <c r="K601" s="4" t="s">
        <v>256</v>
      </c>
      <c r="L601" s="4" t="s">
        <v>2101</v>
      </c>
      <c r="M601" s="5" t="s">
        <v>2146</v>
      </c>
      <c r="N601" s="4" t="s">
        <v>2114</v>
      </c>
      <c r="O601" s="6">
        <f>73.44</f>
        <v>73.44</v>
      </c>
      <c r="P601" s="4" t="s">
        <v>276</v>
      </c>
      <c r="Q601" s="6">
        <f>1</f>
        <v>1</v>
      </c>
      <c r="R601" s="6">
        <f>7344000</f>
        <v>7344000</v>
      </c>
      <c r="S601" s="5" t="s">
        <v>924</v>
      </c>
      <c r="T601" s="4" t="s">
        <v>314</v>
      </c>
      <c r="U601" s="4" t="s">
        <v>927</v>
      </c>
      <c r="W601" s="6">
        <f>7343999</f>
        <v>7343999</v>
      </c>
      <c r="X601" s="4" t="s">
        <v>243</v>
      </c>
      <c r="Y601" s="4" t="s">
        <v>244</v>
      </c>
      <c r="Z601" s="4" t="s">
        <v>338</v>
      </c>
      <c r="AA601" s="4" t="s">
        <v>241</v>
      </c>
      <c r="AD601" s="4" t="s">
        <v>241</v>
      </c>
      <c r="AF601" s="5" t="s">
        <v>241</v>
      </c>
      <c r="AI601" s="5" t="s">
        <v>249</v>
      </c>
      <c r="AJ601" s="4" t="s">
        <v>251</v>
      </c>
      <c r="AK601" s="4" t="s">
        <v>252</v>
      </c>
      <c r="BA601" s="4" t="s">
        <v>254</v>
      </c>
      <c r="BB601" s="4" t="s">
        <v>241</v>
      </c>
      <c r="BC601" s="4" t="s">
        <v>255</v>
      </c>
      <c r="BD601" s="4" t="s">
        <v>241</v>
      </c>
      <c r="BE601" s="4" t="s">
        <v>257</v>
      </c>
      <c r="BF601" s="4" t="s">
        <v>241</v>
      </c>
      <c r="BJ601" s="4" t="s">
        <v>259</v>
      </c>
      <c r="BK601" s="5" t="s">
        <v>260</v>
      </c>
      <c r="BL601" s="4" t="s">
        <v>261</v>
      </c>
      <c r="BM601" s="4" t="s">
        <v>262</v>
      </c>
      <c r="BN601" s="4" t="s">
        <v>241</v>
      </c>
      <c r="BO601" s="6">
        <f>0</f>
        <v>0</v>
      </c>
      <c r="BP601" s="6">
        <f>0</f>
        <v>0</v>
      </c>
      <c r="BQ601" s="4" t="s">
        <v>263</v>
      </c>
      <c r="BR601" s="4" t="s">
        <v>264</v>
      </c>
      <c r="CF601" s="4" t="s">
        <v>241</v>
      </c>
      <c r="CG601" s="4" t="s">
        <v>241</v>
      </c>
      <c r="CK601" s="4" t="s">
        <v>265</v>
      </c>
      <c r="CL601" s="4" t="s">
        <v>266</v>
      </c>
      <c r="CM601" s="4" t="s">
        <v>241</v>
      </c>
      <c r="CO601" s="4" t="s">
        <v>926</v>
      </c>
      <c r="CP601" s="5" t="s">
        <v>268</v>
      </c>
      <c r="CQ601" s="4" t="s">
        <v>269</v>
      </c>
      <c r="CR601" s="4" t="s">
        <v>270</v>
      </c>
      <c r="CS601" s="4" t="s">
        <v>241</v>
      </c>
      <c r="CT601" s="4" t="s">
        <v>241</v>
      </c>
      <c r="CU601" s="4">
        <v>0</v>
      </c>
      <c r="CV601" s="4" t="s">
        <v>271</v>
      </c>
      <c r="CW601" s="4" t="s">
        <v>411</v>
      </c>
      <c r="CX601" s="4" t="s">
        <v>347</v>
      </c>
      <c r="CZ601" s="6">
        <f>7344000</f>
        <v>7344000</v>
      </c>
      <c r="DA601" s="6">
        <f>0</f>
        <v>0</v>
      </c>
      <c r="DC601" s="4" t="s">
        <v>241</v>
      </c>
      <c r="DD601" s="4" t="s">
        <v>241</v>
      </c>
      <c r="DF601" s="4" t="s">
        <v>241</v>
      </c>
      <c r="DI601" s="4" t="s">
        <v>241</v>
      </c>
      <c r="DJ601" s="4" t="s">
        <v>241</v>
      </c>
      <c r="DK601" s="4" t="s">
        <v>241</v>
      </c>
      <c r="DL601" s="4" t="s">
        <v>241</v>
      </c>
      <c r="DM601" s="4" t="s">
        <v>277</v>
      </c>
      <c r="DN601" s="4" t="s">
        <v>278</v>
      </c>
      <c r="DO601" s="6">
        <f>73.44</f>
        <v>73.44</v>
      </c>
      <c r="DP601" s="4" t="s">
        <v>241</v>
      </c>
      <c r="DQ601" s="4" t="s">
        <v>241</v>
      </c>
      <c r="DR601" s="4" t="s">
        <v>241</v>
      </c>
      <c r="DS601" s="4" t="s">
        <v>241</v>
      </c>
      <c r="DV601" s="4" t="s">
        <v>2147</v>
      </c>
      <c r="DW601" s="4" t="s">
        <v>277</v>
      </c>
      <c r="HO601" s="4" t="s">
        <v>277</v>
      </c>
      <c r="HR601" s="4" t="s">
        <v>278</v>
      </c>
      <c r="HS601" s="4" t="s">
        <v>278</v>
      </c>
    </row>
    <row r="602" spans="1:240" x14ac:dyDescent="0.4">
      <c r="A602" s="4">
        <v>2</v>
      </c>
      <c r="B602" s="4" t="s">
        <v>239</v>
      </c>
      <c r="C602" s="4">
        <v>638</v>
      </c>
      <c r="D602" s="4">
        <v>1</v>
      </c>
      <c r="E602" s="4">
        <v>1</v>
      </c>
      <c r="F602" s="4" t="s">
        <v>240</v>
      </c>
      <c r="G602" s="4" t="s">
        <v>241</v>
      </c>
      <c r="H602" s="4" t="s">
        <v>241</v>
      </c>
      <c r="I602" s="4" t="s">
        <v>2145</v>
      </c>
      <c r="J602" s="4" t="s">
        <v>344</v>
      </c>
      <c r="K602" s="4" t="s">
        <v>256</v>
      </c>
      <c r="L602" s="4" t="s">
        <v>2101</v>
      </c>
      <c r="M602" s="5" t="s">
        <v>2146</v>
      </c>
      <c r="N602" s="4" t="s">
        <v>2114</v>
      </c>
      <c r="O602" s="6">
        <f>73.44</f>
        <v>73.44</v>
      </c>
      <c r="P602" s="4" t="s">
        <v>276</v>
      </c>
      <c r="Q602" s="6">
        <f>1</f>
        <v>1</v>
      </c>
      <c r="R602" s="6">
        <f>7344000</f>
        <v>7344000</v>
      </c>
      <c r="S602" s="5" t="s">
        <v>924</v>
      </c>
      <c r="T602" s="4" t="s">
        <v>314</v>
      </c>
      <c r="U602" s="4" t="s">
        <v>927</v>
      </c>
      <c r="W602" s="6">
        <f>7343999</f>
        <v>7343999</v>
      </c>
      <c r="X602" s="4" t="s">
        <v>243</v>
      </c>
      <c r="Y602" s="4" t="s">
        <v>244</v>
      </c>
      <c r="Z602" s="4" t="s">
        <v>338</v>
      </c>
      <c r="AA602" s="4" t="s">
        <v>241</v>
      </c>
      <c r="AD602" s="4" t="s">
        <v>241</v>
      </c>
      <c r="AF602" s="5" t="s">
        <v>241</v>
      </c>
      <c r="AI602" s="5" t="s">
        <v>249</v>
      </c>
      <c r="AJ602" s="4" t="s">
        <v>251</v>
      </c>
      <c r="AK602" s="4" t="s">
        <v>252</v>
      </c>
      <c r="BA602" s="4" t="s">
        <v>254</v>
      </c>
      <c r="BB602" s="4" t="s">
        <v>241</v>
      </c>
      <c r="BC602" s="4" t="s">
        <v>255</v>
      </c>
      <c r="BD602" s="4" t="s">
        <v>241</v>
      </c>
      <c r="BE602" s="4" t="s">
        <v>257</v>
      </c>
      <c r="BF602" s="4" t="s">
        <v>241</v>
      </c>
      <c r="BJ602" s="4" t="s">
        <v>367</v>
      </c>
      <c r="BK602" s="5" t="s">
        <v>249</v>
      </c>
      <c r="BL602" s="4" t="s">
        <v>261</v>
      </c>
      <c r="BM602" s="4" t="s">
        <v>262</v>
      </c>
      <c r="BN602" s="4" t="s">
        <v>241</v>
      </c>
      <c r="BO602" s="6">
        <f>0</f>
        <v>0</v>
      </c>
      <c r="BP602" s="6">
        <f>0</f>
        <v>0</v>
      </c>
      <c r="BQ602" s="4" t="s">
        <v>263</v>
      </c>
      <c r="BR602" s="4" t="s">
        <v>264</v>
      </c>
      <c r="CF602" s="4" t="s">
        <v>241</v>
      </c>
      <c r="CG602" s="4" t="s">
        <v>241</v>
      </c>
      <c r="CK602" s="4" t="s">
        <v>265</v>
      </c>
      <c r="CL602" s="4" t="s">
        <v>266</v>
      </c>
      <c r="CM602" s="4" t="s">
        <v>241</v>
      </c>
      <c r="CO602" s="4" t="s">
        <v>926</v>
      </c>
      <c r="CP602" s="5" t="s">
        <v>268</v>
      </c>
      <c r="CQ602" s="4" t="s">
        <v>269</v>
      </c>
      <c r="CR602" s="4" t="s">
        <v>270</v>
      </c>
      <c r="CS602" s="4" t="s">
        <v>241</v>
      </c>
      <c r="CT602" s="4" t="s">
        <v>241</v>
      </c>
      <c r="CU602" s="4">
        <v>0</v>
      </c>
      <c r="CV602" s="4" t="s">
        <v>271</v>
      </c>
      <c r="CW602" s="4" t="s">
        <v>411</v>
      </c>
      <c r="CX602" s="4" t="s">
        <v>347</v>
      </c>
      <c r="CZ602" s="6">
        <f>7344000</f>
        <v>7344000</v>
      </c>
      <c r="DA602" s="6">
        <f>0</f>
        <v>0</v>
      </c>
      <c r="DC602" s="4" t="s">
        <v>241</v>
      </c>
      <c r="DD602" s="4" t="s">
        <v>241</v>
      </c>
      <c r="DF602" s="4" t="s">
        <v>241</v>
      </c>
      <c r="DI602" s="4" t="s">
        <v>241</v>
      </c>
      <c r="DJ602" s="4" t="s">
        <v>241</v>
      </c>
      <c r="DK602" s="4" t="s">
        <v>241</v>
      </c>
      <c r="DL602" s="4" t="s">
        <v>241</v>
      </c>
      <c r="DM602" s="4" t="s">
        <v>277</v>
      </c>
      <c r="DN602" s="4" t="s">
        <v>278</v>
      </c>
      <c r="DO602" s="6">
        <f>73.44</f>
        <v>73.44</v>
      </c>
      <c r="DP602" s="4" t="s">
        <v>241</v>
      </c>
      <c r="DQ602" s="4" t="s">
        <v>241</v>
      </c>
      <c r="DR602" s="4" t="s">
        <v>241</v>
      </c>
      <c r="DS602" s="4" t="s">
        <v>241</v>
      </c>
      <c r="DV602" s="4" t="s">
        <v>2147</v>
      </c>
      <c r="DW602" s="4" t="s">
        <v>323</v>
      </c>
      <c r="HO602" s="4" t="s">
        <v>277</v>
      </c>
      <c r="HR602" s="4" t="s">
        <v>278</v>
      </c>
      <c r="HS602" s="4" t="s">
        <v>278</v>
      </c>
    </row>
    <row r="603" spans="1:240" x14ac:dyDescent="0.4">
      <c r="A603" s="4">
        <v>2</v>
      </c>
      <c r="B603" s="4" t="s">
        <v>239</v>
      </c>
      <c r="C603" s="4">
        <v>639</v>
      </c>
      <c r="D603" s="4">
        <v>1</v>
      </c>
      <c r="E603" s="4">
        <v>1</v>
      </c>
      <c r="F603" s="4" t="s">
        <v>240</v>
      </c>
      <c r="G603" s="4" t="s">
        <v>241</v>
      </c>
      <c r="H603" s="4" t="s">
        <v>241</v>
      </c>
      <c r="I603" s="4" t="s">
        <v>2145</v>
      </c>
      <c r="J603" s="4" t="s">
        <v>344</v>
      </c>
      <c r="K603" s="4" t="s">
        <v>256</v>
      </c>
      <c r="L603" s="4" t="s">
        <v>2101</v>
      </c>
      <c r="M603" s="5" t="s">
        <v>2146</v>
      </c>
      <c r="N603" s="4" t="s">
        <v>2114</v>
      </c>
      <c r="O603" s="6">
        <f t="shared" ref="O603:O610" si="7">62.1</f>
        <v>62.1</v>
      </c>
      <c r="P603" s="4" t="s">
        <v>276</v>
      </c>
      <c r="Q603" s="6">
        <f>1</f>
        <v>1</v>
      </c>
      <c r="R603" s="6">
        <f t="shared" ref="R603:R610" si="8">6210000</f>
        <v>6210000</v>
      </c>
      <c r="S603" s="5" t="s">
        <v>924</v>
      </c>
      <c r="T603" s="4" t="s">
        <v>314</v>
      </c>
      <c r="U603" s="4" t="s">
        <v>927</v>
      </c>
      <c r="W603" s="6">
        <f t="shared" ref="W603:W610" si="9">6209999</f>
        <v>6209999</v>
      </c>
      <c r="X603" s="4" t="s">
        <v>243</v>
      </c>
      <c r="Y603" s="4" t="s">
        <v>244</v>
      </c>
      <c r="Z603" s="4" t="s">
        <v>338</v>
      </c>
      <c r="AA603" s="4" t="s">
        <v>241</v>
      </c>
      <c r="AD603" s="4" t="s">
        <v>241</v>
      </c>
      <c r="AF603" s="5" t="s">
        <v>241</v>
      </c>
      <c r="AI603" s="5" t="s">
        <v>249</v>
      </c>
      <c r="AJ603" s="4" t="s">
        <v>251</v>
      </c>
      <c r="AK603" s="4" t="s">
        <v>252</v>
      </c>
      <c r="BA603" s="4" t="s">
        <v>254</v>
      </c>
      <c r="BB603" s="4" t="s">
        <v>241</v>
      </c>
      <c r="BC603" s="4" t="s">
        <v>255</v>
      </c>
      <c r="BD603" s="4" t="s">
        <v>241</v>
      </c>
      <c r="BE603" s="4" t="s">
        <v>257</v>
      </c>
      <c r="BF603" s="4" t="s">
        <v>241</v>
      </c>
      <c r="BJ603" s="4" t="s">
        <v>374</v>
      </c>
      <c r="BK603" s="5" t="s">
        <v>375</v>
      </c>
      <c r="BL603" s="4" t="s">
        <v>261</v>
      </c>
      <c r="BM603" s="4" t="s">
        <v>262</v>
      </c>
      <c r="BN603" s="4" t="s">
        <v>241</v>
      </c>
      <c r="BO603" s="6">
        <f>0</f>
        <v>0</v>
      </c>
      <c r="BP603" s="6">
        <f>0</f>
        <v>0</v>
      </c>
      <c r="BQ603" s="4" t="s">
        <v>263</v>
      </c>
      <c r="BR603" s="4" t="s">
        <v>264</v>
      </c>
      <c r="CF603" s="4" t="s">
        <v>241</v>
      </c>
      <c r="CG603" s="4" t="s">
        <v>241</v>
      </c>
      <c r="CK603" s="4" t="s">
        <v>265</v>
      </c>
      <c r="CL603" s="4" t="s">
        <v>266</v>
      </c>
      <c r="CM603" s="4" t="s">
        <v>241</v>
      </c>
      <c r="CO603" s="4" t="s">
        <v>926</v>
      </c>
      <c r="CP603" s="5" t="s">
        <v>268</v>
      </c>
      <c r="CQ603" s="4" t="s">
        <v>269</v>
      </c>
      <c r="CR603" s="4" t="s">
        <v>270</v>
      </c>
      <c r="CS603" s="4" t="s">
        <v>241</v>
      </c>
      <c r="CT603" s="4" t="s">
        <v>241</v>
      </c>
      <c r="CU603" s="4">
        <v>0</v>
      </c>
      <c r="CV603" s="4" t="s">
        <v>271</v>
      </c>
      <c r="CW603" s="4" t="s">
        <v>411</v>
      </c>
      <c r="CX603" s="4" t="s">
        <v>347</v>
      </c>
      <c r="CZ603" s="6">
        <f t="shared" ref="CZ603:CZ610" si="10">6210000</f>
        <v>6210000</v>
      </c>
      <c r="DA603" s="6">
        <f>0</f>
        <v>0</v>
      </c>
      <c r="DC603" s="4" t="s">
        <v>241</v>
      </c>
      <c r="DD603" s="4" t="s">
        <v>241</v>
      </c>
      <c r="DF603" s="4" t="s">
        <v>241</v>
      </c>
      <c r="DI603" s="4" t="s">
        <v>241</v>
      </c>
      <c r="DJ603" s="4" t="s">
        <v>241</v>
      </c>
      <c r="DK603" s="4" t="s">
        <v>241</v>
      </c>
      <c r="DL603" s="4" t="s">
        <v>241</v>
      </c>
      <c r="DM603" s="4" t="s">
        <v>277</v>
      </c>
      <c r="DN603" s="4" t="s">
        <v>278</v>
      </c>
      <c r="DO603" s="6">
        <f t="shared" ref="DO603:DO610" si="11">62.1</f>
        <v>62.1</v>
      </c>
      <c r="DP603" s="4" t="s">
        <v>241</v>
      </c>
      <c r="DQ603" s="4" t="s">
        <v>241</v>
      </c>
      <c r="DR603" s="4" t="s">
        <v>241</v>
      </c>
      <c r="DS603" s="4" t="s">
        <v>241</v>
      </c>
      <c r="DV603" s="4" t="s">
        <v>2147</v>
      </c>
      <c r="DW603" s="4" t="s">
        <v>297</v>
      </c>
      <c r="HO603" s="4" t="s">
        <v>277</v>
      </c>
      <c r="HR603" s="4" t="s">
        <v>278</v>
      </c>
      <c r="HS603" s="4" t="s">
        <v>278</v>
      </c>
    </row>
    <row r="604" spans="1:240" x14ac:dyDescent="0.4">
      <c r="A604" s="4">
        <v>2</v>
      </c>
      <c r="B604" s="4" t="s">
        <v>239</v>
      </c>
      <c r="C604" s="4">
        <v>640</v>
      </c>
      <c r="D604" s="4">
        <v>1</v>
      </c>
      <c r="E604" s="4">
        <v>1</v>
      </c>
      <c r="F604" s="4" t="s">
        <v>240</v>
      </c>
      <c r="G604" s="4" t="s">
        <v>241</v>
      </c>
      <c r="H604" s="4" t="s">
        <v>241</v>
      </c>
      <c r="I604" s="4" t="s">
        <v>2145</v>
      </c>
      <c r="J604" s="4" t="s">
        <v>344</v>
      </c>
      <c r="K604" s="4" t="s">
        <v>256</v>
      </c>
      <c r="L604" s="4" t="s">
        <v>2101</v>
      </c>
      <c r="M604" s="5" t="s">
        <v>2146</v>
      </c>
      <c r="N604" s="4" t="s">
        <v>2114</v>
      </c>
      <c r="O604" s="6">
        <f t="shared" si="7"/>
        <v>62.1</v>
      </c>
      <c r="P604" s="4" t="s">
        <v>276</v>
      </c>
      <c r="Q604" s="6">
        <f>1</f>
        <v>1</v>
      </c>
      <c r="R604" s="6">
        <f t="shared" si="8"/>
        <v>6210000</v>
      </c>
      <c r="S604" s="5" t="s">
        <v>924</v>
      </c>
      <c r="T604" s="4" t="s">
        <v>314</v>
      </c>
      <c r="U604" s="4" t="s">
        <v>927</v>
      </c>
      <c r="W604" s="6">
        <f t="shared" si="9"/>
        <v>6209999</v>
      </c>
      <c r="X604" s="4" t="s">
        <v>243</v>
      </c>
      <c r="Y604" s="4" t="s">
        <v>244</v>
      </c>
      <c r="Z604" s="4" t="s">
        <v>338</v>
      </c>
      <c r="AA604" s="4" t="s">
        <v>241</v>
      </c>
      <c r="AD604" s="4" t="s">
        <v>241</v>
      </c>
      <c r="AF604" s="5" t="s">
        <v>241</v>
      </c>
      <c r="AI604" s="5" t="s">
        <v>249</v>
      </c>
      <c r="AJ604" s="4" t="s">
        <v>251</v>
      </c>
      <c r="AK604" s="4" t="s">
        <v>252</v>
      </c>
      <c r="BA604" s="4" t="s">
        <v>254</v>
      </c>
      <c r="BB604" s="4" t="s">
        <v>241</v>
      </c>
      <c r="BC604" s="4" t="s">
        <v>255</v>
      </c>
      <c r="BD604" s="4" t="s">
        <v>241</v>
      </c>
      <c r="BE604" s="4" t="s">
        <v>257</v>
      </c>
      <c r="BF604" s="4" t="s">
        <v>241</v>
      </c>
      <c r="BJ604" s="4" t="s">
        <v>377</v>
      </c>
      <c r="BK604" s="5" t="s">
        <v>378</v>
      </c>
      <c r="BL604" s="4" t="s">
        <v>261</v>
      </c>
      <c r="BM604" s="4" t="s">
        <v>262</v>
      </c>
      <c r="BN604" s="4" t="s">
        <v>241</v>
      </c>
      <c r="BO604" s="6">
        <f>0</f>
        <v>0</v>
      </c>
      <c r="BP604" s="6">
        <f>0</f>
        <v>0</v>
      </c>
      <c r="BQ604" s="4" t="s">
        <v>263</v>
      </c>
      <c r="BR604" s="4" t="s">
        <v>264</v>
      </c>
      <c r="CF604" s="4" t="s">
        <v>241</v>
      </c>
      <c r="CG604" s="4" t="s">
        <v>241</v>
      </c>
      <c r="CK604" s="4" t="s">
        <v>265</v>
      </c>
      <c r="CL604" s="4" t="s">
        <v>266</v>
      </c>
      <c r="CM604" s="4" t="s">
        <v>241</v>
      </c>
      <c r="CO604" s="4" t="s">
        <v>926</v>
      </c>
      <c r="CP604" s="5" t="s">
        <v>268</v>
      </c>
      <c r="CQ604" s="4" t="s">
        <v>269</v>
      </c>
      <c r="CR604" s="4" t="s">
        <v>270</v>
      </c>
      <c r="CS604" s="4" t="s">
        <v>241</v>
      </c>
      <c r="CT604" s="4" t="s">
        <v>241</v>
      </c>
      <c r="CU604" s="4">
        <v>0</v>
      </c>
      <c r="CV604" s="4" t="s">
        <v>271</v>
      </c>
      <c r="CW604" s="4" t="s">
        <v>411</v>
      </c>
      <c r="CX604" s="4" t="s">
        <v>347</v>
      </c>
      <c r="CZ604" s="6">
        <f t="shared" si="10"/>
        <v>6210000</v>
      </c>
      <c r="DA604" s="6">
        <f>0</f>
        <v>0</v>
      </c>
      <c r="DC604" s="4" t="s">
        <v>241</v>
      </c>
      <c r="DD604" s="4" t="s">
        <v>241</v>
      </c>
      <c r="DF604" s="4" t="s">
        <v>241</v>
      </c>
      <c r="DI604" s="4" t="s">
        <v>241</v>
      </c>
      <c r="DJ604" s="4" t="s">
        <v>241</v>
      </c>
      <c r="DK604" s="4" t="s">
        <v>241</v>
      </c>
      <c r="DL604" s="4" t="s">
        <v>241</v>
      </c>
      <c r="DM604" s="4" t="s">
        <v>277</v>
      </c>
      <c r="DN604" s="4" t="s">
        <v>278</v>
      </c>
      <c r="DO604" s="6">
        <f t="shared" si="11"/>
        <v>62.1</v>
      </c>
      <c r="DP604" s="4" t="s">
        <v>241</v>
      </c>
      <c r="DQ604" s="4" t="s">
        <v>241</v>
      </c>
      <c r="DR604" s="4" t="s">
        <v>241</v>
      </c>
      <c r="DS604" s="4" t="s">
        <v>241</v>
      </c>
      <c r="DV604" s="4" t="s">
        <v>2147</v>
      </c>
      <c r="DW604" s="4" t="s">
        <v>336</v>
      </c>
      <c r="HO604" s="4" t="s">
        <v>277</v>
      </c>
      <c r="HR604" s="4" t="s">
        <v>278</v>
      </c>
      <c r="HS604" s="4" t="s">
        <v>278</v>
      </c>
    </row>
    <row r="605" spans="1:240" x14ac:dyDescent="0.4">
      <c r="A605" s="4">
        <v>2</v>
      </c>
      <c r="B605" s="4" t="s">
        <v>239</v>
      </c>
      <c r="C605" s="4">
        <v>641</v>
      </c>
      <c r="D605" s="4">
        <v>1</v>
      </c>
      <c r="E605" s="4">
        <v>1</v>
      </c>
      <c r="F605" s="4" t="s">
        <v>240</v>
      </c>
      <c r="G605" s="4" t="s">
        <v>241</v>
      </c>
      <c r="H605" s="4" t="s">
        <v>241</v>
      </c>
      <c r="I605" s="4" t="s">
        <v>2145</v>
      </c>
      <c r="J605" s="4" t="s">
        <v>344</v>
      </c>
      <c r="K605" s="4" t="s">
        <v>256</v>
      </c>
      <c r="L605" s="4" t="s">
        <v>2101</v>
      </c>
      <c r="M605" s="5" t="s">
        <v>2146</v>
      </c>
      <c r="N605" s="4" t="s">
        <v>2114</v>
      </c>
      <c r="O605" s="6">
        <f t="shared" si="7"/>
        <v>62.1</v>
      </c>
      <c r="P605" s="4" t="s">
        <v>276</v>
      </c>
      <c r="Q605" s="6">
        <f>1</f>
        <v>1</v>
      </c>
      <c r="R605" s="6">
        <f t="shared" si="8"/>
        <v>6210000</v>
      </c>
      <c r="S605" s="5" t="s">
        <v>924</v>
      </c>
      <c r="T605" s="4" t="s">
        <v>314</v>
      </c>
      <c r="U605" s="4" t="s">
        <v>927</v>
      </c>
      <c r="W605" s="6">
        <f t="shared" si="9"/>
        <v>6209999</v>
      </c>
      <c r="X605" s="4" t="s">
        <v>243</v>
      </c>
      <c r="Y605" s="4" t="s">
        <v>244</v>
      </c>
      <c r="Z605" s="4" t="s">
        <v>338</v>
      </c>
      <c r="AA605" s="4" t="s">
        <v>241</v>
      </c>
      <c r="AD605" s="4" t="s">
        <v>241</v>
      </c>
      <c r="AF605" s="5" t="s">
        <v>241</v>
      </c>
      <c r="AI605" s="5" t="s">
        <v>249</v>
      </c>
      <c r="AJ605" s="4" t="s">
        <v>251</v>
      </c>
      <c r="AK605" s="4" t="s">
        <v>252</v>
      </c>
      <c r="BA605" s="4" t="s">
        <v>254</v>
      </c>
      <c r="BB605" s="4" t="s">
        <v>241</v>
      </c>
      <c r="BC605" s="4" t="s">
        <v>255</v>
      </c>
      <c r="BD605" s="4" t="s">
        <v>241</v>
      </c>
      <c r="BE605" s="4" t="s">
        <v>257</v>
      </c>
      <c r="BF605" s="4" t="s">
        <v>241</v>
      </c>
      <c r="BJ605" s="4" t="s">
        <v>259</v>
      </c>
      <c r="BK605" s="5" t="s">
        <v>260</v>
      </c>
      <c r="BL605" s="4" t="s">
        <v>261</v>
      </c>
      <c r="BM605" s="4" t="s">
        <v>262</v>
      </c>
      <c r="BN605" s="4" t="s">
        <v>241</v>
      </c>
      <c r="BO605" s="6">
        <f>0</f>
        <v>0</v>
      </c>
      <c r="BP605" s="6">
        <f>0</f>
        <v>0</v>
      </c>
      <c r="BQ605" s="4" t="s">
        <v>263</v>
      </c>
      <c r="BR605" s="4" t="s">
        <v>264</v>
      </c>
      <c r="CF605" s="4" t="s">
        <v>241</v>
      </c>
      <c r="CG605" s="4" t="s">
        <v>241</v>
      </c>
      <c r="CK605" s="4" t="s">
        <v>265</v>
      </c>
      <c r="CL605" s="4" t="s">
        <v>266</v>
      </c>
      <c r="CM605" s="4" t="s">
        <v>241</v>
      </c>
      <c r="CO605" s="4" t="s">
        <v>926</v>
      </c>
      <c r="CP605" s="5" t="s">
        <v>268</v>
      </c>
      <c r="CQ605" s="4" t="s">
        <v>269</v>
      </c>
      <c r="CR605" s="4" t="s">
        <v>270</v>
      </c>
      <c r="CS605" s="4" t="s">
        <v>241</v>
      </c>
      <c r="CT605" s="4" t="s">
        <v>241</v>
      </c>
      <c r="CU605" s="4">
        <v>0</v>
      </c>
      <c r="CV605" s="4" t="s">
        <v>271</v>
      </c>
      <c r="CW605" s="4" t="s">
        <v>411</v>
      </c>
      <c r="CX605" s="4" t="s">
        <v>347</v>
      </c>
      <c r="CZ605" s="6">
        <f t="shared" si="10"/>
        <v>6210000</v>
      </c>
      <c r="DA605" s="6">
        <f>0</f>
        <v>0</v>
      </c>
      <c r="DC605" s="4" t="s">
        <v>241</v>
      </c>
      <c r="DD605" s="4" t="s">
        <v>241</v>
      </c>
      <c r="DF605" s="4" t="s">
        <v>241</v>
      </c>
      <c r="DI605" s="4" t="s">
        <v>241</v>
      </c>
      <c r="DJ605" s="4" t="s">
        <v>241</v>
      </c>
      <c r="DK605" s="4" t="s">
        <v>241</v>
      </c>
      <c r="DL605" s="4" t="s">
        <v>241</v>
      </c>
      <c r="DM605" s="4" t="s">
        <v>277</v>
      </c>
      <c r="DN605" s="4" t="s">
        <v>278</v>
      </c>
      <c r="DO605" s="6">
        <f t="shared" si="11"/>
        <v>62.1</v>
      </c>
      <c r="DP605" s="4" t="s">
        <v>241</v>
      </c>
      <c r="DQ605" s="4" t="s">
        <v>241</v>
      </c>
      <c r="DR605" s="4" t="s">
        <v>241</v>
      </c>
      <c r="DS605" s="4" t="s">
        <v>241</v>
      </c>
      <c r="DV605" s="4" t="s">
        <v>2147</v>
      </c>
      <c r="DW605" s="4" t="s">
        <v>351</v>
      </c>
      <c r="HO605" s="4" t="s">
        <v>277</v>
      </c>
      <c r="HR605" s="4" t="s">
        <v>278</v>
      </c>
      <c r="HS605" s="4" t="s">
        <v>278</v>
      </c>
    </row>
    <row r="606" spans="1:240" x14ac:dyDescent="0.4">
      <c r="A606" s="4">
        <v>2</v>
      </c>
      <c r="B606" s="4" t="s">
        <v>239</v>
      </c>
      <c r="C606" s="4">
        <v>642</v>
      </c>
      <c r="D606" s="4">
        <v>1</v>
      </c>
      <c r="E606" s="4">
        <v>1</v>
      </c>
      <c r="F606" s="4" t="s">
        <v>240</v>
      </c>
      <c r="G606" s="4" t="s">
        <v>241</v>
      </c>
      <c r="H606" s="4" t="s">
        <v>241</v>
      </c>
      <c r="I606" s="4" t="s">
        <v>2145</v>
      </c>
      <c r="J606" s="4" t="s">
        <v>344</v>
      </c>
      <c r="K606" s="4" t="s">
        <v>256</v>
      </c>
      <c r="L606" s="4" t="s">
        <v>2101</v>
      </c>
      <c r="M606" s="5" t="s">
        <v>2146</v>
      </c>
      <c r="N606" s="4" t="s">
        <v>2114</v>
      </c>
      <c r="O606" s="6">
        <f t="shared" si="7"/>
        <v>62.1</v>
      </c>
      <c r="P606" s="4" t="s">
        <v>276</v>
      </c>
      <c r="Q606" s="6">
        <f>1</f>
        <v>1</v>
      </c>
      <c r="R606" s="6">
        <f t="shared" si="8"/>
        <v>6210000</v>
      </c>
      <c r="S606" s="5" t="s">
        <v>924</v>
      </c>
      <c r="T606" s="4" t="s">
        <v>314</v>
      </c>
      <c r="U606" s="4" t="s">
        <v>927</v>
      </c>
      <c r="W606" s="6">
        <f t="shared" si="9"/>
        <v>6209999</v>
      </c>
      <c r="X606" s="4" t="s">
        <v>243</v>
      </c>
      <c r="Y606" s="4" t="s">
        <v>244</v>
      </c>
      <c r="Z606" s="4" t="s">
        <v>338</v>
      </c>
      <c r="AA606" s="4" t="s">
        <v>241</v>
      </c>
      <c r="AD606" s="4" t="s">
        <v>241</v>
      </c>
      <c r="AF606" s="5" t="s">
        <v>241</v>
      </c>
      <c r="AI606" s="5" t="s">
        <v>1675</v>
      </c>
      <c r="AJ606" s="4" t="s">
        <v>251</v>
      </c>
      <c r="AK606" s="4" t="s">
        <v>252</v>
      </c>
      <c r="BA606" s="4" t="s">
        <v>254</v>
      </c>
      <c r="BB606" s="4" t="s">
        <v>241</v>
      </c>
      <c r="BC606" s="4" t="s">
        <v>255</v>
      </c>
      <c r="BD606" s="4" t="s">
        <v>241</v>
      </c>
      <c r="BE606" s="4" t="s">
        <v>257</v>
      </c>
      <c r="BF606" s="4" t="s">
        <v>241</v>
      </c>
      <c r="BJ606" s="4" t="s">
        <v>377</v>
      </c>
      <c r="BK606" s="5" t="s">
        <v>1675</v>
      </c>
      <c r="BL606" s="4" t="s">
        <v>261</v>
      </c>
      <c r="BM606" s="4" t="s">
        <v>262</v>
      </c>
      <c r="BN606" s="4" t="s">
        <v>241</v>
      </c>
      <c r="BO606" s="6">
        <f>0</f>
        <v>0</v>
      </c>
      <c r="BP606" s="6">
        <f>0</f>
        <v>0</v>
      </c>
      <c r="BQ606" s="4" t="s">
        <v>263</v>
      </c>
      <c r="BR606" s="4" t="s">
        <v>264</v>
      </c>
      <c r="CF606" s="4" t="s">
        <v>241</v>
      </c>
      <c r="CG606" s="4" t="s">
        <v>241</v>
      </c>
      <c r="CK606" s="4" t="s">
        <v>265</v>
      </c>
      <c r="CL606" s="4" t="s">
        <v>266</v>
      </c>
      <c r="CM606" s="4" t="s">
        <v>241</v>
      </c>
      <c r="CO606" s="4" t="s">
        <v>926</v>
      </c>
      <c r="CP606" s="5" t="s">
        <v>268</v>
      </c>
      <c r="CQ606" s="4" t="s">
        <v>269</v>
      </c>
      <c r="CR606" s="4" t="s">
        <v>270</v>
      </c>
      <c r="CS606" s="4" t="s">
        <v>241</v>
      </c>
      <c r="CT606" s="4" t="s">
        <v>241</v>
      </c>
      <c r="CU606" s="4">
        <v>0</v>
      </c>
      <c r="CV606" s="4" t="s">
        <v>271</v>
      </c>
      <c r="CW606" s="4" t="s">
        <v>411</v>
      </c>
      <c r="CX606" s="4" t="s">
        <v>347</v>
      </c>
      <c r="CZ606" s="6">
        <f t="shared" si="10"/>
        <v>6210000</v>
      </c>
      <c r="DA606" s="6">
        <f>0</f>
        <v>0</v>
      </c>
      <c r="DC606" s="4" t="s">
        <v>241</v>
      </c>
      <c r="DD606" s="4" t="s">
        <v>241</v>
      </c>
      <c r="DF606" s="4" t="s">
        <v>241</v>
      </c>
      <c r="DI606" s="4" t="s">
        <v>241</v>
      </c>
      <c r="DJ606" s="4" t="s">
        <v>241</v>
      </c>
      <c r="DK606" s="4" t="s">
        <v>241</v>
      </c>
      <c r="DL606" s="4" t="s">
        <v>241</v>
      </c>
      <c r="DM606" s="4" t="s">
        <v>277</v>
      </c>
      <c r="DN606" s="4" t="s">
        <v>278</v>
      </c>
      <c r="DO606" s="6">
        <f t="shared" si="11"/>
        <v>62.1</v>
      </c>
      <c r="DP606" s="4" t="s">
        <v>241</v>
      </c>
      <c r="DQ606" s="4" t="s">
        <v>241</v>
      </c>
      <c r="DR606" s="4" t="s">
        <v>241</v>
      </c>
      <c r="DS606" s="4" t="s">
        <v>241</v>
      </c>
      <c r="DV606" s="4" t="s">
        <v>2147</v>
      </c>
      <c r="DW606" s="4" t="s">
        <v>300</v>
      </c>
      <c r="HO606" s="4" t="s">
        <v>277</v>
      </c>
      <c r="HR606" s="4" t="s">
        <v>278</v>
      </c>
      <c r="HS606" s="4" t="s">
        <v>278</v>
      </c>
    </row>
    <row r="607" spans="1:240" x14ac:dyDescent="0.4">
      <c r="A607" s="4">
        <v>2</v>
      </c>
      <c r="B607" s="4" t="s">
        <v>239</v>
      </c>
      <c r="C607" s="4">
        <v>643</v>
      </c>
      <c r="D607" s="4">
        <v>1</v>
      </c>
      <c r="E607" s="4">
        <v>1</v>
      </c>
      <c r="F607" s="4" t="s">
        <v>240</v>
      </c>
      <c r="G607" s="4" t="s">
        <v>241</v>
      </c>
      <c r="H607" s="4" t="s">
        <v>241</v>
      </c>
      <c r="I607" s="4" t="s">
        <v>2145</v>
      </c>
      <c r="J607" s="4" t="s">
        <v>344</v>
      </c>
      <c r="K607" s="4" t="s">
        <v>256</v>
      </c>
      <c r="L607" s="4" t="s">
        <v>2101</v>
      </c>
      <c r="M607" s="5" t="s">
        <v>2146</v>
      </c>
      <c r="N607" s="4" t="s">
        <v>2114</v>
      </c>
      <c r="O607" s="6">
        <f t="shared" si="7"/>
        <v>62.1</v>
      </c>
      <c r="P607" s="4" t="s">
        <v>276</v>
      </c>
      <c r="Q607" s="6">
        <f>1</f>
        <v>1</v>
      </c>
      <c r="R607" s="6">
        <f t="shared" si="8"/>
        <v>6210000</v>
      </c>
      <c r="S607" s="5" t="s">
        <v>924</v>
      </c>
      <c r="T607" s="4" t="s">
        <v>314</v>
      </c>
      <c r="U607" s="4" t="s">
        <v>927</v>
      </c>
      <c r="W607" s="6">
        <f t="shared" si="9"/>
        <v>6209999</v>
      </c>
      <c r="X607" s="4" t="s">
        <v>243</v>
      </c>
      <c r="Y607" s="4" t="s">
        <v>244</v>
      </c>
      <c r="Z607" s="4" t="s">
        <v>338</v>
      </c>
      <c r="AA607" s="4" t="s">
        <v>241</v>
      </c>
      <c r="AD607" s="4" t="s">
        <v>241</v>
      </c>
      <c r="AF607" s="5" t="s">
        <v>241</v>
      </c>
      <c r="AI607" s="5" t="s">
        <v>1675</v>
      </c>
      <c r="AJ607" s="4" t="s">
        <v>251</v>
      </c>
      <c r="AK607" s="4" t="s">
        <v>252</v>
      </c>
      <c r="BA607" s="4" t="s">
        <v>254</v>
      </c>
      <c r="BB607" s="4" t="s">
        <v>241</v>
      </c>
      <c r="BC607" s="4" t="s">
        <v>255</v>
      </c>
      <c r="BD607" s="4" t="s">
        <v>241</v>
      </c>
      <c r="BE607" s="4" t="s">
        <v>257</v>
      </c>
      <c r="BF607" s="4" t="s">
        <v>241</v>
      </c>
      <c r="BJ607" s="4" t="s">
        <v>377</v>
      </c>
      <c r="BK607" s="5" t="s">
        <v>378</v>
      </c>
      <c r="BL607" s="4" t="s">
        <v>261</v>
      </c>
      <c r="BM607" s="4" t="s">
        <v>262</v>
      </c>
      <c r="BN607" s="4" t="s">
        <v>241</v>
      </c>
      <c r="BO607" s="6">
        <f>0</f>
        <v>0</v>
      </c>
      <c r="BP607" s="6">
        <f>0</f>
        <v>0</v>
      </c>
      <c r="BQ607" s="4" t="s">
        <v>263</v>
      </c>
      <c r="BR607" s="4" t="s">
        <v>264</v>
      </c>
      <c r="CF607" s="4" t="s">
        <v>241</v>
      </c>
      <c r="CG607" s="4" t="s">
        <v>241</v>
      </c>
      <c r="CK607" s="4" t="s">
        <v>265</v>
      </c>
      <c r="CL607" s="4" t="s">
        <v>266</v>
      </c>
      <c r="CM607" s="4" t="s">
        <v>241</v>
      </c>
      <c r="CO607" s="4" t="s">
        <v>926</v>
      </c>
      <c r="CP607" s="5" t="s">
        <v>268</v>
      </c>
      <c r="CQ607" s="4" t="s">
        <v>269</v>
      </c>
      <c r="CR607" s="4" t="s">
        <v>270</v>
      </c>
      <c r="CS607" s="4" t="s">
        <v>241</v>
      </c>
      <c r="CT607" s="4" t="s">
        <v>241</v>
      </c>
      <c r="CU607" s="4">
        <v>0</v>
      </c>
      <c r="CV607" s="4" t="s">
        <v>271</v>
      </c>
      <c r="CW607" s="4" t="s">
        <v>411</v>
      </c>
      <c r="CX607" s="4" t="s">
        <v>347</v>
      </c>
      <c r="CZ607" s="6">
        <f t="shared" si="10"/>
        <v>6210000</v>
      </c>
      <c r="DA607" s="6">
        <f>0</f>
        <v>0</v>
      </c>
      <c r="DC607" s="4" t="s">
        <v>241</v>
      </c>
      <c r="DD607" s="4" t="s">
        <v>241</v>
      </c>
      <c r="DF607" s="4" t="s">
        <v>241</v>
      </c>
      <c r="DI607" s="4" t="s">
        <v>241</v>
      </c>
      <c r="DJ607" s="4" t="s">
        <v>241</v>
      </c>
      <c r="DK607" s="4" t="s">
        <v>241</v>
      </c>
      <c r="DL607" s="4" t="s">
        <v>241</v>
      </c>
      <c r="DM607" s="4" t="s">
        <v>277</v>
      </c>
      <c r="DN607" s="4" t="s">
        <v>278</v>
      </c>
      <c r="DO607" s="6">
        <f t="shared" si="11"/>
        <v>62.1</v>
      </c>
      <c r="DP607" s="4" t="s">
        <v>241</v>
      </c>
      <c r="DQ607" s="4" t="s">
        <v>241</v>
      </c>
      <c r="DR607" s="4" t="s">
        <v>241</v>
      </c>
      <c r="DS607" s="4" t="s">
        <v>241</v>
      </c>
      <c r="DV607" s="4" t="s">
        <v>2147</v>
      </c>
      <c r="DW607" s="4" t="s">
        <v>341</v>
      </c>
      <c r="HO607" s="4" t="s">
        <v>277</v>
      </c>
      <c r="HR607" s="4" t="s">
        <v>278</v>
      </c>
      <c r="HS607" s="4" t="s">
        <v>278</v>
      </c>
    </row>
    <row r="608" spans="1:240" x14ac:dyDescent="0.4">
      <c r="A608" s="4">
        <v>2</v>
      </c>
      <c r="B608" s="4" t="s">
        <v>239</v>
      </c>
      <c r="C608" s="4">
        <v>644</v>
      </c>
      <c r="D608" s="4">
        <v>1</v>
      </c>
      <c r="E608" s="4">
        <v>1</v>
      </c>
      <c r="F608" s="4" t="s">
        <v>240</v>
      </c>
      <c r="G608" s="4" t="s">
        <v>241</v>
      </c>
      <c r="H608" s="4" t="s">
        <v>241</v>
      </c>
      <c r="I608" s="4" t="s">
        <v>2145</v>
      </c>
      <c r="J608" s="4" t="s">
        <v>344</v>
      </c>
      <c r="K608" s="4" t="s">
        <v>256</v>
      </c>
      <c r="L608" s="4" t="s">
        <v>2101</v>
      </c>
      <c r="M608" s="5" t="s">
        <v>2146</v>
      </c>
      <c r="N608" s="4" t="s">
        <v>2114</v>
      </c>
      <c r="O608" s="6">
        <f t="shared" si="7"/>
        <v>62.1</v>
      </c>
      <c r="P608" s="4" t="s">
        <v>276</v>
      </c>
      <c r="Q608" s="6">
        <f>1</f>
        <v>1</v>
      </c>
      <c r="R608" s="6">
        <f t="shared" si="8"/>
        <v>6210000</v>
      </c>
      <c r="S608" s="5" t="s">
        <v>924</v>
      </c>
      <c r="T608" s="4" t="s">
        <v>314</v>
      </c>
      <c r="U608" s="4" t="s">
        <v>927</v>
      </c>
      <c r="W608" s="6">
        <f t="shared" si="9"/>
        <v>6209999</v>
      </c>
      <c r="X608" s="4" t="s">
        <v>243</v>
      </c>
      <c r="Y608" s="4" t="s">
        <v>244</v>
      </c>
      <c r="Z608" s="4" t="s">
        <v>338</v>
      </c>
      <c r="AA608" s="4" t="s">
        <v>241</v>
      </c>
      <c r="AD608" s="4" t="s">
        <v>241</v>
      </c>
      <c r="AF608" s="5" t="s">
        <v>241</v>
      </c>
      <c r="AI608" s="5" t="s">
        <v>1675</v>
      </c>
      <c r="AJ608" s="4" t="s">
        <v>251</v>
      </c>
      <c r="AK608" s="4" t="s">
        <v>252</v>
      </c>
      <c r="BA608" s="4" t="s">
        <v>254</v>
      </c>
      <c r="BB608" s="4" t="s">
        <v>241</v>
      </c>
      <c r="BC608" s="4" t="s">
        <v>255</v>
      </c>
      <c r="BD608" s="4" t="s">
        <v>241</v>
      </c>
      <c r="BE608" s="4" t="s">
        <v>257</v>
      </c>
      <c r="BF608" s="4" t="s">
        <v>241</v>
      </c>
      <c r="BJ608" s="4" t="s">
        <v>259</v>
      </c>
      <c r="BK608" s="5" t="s">
        <v>260</v>
      </c>
      <c r="BL608" s="4" t="s">
        <v>261</v>
      </c>
      <c r="BM608" s="4" t="s">
        <v>262</v>
      </c>
      <c r="BN608" s="4" t="s">
        <v>241</v>
      </c>
      <c r="BO608" s="6">
        <f>0</f>
        <v>0</v>
      </c>
      <c r="BP608" s="6">
        <f>0</f>
        <v>0</v>
      </c>
      <c r="BQ608" s="4" t="s">
        <v>263</v>
      </c>
      <c r="BR608" s="4" t="s">
        <v>264</v>
      </c>
      <c r="CF608" s="4" t="s">
        <v>241</v>
      </c>
      <c r="CG608" s="4" t="s">
        <v>241</v>
      </c>
      <c r="CK608" s="4" t="s">
        <v>265</v>
      </c>
      <c r="CL608" s="4" t="s">
        <v>266</v>
      </c>
      <c r="CM608" s="4" t="s">
        <v>241</v>
      </c>
      <c r="CO608" s="4" t="s">
        <v>926</v>
      </c>
      <c r="CP608" s="5" t="s">
        <v>268</v>
      </c>
      <c r="CQ608" s="4" t="s">
        <v>269</v>
      </c>
      <c r="CR608" s="4" t="s">
        <v>270</v>
      </c>
      <c r="CS608" s="4" t="s">
        <v>241</v>
      </c>
      <c r="CT608" s="4" t="s">
        <v>241</v>
      </c>
      <c r="CU608" s="4">
        <v>0</v>
      </c>
      <c r="CV608" s="4" t="s">
        <v>271</v>
      </c>
      <c r="CW608" s="4" t="s">
        <v>411</v>
      </c>
      <c r="CX608" s="4" t="s">
        <v>347</v>
      </c>
      <c r="CZ608" s="6">
        <f t="shared" si="10"/>
        <v>6210000</v>
      </c>
      <c r="DA608" s="6">
        <f>0</f>
        <v>0</v>
      </c>
      <c r="DC608" s="4" t="s">
        <v>241</v>
      </c>
      <c r="DD608" s="4" t="s">
        <v>241</v>
      </c>
      <c r="DF608" s="4" t="s">
        <v>241</v>
      </c>
      <c r="DI608" s="4" t="s">
        <v>241</v>
      </c>
      <c r="DJ608" s="4" t="s">
        <v>241</v>
      </c>
      <c r="DK608" s="4" t="s">
        <v>241</v>
      </c>
      <c r="DL608" s="4" t="s">
        <v>241</v>
      </c>
      <c r="DM608" s="4" t="s">
        <v>277</v>
      </c>
      <c r="DN608" s="4" t="s">
        <v>278</v>
      </c>
      <c r="DO608" s="6">
        <f t="shared" si="11"/>
        <v>62.1</v>
      </c>
      <c r="DP608" s="4" t="s">
        <v>241</v>
      </c>
      <c r="DQ608" s="4" t="s">
        <v>241</v>
      </c>
      <c r="DR608" s="4" t="s">
        <v>241</v>
      </c>
      <c r="DS608" s="4" t="s">
        <v>241</v>
      </c>
      <c r="DV608" s="4" t="s">
        <v>2147</v>
      </c>
      <c r="DW608" s="4" t="s">
        <v>343</v>
      </c>
      <c r="HO608" s="4" t="s">
        <v>277</v>
      </c>
      <c r="HR608" s="4" t="s">
        <v>278</v>
      </c>
      <c r="HS608" s="4" t="s">
        <v>278</v>
      </c>
    </row>
    <row r="609" spans="1:227" x14ac:dyDescent="0.4">
      <c r="A609" s="4">
        <v>2</v>
      </c>
      <c r="B609" s="4" t="s">
        <v>239</v>
      </c>
      <c r="C609" s="4">
        <v>645</v>
      </c>
      <c r="D609" s="4">
        <v>1</v>
      </c>
      <c r="E609" s="4">
        <v>1</v>
      </c>
      <c r="F609" s="4" t="s">
        <v>240</v>
      </c>
      <c r="G609" s="4" t="s">
        <v>241</v>
      </c>
      <c r="H609" s="4" t="s">
        <v>241</v>
      </c>
      <c r="I609" s="4" t="s">
        <v>2145</v>
      </c>
      <c r="J609" s="4" t="s">
        <v>344</v>
      </c>
      <c r="K609" s="4" t="s">
        <v>256</v>
      </c>
      <c r="L609" s="4" t="s">
        <v>2101</v>
      </c>
      <c r="M609" s="5" t="s">
        <v>2146</v>
      </c>
      <c r="N609" s="4" t="s">
        <v>2114</v>
      </c>
      <c r="O609" s="6">
        <f t="shared" si="7"/>
        <v>62.1</v>
      </c>
      <c r="P609" s="4" t="s">
        <v>276</v>
      </c>
      <c r="Q609" s="6">
        <f>1</f>
        <v>1</v>
      </c>
      <c r="R609" s="6">
        <f t="shared" si="8"/>
        <v>6210000</v>
      </c>
      <c r="S609" s="5" t="s">
        <v>924</v>
      </c>
      <c r="T609" s="4" t="s">
        <v>314</v>
      </c>
      <c r="U609" s="4" t="s">
        <v>927</v>
      </c>
      <c r="W609" s="6">
        <f t="shared" si="9"/>
        <v>6209999</v>
      </c>
      <c r="X609" s="4" t="s">
        <v>243</v>
      </c>
      <c r="Y609" s="4" t="s">
        <v>244</v>
      </c>
      <c r="Z609" s="4" t="s">
        <v>338</v>
      </c>
      <c r="AA609" s="4" t="s">
        <v>241</v>
      </c>
      <c r="AD609" s="4" t="s">
        <v>241</v>
      </c>
      <c r="AF609" s="5" t="s">
        <v>241</v>
      </c>
      <c r="AI609" s="5" t="s">
        <v>2503</v>
      </c>
      <c r="AJ609" s="4" t="s">
        <v>251</v>
      </c>
      <c r="AK609" s="4" t="s">
        <v>252</v>
      </c>
      <c r="BA609" s="4" t="s">
        <v>254</v>
      </c>
      <c r="BB609" s="4" t="s">
        <v>241</v>
      </c>
      <c r="BC609" s="4" t="s">
        <v>255</v>
      </c>
      <c r="BD609" s="4" t="s">
        <v>241</v>
      </c>
      <c r="BE609" s="4" t="s">
        <v>257</v>
      </c>
      <c r="BF609" s="4" t="s">
        <v>241</v>
      </c>
      <c r="BJ609" s="4" t="s">
        <v>377</v>
      </c>
      <c r="BK609" s="5" t="s">
        <v>2503</v>
      </c>
      <c r="BL609" s="4" t="s">
        <v>261</v>
      </c>
      <c r="BM609" s="4" t="s">
        <v>262</v>
      </c>
      <c r="BN609" s="4" t="s">
        <v>241</v>
      </c>
      <c r="BO609" s="6">
        <f>0</f>
        <v>0</v>
      </c>
      <c r="BP609" s="6">
        <f>0</f>
        <v>0</v>
      </c>
      <c r="BQ609" s="4" t="s">
        <v>263</v>
      </c>
      <c r="BR609" s="4" t="s">
        <v>264</v>
      </c>
      <c r="CF609" s="4" t="s">
        <v>241</v>
      </c>
      <c r="CG609" s="4" t="s">
        <v>241</v>
      </c>
      <c r="CK609" s="4" t="s">
        <v>265</v>
      </c>
      <c r="CL609" s="4" t="s">
        <v>266</v>
      </c>
      <c r="CM609" s="4" t="s">
        <v>241</v>
      </c>
      <c r="CO609" s="4" t="s">
        <v>926</v>
      </c>
      <c r="CP609" s="5" t="s">
        <v>268</v>
      </c>
      <c r="CQ609" s="4" t="s">
        <v>269</v>
      </c>
      <c r="CR609" s="4" t="s">
        <v>270</v>
      </c>
      <c r="CS609" s="4" t="s">
        <v>241</v>
      </c>
      <c r="CT609" s="4" t="s">
        <v>241</v>
      </c>
      <c r="CU609" s="4">
        <v>0</v>
      </c>
      <c r="CV609" s="4" t="s">
        <v>271</v>
      </c>
      <c r="CW609" s="4" t="s">
        <v>411</v>
      </c>
      <c r="CX609" s="4" t="s">
        <v>347</v>
      </c>
      <c r="CZ609" s="6">
        <f t="shared" si="10"/>
        <v>6210000</v>
      </c>
      <c r="DA609" s="6">
        <f>0</f>
        <v>0</v>
      </c>
      <c r="DC609" s="4" t="s">
        <v>241</v>
      </c>
      <c r="DD609" s="4" t="s">
        <v>241</v>
      </c>
      <c r="DF609" s="4" t="s">
        <v>241</v>
      </c>
      <c r="DI609" s="4" t="s">
        <v>241</v>
      </c>
      <c r="DJ609" s="4" t="s">
        <v>241</v>
      </c>
      <c r="DK609" s="4" t="s">
        <v>241</v>
      </c>
      <c r="DL609" s="4" t="s">
        <v>241</v>
      </c>
      <c r="DM609" s="4" t="s">
        <v>277</v>
      </c>
      <c r="DN609" s="4" t="s">
        <v>278</v>
      </c>
      <c r="DO609" s="6">
        <f t="shared" si="11"/>
        <v>62.1</v>
      </c>
      <c r="DP609" s="4" t="s">
        <v>241</v>
      </c>
      <c r="DQ609" s="4" t="s">
        <v>241</v>
      </c>
      <c r="DR609" s="4" t="s">
        <v>241</v>
      </c>
      <c r="DS609" s="4" t="s">
        <v>241</v>
      </c>
      <c r="DV609" s="4" t="s">
        <v>2147</v>
      </c>
      <c r="DW609" s="4" t="s">
        <v>417</v>
      </c>
      <c r="HO609" s="4" t="s">
        <v>277</v>
      </c>
      <c r="HR609" s="4" t="s">
        <v>278</v>
      </c>
      <c r="HS609" s="4" t="s">
        <v>278</v>
      </c>
    </row>
    <row r="610" spans="1:227" x14ac:dyDescent="0.4">
      <c r="A610" s="4">
        <v>2</v>
      </c>
      <c r="B610" s="4" t="s">
        <v>239</v>
      </c>
      <c r="C610" s="4">
        <v>646</v>
      </c>
      <c r="D610" s="4">
        <v>1</v>
      </c>
      <c r="E610" s="4">
        <v>1</v>
      </c>
      <c r="F610" s="4" t="s">
        <v>240</v>
      </c>
      <c r="G610" s="4" t="s">
        <v>241</v>
      </c>
      <c r="H610" s="4" t="s">
        <v>241</v>
      </c>
      <c r="I610" s="4" t="s">
        <v>2145</v>
      </c>
      <c r="J610" s="4" t="s">
        <v>344</v>
      </c>
      <c r="K610" s="4" t="s">
        <v>256</v>
      </c>
      <c r="L610" s="4" t="s">
        <v>2101</v>
      </c>
      <c r="M610" s="5" t="s">
        <v>2146</v>
      </c>
      <c r="N610" s="4" t="s">
        <v>2114</v>
      </c>
      <c r="O610" s="6">
        <f t="shared" si="7"/>
        <v>62.1</v>
      </c>
      <c r="P610" s="4" t="s">
        <v>276</v>
      </c>
      <c r="Q610" s="6">
        <f>1</f>
        <v>1</v>
      </c>
      <c r="R610" s="6">
        <f t="shared" si="8"/>
        <v>6210000</v>
      </c>
      <c r="S610" s="5" t="s">
        <v>924</v>
      </c>
      <c r="T610" s="4" t="s">
        <v>314</v>
      </c>
      <c r="U610" s="4" t="s">
        <v>927</v>
      </c>
      <c r="W610" s="6">
        <f t="shared" si="9"/>
        <v>6209999</v>
      </c>
      <c r="X610" s="4" t="s">
        <v>243</v>
      </c>
      <c r="Y610" s="4" t="s">
        <v>244</v>
      </c>
      <c r="Z610" s="4" t="s">
        <v>338</v>
      </c>
      <c r="AA610" s="4" t="s">
        <v>241</v>
      </c>
      <c r="AD610" s="4" t="s">
        <v>241</v>
      </c>
      <c r="AF610" s="5" t="s">
        <v>241</v>
      </c>
      <c r="AI610" s="5" t="s">
        <v>2503</v>
      </c>
      <c r="AJ610" s="4" t="s">
        <v>251</v>
      </c>
      <c r="AK610" s="4" t="s">
        <v>252</v>
      </c>
      <c r="BA610" s="4" t="s">
        <v>254</v>
      </c>
      <c r="BB610" s="4" t="s">
        <v>241</v>
      </c>
      <c r="BC610" s="4" t="s">
        <v>255</v>
      </c>
      <c r="BD610" s="4" t="s">
        <v>241</v>
      </c>
      <c r="BE610" s="4" t="s">
        <v>257</v>
      </c>
      <c r="BF610" s="4" t="s">
        <v>241</v>
      </c>
      <c r="BJ610" s="4" t="s">
        <v>377</v>
      </c>
      <c r="BK610" s="5" t="s">
        <v>378</v>
      </c>
      <c r="BL610" s="4" t="s">
        <v>261</v>
      </c>
      <c r="BM610" s="4" t="s">
        <v>262</v>
      </c>
      <c r="BN610" s="4" t="s">
        <v>241</v>
      </c>
      <c r="BO610" s="6">
        <f>0</f>
        <v>0</v>
      </c>
      <c r="BP610" s="6">
        <f>0</f>
        <v>0</v>
      </c>
      <c r="BQ610" s="4" t="s">
        <v>263</v>
      </c>
      <c r="BR610" s="4" t="s">
        <v>264</v>
      </c>
      <c r="CF610" s="4" t="s">
        <v>241</v>
      </c>
      <c r="CG610" s="4" t="s">
        <v>241</v>
      </c>
      <c r="CK610" s="4" t="s">
        <v>265</v>
      </c>
      <c r="CL610" s="4" t="s">
        <v>266</v>
      </c>
      <c r="CM610" s="4" t="s">
        <v>241</v>
      </c>
      <c r="CO610" s="4" t="s">
        <v>926</v>
      </c>
      <c r="CP610" s="5" t="s">
        <v>268</v>
      </c>
      <c r="CQ610" s="4" t="s">
        <v>269</v>
      </c>
      <c r="CR610" s="4" t="s">
        <v>270</v>
      </c>
      <c r="CS610" s="4" t="s">
        <v>241</v>
      </c>
      <c r="CT610" s="4" t="s">
        <v>241</v>
      </c>
      <c r="CU610" s="4">
        <v>0</v>
      </c>
      <c r="CV610" s="4" t="s">
        <v>271</v>
      </c>
      <c r="CW610" s="4" t="s">
        <v>411</v>
      </c>
      <c r="CX610" s="4" t="s">
        <v>347</v>
      </c>
      <c r="CZ610" s="6">
        <f t="shared" si="10"/>
        <v>6210000</v>
      </c>
      <c r="DA610" s="6">
        <f>0</f>
        <v>0</v>
      </c>
      <c r="DC610" s="4" t="s">
        <v>241</v>
      </c>
      <c r="DD610" s="4" t="s">
        <v>241</v>
      </c>
      <c r="DF610" s="4" t="s">
        <v>241</v>
      </c>
      <c r="DI610" s="4" t="s">
        <v>241</v>
      </c>
      <c r="DJ610" s="4" t="s">
        <v>241</v>
      </c>
      <c r="DK610" s="4" t="s">
        <v>241</v>
      </c>
      <c r="DL610" s="4" t="s">
        <v>241</v>
      </c>
      <c r="DM610" s="4" t="s">
        <v>277</v>
      </c>
      <c r="DN610" s="4" t="s">
        <v>278</v>
      </c>
      <c r="DO610" s="6">
        <f t="shared" si="11"/>
        <v>62.1</v>
      </c>
      <c r="DP610" s="4" t="s">
        <v>241</v>
      </c>
      <c r="DQ610" s="4" t="s">
        <v>241</v>
      </c>
      <c r="DR610" s="4" t="s">
        <v>241</v>
      </c>
      <c r="DS610" s="4" t="s">
        <v>241</v>
      </c>
      <c r="DV610" s="4" t="s">
        <v>2147</v>
      </c>
      <c r="DW610" s="4" t="s">
        <v>427</v>
      </c>
      <c r="HO610" s="4" t="s">
        <v>277</v>
      </c>
      <c r="HR610" s="4" t="s">
        <v>278</v>
      </c>
      <c r="HS610" s="4" t="s">
        <v>278</v>
      </c>
    </row>
    <row r="611" spans="1:227" x14ac:dyDescent="0.4">
      <c r="A611" s="4">
        <v>2</v>
      </c>
      <c r="B611" s="4" t="s">
        <v>239</v>
      </c>
      <c r="C611" s="4">
        <v>647</v>
      </c>
      <c r="D611" s="4">
        <v>1</v>
      </c>
      <c r="E611" s="4">
        <v>1</v>
      </c>
      <c r="F611" s="4" t="s">
        <v>240</v>
      </c>
      <c r="G611" s="4" t="s">
        <v>241</v>
      </c>
      <c r="H611" s="4" t="s">
        <v>241</v>
      </c>
      <c r="I611" s="4" t="s">
        <v>2145</v>
      </c>
      <c r="J611" s="4" t="s">
        <v>344</v>
      </c>
      <c r="K611" s="4" t="s">
        <v>256</v>
      </c>
      <c r="L611" s="4" t="s">
        <v>2101</v>
      </c>
      <c r="M611" s="5" t="s">
        <v>2146</v>
      </c>
      <c r="N611" s="4" t="s">
        <v>2110</v>
      </c>
      <c r="O611" s="6">
        <f>73.44</f>
        <v>73.44</v>
      </c>
      <c r="P611" s="4" t="s">
        <v>276</v>
      </c>
      <c r="Q611" s="6">
        <f>1</f>
        <v>1</v>
      </c>
      <c r="R611" s="6">
        <f>7344000</f>
        <v>7344000</v>
      </c>
      <c r="S611" s="5" t="s">
        <v>924</v>
      </c>
      <c r="T611" s="4" t="s">
        <v>314</v>
      </c>
      <c r="U611" s="4" t="s">
        <v>927</v>
      </c>
      <c r="W611" s="6">
        <f>7343999</f>
        <v>7343999</v>
      </c>
      <c r="X611" s="4" t="s">
        <v>243</v>
      </c>
      <c r="Y611" s="4" t="s">
        <v>244</v>
      </c>
      <c r="Z611" s="4" t="s">
        <v>338</v>
      </c>
      <c r="AA611" s="4" t="s">
        <v>241</v>
      </c>
      <c r="AD611" s="4" t="s">
        <v>241</v>
      </c>
      <c r="AF611" s="5" t="s">
        <v>241</v>
      </c>
      <c r="AI611" s="5" t="s">
        <v>2503</v>
      </c>
      <c r="AJ611" s="4" t="s">
        <v>251</v>
      </c>
      <c r="AK611" s="4" t="s">
        <v>252</v>
      </c>
      <c r="BA611" s="4" t="s">
        <v>254</v>
      </c>
      <c r="BB611" s="4" t="s">
        <v>241</v>
      </c>
      <c r="BC611" s="4" t="s">
        <v>255</v>
      </c>
      <c r="BD611" s="4" t="s">
        <v>241</v>
      </c>
      <c r="BE611" s="4" t="s">
        <v>257</v>
      </c>
      <c r="BF611" s="4" t="s">
        <v>241</v>
      </c>
      <c r="BJ611" s="4" t="s">
        <v>259</v>
      </c>
      <c r="BK611" s="5" t="s">
        <v>260</v>
      </c>
      <c r="BL611" s="4" t="s">
        <v>261</v>
      </c>
      <c r="BM611" s="4" t="s">
        <v>262</v>
      </c>
      <c r="BN611" s="4" t="s">
        <v>241</v>
      </c>
      <c r="BO611" s="6">
        <f>0</f>
        <v>0</v>
      </c>
      <c r="BP611" s="6">
        <f>0</f>
        <v>0</v>
      </c>
      <c r="BQ611" s="4" t="s">
        <v>263</v>
      </c>
      <c r="BR611" s="4" t="s">
        <v>264</v>
      </c>
      <c r="CF611" s="4" t="s">
        <v>241</v>
      </c>
      <c r="CG611" s="4" t="s">
        <v>241</v>
      </c>
      <c r="CK611" s="4" t="s">
        <v>265</v>
      </c>
      <c r="CL611" s="4" t="s">
        <v>266</v>
      </c>
      <c r="CM611" s="4" t="s">
        <v>241</v>
      </c>
      <c r="CO611" s="4" t="s">
        <v>926</v>
      </c>
      <c r="CP611" s="5" t="s">
        <v>268</v>
      </c>
      <c r="CQ611" s="4" t="s">
        <v>269</v>
      </c>
      <c r="CR611" s="4" t="s">
        <v>270</v>
      </c>
      <c r="CS611" s="4" t="s">
        <v>241</v>
      </c>
      <c r="CT611" s="4" t="s">
        <v>241</v>
      </c>
      <c r="CU611" s="4">
        <v>0</v>
      </c>
      <c r="CV611" s="4" t="s">
        <v>271</v>
      </c>
      <c r="CW611" s="4" t="s">
        <v>411</v>
      </c>
      <c r="CX611" s="4" t="s">
        <v>347</v>
      </c>
      <c r="CZ611" s="6">
        <f>7344000</f>
        <v>7344000</v>
      </c>
      <c r="DA611" s="6">
        <f>0</f>
        <v>0</v>
      </c>
      <c r="DC611" s="4" t="s">
        <v>241</v>
      </c>
      <c r="DD611" s="4" t="s">
        <v>241</v>
      </c>
      <c r="DF611" s="4" t="s">
        <v>241</v>
      </c>
      <c r="DI611" s="4" t="s">
        <v>241</v>
      </c>
      <c r="DJ611" s="4" t="s">
        <v>241</v>
      </c>
      <c r="DK611" s="4" t="s">
        <v>241</v>
      </c>
      <c r="DL611" s="4" t="s">
        <v>241</v>
      </c>
      <c r="DM611" s="4" t="s">
        <v>277</v>
      </c>
      <c r="DN611" s="4" t="s">
        <v>278</v>
      </c>
      <c r="DO611" s="6">
        <f>73.44</f>
        <v>73.44</v>
      </c>
      <c r="DP611" s="4" t="s">
        <v>241</v>
      </c>
      <c r="DQ611" s="4" t="s">
        <v>241</v>
      </c>
      <c r="DR611" s="4" t="s">
        <v>241</v>
      </c>
      <c r="DS611" s="4" t="s">
        <v>241</v>
      </c>
      <c r="DV611" s="4" t="s">
        <v>2147</v>
      </c>
      <c r="DW611" s="4" t="s">
        <v>353</v>
      </c>
      <c r="HO611" s="4" t="s">
        <v>277</v>
      </c>
      <c r="HR611" s="4" t="s">
        <v>278</v>
      </c>
      <c r="HS611" s="4" t="s">
        <v>278</v>
      </c>
    </row>
    <row r="612" spans="1:227" x14ac:dyDescent="0.4">
      <c r="A612" s="4">
        <v>2</v>
      </c>
      <c r="B612" s="4" t="s">
        <v>239</v>
      </c>
      <c r="C612" s="4">
        <v>648</v>
      </c>
      <c r="D612" s="4">
        <v>1</v>
      </c>
      <c r="E612" s="4">
        <v>1</v>
      </c>
      <c r="F612" s="4" t="s">
        <v>240</v>
      </c>
      <c r="G612" s="4" t="s">
        <v>241</v>
      </c>
      <c r="H612" s="4" t="s">
        <v>241</v>
      </c>
      <c r="I612" s="4" t="s">
        <v>2145</v>
      </c>
      <c r="J612" s="4" t="s">
        <v>344</v>
      </c>
      <c r="K612" s="4" t="s">
        <v>256</v>
      </c>
      <c r="L612" s="4" t="s">
        <v>2101</v>
      </c>
      <c r="M612" s="5" t="s">
        <v>2146</v>
      </c>
      <c r="N612" s="4" t="s">
        <v>2114</v>
      </c>
      <c r="O612" s="6">
        <f>62.1</f>
        <v>62.1</v>
      </c>
      <c r="P612" s="4" t="s">
        <v>276</v>
      </c>
      <c r="Q612" s="6">
        <f>1</f>
        <v>1</v>
      </c>
      <c r="R612" s="6">
        <f>6210000</f>
        <v>6210000</v>
      </c>
      <c r="S612" s="5" t="s">
        <v>924</v>
      </c>
      <c r="T612" s="4" t="s">
        <v>314</v>
      </c>
      <c r="U612" s="4" t="s">
        <v>927</v>
      </c>
      <c r="W612" s="6">
        <f>6209999</f>
        <v>6209999</v>
      </c>
      <c r="X612" s="4" t="s">
        <v>243</v>
      </c>
      <c r="Y612" s="4" t="s">
        <v>244</v>
      </c>
      <c r="Z612" s="4" t="s">
        <v>338</v>
      </c>
      <c r="AA612" s="4" t="s">
        <v>241</v>
      </c>
      <c r="AD612" s="4" t="s">
        <v>241</v>
      </c>
      <c r="AF612" s="5" t="s">
        <v>241</v>
      </c>
      <c r="AI612" s="5" t="s">
        <v>249</v>
      </c>
      <c r="AJ612" s="4" t="s">
        <v>251</v>
      </c>
      <c r="AK612" s="4" t="s">
        <v>252</v>
      </c>
      <c r="BA612" s="4" t="s">
        <v>254</v>
      </c>
      <c r="BB612" s="4" t="s">
        <v>241</v>
      </c>
      <c r="BC612" s="4" t="s">
        <v>255</v>
      </c>
      <c r="BD612" s="4" t="s">
        <v>241</v>
      </c>
      <c r="BE612" s="4" t="s">
        <v>257</v>
      </c>
      <c r="BF612" s="4" t="s">
        <v>241</v>
      </c>
      <c r="BJ612" s="4" t="s">
        <v>367</v>
      </c>
      <c r="BK612" s="5" t="s">
        <v>249</v>
      </c>
      <c r="BL612" s="4" t="s">
        <v>261</v>
      </c>
      <c r="BM612" s="4" t="s">
        <v>262</v>
      </c>
      <c r="BN612" s="4" t="s">
        <v>241</v>
      </c>
      <c r="BO612" s="6">
        <f>0</f>
        <v>0</v>
      </c>
      <c r="BP612" s="6">
        <f>0</f>
        <v>0</v>
      </c>
      <c r="BQ612" s="4" t="s">
        <v>263</v>
      </c>
      <c r="BR612" s="4" t="s">
        <v>264</v>
      </c>
      <c r="CF612" s="4" t="s">
        <v>241</v>
      </c>
      <c r="CG612" s="4" t="s">
        <v>241</v>
      </c>
      <c r="CK612" s="4" t="s">
        <v>265</v>
      </c>
      <c r="CL612" s="4" t="s">
        <v>266</v>
      </c>
      <c r="CM612" s="4" t="s">
        <v>241</v>
      </c>
      <c r="CO612" s="4" t="s">
        <v>926</v>
      </c>
      <c r="CP612" s="5" t="s">
        <v>268</v>
      </c>
      <c r="CQ612" s="4" t="s">
        <v>269</v>
      </c>
      <c r="CR612" s="4" t="s">
        <v>270</v>
      </c>
      <c r="CS612" s="4" t="s">
        <v>241</v>
      </c>
      <c r="CT612" s="4" t="s">
        <v>241</v>
      </c>
      <c r="CU612" s="4">
        <v>0</v>
      </c>
      <c r="CV612" s="4" t="s">
        <v>271</v>
      </c>
      <c r="CW612" s="4" t="s">
        <v>411</v>
      </c>
      <c r="CX612" s="4" t="s">
        <v>347</v>
      </c>
      <c r="CZ612" s="6">
        <f>6210000</f>
        <v>6210000</v>
      </c>
      <c r="DA612" s="6">
        <f>0</f>
        <v>0</v>
      </c>
      <c r="DC612" s="4" t="s">
        <v>241</v>
      </c>
      <c r="DD612" s="4" t="s">
        <v>241</v>
      </c>
      <c r="DF612" s="4" t="s">
        <v>241</v>
      </c>
      <c r="DI612" s="4" t="s">
        <v>241</v>
      </c>
      <c r="DJ612" s="4" t="s">
        <v>241</v>
      </c>
      <c r="DK612" s="4" t="s">
        <v>241</v>
      </c>
      <c r="DL612" s="4" t="s">
        <v>241</v>
      </c>
      <c r="DM612" s="4" t="s">
        <v>277</v>
      </c>
      <c r="DN612" s="4" t="s">
        <v>278</v>
      </c>
      <c r="DO612" s="6">
        <f>62.1</f>
        <v>62.1</v>
      </c>
      <c r="DP612" s="4" t="s">
        <v>241</v>
      </c>
      <c r="DQ612" s="4" t="s">
        <v>241</v>
      </c>
      <c r="DR612" s="4" t="s">
        <v>241</v>
      </c>
      <c r="DS612" s="4" t="s">
        <v>241</v>
      </c>
      <c r="DV612" s="4" t="s">
        <v>2147</v>
      </c>
      <c r="DW612" s="4" t="s">
        <v>409</v>
      </c>
      <c r="HO612" s="4" t="s">
        <v>277</v>
      </c>
      <c r="HR612" s="4" t="s">
        <v>278</v>
      </c>
      <c r="HS612" s="4" t="s">
        <v>278</v>
      </c>
    </row>
    <row r="613" spans="1:227" x14ac:dyDescent="0.4">
      <c r="A613" s="4">
        <v>2</v>
      </c>
      <c r="B613" s="4" t="s">
        <v>239</v>
      </c>
      <c r="C613" s="4">
        <v>649</v>
      </c>
      <c r="D613" s="4">
        <v>1</v>
      </c>
      <c r="E613" s="4">
        <v>1</v>
      </c>
      <c r="F613" s="4" t="s">
        <v>240</v>
      </c>
      <c r="G613" s="4" t="s">
        <v>241</v>
      </c>
      <c r="H613" s="4" t="s">
        <v>241</v>
      </c>
      <c r="I613" s="4" t="s">
        <v>2139</v>
      </c>
      <c r="J613" s="4" t="s">
        <v>344</v>
      </c>
      <c r="K613" s="4" t="s">
        <v>256</v>
      </c>
      <c r="L613" s="4" t="s">
        <v>2101</v>
      </c>
      <c r="M613" s="5" t="s">
        <v>2141</v>
      </c>
      <c r="N613" s="4" t="s">
        <v>2109</v>
      </c>
      <c r="O613" s="6">
        <f>73.44</f>
        <v>73.44</v>
      </c>
      <c r="P613" s="4" t="s">
        <v>276</v>
      </c>
      <c r="Q613" s="6">
        <f>1</f>
        <v>1</v>
      </c>
      <c r="R613" s="6">
        <f>7344000</f>
        <v>7344000</v>
      </c>
      <c r="S613" s="5" t="s">
        <v>2140</v>
      </c>
      <c r="T613" s="4" t="s">
        <v>314</v>
      </c>
      <c r="U613" s="4" t="s">
        <v>2143</v>
      </c>
      <c r="W613" s="6">
        <f>7343999</f>
        <v>7343999</v>
      </c>
      <c r="X613" s="4" t="s">
        <v>243</v>
      </c>
      <c r="Y613" s="4" t="s">
        <v>244</v>
      </c>
      <c r="Z613" s="4" t="s">
        <v>338</v>
      </c>
      <c r="AA613" s="4" t="s">
        <v>241</v>
      </c>
      <c r="AD613" s="4" t="s">
        <v>241</v>
      </c>
      <c r="AF613" s="5" t="s">
        <v>241</v>
      </c>
      <c r="AI613" s="5" t="s">
        <v>249</v>
      </c>
      <c r="AJ613" s="4" t="s">
        <v>251</v>
      </c>
      <c r="AK613" s="4" t="s">
        <v>252</v>
      </c>
      <c r="BA613" s="4" t="s">
        <v>254</v>
      </c>
      <c r="BB613" s="4" t="s">
        <v>241</v>
      </c>
      <c r="BC613" s="4" t="s">
        <v>255</v>
      </c>
      <c r="BD613" s="4" t="s">
        <v>241</v>
      </c>
      <c r="BE613" s="4" t="s">
        <v>257</v>
      </c>
      <c r="BF613" s="4" t="s">
        <v>241</v>
      </c>
      <c r="BJ613" s="4" t="s">
        <v>374</v>
      </c>
      <c r="BK613" s="5" t="s">
        <v>375</v>
      </c>
      <c r="BL613" s="4" t="s">
        <v>261</v>
      </c>
      <c r="BM613" s="4" t="s">
        <v>262</v>
      </c>
      <c r="BN613" s="4" t="s">
        <v>241</v>
      </c>
      <c r="BO613" s="6">
        <f>0</f>
        <v>0</v>
      </c>
      <c r="BP613" s="6">
        <f>0</f>
        <v>0</v>
      </c>
      <c r="BQ613" s="4" t="s">
        <v>263</v>
      </c>
      <c r="BR613" s="4" t="s">
        <v>264</v>
      </c>
      <c r="CF613" s="4" t="s">
        <v>241</v>
      </c>
      <c r="CG613" s="4" t="s">
        <v>241</v>
      </c>
      <c r="CK613" s="4" t="s">
        <v>265</v>
      </c>
      <c r="CL613" s="4" t="s">
        <v>266</v>
      </c>
      <c r="CM613" s="4" t="s">
        <v>241</v>
      </c>
      <c r="CO613" s="4" t="s">
        <v>2142</v>
      </c>
      <c r="CP613" s="5" t="s">
        <v>268</v>
      </c>
      <c r="CQ613" s="4" t="s">
        <v>269</v>
      </c>
      <c r="CR613" s="4" t="s">
        <v>270</v>
      </c>
      <c r="CS613" s="4" t="s">
        <v>241</v>
      </c>
      <c r="CT613" s="4" t="s">
        <v>241</v>
      </c>
      <c r="CU613" s="4">
        <v>0</v>
      </c>
      <c r="CV613" s="4" t="s">
        <v>271</v>
      </c>
      <c r="CW613" s="4" t="s">
        <v>411</v>
      </c>
      <c r="CX613" s="4" t="s">
        <v>347</v>
      </c>
      <c r="CZ613" s="6">
        <f>7344000</f>
        <v>7344000</v>
      </c>
      <c r="DA613" s="6">
        <f>0</f>
        <v>0</v>
      </c>
      <c r="DC613" s="4" t="s">
        <v>241</v>
      </c>
      <c r="DD613" s="4" t="s">
        <v>241</v>
      </c>
      <c r="DF613" s="4" t="s">
        <v>241</v>
      </c>
      <c r="DI613" s="4" t="s">
        <v>241</v>
      </c>
      <c r="DJ613" s="4" t="s">
        <v>241</v>
      </c>
      <c r="DK613" s="4" t="s">
        <v>241</v>
      </c>
      <c r="DL613" s="4" t="s">
        <v>241</v>
      </c>
      <c r="DM613" s="4" t="s">
        <v>277</v>
      </c>
      <c r="DN613" s="4" t="s">
        <v>278</v>
      </c>
      <c r="DO613" s="6">
        <f>73.44</f>
        <v>73.44</v>
      </c>
      <c r="DP613" s="4" t="s">
        <v>241</v>
      </c>
      <c r="DQ613" s="4" t="s">
        <v>241</v>
      </c>
      <c r="DR613" s="4" t="s">
        <v>241</v>
      </c>
      <c r="DS613" s="4" t="s">
        <v>241</v>
      </c>
      <c r="DV613" s="4" t="s">
        <v>2144</v>
      </c>
      <c r="DW613" s="4" t="s">
        <v>277</v>
      </c>
      <c r="HO613" s="4" t="s">
        <v>277</v>
      </c>
      <c r="HR613" s="4" t="s">
        <v>278</v>
      </c>
      <c r="HS613" s="4" t="s">
        <v>278</v>
      </c>
    </row>
    <row r="614" spans="1:227" x14ac:dyDescent="0.4">
      <c r="A614" s="4">
        <v>2</v>
      </c>
      <c r="B614" s="4" t="s">
        <v>239</v>
      </c>
      <c r="C614" s="4">
        <v>650</v>
      </c>
      <c r="D614" s="4">
        <v>1</v>
      </c>
      <c r="E614" s="4">
        <v>1</v>
      </c>
      <c r="F614" s="4" t="s">
        <v>240</v>
      </c>
      <c r="G614" s="4" t="s">
        <v>241</v>
      </c>
      <c r="H614" s="4" t="s">
        <v>241</v>
      </c>
      <c r="I614" s="4" t="s">
        <v>2139</v>
      </c>
      <c r="J614" s="4" t="s">
        <v>344</v>
      </c>
      <c r="K614" s="4" t="s">
        <v>256</v>
      </c>
      <c r="L614" s="4" t="s">
        <v>2101</v>
      </c>
      <c r="M614" s="5" t="s">
        <v>2141</v>
      </c>
      <c r="N614" s="4" t="s">
        <v>2122</v>
      </c>
      <c r="O614" s="6">
        <f>63.39</f>
        <v>63.39</v>
      </c>
      <c r="P614" s="4" t="s">
        <v>276</v>
      </c>
      <c r="Q614" s="6">
        <f>1</f>
        <v>1</v>
      </c>
      <c r="R614" s="6">
        <f>6339000</f>
        <v>6339000</v>
      </c>
      <c r="S614" s="5" t="s">
        <v>2140</v>
      </c>
      <c r="T614" s="4" t="s">
        <v>314</v>
      </c>
      <c r="U614" s="4" t="s">
        <v>2143</v>
      </c>
      <c r="W614" s="6">
        <f>6338999</f>
        <v>6338999</v>
      </c>
      <c r="X614" s="4" t="s">
        <v>243</v>
      </c>
      <c r="Y614" s="4" t="s">
        <v>244</v>
      </c>
      <c r="Z614" s="4" t="s">
        <v>338</v>
      </c>
      <c r="AA614" s="4" t="s">
        <v>241</v>
      </c>
      <c r="AD614" s="4" t="s">
        <v>241</v>
      </c>
      <c r="AF614" s="5" t="s">
        <v>241</v>
      </c>
      <c r="AI614" s="5" t="s">
        <v>249</v>
      </c>
      <c r="AJ614" s="4" t="s">
        <v>251</v>
      </c>
      <c r="AK614" s="4" t="s">
        <v>252</v>
      </c>
      <c r="BA614" s="4" t="s">
        <v>254</v>
      </c>
      <c r="BB614" s="4" t="s">
        <v>241</v>
      </c>
      <c r="BC614" s="4" t="s">
        <v>255</v>
      </c>
      <c r="BD614" s="4" t="s">
        <v>241</v>
      </c>
      <c r="BE614" s="4" t="s">
        <v>257</v>
      </c>
      <c r="BF614" s="4" t="s">
        <v>241</v>
      </c>
      <c r="BJ614" s="4" t="s">
        <v>377</v>
      </c>
      <c r="BK614" s="5" t="s">
        <v>378</v>
      </c>
      <c r="BL614" s="4" t="s">
        <v>261</v>
      </c>
      <c r="BM614" s="4" t="s">
        <v>262</v>
      </c>
      <c r="BN614" s="4" t="s">
        <v>241</v>
      </c>
      <c r="BO614" s="6">
        <f>0</f>
        <v>0</v>
      </c>
      <c r="BP614" s="6">
        <f>0</f>
        <v>0</v>
      </c>
      <c r="BQ614" s="4" t="s">
        <v>263</v>
      </c>
      <c r="BR614" s="4" t="s">
        <v>264</v>
      </c>
      <c r="CF614" s="4" t="s">
        <v>241</v>
      </c>
      <c r="CG614" s="4" t="s">
        <v>241</v>
      </c>
      <c r="CK614" s="4" t="s">
        <v>265</v>
      </c>
      <c r="CL614" s="4" t="s">
        <v>266</v>
      </c>
      <c r="CM614" s="4" t="s">
        <v>241</v>
      </c>
      <c r="CO614" s="4" t="s">
        <v>2142</v>
      </c>
      <c r="CP614" s="5" t="s">
        <v>268</v>
      </c>
      <c r="CQ614" s="4" t="s">
        <v>269</v>
      </c>
      <c r="CR614" s="4" t="s">
        <v>270</v>
      </c>
      <c r="CS614" s="4" t="s">
        <v>241</v>
      </c>
      <c r="CT614" s="4" t="s">
        <v>241</v>
      </c>
      <c r="CU614" s="4">
        <v>0</v>
      </c>
      <c r="CV614" s="4" t="s">
        <v>271</v>
      </c>
      <c r="CW614" s="4" t="s">
        <v>411</v>
      </c>
      <c r="CX614" s="4" t="s">
        <v>347</v>
      </c>
      <c r="CZ614" s="6">
        <f>6339000</f>
        <v>6339000</v>
      </c>
      <c r="DA614" s="6">
        <f>0</f>
        <v>0</v>
      </c>
      <c r="DC614" s="4" t="s">
        <v>241</v>
      </c>
      <c r="DD614" s="4" t="s">
        <v>241</v>
      </c>
      <c r="DF614" s="4" t="s">
        <v>241</v>
      </c>
      <c r="DI614" s="4" t="s">
        <v>241</v>
      </c>
      <c r="DJ614" s="4" t="s">
        <v>241</v>
      </c>
      <c r="DK614" s="4" t="s">
        <v>241</v>
      </c>
      <c r="DL614" s="4" t="s">
        <v>241</v>
      </c>
      <c r="DM614" s="4" t="s">
        <v>277</v>
      </c>
      <c r="DN614" s="4" t="s">
        <v>278</v>
      </c>
      <c r="DO614" s="6">
        <f>63.39</f>
        <v>63.39</v>
      </c>
      <c r="DP614" s="4" t="s">
        <v>241</v>
      </c>
      <c r="DQ614" s="4" t="s">
        <v>241</v>
      </c>
      <c r="DR614" s="4" t="s">
        <v>241</v>
      </c>
      <c r="DS614" s="4" t="s">
        <v>241</v>
      </c>
      <c r="DV614" s="4" t="s">
        <v>2144</v>
      </c>
      <c r="DW614" s="4" t="s">
        <v>323</v>
      </c>
      <c r="HO614" s="4" t="s">
        <v>277</v>
      </c>
      <c r="HR614" s="4" t="s">
        <v>278</v>
      </c>
      <c r="HS614" s="4" t="s">
        <v>278</v>
      </c>
    </row>
    <row r="615" spans="1:227" x14ac:dyDescent="0.4">
      <c r="A615" s="4">
        <v>2</v>
      </c>
      <c r="B615" s="4" t="s">
        <v>239</v>
      </c>
      <c r="C615" s="4">
        <v>651</v>
      </c>
      <c r="D615" s="4">
        <v>1</v>
      </c>
      <c r="E615" s="4">
        <v>1</v>
      </c>
      <c r="F615" s="4" t="s">
        <v>240</v>
      </c>
      <c r="G615" s="4" t="s">
        <v>241</v>
      </c>
      <c r="H615" s="4" t="s">
        <v>241</v>
      </c>
      <c r="I615" s="4" t="s">
        <v>2139</v>
      </c>
      <c r="J615" s="4" t="s">
        <v>344</v>
      </c>
      <c r="K615" s="4" t="s">
        <v>256</v>
      </c>
      <c r="L615" s="4" t="s">
        <v>2101</v>
      </c>
      <c r="M615" s="5" t="s">
        <v>2141</v>
      </c>
      <c r="N615" s="4" t="s">
        <v>2098</v>
      </c>
      <c r="O615" s="6">
        <f>63.39</f>
        <v>63.39</v>
      </c>
      <c r="P615" s="4" t="s">
        <v>276</v>
      </c>
      <c r="Q615" s="6">
        <f>1</f>
        <v>1</v>
      </c>
      <c r="R615" s="6">
        <f>6339000</f>
        <v>6339000</v>
      </c>
      <c r="S615" s="5" t="s">
        <v>2140</v>
      </c>
      <c r="T615" s="4" t="s">
        <v>314</v>
      </c>
      <c r="U615" s="4" t="s">
        <v>2143</v>
      </c>
      <c r="W615" s="6">
        <f>6338999</f>
        <v>6338999</v>
      </c>
      <c r="X615" s="4" t="s">
        <v>243</v>
      </c>
      <c r="Y615" s="4" t="s">
        <v>244</v>
      </c>
      <c r="Z615" s="4" t="s">
        <v>338</v>
      </c>
      <c r="AA615" s="4" t="s">
        <v>241</v>
      </c>
      <c r="AD615" s="4" t="s">
        <v>241</v>
      </c>
      <c r="AF615" s="5" t="s">
        <v>241</v>
      </c>
      <c r="AI615" s="5" t="s">
        <v>249</v>
      </c>
      <c r="AJ615" s="4" t="s">
        <v>251</v>
      </c>
      <c r="AK615" s="4" t="s">
        <v>252</v>
      </c>
      <c r="BA615" s="4" t="s">
        <v>254</v>
      </c>
      <c r="BB615" s="4" t="s">
        <v>241</v>
      </c>
      <c r="BC615" s="4" t="s">
        <v>255</v>
      </c>
      <c r="BD615" s="4" t="s">
        <v>241</v>
      </c>
      <c r="BE615" s="4" t="s">
        <v>257</v>
      </c>
      <c r="BF615" s="4" t="s">
        <v>241</v>
      </c>
      <c r="BJ615" s="4" t="s">
        <v>259</v>
      </c>
      <c r="BK615" s="5" t="s">
        <v>260</v>
      </c>
      <c r="BL615" s="4" t="s">
        <v>261</v>
      </c>
      <c r="BM615" s="4" t="s">
        <v>262</v>
      </c>
      <c r="BN615" s="4" t="s">
        <v>241</v>
      </c>
      <c r="BO615" s="6">
        <f>0</f>
        <v>0</v>
      </c>
      <c r="BP615" s="6">
        <f>0</f>
        <v>0</v>
      </c>
      <c r="BQ615" s="4" t="s">
        <v>263</v>
      </c>
      <c r="BR615" s="4" t="s">
        <v>264</v>
      </c>
      <c r="CF615" s="4" t="s">
        <v>241</v>
      </c>
      <c r="CG615" s="4" t="s">
        <v>241</v>
      </c>
      <c r="CK615" s="4" t="s">
        <v>265</v>
      </c>
      <c r="CL615" s="4" t="s">
        <v>266</v>
      </c>
      <c r="CM615" s="4" t="s">
        <v>241</v>
      </c>
      <c r="CO615" s="4" t="s">
        <v>2142</v>
      </c>
      <c r="CP615" s="5" t="s">
        <v>268</v>
      </c>
      <c r="CQ615" s="4" t="s">
        <v>269</v>
      </c>
      <c r="CR615" s="4" t="s">
        <v>270</v>
      </c>
      <c r="CS615" s="4" t="s">
        <v>241</v>
      </c>
      <c r="CT615" s="4" t="s">
        <v>241</v>
      </c>
      <c r="CU615" s="4">
        <v>0</v>
      </c>
      <c r="CV615" s="4" t="s">
        <v>271</v>
      </c>
      <c r="CW615" s="4" t="s">
        <v>411</v>
      </c>
      <c r="CX615" s="4" t="s">
        <v>347</v>
      </c>
      <c r="CZ615" s="6">
        <f>6339000</f>
        <v>6339000</v>
      </c>
      <c r="DA615" s="6">
        <f>0</f>
        <v>0</v>
      </c>
      <c r="DC615" s="4" t="s">
        <v>241</v>
      </c>
      <c r="DD615" s="4" t="s">
        <v>241</v>
      </c>
      <c r="DF615" s="4" t="s">
        <v>241</v>
      </c>
      <c r="DI615" s="4" t="s">
        <v>241</v>
      </c>
      <c r="DJ615" s="4" t="s">
        <v>241</v>
      </c>
      <c r="DK615" s="4" t="s">
        <v>241</v>
      </c>
      <c r="DL615" s="4" t="s">
        <v>241</v>
      </c>
      <c r="DM615" s="4" t="s">
        <v>277</v>
      </c>
      <c r="DN615" s="4" t="s">
        <v>278</v>
      </c>
      <c r="DO615" s="6">
        <f>63.39</f>
        <v>63.39</v>
      </c>
      <c r="DP615" s="4" t="s">
        <v>241</v>
      </c>
      <c r="DQ615" s="4" t="s">
        <v>241</v>
      </c>
      <c r="DR615" s="4" t="s">
        <v>241</v>
      </c>
      <c r="DS615" s="4" t="s">
        <v>241</v>
      </c>
      <c r="DV615" s="4" t="s">
        <v>2144</v>
      </c>
      <c r="DW615" s="4" t="s">
        <v>297</v>
      </c>
      <c r="HO615" s="4" t="s">
        <v>277</v>
      </c>
      <c r="HR615" s="4" t="s">
        <v>278</v>
      </c>
      <c r="HS615" s="4" t="s">
        <v>278</v>
      </c>
    </row>
    <row r="616" spans="1:227" x14ac:dyDescent="0.4">
      <c r="A616" s="4">
        <v>2</v>
      </c>
      <c r="B616" s="4" t="s">
        <v>239</v>
      </c>
      <c r="C616" s="4">
        <v>652</v>
      </c>
      <c r="D616" s="4">
        <v>1</v>
      </c>
      <c r="E616" s="4">
        <v>1</v>
      </c>
      <c r="F616" s="4" t="s">
        <v>240</v>
      </c>
      <c r="G616" s="4" t="s">
        <v>241</v>
      </c>
      <c r="H616" s="4" t="s">
        <v>241</v>
      </c>
      <c r="I616" s="4" t="s">
        <v>2139</v>
      </c>
      <c r="J616" s="4" t="s">
        <v>344</v>
      </c>
      <c r="K616" s="4" t="s">
        <v>256</v>
      </c>
      <c r="L616" s="4" t="s">
        <v>2101</v>
      </c>
      <c r="M616" s="5" t="s">
        <v>2141</v>
      </c>
      <c r="N616" s="4" t="s">
        <v>2191</v>
      </c>
      <c r="O616" s="6">
        <f>63.39</f>
        <v>63.39</v>
      </c>
      <c r="P616" s="4" t="s">
        <v>276</v>
      </c>
      <c r="Q616" s="6">
        <f>1</f>
        <v>1</v>
      </c>
      <c r="R616" s="6">
        <f>6339000</f>
        <v>6339000</v>
      </c>
      <c r="S616" s="5" t="s">
        <v>2140</v>
      </c>
      <c r="T616" s="4" t="s">
        <v>314</v>
      </c>
      <c r="U616" s="4" t="s">
        <v>2143</v>
      </c>
      <c r="W616" s="6">
        <f>6338999</f>
        <v>6338999</v>
      </c>
      <c r="X616" s="4" t="s">
        <v>243</v>
      </c>
      <c r="Y616" s="4" t="s">
        <v>244</v>
      </c>
      <c r="Z616" s="4" t="s">
        <v>338</v>
      </c>
      <c r="AA616" s="4" t="s">
        <v>241</v>
      </c>
      <c r="AD616" s="4" t="s">
        <v>241</v>
      </c>
      <c r="AF616" s="5" t="s">
        <v>241</v>
      </c>
      <c r="AI616" s="5" t="s">
        <v>249</v>
      </c>
      <c r="AJ616" s="4" t="s">
        <v>251</v>
      </c>
      <c r="AK616" s="4" t="s">
        <v>252</v>
      </c>
      <c r="BA616" s="4" t="s">
        <v>254</v>
      </c>
      <c r="BB616" s="4" t="s">
        <v>241</v>
      </c>
      <c r="BC616" s="4" t="s">
        <v>255</v>
      </c>
      <c r="BD616" s="4" t="s">
        <v>241</v>
      </c>
      <c r="BE616" s="4" t="s">
        <v>257</v>
      </c>
      <c r="BF616" s="4" t="s">
        <v>241</v>
      </c>
      <c r="BJ616" s="4" t="s">
        <v>367</v>
      </c>
      <c r="BK616" s="5" t="s">
        <v>249</v>
      </c>
      <c r="BL616" s="4" t="s">
        <v>261</v>
      </c>
      <c r="BM616" s="4" t="s">
        <v>262</v>
      </c>
      <c r="BN616" s="4" t="s">
        <v>241</v>
      </c>
      <c r="BO616" s="6">
        <f>0</f>
        <v>0</v>
      </c>
      <c r="BP616" s="6">
        <f>0</f>
        <v>0</v>
      </c>
      <c r="BQ616" s="4" t="s">
        <v>263</v>
      </c>
      <c r="BR616" s="4" t="s">
        <v>264</v>
      </c>
      <c r="CF616" s="4" t="s">
        <v>241</v>
      </c>
      <c r="CG616" s="4" t="s">
        <v>241</v>
      </c>
      <c r="CK616" s="4" t="s">
        <v>265</v>
      </c>
      <c r="CL616" s="4" t="s">
        <v>266</v>
      </c>
      <c r="CM616" s="4" t="s">
        <v>241</v>
      </c>
      <c r="CO616" s="4" t="s">
        <v>2142</v>
      </c>
      <c r="CP616" s="5" t="s">
        <v>268</v>
      </c>
      <c r="CQ616" s="4" t="s">
        <v>269</v>
      </c>
      <c r="CR616" s="4" t="s">
        <v>270</v>
      </c>
      <c r="CS616" s="4" t="s">
        <v>241</v>
      </c>
      <c r="CT616" s="4" t="s">
        <v>241</v>
      </c>
      <c r="CU616" s="4">
        <v>0</v>
      </c>
      <c r="CV616" s="4" t="s">
        <v>271</v>
      </c>
      <c r="CW616" s="4" t="s">
        <v>411</v>
      </c>
      <c r="CX616" s="4" t="s">
        <v>347</v>
      </c>
      <c r="CZ616" s="6">
        <f>6339000</f>
        <v>6339000</v>
      </c>
      <c r="DA616" s="6">
        <f>0</f>
        <v>0</v>
      </c>
      <c r="DC616" s="4" t="s">
        <v>241</v>
      </c>
      <c r="DD616" s="4" t="s">
        <v>241</v>
      </c>
      <c r="DF616" s="4" t="s">
        <v>241</v>
      </c>
      <c r="DI616" s="4" t="s">
        <v>241</v>
      </c>
      <c r="DJ616" s="4" t="s">
        <v>241</v>
      </c>
      <c r="DK616" s="4" t="s">
        <v>241</v>
      </c>
      <c r="DL616" s="4" t="s">
        <v>241</v>
      </c>
      <c r="DM616" s="4" t="s">
        <v>277</v>
      </c>
      <c r="DN616" s="4" t="s">
        <v>278</v>
      </c>
      <c r="DO616" s="6">
        <f>63.39</f>
        <v>63.39</v>
      </c>
      <c r="DP616" s="4" t="s">
        <v>241</v>
      </c>
      <c r="DQ616" s="4" t="s">
        <v>241</v>
      </c>
      <c r="DR616" s="4" t="s">
        <v>241</v>
      </c>
      <c r="DS616" s="4" t="s">
        <v>241</v>
      </c>
      <c r="DV616" s="4" t="s">
        <v>2144</v>
      </c>
      <c r="DW616" s="4" t="s">
        <v>336</v>
      </c>
      <c r="HO616" s="4" t="s">
        <v>277</v>
      </c>
      <c r="HR616" s="4" t="s">
        <v>278</v>
      </c>
      <c r="HS616" s="4" t="s">
        <v>278</v>
      </c>
    </row>
    <row r="617" spans="1:227" x14ac:dyDescent="0.4">
      <c r="A617" s="4">
        <v>2</v>
      </c>
      <c r="B617" s="4" t="s">
        <v>239</v>
      </c>
      <c r="C617" s="4">
        <v>653</v>
      </c>
      <c r="D617" s="4">
        <v>1</v>
      </c>
      <c r="E617" s="4">
        <v>1</v>
      </c>
      <c r="F617" s="4" t="s">
        <v>240</v>
      </c>
      <c r="G617" s="4" t="s">
        <v>241</v>
      </c>
      <c r="H617" s="4" t="s">
        <v>241</v>
      </c>
      <c r="I617" s="4" t="s">
        <v>2139</v>
      </c>
      <c r="J617" s="4" t="s">
        <v>344</v>
      </c>
      <c r="K617" s="4" t="s">
        <v>256</v>
      </c>
      <c r="L617" s="4" t="s">
        <v>2101</v>
      </c>
      <c r="M617" s="5" t="s">
        <v>2141</v>
      </c>
      <c r="N617" s="4" t="s">
        <v>2192</v>
      </c>
      <c r="O617" s="6">
        <f>63.39</f>
        <v>63.39</v>
      </c>
      <c r="P617" s="4" t="s">
        <v>276</v>
      </c>
      <c r="Q617" s="6">
        <f>1</f>
        <v>1</v>
      </c>
      <c r="R617" s="6">
        <f>6339000</f>
        <v>6339000</v>
      </c>
      <c r="S617" s="5" t="s">
        <v>2140</v>
      </c>
      <c r="T617" s="4" t="s">
        <v>314</v>
      </c>
      <c r="U617" s="4" t="s">
        <v>2143</v>
      </c>
      <c r="W617" s="6">
        <f>6338999</f>
        <v>6338999</v>
      </c>
      <c r="X617" s="4" t="s">
        <v>243</v>
      </c>
      <c r="Y617" s="4" t="s">
        <v>244</v>
      </c>
      <c r="Z617" s="4" t="s">
        <v>338</v>
      </c>
      <c r="AA617" s="4" t="s">
        <v>241</v>
      </c>
      <c r="AD617" s="4" t="s">
        <v>241</v>
      </c>
      <c r="AF617" s="5" t="s">
        <v>241</v>
      </c>
      <c r="AI617" s="5" t="s">
        <v>249</v>
      </c>
      <c r="AJ617" s="4" t="s">
        <v>251</v>
      </c>
      <c r="AK617" s="4" t="s">
        <v>252</v>
      </c>
      <c r="BA617" s="4" t="s">
        <v>254</v>
      </c>
      <c r="BB617" s="4" t="s">
        <v>241</v>
      </c>
      <c r="BC617" s="4" t="s">
        <v>255</v>
      </c>
      <c r="BD617" s="4" t="s">
        <v>241</v>
      </c>
      <c r="BE617" s="4" t="s">
        <v>257</v>
      </c>
      <c r="BF617" s="4" t="s">
        <v>241</v>
      </c>
      <c r="BJ617" s="4" t="s">
        <v>374</v>
      </c>
      <c r="BK617" s="5" t="s">
        <v>375</v>
      </c>
      <c r="BL617" s="4" t="s">
        <v>261</v>
      </c>
      <c r="BM617" s="4" t="s">
        <v>262</v>
      </c>
      <c r="BN617" s="4" t="s">
        <v>241</v>
      </c>
      <c r="BO617" s="6">
        <f>0</f>
        <v>0</v>
      </c>
      <c r="BP617" s="6">
        <f>0</f>
        <v>0</v>
      </c>
      <c r="BQ617" s="4" t="s">
        <v>263</v>
      </c>
      <c r="BR617" s="4" t="s">
        <v>264</v>
      </c>
      <c r="CF617" s="4" t="s">
        <v>241</v>
      </c>
      <c r="CG617" s="4" t="s">
        <v>241</v>
      </c>
      <c r="CK617" s="4" t="s">
        <v>265</v>
      </c>
      <c r="CL617" s="4" t="s">
        <v>266</v>
      </c>
      <c r="CM617" s="4" t="s">
        <v>241</v>
      </c>
      <c r="CO617" s="4" t="s">
        <v>2142</v>
      </c>
      <c r="CP617" s="5" t="s">
        <v>268</v>
      </c>
      <c r="CQ617" s="4" t="s">
        <v>269</v>
      </c>
      <c r="CR617" s="4" t="s">
        <v>270</v>
      </c>
      <c r="CS617" s="4" t="s">
        <v>241</v>
      </c>
      <c r="CT617" s="4" t="s">
        <v>241</v>
      </c>
      <c r="CU617" s="4">
        <v>0</v>
      </c>
      <c r="CV617" s="4" t="s">
        <v>271</v>
      </c>
      <c r="CW617" s="4" t="s">
        <v>411</v>
      </c>
      <c r="CX617" s="4" t="s">
        <v>347</v>
      </c>
      <c r="CZ617" s="6">
        <f>6339000</f>
        <v>6339000</v>
      </c>
      <c r="DA617" s="6">
        <f>0</f>
        <v>0</v>
      </c>
      <c r="DC617" s="4" t="s">
        <v>241</v>
      </c>
      <c r="DD617" s="4" t="s">
        <v>241</v>
      </c>
      <c r="DF617" s="4" t="s">
        <v>241</v>
      </c>
      <c r="DI617" s="4" t="s">
        <v>241</v>
      </c>
      <c r="DJ617" s="4" t="s">
        <v>241</v>
      </c>
      <c r="DK617" s="4" t="s">
        <v>241</v>
      </c>
      <c r="DL617" s="4" t="s">
        <v>241</v>
      </c>
      <c r="DM617" s="4" t="s">
        <v>277</v>
      </c>
      <c r="DN617" s="4" t="s">
        <v>278</v>
      </c>
      <c r="DO617" s="6">
        <f>63.39</f>
        <v>63.39</v>
      </c>
      <c r="DP617" s="4" t="s">
        <v>241</v>
      </c>
      <c r="DQ617" s="4" t="s">
        <v>241</v>
      </c>
      <c r="DR617" s="4" t="s">
        <v>241</v>
      </c>
      <c r="DS617" s="4" t="s">
        <v>241</v>
      </c>
      <c r="DV617" s="4" t="s">
        <v>2144</v>
      </c>
      <c r="DW617" s="4" t="s">
        <v>351</v>
      </c>
      <c r="HO617" s="4" t="s">
        <v>277</v>
      </c>
      <c r="HR617" s="4" t="s">
        <v>278</v>
      </c>
      <c r="HS617" s="4" t="s">
        <v>278</v>
      </c>
    </row>
    <row r="618" spans="1:227" x14ac:dyDescent="0.4">
      <c r="A618" s="4">
        <v>2</v>
      </c>
      <c r="B618" s="4" t="s">
        <v>239</v>
      </c>
      <c r="C618" s="4">
        <v>654</v>
      </c>
      <c r="D618" s="4">
        <v>1</v>
      </c>
      <c r="E618" s="4">
        <v>1</v>
      </c>
      <c r="F618" s="4" t="s">
        <v>240</v>
      </c>
      <c r="G618" s="4" t="s">
        <v>241</v>
      </c>
      <c r="H618" s="4" t="s">
        <v>241</v>
      </c>
      <c r="I618" s="4" t="s">
        <v>2139</v>
      </c>
      <c r="J618" s="4" t="s">
        <v>344</v>
      </c>
      <c r="K618" s="4" t="s">
        <v>256</v>
      </c>
      <c r="L618" s="4" t="s">
        <v>2101</v>
      </c>
      <c r="M618" s="5" t="s">
        <v>2141</v>
      </c>
      <c r="N618" s="4" t="s">
        <v>2173</v>
      </c>
      <c r="O618" s="6">
        <f>31.7</f>
        <v>31.7</v>
      </c>
      <c r="P618" s="4" t="s">
        <v>276</v>
      </c>
      <c r="Q618" s="6">
        <f>1</f>
        <v>1</v>
      </c>
      <c r="R618" s="6">
        <f>3170000</f>
        <v>3170000</v>
      </c>
      <c r="S618" s="5" t="s">
        <v>2140</v>
      </c>
      <c r="T618" s="4" t="s">
        <v>314</v>
      </c>
      <c r="U618" s="4" t="s">
        <v>2143</v>
      </c>
      <c r="W618" s="6">
        <f>3169999</f>
        <v>3169999</v>
      </c>
      <c r="X618" s="4" t="s">
        <v>243</v>
      </c>
      <c r="Y618" s="4" t="s">
        <v>244</v>
      </c>
      <c r="Z618" s="4" t="s">
        <v>338</v>
      </c>
      <c r="AA618" s="4" t="s">
        <v>241</v>
      </c>
      <c r="AD618" s="4" t="s">
        <v>241</v>
      </c>
      <c r="AF618" s="5" t="s">
        <v>241</v>
      </c>
      <c r="AI618" s="5" t="s">
        <v>249</v>
      </c>
      <c r="AJ618" s="4" t="s">
        <v>251</v>
      </c>
      <c r="AK618" s="4" t="s">
        <v>252</v>
      </c>
      <c r="BA618" s="4" t="s">
        <v>254</v>
      </c>
      <c r="BB618" s="4" t="s">
        <v>241</v>
      </c>
      <c r="BC618" s="4" t="s">
        <v>255</v>
      </c>
      <c r="BD618" s="4" t="s">
        <v>241</v>
      </c>
      <c r="BE618" s="4" t="s">
        <v>257</v>
      </c>
      <c r="BF618" s="4" t="s">
        <v>241</v>
      </c>
      <c r="BJ618" s="4" t="s">
        <v>377</v>
      </c>
      <c r="BK618" s="5" t="s">
        <v>378</v>
      </c>
      <c r="BL618" s="4" t="s">
        <v>261</v>
      </c>
      <c r="BM618" s="4" t="s">
        <v>262</v>
      </c>
      <c r="BN618" s="4" t="s">
        <v>241</v>
      </c>
      <c r="BO618" s="6">
        <f>0</f>
        <v>0</v>
      </c>
      <c r="BP618" s="6">
        <f>0</f>
        <v>0</v>
      </c>
      <c r="BQ618" s="4" t="s">
        <v>263</v>
      </c>
      <c r="BR618" s="4" t="s">
        <v>264</v>
      </c>
      <c r="CF618" s="4" t="s">
        <v>241</v>
      </c>
      <c r="CG618" s="4" t="s">
        <v>241</v>
      </c>
      <c r="CK618" s="4" t="s">
        <v>265</v>
      </c>
      <c r="CL618" s="4" t="s">
        <v>266</v>
      </c>
      <c r="CM618" s="4" t="s">
        <v>241</v>
      </c>
      <c r="CO618" s="4" t="s">
        <v>2142</v>
      </c>
      <c r="CP618" s="5" t="s">
        <v>268</v>
      </c>
      <c r="CQ618" s="4" t="s">
        <v>269</v>
      </c>
      <c r="CR618" s="4" t="s">
        <v>270</v>
      </c>
      <c r="CS618" s="4" t="s">
        <v>241</v>
      </c>
      <c r="CT618" s="4" t="s">
        <v>241</v>
      </c>
      <c r="CU618" s="4">
        <v>0</v>
      </c>
      <c r="CV618" s="4" t="s">
        <v>271</v>
      </c>
      <c r="CW618" s="4" t="s">
        <v>411</v>
      </c>
      <c r="CX618" s="4" t="s">
        <v>347</v>
      </c>
      <c r="CZ618" s="6">
        <f>3170000</f>
        <v>3170000</v>
      </c>
      <c r="DA618" s="6">
        <f>0</f>
        <v>0</v>
      </c>
      <c r="DC618" s="4" t="s">
        <v>241</v>
      </c>
      <c r="DD618" s="4" t="s">
        <v>241</v>
      </c>
      <c r="DF618" s="4" t="s">
        <v>241</v>
      </c>
      <c r="DI618" s="4" t="s">
        <v>241</v>
      </c>
      <c r="DJ618" s="4" t="s">
        <v>241</v>
      </c>
      <c r="DK618" s="4" t="s">
        <v>241</v>
      </c>
      <c r="DL618" s="4" t="s">
        <v>241</v>
      </c>
      <c r="DM618" s="4" t="s">
        <v>277</v>
      </c>
      <c r="DN618" s="4" t="s">
        <v>278</v>
      </c>
      <c r="DO618" s="6">
        <f>31.7</f>
        <v>31.7</v>
      </c>
      <c r="DP618" s="4" t="s">
        <v>241</v>
      </c>
      <c r="DQ618" s="4" t="s">
        <v>241</v>
      </c>
      <c r="DR618" s="4" t="s">
        <v>241</v>
      </c>
      <c r="DS618" s="4" t="s">
        <v>241</v>
      </c>
      <c r="DV618" s="4" t="s">
        <v>2144</v>
      </c>
      <c r="DW618" s="4" t="s">
        <v>300</v>
      </c>
      <c r="HO618" s="4" t="s">
        <v>277</v>
      </c>
      <c r="HR618" s="4" t="s">
        <v>278</v>
      </c>
      <c r="HS618" s="4" t="s">
        <v>278</v>
      </c>
    </row>
    <row r="619" spans="1:227" x14ac:dyDescent="0.4">
      <c r="A619" s="4">
        <v>2</v>
      </c>
      <c r="B619" s="4" t="s">
        <v>239</v>
      </c>
      <c r="C619" s="4">
        <v>655</v>
      </c>
      <c r="D619" s="4">
        <v>1</v>
      </c>
      <c r="E619" s="4">
        <v>1</v>
      </c>
      <c r="F619" s="4" t="s">
        <v>240</v>
      </c>
      <c r="G619" s="4" t="s">
        <v>241</v>
      </c>
      <c r="H619" s="4" t="s">
        <v>241</v>
      </c>
      <c r="I619" s="4" t="s">
        <v>2139</v>
      </c>
      <c r="J619" s="4" t="s">
        <v>344</v>
      </c>
      <c r="K619" s="4" t="s">
        <v>256</v>
      </c>
      <c r="L619" s="4" t="s">
        <v>2101</v>
      </c>
      <c r="M619" s="5" t="s">
        <v>2141</v>
      </c>
      <c r="N619" s="4" t="s">
        <v>2174</v>
      </c>
      <c r="O619" s="6">
        <f>31.7</f>
        <v>31.7</v>
      </c>
      <c r="P619" s="4" t="s">
        <v>276</v>
      </c>
      <c r="Q619" s="6">
        <f>1</f>
        <v>1</v>
      </c>
      <c r="R619" s="6">
        <f>3170000</f>
        <v>3170000</v>
      </c>
      <c r="S619" s="5" t="s">
        <v>2140</v>
      </c>
      <c r="T619" s="4" t="s">
        <v>314</v>
      </c>
      <c r="U619" s="4" t="s">
        <v>2143</v>
      </c>
      <c r="W619" s="6">
        <f>3169999</f>
        <v>3169999</v>
      </c>
      <c r="X619" s="4" t="s">
        <v>243</v>
      </c>
      <c r="Y619" s="4" t="s">
        <v>244</v>
      </c>
      <c r="Z619" s="4" t="s">
        <v>338</v>
      </c>
      <c r="AA619" s="4" t="s">
        <v>241</v>
      </c>
      <c r="AD619" s="4" t="s">
        <v>241</v>
      </c>
      <c r="AF619" s="5" t="s">
        <v>241</v>
      </c>
      <c r="AI619" s="5" t="s">
        <v>249</v>
      </c>
      <c r="AJ619" s="4" t="s">
        <v>251</v>
      </c>
      <c r="AK619" s="4" t="s">
        <v>252</v>
      </c>
      <c r="BA619" s="4" t="s">
        <v>254</v>
      </c>
      <c r="BB619" s="4" t="s">
        <v>241</v>
      </c>
      <c r="BC619" s="4" t="s">
        <v>255</v>
      </c>
      <c r="BD619" s="4" t="s">
        <v>241</v>
      </c>
      <c r="BE619" s="4" t="s">
        <v>257</v>
      </c>
      <c r="BF619" s="4" t="s">
        <v>241</v>
      </c>
      <c r="BJ619" s="4" t="s">
        <v>259</v>
      </c>
      <c r="BK619" s="5" t="s">
        <v>260</v>
      </c>
      <c r="BL619" s="4" t="s">
        <v>261</v>
      </c>
      <c r="BM619" s="4" t="s">
        <v>262</v>
      </c>
      <c r="BN619" s="4" t="s">
        <v>241</v>
      </c>
      <c r="BO619" s="6">
        <f>0</f>
        <v>0</v>
      </c>
      <c r="BP619" s="6">
        <f>0</f>
        <v>0</v>
      </c>
      <c r="BQ619" s="4" t="s">
        <v>263</v>
      </c>
      <c r="BR619" s="4" t="s">
        <v>264</v>
      </c>
      <c r="CF619" s="4" t="s">
        <v>241</v>
      </c>
      <c r="CG619" s="4" t="s">
        <v>241</v>
      </c>
      <c r="CK619" s="4" t="s">
        <v>265</v>
      </c>
      <c r="CL619" s="4" t="s">
        <v>266</v>
      </c>
      <c r="CM619" s="4" t="s">
        <v>241</v>
      </c>
      <c r="CO619" s="4" t="s">
        <v>2142</v>
      </c>
      <c r="CP619" s="5" t="s">
        <v>268</v>
      </c>
      <c r="CQ619" s="4" t="s">
        <v>269</v>
      </c>
      <c r="CR619" s="4" t="s">
        <v>270</v>
      </c>
      <c r="CS619" s="4" t="s">
        <v>241</v>
      </c>
      <c r="CT619" s="4" t="s">
        <v>241</v>
      </c>
      <c r="CU619" s="4">
        <v>0</v>
      </c>
      <c r="CV619" s="4" t="s">
        <v>271</v>
      </c>
      <c r="CW619" s="4" t="s">
        <v>411</v>
      </c>
      <c r="CX619" s="4" t="s">
        <v>347</v>
      </c>
      <c r="CZ619" s="6">
        <f>3170000</f>
        <v>3170000</v>
      </c>
      <c r="DA619" s="6">
        <f>0</f>
        <v>0</v>
      </c>
      <c r="DC619" s="4" t="s">
        <v>241</v>
      </c>
      <c r="DD619" s="4" t="s">
        <v>241</v>
      </c>
      <c r="DF619" s="4" t="s">
        <v>241</v>
      </c>
      <c r="DI619" s="4" t="s">
        <v>241</v>
      </c>
      <c r="DJ619" s="4" t="s">
        <v>241</v>
      </c>
      <c r="DK619" s="4" t="s">
        <v>241</v>
      </c>
      <c r="DL619" s="4" t="s">
        <v>241</v>
      </c>
      <c r="DM619" s="4" t="s">
        <v>277</v>
      </c>
      <c r="DN619" s="4" t="s">
        <v>278</v>
      </c>
      <c r="DO619" s="6">
        <f>31.7</f>
        <v>31.7</v>
      </c>
      <c r="DP619" s="4" t="s">
        <v>241</v>
      </c>
      <c r="DQ619" s="4" t="s">
        <v>241</v>
      </c>
      <c r="DR619" s="4" t="s">
        <v>241</v>
      </c>
      <c r="DS619" s="4" t="s">
        <v>241</v>
      </c>
      <c r="DV619" s="4" t="s">
        <v>2144</v>
      </c>
      <c r="DW619" s="4" t="s">
        <v>341</v>
      </c>
      <c r="HO619" s="4" t="s">
        <v>277</v>
      </c>
      <c r="HR619" s="4" t="s">
        <v>278</v>
      </c>
      <c r="HS619" s="4" t="s">
        <v>278</v>
      </c>
    </row>
    <row r="620" spans="1:227" x14ac:dyDescent="0.4">
      <c r="A620" s="4">
        <v>2</v>
      </c>
      <c r="B620" s="4" t="s">
        <v>239</v>
      </c>
      <c r="C620" s="4">
        <v>656</v>
      </c>
      <c r="D620" s="4">
        <v>1</v>
      </c>
      <c r="E620" s="4">
        <v>1</v>
      </c>
      <c r="F620" s="4" t="s">
        <v>240</v>
      </c>
      <c r="G620" s="4" t="s">
        <v>241</v>
      </c>
      <c r="H620" s="4" t="s">
        <v>241</v>
      </c>
      <c r="I620" s="4" t="s">
        <v>2139</v>
      </c>
      <c r="J620" s="4" t="s">
        <v>344</v>
      </c>
      <c r="K620" s="4" t="s">
        <v>256</v>
      </c>
      <c r="L620" s="4" t="s">
        <v>2101</v>
      </c>
      <c r="M620" s="5" t="s">
        <v>2141</v>
      </c>
      <c r="N620" s="4" t="s">
        <v>2154</v>
      </c>
      <c r="O620" s="6">
        <f>31.7</f>
        <v>31.7</v>
      </c>
      <c r="P620" s="4" t="s">
        <v>276</v>
      </c>
      <c r="Q620" s="6">
        <f>1</f>
        <v>1</v>
      </c>
      <c r="R620" s="6">
        <f>3170000</f>
        <v>3170000</v>
      </c>
      <c r="S620" s="5" t="s">
        <v>2140</v>
      </c>
      <c r="T620" s="4" t="s">
        <v>314</v>
      </c>
      <c r="U620" s="4" t="s">
        <v>2143</v>
      </c>
      <c r="W620" s="6">
        <f>3169999</f>
        <v>3169999</v>
      </c>
      <c r="X620" s="4" t="s">
        <v>243</v>
      </c>
      <c r="Y620" s="4" t="s">
        <v>244</v>
      </c>
      <c r="Z620" s="4" t="s">
        <v>338</v>
      </c>
      <c r="AA620" s="4" t="s">
        <v>241</v>
      </c>
      <c r="AD620" s="4" t="s">
        <v>241</v>
      </c>
      <c r="AF620" s="5" t="s">
        <v>241</v>
      </c>
      <c r="AI620" s="5" t="s">
        <v>249</v>
      </c>
      <c r="AJ620" s="4" t="s">
        <v>251</v>
      </c>
      <c r="AK620" s="4" t="s">
        <v>252</v>
      </c>
      <c r="BA620" s="4" t="s">
        <v>254</v>
      </c>
      <c r="BB620" s="4" t="s">
        <v>241</v>
      </c>
      <c r="BC620" s="4" t="s">
        <v>255</v>
      </c>
      <c r="BD620" s="4" t="s">
        <v>241</v>
      </c>
      <c r="BE620" s="4" t="s">
        <v>257</v>
      </c>
      <c r="BF620" s="4" t="s">
        <v>241</v>
      </c>
      <c r="BJ620" s="4" t="s">
        <v>367</v>
      </c>
      <c r="BK620" s="5" t="s">
        <v>249</v>
      </c>
      <c r="BL620" s="4" t="s">
        <v>261</v>
      </c>
      <c r="BM620" s="4" t="s">
        <v>262</v>
      </c>
      <c r="BN620" s="4" t="s">
        <v>241</v>
      </c>
      <c r="BO620" s="6">
        <f>0</f>
        <v>0</v>
      </c>
      <c r="BP620" s="6">
        <f>0</f>
        <v>0</v>
      </c>
      <c r="BQ620" s="4" t="s">
        <v>263</v>
      </c>
      <c r="BR620" s="4" t="s">
        <v>264</v>
      </c>
      <c r="CF620" s="4" t="s">
        <v>241</v>
      </c>
      <c r="CG620" s="4" t="s">
        <v>241</v>
      </c>
      <c r="CK620" s="4" t="s">
        <v>265</v>
      </c>
      <c r="CL620" s="4" t="s">
        <v>266</v>
      </c>
      <c r="CM620" s="4" t="s">
        <v>241</v>
      </c>
      <c r="CO620" s="4" t="s">
        <v>2142</v>
      </c>
      <c r="CP620" s="5" t="s">
        <v>268</v>
      </c>
      <c r="CQ620" s="4" t="s">
        <v>269</v>
      </c>
      <c r="CR620" s="4" t="s">
        <v>270</v>
      </c>
      <c r="CS620" s="4" t="s">
        <v>241</v>
      </c>
      <c r="CT620" s="4" t="s">
        <v>241</v>
      </c>
      <c r="CU620" s="4">
        <v>0</v>
      </c>
      <c r="CV620" s="4" t="s">
        <v>271</v>
      </c>
      <c r="CW620" s="4" t="s">
        <v>411</v>
      </c>
      <c r="CX620" s="4" t="s">
        <v>347</v>
      </c>
      <c r="CZ620" s="6">
        <f>3170000</f>
        <v>3170000</v>
      </c>
      <c r="DA620" s="6">
        <f>0</f>
        <v>0</v>
      </c>
      <c r="DC620" s="4" t="s">
        <v>241</v>
      </c>
      <c r="DD620" s="4" t="s">
        <v>241</v>
      </c>
      <c r="DF620" s="4" t="s">
        <v>241</v>
      </c>
      <c r="DI620" s="4" t="s">
        <v>241</v>
      </c>
      <c r="DJ620" s="4" t="s">
        <v>241</v>
      </c>
      <c r="DK620" s="4" t="s">
        <v>241</v>
      </c>
      <c r="DL620" s="4" t="s">
        <v>241</v>
      </c>
      <c r="DM620" s="4" t="s">
        <v>277</v>
      </c>
      <c r="DN620" s="4" t="s">
        <v>278</v>
      </c>
      <c r="DO620" s="6">
        <f>31.7</f>
        <v>31.7</v>
      </c>
      <c r="DP620" s="4" t="s">
        <v>241</v>
      </c>
      <c r="DQ620" s="4" t="s">
        <v>241</v>
      </c>
      <c r="DR620" s="4" t="s">
        <v>241</v>
      </c>
      <c r="DS620" s="4" t="s">
        <v>241</v>
      </c>
      <c r="DV620" s="4" t="s">
        <v>2144</v>
      </c>
      <c r="DW620" s="4" t="s">
        <v>343</v>
      </c>
      <c r="HO620" s="4" t="s">
        <v>277</v>
      </c>
      <c r="HR620" s="4" t="s">
        <v>278</v>
      </c>
      <c r="HS620" s="4" t="s">
        <v>278</v>
      </c>
    </row>
    <row r="621" spans="1:227" x14ac:dyDescent="0.4">
      <c r="A621" s="4">
        <v>2</v>
      </c>
      <c r="B621" s="4" t="s">
        <v>239</v>
      </c>
      <c r="C621" s="4">
        <v>657</v>
      </c>
      <c r="D621" s="4">
        <v>1</v>
      </c>
      <c r="E621" s="4">
        <v>1</v>
      </c>
      <c r="F621" s="4" t="s">
        <v>240</v>
      </c>
      <c r="G621" s="4" t="s">
        <v>241</v>
      </c>
      <c r="H621" s="4" t="s">
        <v>241</v>
      </c>
      <c r="I621" s="4" t="s">
        <v>2168</v>
      </c>
      <c r="J621" s="4" t="s">
        <v>344</v>
      </c>
      <c r="K621" s="4" t="s">
        <v>256</v>
      </c>
      <c r="L621" s="4" t="s">
        <v>2101</v>
      </c>
      <c r="M621" s="5" t="s">
        <v>2170</v>
      </c>
      <c r="N621" s="4" t="s">
        <v>2104</v>
      </c>
      <c r="O621" s="6">
        <f>193.08</f>
        <v>193.08</v>
      </c>
      <c r="P621" s="4" t="s">
        <v>276</v>
      </c>
      <c r="Q621" s="6">
        <f>1</f>
        <v>1</v>
      </c>
      <c r="R621" s="6">
        <f>20273400</f>
        <v>20273400</v>
      </c>
      <c r="S621" s="5" t="s">
        <v>924</v>
      </c>
      <c r="T621" s="4" t="s">
        <v>333</v>
      </c>
      <c r="U621" s="4" t="s">
        <v>927</v>
      </c>
      <c r="W621" s="6">
        <f>20273399</f>
        <v>20273399</v>
      </c>
      <c r="X621" s="4" t="s">
        <v>243</v>
      </c>
      <c r="Y621" s="4" t="s">
        <v>244</v>
      </c>
      <c r="Z621" s="4" t="s">
        <v>338</v>
      </c>
      <c r="AA621" s="4" t="s">
        <v>241</v>
      </c>
      <c r="AD621" s="4" t="s">
        <v>241</v>
      </c>
      <c r="AF621" s="5" t="s">
        <v>241</v>
      </c>
      <c r="AI621" s="5" t="s">
        <v>249</v>
      </c>
      <c r="AJ621" s="4" t="s">
        <v>251</v>
      </c>
      <c r="AK621" s="4" t="s">
        <v>252</v>
      </c>
      <c r="BA621" s="4" t="s">
        <v>254</v>
      </c>
      <c r="BB621" s="4" t="s">
        <v>241</v>
      </c>
      <c r="BC621" s="4" t="s">
        <v>255</v>
      </c>
      <c r="BD621" s="4" t="s">
        <v>241</v>
      </c>
      <c r="BE621" s="4" t="s">
        <v>257</v>
      </c>
      <c r="BF621" s="4" t="s">
        <v>241</v>
      </c>
      <c r="BJ621" s="4" t="s">
        <v>374</v>
      </c>
      <c r="BK621" s="5" t="s">
        <v>375</v>
      </c>
      <c r="BL621" s="4" t="s">
        <v>261</v>
      </c>
      <c r="BM621" s="4" t="s">
        <v>262</v>
      </c>
      <c r="BN621" s="4" t="s">
        <v>241</v>
      </c>
      <c r="BO621" s="6">
        <f>0</f>
        <v>0</v>
      </c>
      <c r="BP621" s="6">
        <f>0</f>
        <v>0</v>
      </c>
      <c r="BQ621" s="4" t="s">
        <v>263</v>
      </c>
      <c r="BR621" s="4" t="s">
        <v>264</v>
      </c>
      <c r="CF621" s="4" t="s">
        <v>241</v>
      </c>
      <c r="CG621" s="4" t="s">
        <v>241</v>
      </c>
      <c r="CK621" s="4" t="s">
        <v>265</v>
      </c>
      <c r="CL621" s="4" t="s">
        <v>266</v>
      </c>
      <c r="CM621" s="4" t="s">
        <v>241</v>
      </c>
      <c r="CO621" s="4" t="s">
        <v>926</v>
      </c>
      <c r="CP621" s="5" t="s">
        <v>268</v>
      </c>
      <c r="CQ621" s="4" t="s">
        <v>269</v>
      </c>
      <c r="CR621" s="4" t="s">
        <v>270</v>
      </c>
      <c r="CS621" s="4" t="s">
        <v>241</v>
      </c>
      <c r="CT621" s="4" t="s">
        <v>241</v>
      </c>
      <c r="CU621" s="4">
        <v>0</v>
      </c>
      <c r="CV621" s="4" t="s">
        <v>271</v>
      </c>
      <c r="CW621" s="4" t="s">
        <v>411</v>
      </c>
      <c r="CX621" s="4" t="s">
        <v>2130</v>
      </c>
      <c r="CZ621" s="6">
        <f>20273400</f>
        <v>20273400</v>
      </c>
      <c r="DA621" s="6">
        <f>0</f>
        <v>0</v>
      </c>
      <c r="DC621" s="4" t="s">
        <v>241</v>
      </c>
      <c r="DD621" s="4" t="s">
        <v>241</v>
      </c>
      <c r="DF621" s="4" t="s">
        <v>241</v>
      </c>
      <c r="DI621" s="4" t="s">
        <v>241</v>
      </c>
      <c r="DJ621" s="4" t="s">
        <v>241</v>
      </c>
      <c r="DK621" s="4" t="s">
        <v>241</v>
      </c>
      <c r="DL621" s="4" t="s">
        <v>241</v>
      </c>
      <c r="DM621" s="4" t="s">
        <v>277</v>
      </c>
      <c r="DN621" s="4" t="s">
        <v>278</v>
      </c>
      <c r="DO621" s="6">
        <f>193.08</f>
        <v>193.08</v>
      </c>
      <c r="DP621" s="4" t="s">
        <v>241</v>
      </c>
      <c r="DQ621" s="4" t="s">
        <v>241</v>
      </c>
      <c r="DR621" s="4" t="s">
        <v>241</v>
      </c>
      <c r="DS621" s="4" t="s">
        <v>241</v>
      </c>
      <c r="DV621" s="4" t="s">
        <v>2172</v>
      </c>
      <c r="DW621" s="4" t="s">
        <v>277</v>
      </c>
      <c r="HO621" s="4" t="s">
        <v>277</v>
      </c>
      <c r="HR621" s="4" t="s">
        <v>278</v>
      </c>
      <c r="HS621" s="4" t="s">
        <v>278</v>
      </c>
    </row>
    <row r="622" spans="1:227" x14ac:dyDescent="0.4">
      <c r="A622" s="4">
        <v>2</v>
      </c>
      <c r="B622" s="4" t="s">
        <v>239</v>
      </c>
      <c r="C622" s="4">
        <v>658</v>
      </c>
      <c r="D622" s="4">
        <v>1</v>
      </c>
      <c r="E622" s="4">
        <v>1</v>
      </c>
      <c r="F622" s="4" t="s">
        <v>240</v>
      </c>
      <c r="G622" s="4" t="s">
        <v>241</v>
      </c>
      <c r="H622" s="4" t="s">
        <v>241</v>
      </c>
      <c r="I622" s="4" t="s">
        <v>2168</v>
      </c>
      <c r="J622" s="4" t="s">
        <v>344</v>
      </c>
      <c r="K622" s="4" t="s">
        <v>256</v>
      </c>
      <c r="L622" s="4" t="s">
        <v>2101</v>
      </c>
      <c r="M622" s="5" t="s">
        <v>2170</v>
      </c>
      <c r="N622" s="4" t="s">
        <v>2109</v>
      </c>
      <c r="O622" s="6">
        <f>193.08</f>
        <v>193.08</v>
      </c>
      <c r="P622" s="4" t="s">
        <v>276</v>
      </c>
      <c r="Q622" s="6">
        <f>1</f>
        <v>1</v>
      </c>
      <c r="R622" s="6">
        <f>20273400</f>
        <v>20273400</v>
      </c>
      <c r="S622" s="5" t="s">
        <v>924</v>
      </c>
      <c r="T622" s="4" t="s">
        <v>333</v>
      </c>
      <c r="U622" s="4" t="s">
        <v>927</v>
      </c>
      <c r="W622" s="6">
        <f>20273399</f>
        <v>20273399</v>
      </c>
      <c r="X622" s="4" t="s">
        <v>243</v>
      </c>
      <c r="Y622" s="4" t="s">
        <v>244</v>
      </c>
      <c r="Z622" s="4" t="s">
        <v>338</v>
      </c>
      <c r="AA622" s="4" t="s">
        <v>241</v>
      </c>
      <c r="AD622" s="4" t="s">
        <v>241</v>
      </c>
      <c r="AF622" s="5" t="s">
        <v>241</v>
      </c>
      <c r="AI622" s="5" t="s">
        <v>249</v>
      </c>
      <c r="AJ622" s="4" t="s">
        <v>251</v>
      </c>
      <c r="AK622" s="4" t="s">
        <v>252</v>
      </c>
      <c r="BA622" s="4" t="s">
        <v>254</v>
      </c>
      <c r="BB622" s="4" t="s">
        <v>241</v>
      </c>
      <c r="BC622" s="4" t="s">
        <v>255</v>
      </c>
      <c r="BD622" s="4" t="s">
        <v>241</v>
      </c>
      <c r="BE622" s="4" t="s">
        <v>257</v>
      </c>
      <c r="BF622" s="4" t="s">
        <v>241</v>
      </c>
      <c r="BJ622" s="4" t="s">
        <v>377</v>
      </c>
      <c r="BK622" s="5" t="s">
        <v>378</v>
      </c>
      <c r="BL622" s="4" t="s">
        <v>261</v>
      </c>
      <c r="BM622" s="4" t="s">
        <v>262</v>
      </c>
      <c r="BN622" s="4" t="s">
        <v>241</v>
      </c>
      <c r="BO622" s="6">
        <f>0</f>
        <v>0</v>
      </c>
      <c r="BP622" s="6">
        <f>0</f>
        <v>0</v>
      </c>
      <c r="BQ622" s="4" t="s">
        <v>263</v>
      </c>
      <c r="BR622" s="4" t="s">
        <v>264</v>
      </c>
      <c r="CF622" s="4" t="s">
        <v>241</v>
      </c>
      <c r="CG622" s="4" t="s">
        <v>241</v>
      </c>
      <c r="CK622" s="4" t="s">
        <v>265</v>
      </c>
      <c r="CL622" s="4" t="s">
        <v>266</v>
      </c>
      <c r="CM622" s="4" t="s">
        <v>241</v>
      </c>
      <c r="CO622" s="4" t="s">
        <v>926</v>
      </c>
      <c r="CP622" s="5" t="s">
        <v>268</v>
      </c>
      <c r="CQ622" s="4" t="s">
        <v>269</v>
      </c>
      <c r="CR622" s="4" t="s">
        <v>270</v>
      </c>
      <c r="CS622" s="4" t="s">
        <v>241</v>
      </c>
      <c r="CT622" s="4" t="s">
        <v>241</v>
      </c>
      <c r="CU622" s="4">
        <v>0</v>
      </c>
      <c r="CV622" s="4" t="s">
        <v>271</v>
      </c>
      <c r="CW622" s="4" t="s">
        <v>411</v>
      </c>
      <c r="CX622" s="4" t="s">
        <v>2130</v>
      </c>
      <c r="CZ622" s="6">
        <f>20273400</f>
        <v>20273400</v>
      </c>
      <c r="DA622" s="6">
        <f>0</f>
        <v>0</v>
      </c>
      <c r="DC622" s="4" t="s">
        <v>241</v>
      </c>
      <c r="DD622" s="4" t="s">
        <v>241</v>
      </c>
      <c r="DF622" s="4" t="s">
        <v>241</v>
      </c>
      <c r="DI622" s="4" t="s">
        <v>241</v>
      </c>
      <c r="DJ622" s="4" t="s">
        <v>241</v>
      </c>
      <c r="DK622" s="4" t="s">
        <v>241</v>
      </c>
      <c r="DL622" s="4" t="s">
        <v>241</v>
      </c>
      <c r="DM622" s="4" t="s">
        <v>277</v>
      </c>
      <c r="DN622" s="4" t="s">
        <v>278</v>
      </c>
      <c r="DO622" s="6">
        <f>193.08</f>
        <v>193.08</v>
      </c>
      <c r="DP622" s="4" t="s">
        <v>241</v>
      </c>
      <c r="DQ622" s="4" t="s">
        <v>241</v>
      </c>
      <c r="DR622" s="4" t="s">
        <v>241</v>
      </c>
      <c r="DS622" s="4" t="s">
        <v>241</v>
      </c>
      <c r="DV622" s="4" t="s">
        <v>2172</v>
      </c>
      <c r="DW622" s="4" t="s">
        <v>323</v>
      </c>
      <c r="HO622" s="4" t="s">
        <v>277</v>
      </c>
      <c r="HR622" s="4" t="s">
        <v>278</v>
      </c>
      <c r="HS622" s="4" t="s">
        <v>278</v>
      </c>
    </row>
    <row r="623" spans="1:227" x14ac:dyDescent="0.4">
      <c r="A623" s="4">
        <v>2</v>
      </c>
      <c r="B623" s="4" t="s">
        <v>239</v>
      </c>
      <c r="C623" s="4">
        <v>660</v>
      </c>
      <c r="D623" s="4">
        <v>1</v>
      </c>
      <c r="E623" s="4">
        <v>1</v>
      </c>
      <c r="F623" s="4" t="s">
        <v>326</v>
      </c>
      <c r="G623" s="4" t="s">
        <v>241</v>
      </c>
      <c r="H623" s="4" t="s">
        <v>241</v>
      </c>
      <c r="I623" s="4" t="s">
        <v>2168</v>
      </c>
      <c r="J623" s="4" t="s">
        <v>344</v>
      </c>
      <c r="K623" s="4" t="s">
        <v>256</v>
      </c>
      <c r="L623" s="4" t="s">
        <v>2169</v>
      </c>
      <c r="M623" s="5" t="s">
        <v>2170</v>
      </c>
      <c r="N623" s="4" t="s">
        <v>2167</v>
      </c>
      <c r="O623" s="6">
        <f>128.4</f>
        <v>128.4</v>
      </c>
      <c r="P623" s="4" t="s">
        <v>276</v>
      </c>
      <c r="Q623" s="6">
        <f>1</f>
        <v>1</v>
      </c>
      <c r="R623" s="6">
        <f>20273400</f>
        <v>20273400</v>
      </c>
      <c r="S623" s="5" t="s">
        <v>924</v>
      </c>
      <c r="T623" s="4" t="s">
        <v>333</v>
      </c>
      <c r="U623" s="4" t="s">
        <v>2171</v>
      </c>
      <c r="W623" s="6">
        <f>20273399</f>
        <v>20273399</v>
      </c>
      <c r="X623" s="4" t="s">
        <v>243</v>
      </c>
      <c r="Y623" s="4" t="s">
        <v>244</v>
      </c>
      <c r="Z623" s="4" t="s">
        <v>241</v>
      </c>
      <c r="AA623" s="4" t="s">
        <v>241</v>
      </c>
      <c r="AD623" s="4" t="s">
        <v>241</v>
      </c>
      <c r="AF623" s="5" t="s">
        <v>241</v>
      </c>
      <c r="AI623" s="5" t="s">
        <v>249</v>
      </c>
      <c r="AJ623" s="4" t="s">
        <v>251</v>
      </c>
      <c r="AK623" s="4" t="s">
        <v>252</v>
      </c>
      <c r="BA623" s="4" t="s">
        <v>254</v>
      </c>
      <c r="BB623" s="4" t="s">
        <v>241</v>
      </c>
      <c r="BC623" s="4" t="s">
        <v>255</v>
      </c>
      <c r="BD623" s="4" t="s">
        <v>241</v>
      </c>
      <c r="BE623" s="4" t="s">
        <v>257</v>
      </c>
      <c r="BF623" s="4" t="s">
        <v>241</v>
      </c>
      <c r="BJ623" s="4" t="s">
        <v>367</v>
      </c>
      <c r="BK623" s="5" t="s">
        <v>249</v>
      </c>
      <c r="BL623" s="4" t="s">
        <v>261</v>
      </c>
      <c r="BM623" s="4" t="s">
        <v>410</v>
      </c>
      <c r="BN623" s="4" t="s">
        <v>241</v>
      </c>
      <c r="BO623" s="6">
        <f>0</f>
        <v>0</v>
      </c>
      <c r="BP623" s="6">
        <f>0</f>
        <v>0</v>
      </c>
      <c r="BQ623" s="4" t="s">
        <v>263</v>
      </c>
      <c r="BR623" s="4" t="s">
        <v>264</v>
      </c>
      <c r="CF623" s="4" t="s">
        <v>241</v>
      </c>
      <c r="CG623" s="4" t="s">
        <v>241</v>
      </c>
      <c r="CK623" s="4" t="s">
        <v>265</v>
      </c>
      <c r="CL623" s="4" t="s">
        <v>266</v>
      </c>
      <c r="CM623" s="4" t="s">
        <v>241</v>
      </c>
      <c r="CO623" s="4" t="s">
        <v>926</v>
      </c>
      <c r="CP623" s="5" t="s">
        <v>268</v>
      </c>
      <c r="CQ623" s="4" t="s">
        <v>269</v>
      </c>
      <c r="CR623" s="4" t="s">
        <v>270</v>
      </c>
      <c r="CS623" s="4" t="s">
        <v>241</v>
      </c>
      <c r="CT623" s="4" t="s">
        <v>241</v>
      </c>
      <c r="CU623" s="4">
        <v>0</v>
      </c>
      <c r="CV623" s="4" t="s">
        <v>271</v>
      </c>
      <c r="CW623" s="4" t="s">
        <v>411</v>
      </c>
      <c r="CX623" s="4" t="s">
        <v>356</v>
      </c>
      <c r="CZ623" s="6">
        <f>20273400</f>
        <v>20273400</v>
      </c>
      <c r="DA623" s="6">
        <f>0</f>
        <v>0</v>
      </c>
      <c r="DC623" s="4" t="s">
        <v>241</v>
      </c>
      <c r="DD623" s="4" t="s">
        <v>241</v>
      </c>
      <c r="DF623" s="4" t="s">
        <v>241</v>
      </c>
      <c r="DI623" s="4" t="s">
        <v>241</v>
      </c>
      <c r="DJ623" s="4" t="s">
        <v>241</v>
      </c>
      <c r="DK623" s="4" t="s">
        <v>241</v>
      </c>
      <c r="DL623" s="4" t="s">
        <v>241</v>
      </c>
      <c r="DM623" s="4" t="s">
        <v>278</v>
      </c>
      <c r="DN623" s="4" t="s">
        <v>278</v>
      </c>
      <c r="DO623" s="6">
        <f>128.4</f>
        <v>128.4</v>
      </c>
      <c r="DP623" s="4" t="s">
        <v>241</v>
      </c>
      <c r="DQ623" s="4" t="s">
        <v>241</v>
      </c>
      <c r="DR623" s="4" t="s">
        <v>241</v>
      </c>
      <c r="DS623" s="4" t="s">
        <v>241</v>
      </c>
      <c r="DV623" s="4" t="s">
        <v>2172</v>
      </c>
      <c r="DW623" s="4" t="s">
        <v>336</v>
      </c>
      <c r="HO623" s="4" t="s">
        <v>277</v>
      </c>
      <c r="HR623" s="4" t="s">
        <v>278</v>
      </c>
      <c r="HS623" s="4" t="s">
        <v>278</v>
      </c>
    </row>
    <row r="624" spans="1:227" x14ac:dyDescent="0.4">
      <c r="A624" s="4">
        <v>2</v>
      </c>
      <c r="B624" s="4" t="s">
        <v>239</v>
      </c>
      <c r="C624" s="4">
        <v>661</v>
      </c>
      <c r="D624" s="4">
        <v>1</v>
      </c>
      <c r="E624" s="4">
        <v>1</v>
      </c>
      <c r="F624" s="4" t="s">
        <v>240</v>
      </c>
      <c r="G624" s="4" t="s">
        <v>241</v>
      </c>
      <c r="H624" s="4" t="s">
        <v>241</v>
      </c>
      <c r="I624" s="4" t="s">
        <v>2148</v>
      </c>
      <c r="J624" s="4" t="s">
        <v>344</v>
      </c>
      <c r="K624" s="4" t="s">
        <v>256</v>
      </c>
      <c r="L624" s="4" t="s">
        <v>2101</v>
      </c>
      <c r="M624" s="5" t="s">
        <v>2149</v>
      </c>
      <c r="N624" s="4" t="s">
        <v>2114</v>
      </c>
      <c r="O624" s="6">
        <f>34.78</f>
        <v>34.78</v>
      </c>
      <c r="P624" s="4" t="s">
        <v>276</v>
      </c>
      <c r="Q624" s="6">
        <f>1</f>
        <v>1</v>
      </c>
      <c r="R624" s="6">
        <f>3478000</f>
        <v>3478000</v>
      </c>
      <c r="S624" s="5" t="s">
        <v>1108</v>
      </c>
      <c r="T624" s="4" t="s">
        <v>314</v>
      </c>
      <c r="U624" s="4" t="s">
        <v>1110</v>
      </c>
      <c r="W624" s="6">
        <f>3477999</f>
        <v>3477999</v>
      </c>
      <c r="X624" s="4" t="s">
        <v>243</v>
      </c>
      <c r="Y624" s="4" t="s">
        <v>244</v>
      </c>
      <c r="Z624" s="4" t="s">
        <v>338</v>
      </c>
      <c r="AA624" s="4" t="s">
        <v>241</v>
      </c>
      <c r="AD624" s="4" t="s">
        <v>241</v>
      </c>
      <c r="AF624" s="5" t="s">
        <v>241</v>
      </c>
      <c r="AI624" s="5" t="s">
        <v>249</v>
      </c>
      <c r="AJ624" s="4" t="s">
        <v>251</v>
      </c>
      <c r="AK624" s="4" t="s">
        <v>252</v>
      </c>
      <c r="BA624" s="4" t="s">
        <v>254</v>
      </c>
      <c r="BB624" s="4" t="s">
        <v>241</v>
      </c>
      <c r="BC624" s="4" t="s">
        <v>255</v>
      </c>
      <c r="BD624" s="4" t="s">
        <v>241</v>
      </c>
      <c r="BE624" s="4" t="s">
        <v>257</v>
      </c>
      <c r="BF624" s="4" t="s">
        <v>241</v>
      </c>
      <c r="BJ624" s="4" t="s">
        <v>374</v>
      </c>
      <c r="BK624" s="5" t="s">
        <v>375</v>
      </c>
      <c r="BL624" s="4" t="s">
        <v>261</v>
      </c>
      <c r="BM624" s="4" t="s">
        <v>262</v>
      </c>
      <c r="BN624" s="4" t="s">
        <v>241</v>
      </c>
      <c r="BO624" s="6">
        <f>0</f>
        <v>0</v>
      </c>
      <c r="BP624" s="6">
        <f>0</f>
        <v>0</v>
      </c>
      <c r="BQ624" s="4" t="s">
        <v>263</v>
      </c>
      <c r="BR624" s="4" t="s">
        <v>264</v>
      </c>
      <c r="CF624" s="4" t="s">
        <v>241</v>
      </c>
      <c r="CG624" s="4" t="s">
        <v>241</v>
      </c>
      <c r="CK624" s="4" t="s">
        <v>265</v>
      </c>
      <c r="CL624" s="4" t="s">
        <v>266</v>
      </c>
      <c r="CM624" s="4" t="s">
        <v>241</v>
      </c>
      <c r="CO624" s="4" t="s">
        <v>1109</v>
      </c>
      <c r="CP624" s="5" t="s">
        <v>268</v>
      </c>
      <c r="CQ624" s="4" t="s">
        <v>269</v>
      </c>
      <c r="CR624" s="4" t="s">
        <v>270</v>
      </c>
      <c r="CS624" s="4" t="s">
        <v>241</v>
      </c>
      <c r="CT624" s="4" t="s">
        <v>241</v>
      </c>
      <c r="CU624" s="4">
        <v>0</v>
      </c>
      <c r="CV624" s="4" t="s">
        <v>271</v>
      </c>
      <c r="CW624" s="4" t="s">
        <v>411</v>
      </c>
      <c r="CX624" s="4" t="s">
        <v>347</v>
      </c>
      <c r="CZ624" s="6">
        <f>3478000</f>
        <v>3478000</v>
      </c>
      <c r="DA624" s="6">
        <f>0</f>
        <v>0</v>
      </c>
      <c r="DC624" s="4" t="s">
        <v>241</v>
      </c>
      <c r="DD624" s="4" t="s">
        <v>241</v>
      </c>
      <c r="DF624" s="4" t="s">
        <v>241</v>
      </c>
      <c r="DI624" s="4" t="s">
        <v>241</v>
      </c>
      <c r="DJ624" s="4" t="s">
        <v>241</v>
      </c>
      <c r="DK624" s="4" t="s">
        <v>241</v>
      </c>
      <c r="DL624" s="4" t="s">
        <v>241</v>
      </c>
      <c r="DM624" s="4" t="s">
        <v>277</v>
      </c>
      <c r="DN624" s="4" t="s">
        <v>278</v>
      </c>
      <c r="DO624" s="6">
        <f>34.78</f>
        <v>34.78</v>
      </c>
      <c r="DP624" s="4" t="s">
        <v>241</v>
      </c>
      <c r="DQ624" s="4" t="s">
        <v>241</v>
      </c>
      <c r="DR624" s="4" t="s">
        <v>241</v>
      </c>
      <c r="DS624" s="4" t="s">
        <v>241</v>
      </c>
      <c r="DV624" s="4" t="s">
        <v>2150</v>
      </c>
      <c r="DW624" s="4" t="s">
        <v>277</v>
      </c>
      <c r="HO624" s="4" t="s">
        <v>277</v>
      </c>
      <c r="HR624" s="4" t="s">
        <v>278</v>
      </c>
      <c r="HS624" s="4" t="s">
        <v>278</v>
      </c>
    </row>
    <row r="625" spans="1:240" x14ac:dyDescent="0.4">
      <c r="A625" s="4">
        <v>2</v>
      </c>
      <c r="B625" s="4" t="s">
        <v>239</v>
      </c>
      <c r="C625" s="4">
        <v>662</v>
      </c>
      <c r="D625" s="4">
        <v>1</v>
      </c>
      <c r="E625" s="4">
        <v>1</v>
      </c>
      <c r="F625" s="4" t="s">
        <v>240</v>
      </c>
      <c r="G625" s="4" t="s">
        <v>241</v>
      </c>
      <c r="H625" s="4" t="s">
        <v>241</v>
      </c>
      <c r="I625" s="4" t="s">
        <v>2148</v>
      </c>
      <c r="J625" s="4" t="s">
        <v>344</v>
      </c>
      <c r="K625" s="4" t="s">
        <v>256</v>
      </c>
      <c r="L625" s="4" t="s">
        <v>2101</v>
      </c>
      <c r="M625" s="5" t="s">
        <v>2149</v>
      </c>
      <c r="N625" s="4" t="s">
        <v>2114</v>
      </c>
      <c r="O625" s="6">
        <f>34.78</f>
        <v>34.78</v>
      </c>
      <c r="P625" s="4" t="s">
        <v>276</v>
      </c>
      <c r="Q625" s="6">
        <f>1</f>
        <v>1</v>
      </c>
      <c r="R625" s="6">
        <f>3478000</f>
        <v>3478000</v>
      </c>
      <c r="S625" s="5" t="s">
        <v>1108</v>
      </c>
      <c r="T625" s="4" t="s">
        <v>314</v>
      </c>
      <c r="U625" s="4" t="s">
        <v>1110</v>
      </c>
      <c r="W625" s="6">
        <f>3477999</f>
        <v>3477999</v>
      </c>
      <c r="X625" s="4" t="s">
        <v>243</v>
      </c>
      <c r="Y625" s="4" t="s">
        <v>244</v>
      </c>
      <c r="Z625" s="4" t="s">
        <v>338</v>
      </c>
      <c r="AA625" s="4" t="s">
        <v>241</v>
      </c>
      <c r="AD625" s="4" t="s">
        <v>241</v>
      </c>
      <c r="AF625" s="5" t="s">
        <v>241</v>
      </c>
      <c r="AI625" s="5" t="s">
        <v>249</v>
      </c>
      <c r="AJ625" s="4" t="s">
        <v>251</v>
      </c>
      <c r="AK625" s="4" t="s">
        <v>252</v>
      </c>
      <c r="BA625" s="4" t="s">
        <v>254</v>
      </c>
      <c r="BB625" s="4" t="s">
        <v>241</v>
      </c>
      <c r="BC625" s="4" t="s">
        <v>255</v>
      </c>
      <c r="BD625" s="4" t="s">
        <v>241</v>
      </c>
      <c r="BE625" s="4" t="s">
        <v>257</v>
      </c>
      <c r="BF625" s="4" t="s">
        <v>241</v>
      </c>
      <c r="BJ625" s="4" t="s">
        <v>377</v>
      </c>
      <c r="BK625" s="5" t="s">
        <v>378</v>
      </c>
      <c r="BL625" s="4" t="s">
        <v>261</v>
      </c>
      <c r="BM625" s="4" t="s">
        <v>262</v>
      </c>
      <c r="BN625" s="4" t="s">
        <v>241</v>
      </c>
      <c r="BO625" s="6">
        <f>0</f>
        <v>0</v>
      </c>
      <c r="BP625" s="6">
        <f>0</f>
        <v>0</v>
      </c>
      <c r="BQ625" s="4" t="s">
        <v>263</v>
      </c>
      <c r="BR625" s="4" t="s">
        <v>264</v>
      </c>
      <c r="CF625" s="4" t="s">
        <v>241</v>
      </c>
      <c r="CG625" s="4" t="s">
        <v>241</v>
      </c>
      <c r="CK625" s="4" t="s">
        <v>265</v>
      </c>
      <c r="CL625" s="4" t="s">
        <v>266</v>
      </c>
      <c r="CM625" s="4" t="s">
        <v>241</v>
      </c>
      <c r="CO625" s="4" t="s">
        <v>1109</v>
      </c>
      <c r="CP625" s="5" t="s">
        <v>268</v>
      </c>
      <c r="CQ625" s="4" t="s">
        <v>269</v>
      </c>
      <c r="CR625" s="4" t="s">
        <v>270</v>
      </c>
      <c r="CS625" s="4" t="s">
        <v>241</v>
      </c>
      <c r="CT625" s="4" t="s">
        <v>241</v>
      </c>
      <c r="CU625" s="4">
        <v>0</v>
      </c>
      <c r="CV625" s="4" t="s">
        <v>271</v>
      </c>
      <c r="CW625" s="4" t="s">
        <v>411</v>
      </c>
      <c r="CX625" s="4" t="s">
        <v>347</v>
      </c>
      <c r="CZ625" s="6">
        <f>3478000</f>
        <v>3478000</v>
      </c>
      <c r="DA625" s="6">
        <f>0</f>
        <v>0</v>
      </c>
      <c r="DC625" s="4" t="s">
        <v>241</v>
      </c>
      <c r="DD625" s="4" t="s">
        <v>241</v>
      </c>
      <c r="DF625" s="4" t="s">
        <v>241</v>
      </c>
      <c r="DI625" s="4" t="s">
        <v>241</v>
      </c>
      <c r="DJ625" s="4" t="s">
        <v>241</v>
      </c>
      <c r="DK625" s="4" t="s">
        <v>241</v>
      </c>
      <c r="DL625" s="4" t="s">
        <v>241</v>
      </c>
      <c r="DM625" s="4" t="s">
        <v>277</v>
      </c>
      <c r="DN625" s="4" t="s">
        <v>278</v>
      </c>
      <c r="DO625" s="6">
        <f>34.78</f>
        <v>34.78</v>
      </c>
      <c r="DP625" s="4" t="s">
        <v>241</v>
      </c>
      <c r="DQ625" s="4" t="s">
        <v>241</v>
      </c>
      <c r="DR625" s="4" t="s">
        <v>241</v>
      </c>
      <c r="DS625" s="4" t="s">
        <v>241</v>
      </c>
      <c r="DV625" s="4" t="s">
        <v>2150</v>
      </c>
      <c r="DW625" s="4" t="s">
        <v>323</v>
      </c>
      <c r="HO625" s="4" t="s">
        <v>277</v>
      </c>
      <c r="HR625" s="4" t="s">
        <v>278</v>
      </c>
      <c r="HS625" s="4" t="s">
        <v>278</v>
      </c>
    </row>
    <row r="626" spans="1:240" x14ac:dyDescent="0.4">
      <c r="A626" s="4">
        <v>2</v>
      </c>
      <c r="B626" s="4" t="s">
        <v>239</v>
      </c>
      <c r="C626" s="4">
        <v>663</v>
      </c>
      <c r="D626" s="4">
        <v>1</v>
      </c>
      <c r="E626" s="4">
        <v>1</v>
      </c>
      <c r="F626" s="4" t="s">
        <v>240</v>
      </c>
      <c r="G626" s="4" t="s">
        <v>241</v>
      </c>
      <c r="H626" s="4" t="s">
        <v>241</v>
      </c>
      <c r="I626" s="4" t="s">
        <v>2148</v>
      </c>
      <c r="J626" s="4" t="s">
        <v>344</v>
      </c>
      <c r="K626" s="4" t="s">
        <v>256</v>
      </c>
      <c r="L626" s="4" t="s">
        <v>2101</v>
      </c>
      <c r="M626" s="5" t="s">
        <v>2149</v>
      </c>
      <c r="N626" s="4" t="s">
        <v>2114</v>
      </c>
      <c r="O626" s="6">
        <f>64.8</f>
        <v>64.8</v>
      </c>
      <c r="P626" s="4" t="s">
        <v>276</v>
      </c>
      <c r="Q626" s="6">
        <f>1</f>
        <v>1</v>
      </c>
      <c r="R626" s="6">
        <f>6480000</f>
        <v>6480000</v>
      </c>
      <c r="S626" s="5" t="s">
        <v>1108</v>
      </c>
      <c r="T626" s="4" t="s">
        <v>314</v>
      </c>
      <c r="U626" s="4" t="s">
        <v>1110</v>
      </c>
      <c r="W626" s="6">
        <f>6479999</f>
        <v>6479999</v>
      </c>
      <c r="X626" s="4" t="s">
        <v>243</v>
      </c>
      <c r="Y626" s="4" t="s">
        <v>244</v>
      </c>
      <c r="Z626" s="4" t="s">
        <v>338</v>
      </c>
      <c r="AA626" s="4" t="s">
        <v>241</v>
      </c>
      <c r="AD626" s="4" t="s">
        <v>241</v>
      </c>
      <c r="AF626" s="5" t="s">
        <v>241</v>
      </c>
      <c r="AI626" s="5" t="s">
        <v>249</v>
      </c>
      <c r="AJ626" s="4" t="s">
        <v>251</v>
      </c>
      <c r="AK626" s="4" t="s">
        <v>252</v>
      </c>
      <c r="BA626" s="4" t="s">
        <v>254</v>
      </c>
      <c r="BB626" s="4" t="s">
        <v>241</v>
      </c>
      <c r="BC626" s="4" t="s">
        <v>255</v>
      </c>
      <c r="BD626" s="4" t="s">
        <v>241</v>
      </c>
      <c r="BE626" s="4" t="s">
        <v>257</v>
      </c>
      <c r="BF626" s="4" t="s">
        <v>241</v>
      </c>
      <c r="BJ626" s="4" t="s">
        <v>259</v>
      </c>
      <c r="BK626" s="5" t="s">
        <v>260</v>
      </c>
      <c r="BL626" s="4" t="s">
        <v>261</v>
      </c>
      <c r="BM626" s="4" t="s">
        <v>262</v>
      </c>
      <c r="BN626" s="4" t="s">
        <v>241</v>
      </c>
      <c r="BO626" s="6">
        <f>0</f>
        <v>0</v>
      </c>
      <c r="BP626" s="6">
        <f>0</f>
        <v>0</v>
      </c>
      <c r="BQ626" s="4" t="s">
        <v>263</v>
      </c>
      <c r="BR626" s="4" t="s">
        <v>264</v>
      </c>
      <c r="CF626" s="4" t="s">
        <v>241</v>
      </c>
      <c r="CG626" s="4" t="s">
        <v>241</v>
      </c>
      <c r="CK626" s="4" t="s">
        <v>265</v>
      </c>
      <c r="CL626" s="4" t="s">
        <v>266</v>
      </c>
      <c r="CM626" s="4" t="s">
        <v>241</v>
      </c>
      <c r="CO626" s="4" t="s">
        <v>1109</v>
      </c>
      <c r="CP626" s="5" t="s">
        <v>268</v>
      </c>
      <c r="CQ626" s="4" t="s">
        <v>269</v>
      </c>
      <c r="CR626" s="4" t="s">
        <v>270</v>
      </c>
      <c r="CS626" s="4" t="s">
        <v>241</v>
      </c>
      <c r="CT626" s="4" t="s">
        <v>241</v>
      </c>
      <c r="CU626" s="4">
        <v>0</v>
      </c>
      <c r="CV626" s="4" t="s">
        <v>271</v>
      </c>
      <c r="CW626" s="4" t="s">
        <v>411</v>
      </c>
      <c r="CX626" s="4" t="s">
        <v>347</v>
      </c>
      <c r="CZ626" s="6">
        <f>6480000</f>
        <v>6480000</v>
      </c>
      <c r="DA626" s="6">
        <f>0</f>
        <v>0</v>
      </c>
      <c r="DC626" s="4" t="s">
        <v>241</v>
      </c>
      <c r="DD626" s="4" t="s">
        <v>241</v>
      </c>
      <c r="DF626" s="4" t="s">
        <v>241</v>
      </c>
      <c r="DI626" s="4" t="s">
        <v>241</v>
      </c>
      <c r="DJ626" s="4" t="s">
        <v>241</v>
      </c>
      <c r="DK626" s="4" t="s">
        <v>241</v>
      </c>
      <c r="DL626" s="4" t="s">
        <v>241</v>
      </c>
      <c r="DM626" s="4" t="s">
        <v>277</v>
      </c>
      <c r="DN626" s="4" t="s">
        <v>278</v>
      </c>
      <c r="DO626" s="6">
        <f>64.8</f>
        <v>64.8</v>
      </c>
      <c r="DP626" s="4" t="s">
        <v>241</v>
      </c>
      <c r="DQ626" s="4" t="s">
        <v>241</v>
      </c>
      <c r="DR626" s="4" t="s">
        <v>241</v>
      </c>
      <c r="DS626" s="4" t="s">
        <v>241</v>
      </c>
      <c r="DV626" s="4" t="s">
        <v>2150</v>
      </c>
      <c r="DW626" s="4" t="s">
        <v>297</v>
      </c>
      <c r="HO626" s="4" t="s">
        <v>277</v>
      </c>
      <c r="HR626" s="4" t="s">
        <v>278</v>
      </c>
      <c r="HS626" s="4" t="s">
        <v>278</v>
      </c>
    </row>
    <row r="627" spans="1:240" x14ac:dyDescent="0.4">
      <c r="A627" s="4">
        <v>2</v>
      </c>
      <c r="B627" s="4" t="s">
        <v>239</v>
      </c>
      <c r="C627" s="4">
        <v>664</v>
      </c>
      <c r="D627" s="4">
        <v>1</v>
      </c>
      <c r="E627" s="4">
        <v>1</v>
      </c>
      <c r="F627" s="4" t="s">
        <v>240</v>
      </c>
      <c r="G627" s="4" t="s">
        <v>241</v>
      </c>
      <c r="H627" s="4" t="s">
        <v>241</v>
      </c>
      <c r="I627" s="4" t="s">
        <v>2148</v>
      </c>
      <c r="J627" s="4" t="s">
        <v>344</v>
      </c>
      <c r="K627" s="4" t="s">
        <v>256</v>
      </c>
      <c r="L627" s="4" t="s">
        <v>2101</v>
      </c>
      <c r="M627" s="5" t="s">
        <v>2149</v>
      </c>
      <c r="N627" s="4" t="s">
        <v>2114</v>
      </c>
      <c r="O627" s="6">
        <f>64.8</f>
        <v>64.8</v>
      </c>
      <c r="P627" s="4" t="s">
        <v>276</v>
      </c>
      <c r="Q627" s="6">
        <f>1</f>
        <v>1</v>
      </c>
      <c r="R627" s="6">
        <f>6480000</f>
        <v>6480000</v>
      </c>
      <c r="S627" s="5" t="s">
        <v>1108</v>
      </c>
      <c r="T627" s="4" t="s">
        <v>314</v>
      </c>
      <c r="U627" s="4" t="s">
        <v>1110</v>
      </c>
      <c r="W627" s="6">
        <f>6479999</f>
        <v>6479999</v>
      </c>
      <c r="X627" s="4" t="s">
        <v>243</v>
      </c>
      <c r="Y627" s="4" t="s">
        <v>244</v>
      </c>
      <c r="Z627" s="4" t="s">
        <v>338</v>
      </c>
      <c r="AA627" s="4" t="s">
        <v>241</v>
      </c>
      <c r="AD627" s="4" t="s">
        <v>241</v>
      </c>
      <c r="AF627" s="5" t="s">
        <v>241</v>
      </c>
      <c r="AI627" s="5" t="s">
        <v>249</v>
      </c>
      <c r="AJ627" s="4" t="s">
        <v>251</v>
      </c>
      <c r="AK627" s="4" t="s">
        <v>252</v>
      </c>
      <c r="BA627" s="4" t="s">
        <v>254</v>
      </c>
      <c r="BB627" s="4" t="s">
        <v>241</v>
      </c>
      <c r="BC627" s="4" t="s">
        <v>255</v>
      </c>
      <c r="BD627" s="4" t="s">
        <v>241</v>
      </c>
      <c r="BE627" s="4" t="s">
        <v>257</v>
      </c>
      <c r="BF627" s="4" t="s">
        <v>241</v>
      </c>
      <c r="BJ627" s="4" t="s">
        <v>367</v>
      </c>
      <c r="BK627" s="5" t="s">
        <v>249</v>
      </c>
      <c r="BL627" s="4" t="s">
        <v>261</v>
      </c>
      <c r="BM627" s="4" t="s">
        <v>262</v>
      </c>
      <c r="BN627" s="4" t="s">
        <v>241</v>
      </c>
      <c r="BO627" s="6">
        <f>0</f>
        <v>0</v>
      </c>
      <c r="BP627" s="6">
        <f>0</f>
        <v>0</v>
      </c>
      <c r="BQ627" s="4" t="s">
        <v>263</v>
      </c>
      <c r="BR627" s="4" t="s">
        <v>264</v>
      </c>
      <c r="CF627" s="4" t="s">
        <v>241</v>
      </c>
      <c r="CG627" s="4" t="s">
        <v>241</v>
      </c>
      <c r="CK627" s="4" t="s">
        <v>265</v>
      </c>
      <c r="CL627" s="4" t="s">
        <v>266</v>
      </c>
      <c r="CM627" s="4" t="s">
        <v>241</v>
      </c>
      <c r="CO627" s="4" t="s">
        <v>1109</v>
      </c>
      <c r="CP627" s="5" t="s">
        <v>268</v>
      </c>
      <c r="CQ627" s="4" t="s">
        <v>269</v>
      </c>
      <c r="CR627" s="4" t="s">
        <v>270</v>
      </c>
      <c r="CS627" s="4" t="s">
        <v>241</v>
      </c>
      <c r="CT627" s="4" t="s">
        <v>241</v>
      </c>
      <c r="CU627" s="4">
        <v>0</v>
      </c>
      <c r="CV627" s="4" t="s">
        <v>271</v>
      </c>
      <c r="CW627" s="4" t="s">
        <v>411</v>
      </c>
      <c r="CX627" s="4" t="s">
        <v>347</v>
      </c>
      <c r="CZ627" s="6">
        <f>6480000</f>
        <v>6480000</v>
      </c>
      <c r="DA627" s="6">
        <f>0</f>
        <v>0</v>
      </c>
      <c r="DC627" s="4" t="s">
        <v>241</v>
      </c>
      <c r="DD627" s="4" t="s">
        <v>241</v>
      </c>
      <c r="DF627" s="4" t="s">
        <v>241</v>
      </c>
      <c r="DI627" s="4" t="s">
        <v>241</v>
      </c>
      <c r="DJ627" s="4" t="s">
        <v>241</v>
      </c>
      <c r="DK627" s="4" t="s">
        <v>241</v>
      </c>
      <c r="DL627" s="4" t="s">
        <v>241</v>
      </c>
      <c r="DM627" s="4" t="s">
        <v>277</v>
      </c>
      <c r="DN627" s="4" t="s">
        <v>278</v>
      </c>
      <c r="DO627" s="6">
        <f>64.8</f>
        <v>64.8</v>
      </c>
      <c r="DP627" s="4" t="s">
        <v>241</v>
      </c>
      <c r="DQ627" s="4" t="s">
        <v>241</v>
      </c>
      <c r="DR627" s="4" t="s">
        <v>241</v>
      </c>
      <c r="DS627" s="4" t="s">
        <v>241</v>
      </c>
      <c r="DV627" s="4" t="s">
        <v>2150</v>
      </c>
      <c r="DW627" s="4" t="s">
        <v>336</v>
      </c>
      <c r="HO627" s="4" t="s">
        <v>277</v>
      </c>
      <c r="HR627" s="4" t="s">
        <v>278</v>
      </c>
      <c r="HS627" s="4" t="s">
        <v>278</v>
      </c>
    </row>
    <row r="628" spans="1:240" x14ac:dyDescent="0.4">
      <c r="A628" s="4">
        <v>2</v>
      </c>
      <c r="B628" s="4" t="s">
        <v>239</v>
      </c>
      <c r="C628" s="4">
        <v>665</v>
      </c>
      <c r="D628" s="4">
        <v>1</v>
      </c>
      <c r="E628" s="4">
        <v>1</v>
      </c>
      <c r="F628" s="4" t="s">
        <v>240</v>
      </c>
      <c r="G628" s="4" t="s">
        <v>241</v>
      </c>
      <c r="H628" s="4" t="s">
        <v>241</v>
      </c>
      <c r="I628" s="4" t="s">
        <v>2148</v>
      </c>
      <c r="J628" s="4" t="s">
        <v>344</v>
      </c>
      <c r="K628" s="4" t="s">
        <v>256</v>
      </c>
      <c r="L628" s="4" t="s">
        <v>2101</v>
      </c>
      <c r="M628" s="5" t="s">
        <v>2149</v>
      </c>
      <c r="N628" s="4" t="s">
        <v>2114</v>
      </c>
      <c r="O628" s="6">
        <f>64.8</f>
        <v>64.8</v>
      </c>
      <c r="P628" s="4" t="s">
        <v>276</v>
      </c>
      <c r="Q628" s="6">
        <f>1</f>
        <v>1</v>
      </c>
      <c r="R628" s="6">
        <f>6480000</f>
        <v>6480000</v>
      </c>
      <c r="S628" s="5" t="s">
        <v>1108</v>
      </c>
      <c r="T628" s="4" t="s">
        <v>314</v>
      </c>
      <c r="U628" s="4" t="s">
        <v>1110</v>
      </c>
      <c r="W628" s="6">
        <f>6479999</f>
        <v>6479999</v>
      </c>
      <c r="X628" s="4" t="s">
        <v>243</v>
      </c>
      <c r="Y628" s="4" t="s">
        <v>244</v>
      </c>
      <c r="Z628" s="4" t="s">
        <v>338</v>
      </c>
      <c r="AA628" s="4" t="s">
        <v>241</v>
      </c>
      <c r="AD628" s="4" t="s">
        <v>241</v>
      </c>
      <c r="AF628" s="5" t="s">
        <v>241</v>
      </c>
      <c r="AI628" s="5" t="s">
        <v>249</v>
      </c>
      <c r="AJ628" s="4" t="s">
        <v>251</v>
      </c>
      <c r="AK628" s="4" t="s">
        <v>252</v>
      </c>
      <c r="BA628" s="4" t="s">
        <v>254</v>
      </c>
      <c r="BB628" s="4" t="s">
        <v>241</v>
      </c>
      <c r="BC628" s="4" t="s">
        <v>255</v>
      </c>
      <c r="BD628" s="4" t="s">
        <v>241</v>
      </c>
      <c r="BE628" s="4" t="s">
        <v>257</v>
      </c>
      <c r="BF628" s="4" t="s">
        <v>241</v>
      </c>
      <c r="BJ628" s="4" t="s">
        <v>374</v>
      </c>
      <c r="BK628" s="5" t="s">
        <v>375</v>
      </c>
      <c r="BL628" s="4" t="s">
        <v>261</v>
      </c>
      <c r="BM628" s="4" t="s">
        <v>262</v>
      </c>
      <c r="BN628" s="4" t="s">
        <v>241</v>
      </c>
      <c r="BO628" s="6">
        <f>0</f>
        <v>0</v>
      </c>
      <c r="BP628" s="6">
        <f>0</f>
        <v>0</v>
      </c>
      <c r="BQ628" s="4" t="s">
        <v>263</v>
      </c>
      <c r="BR628" s="4" t="s">
        <v>264</v>
      </c>
      <c r="CF628" s="4" t="s">
        <v>241</v>
      </c>
      <c r="CG628" s="4" t="s">
        <v>241</v>
      </c>
      <c r="CK628" s="4" t="s">
        <v>265</v>
      </c>
      <c r="CL628" s="4" t="s">
        <v>266</v>
      </c>
      <c r="CM628" s="4" t="s">
        <v>241</v>
      </c>
      <c r="CO628" s="4" t="s">
        <v>1109</v>
      </c>
      <c r="CP628" s="5" t="s">
        <v>268</v>
      </c>
      <c r="CQ628" s="4" t="s">
        <v>269</v>
      </c>
      <c r="CR628" s="4" t="s">
        <v>270</v>
      </c>
      <c r="CS628" s="4" t="s">
        <v>241</v>
      </c>
      <c r="CT628" s="4" t="s">
        <v>241</v>
      </c>
      <c r="CU628" s="4">
        <v>0</v>
      </c>
      <c r="CV628" s="4" t="s">
        <v>271</v>
      </c>
      <c r="CW628" s="4" t="s">
        <v>411</v>
      </c>
      <c r="CX628" s="4" t="s">
        <v>347</v>
      </c>
      <c r="CZ628" s="6">
        <f>6480000</f>
        <v>6480000</v>
      </c>
      <c r="DA628" s="6">
        <f>0</f>
        <v>0</v>
      </c>
      <c r="DC628" s="4" t="s">
        <v>241</v>
      </c>
      <c r="DD628" s="4" t="s">
        <v>241</v>
      </c>
      <c r="DF628" s="4" t="s">
        <v>241</v>
      </c>
      <c r="DI628" s="4" t="s">
        <v>241</v>
      </c>
      <c r="DJ628" s="4" t="s">
        <v>241</v>
      </c>
      <c r="DK628" s="4" t="s">
        <v>241</v>
      </c>
      <c r="DL628" s="4" t="s">
        <v>241</v>
      </c>
      <c r="DM628" s="4" t="s">
        <v>277</v>
      </c>
      <c r="DN628" s="4" t="s">
        <v>278</v>
      </c>
      <c r="DO628" s="6">
        <f>64.8</f>
        <v>64.8</v>
      </c>
      <c r="DP628" s="4" t="s">
        <v>241</v>
      </c>
      <c r="DQ628" s="4" t="s">
        <v>241</v>
      </c>
      <c r="DR628" s="4" t="s">
        <v>241</v>
      </c>
      <c r="DS628" s="4" t="s">
        <v>241</v>
      </c>
      <c r="DV628" s="4" t="s">
        <v>2150</v>
      </c>
      <c r="DW628" s="4" t="s">
        <v>351</v>
      </c>
      <c r="HO628" s="4" t="s">
        <v>277</v>
      </c>
      <c r="HR628" s="4" t="s">
        <v>278</v>
      </c>
      <c r="HS628" s="4" t="s">
        <v>278</v>
      </c>
    </row>
    <row r="629" spans="1:240" x14ac:dyDescent="0.4">
      <c r="A629" s="4">
        <v>2</v>
      </c>
      <c r="B629" s="4" t="s">
        <v>239</v>
      </c>
      <c r="C629" s="4">
        <v>666</v>
      </c>
      <c r="D629" s="4">
        <v>1</v>
      </c>
      <c r="E629" s="4">
        <v>1</v>
      </c>
      <c r="F629" s="4" t="s">
        <v>240</v>
      </c>
      <c r="G629" s="4" t="s">
        <v>241</v>
      </c>
      <c r="H629" s="4" t="s">
        <v>241</v>
      </c>
      <c r="I629" s="4" t="s">
        <v>2148</v>
      </c>
      <c r="J629" s="4" t="s">
        <v>344</v>
      </c>
      <c r="K629" s="4" t="s">
        <v>256</v>
      </c>
      <c r="L629" s="4" t="s">
        <v>2101</v>
      </c>
      <c r="M629" s="5" t="s">
        <v>2149</v>
      </c>
      <c r="N629" s="4" t="s">
        <v>2114</v>
      </c>
      <c r="O629" s="6">
        <f>64.8</f>
        <v>64.8</v>
      </c>
      <c r="P629" s="4" t="s">
        <v>276</v>
      </c>
      <c r="Q629" s="6">
        <f>1</f>
        <v>1</v>
      </c>
      <c r="R629" s="6">
        <f>6480000</f>
        <v>6480000</v>
      </c>
      <c r="S629" s="5" t="s">
        <v>1108</v>
      </c>
      <c r="T629" s="4" t="s">
        <v>314</v>
      </c>
      <c r="U629" s="4" t="s">
        <v>1110</v>
      </c>
      <c r="W629" s="6">
        <f>6479999</f>
        <v>6479999</v>
      </c>
      <c r="X629" s="4" t="s">
        <v>243</v>
      </c>
      <c r="Y629" s="4" t="s">
        <v>244</v>
      </c>
      <c r="Z629" s="4" t="s">
        <v>338</v>
      </c>
      <c r="AA629" s="4" t="s">
        <v>241</v>
      </c>
      <c r="AD629" s="4" t="s">
        <v>241</v>
      </c>
      <c r="AF629" s="5" t="s">
        <v>241</v>
      </c>
      <c r="AI629" s="5" t="s">
        <v>249</v>
      </c>
      <c r="AJ629" s="4" t="s">
        <v>251</v>
      </c>
      <c r="AK629" s="4" t="s">
        <v>252</v>
      </c>
      <c r="BA629" s="4" t="s">
        <v>254</v>
      </c>
      <c r="BB629" s="4" t="s">
        <v>241</v>
      </c>
      <c r="BC629" s="4" t="s">
        <v>255</v>
      </c>
      <c r="BD629" s="4" t="s">
        <v>241</v>
      </c>
      <c r="BE629" s="4" t="s">
        <v>257</v>
      </c>
      <c r="BF629" s="4" t="s">
        <v>241</v>
      </c>
      <c r="BJ629" s="4" t="s">
        <v>377</v>
      </c>
      <c r="BK629" s="5" t="s">
        <v>378</v>
      </c>
      <c r="BL629" s="4" t="s">
        <v>261</v>
      </c>
      <c r="BM629" s="4" t="s">
        <v>262</v>
      </c>
      <c r="BN629" s="4" t="s">
        <v>241</v>
      </c>
      <c r="BO629" s="6">
        <f>0</f>
        <v>0</v>
      </c>
      <c r="BP629" s="6">
        <f>0</f>
        <v>0</v>
      </c>
      <c r="BQ629" s="4" t="s">
        <v>263</v>
      </c>
      <c r="BR629" s="4" t="s">
        <v>264</v>
      </c>
      <c r="CF629" s="4" t="s">
        <v>241</v>
      </c>
      <c r="CG629" s="4" t="s">
        <v>241</v>
      </c>
      <c r="CK629" s="4" t="s">
        <v>265</v>
      </c>
      <c r="CL629" s="4" t="s">
        <v>266</v>
      </c>
      <c r="CM629" s="4" t="s">
        <v>241</v>
      </c>
      <c r="CO629" s="4" t="s">
        <v>1109</v>
      </c>
      <c r="CP629" s="5" t="s">
        <v>268</v>
      </c>
      <c r="CQ629" s="4" t="s">
        <v>269</v>
      </c>
      <c r="CR629" s="4" t="s">
        <v>270</v>
      </c>
      <c r="CS629" s="4" t="s">
        <v>241</v>
      </c>
      <c r="CT629" s="4" t="s">
        <v>241</v>
      </c>
      <c r="CU629" s="4">
        <v>0</v>
      </c>
      <c r="CV629" s="4" t="s">
        <v>271</v>
      </c>
      <c r="CW629" s="4" t="s">
        <v>411</v>
      </c>
      <c r="CX629" s="4" t="s">
        <v>347</v>
      </c>
      <c r="CZ629" s="6">
        <f>6480000</f>
        <v>6480000</v>
      </c>
      <c r="DA629" s="6">
        <f>0</f>
        <v>0</v>
      </c>
      <c r="DC629" s="4" t="s">
        <v>241</v>
      </c>
      <c r="DD629" s="4" t="s">
        <v>241</v>
      </c>
      <c r="DF629" s="4" t="s">
        <v>241</v>
      </c>
      <c r="DI629" s="4" t="s">
        <v>241</v>
      </c>
      <c r="DJ629" s="4" t="s">
        <v>241</v>
      </c>
      <c r="DK629" s="4" t="s">
        <v>241</v>
      </c>
      <c r="DL629" s="4" t="s">
        <v>241</v>
      </c>
      <c r="DM629" s="4" t="s">
        <v>277</v>
      </c>
      <c r="DN629" s="4" t="s">
        <v>278</v>
      </c>
      <c r="DO629" s="6">
        <f>64.8</f>
        <v>64.8</v>
      </c>
      <c r="DP629" s="4" t="s">
        <v>241</v>
      </c>
      <c r="DQ629" s="4" t="s">
        <v>241</v>
      </c>
      <c r="DR629" s="4" t="s">
        <v>241</v>
      </c>
      <c r="DS629" s="4" t="s">
        <v>241</v>
      </c>
      <c r="DV629" s="4" t="s">
        <v>2150</v>
      </c>
      <c r="DW629" s="4" t="s">
        <v>300</v>
      </c>
      <c r="HO629" s="4" t="s">
        <v>277</v>
      </c>
      <c r="HR629" s="4" t="s">
        <v>278</v>
      </c>
      <c r="HS629" s="4" t="s">
        <v>278</v>
      </c>
    </row>
    <row r="630" spans="1:240" x14ac:dyDescent="0.4">
      <c r="A630" s="4">
        <v>2</v>
      </c>
      <c r="B630" s="4" t="s">
        <v>239</v>
      </c>
      <c r="C630" s="4">
        <v>667</v>
      </c>
      <c r="D630" s="4">
        <v>1</v>
      </c>
      <c r="E630" s="4">
        <v>1</v>
      </c>
      <c r="F630" s="4" t="s">
        <v>240</v>
      </c>
      <c r="G630" s="4" t="s">
        <v>241</v>
      </c>
      <c r="H630" s="4" t="s">
        <v>241</v>
      </c>
      <c r="I630" s="4" t="s">
        <v>2148</v>
      </c>
      <c r="J630" s="4" t="s">
        <v>344</v>
      </c>
      <c r="K630" s="4" t="s">
        <v>256</v>
      </c>
      <c r="L630" s="4" t="s">
        <v>2101</v>
      </c>
      <c r="M630" s="5" t="s">
        <v>2149</v>
      </c>
      <c r="N630" s="4" t="s">
        <v>2114</v>
      </c>
      <c r="O630" s="6">
        <f>32.4</f>
        <v>32.4</v>
      </c>
      <c r="P630" s="4" t="s">
        <v>276</v>
      </c>
      <c r="Q630" s="6">
        <f>1</f>
        <v>1</v>
      </c>
      <c r="R630" s="6">
        <f>3240000</f>
        <v>3240000</v>
      </c>
      <c r="S630" s="5" t="s">
        <v>1108</v>
      </c>
      <c r="T630" s="4" t="s">
        <v>314</v>
      </c>
      <c r="U630" s="4" t="s">
        <v>1110</v>
      </c>
      <c r="W630" s="6">
        <f>3239999</f>
        <v>3239999</v>
      </c>
      <c r="X630" s="4" t="s">
        <v>243</v>
      </c>
      <c r="Y630" s="4" t="s">
        <v>244</v>
      </c>
      <c r="Z630" s="4" t="s">
        <v>338</v>
      </c>
      <c r="AA630" s="4" t="s">
        <v>241</v>
      </c>
      <c r="AD630" s="4" t="s">
        <v>241</v>
      </c>
      <c r="AF630" s="5" t="s">
        <v>241</v>
      </c>
      <c r="AI630" s="5" t="s">
        <v>249</v>
      </c>
      <c r="AJ630" s="4" t="s">
        <v>251</v>
      </c>
      <c r="AK630" s="4" t="s">
        <v>252</v>
      </c>
      <c r="BA630" s="4" t="s">
        <v>254</v>
      </c>
      <c r="BB630" s="4" t="s">
        <v>241</v>
      </c>
      <c r="BC630" s="4" t="s">
        <v>255</v>
      </c>
      <c r="BD630" s="4" t="s">
        <v>241</v>
      </c>
      <c r="BE630" s="4" t="s">
        <v>257</v>
      </c>
      <c r="BF630" s="4" t="s">
        <v>241</v>
      </c>
      <c r="BJ630" s="4" t="s">
        <v>259</v>
      </c>
      <c r="BK630" s="5" t="s">
        <v>260</v>
      </c>
      <c r="BL630" s="4" t="s">
        <v>261</v>
      </c>
      <c r="BM630" s="4" t="s">
        <v>262</v>
      </c>
      <c r="BN630" s="4" t="s">
        <v>241</v>
      </c>
      <c r="BO630" s="6">
        <f>0</f>
        <v>0</v>
      </c>
      <c r="BP630" s="6">
        <f>0</f>
        <v>0</v>
      </c>
      <c r="BQ630" s="4" t="s">
        <v>263</v>
      </c>
      <c r="BR630" s="4" t="s">
        <v>264</v>
      </c>
      <c r="CF630" s="4" t="s">
        <v>241</v>
      </c>
      <c r="CG630" s="4" t="s">
        <v>241</v>
      </c>
      <c r="CK630" s="4" t="s">
        <v>265</v>
      </c>
      <c r="CL630" s="4" t="s">
        <v>266</v>
      </c>
      <c r="CM630" s="4" t="s">
        <v>241</v>
      </c>
      <c r="CO630" s="4" t="s">
        <v>1109</v>
      </c>
      <c r="CP630" s="5" t="s">
        <v>268</v>
      </c>
      <c r="CQ630" s="4" t="s">
        <v>269</v>
      </c>
      <c r="CR630" s="4" t="s">
        <v>270</v>
      </c>
      <c r="CS630" s="4" t="s">
        <v>241</v>
      </c>
      <c r="CT630" s="4" t="s">
        <v>241</v>
      </c>
      <c r="CU630" s="4">
        <v>0</v>
      </c>
      <c r="CV630" s="4" t="s">
        <v>271</v>
      </c>
      <c r="CW630" s="4" t="s">
        <v>411</v>
      </c>
      <c r="CX630" s="4" t="s">
        <v>347</v>
      </c>
      <c r="CZ630" s="6">
        <f>3240000</f>
        <v>3240000</v>
      </c>
      <c r="DA630" s="6">
        <f>0</f>
        <v>0</v>
      </c>
      <c r="DC630" s="4" t="s">
        <v>241</v>
      </c>
      <c r="DD630" s="4" t="s">
        <v>241</v>
      </c>
      <c r="DF630" s="4" t="s">
        <v>241</v>
      </c>
      <c r="DI630" s="4" t="s">
        <v>241</v>
      </c>
      <c r="DJ630" s="4" t="s">
        <v>241</v>
      </c>
      <c r="DK630" s="4" t="s">
        <v>241</v>
      </c>
      <c r="DL630" s="4" t="s">
        <v>241</v>
      </c>
      <c r="DM630" s="4" t="s">
        <v>277</v>
      </c>
      <c r="DN630" s="4" t="s">
        <v>278</v>
      </c>
      <c r="DO630" s="6">
        <f>32.4</f>
        <v>32.4</v>
      </c>
      <c r="DP630" s="4" t="s">
        <v>241</v>
      </c>
      <c r="DQ630" s="4" t="s">
        <v>241</v>
      </c>
      <c r="DR630" s="4" t="s">
        <v>241</v>
      </c>
      <c r="DS630" s="4" t="s">
        <v>241</v>
      </c>
      <c r="DV630" s="4" t="s">
        <v>2150</v>
      </c>
      <c r="DW630" s="4" t="s">
        <v>341</v>
      </c>
      <c r="HO630" s="4" t="s">
        <v>277</v>
      </c>
      <c r="HR630" s="4" t="s">
        <v>278</v>
      </c>
      <c r="HS630" s="4" t="s">
        <v>278</v>
      </c>
    </row>
    <row r="631" spans="1:240" x14ac:dyDescent="0.4">
      <c r="A631" s="4">
        <v>2</v>
      </c>
      <c r="B631" s="4" t="s">
        <v>239</v>
      </c>
      <c r="C631" s="4">
        <v>668</v>
      </c>
      <c r="D631" s="4">
        <v>1</v>
      </c>
      <c r="E631" s="4">
        <v>1</v>
      </c>
      <c r="F631" s="4" t="s">
        <v>240</v>
      </c>
      <c r="G631" s="4" t="s">
        <v>241</v>
      </c>
      <c r="H631" s="4" t="s">
        <v>241</v>
      </c>
      <c r="I631" s="4" t="s">
        <v>2148</v>
      </c>
      <c r="J631" s="4" t="s">
        <v>344</v>
      </c>
      <c r="K631" s="4" t="s">
        <v>256</v>
      </c>
      <c r="L631" s="4" t="s">
        <v>2101</v>
      </c>
      <c r="M631" s="5" t="s">
        <v>2149</v>
      </c>
      <c r="N631" s="4" t="s">
        <v>2114</v>
      </c>
      <c r="O631" s="6">
        <f>32.4</f>
        <v>32.4</v>
      </c>
      <c r="P631" s="4" t="s">
        <v>276</v>
      </c>
      <c r="Q631" s="6">
        <f>1</f>
        <v>1</v>
      </c>
      <c r="R631" s="6">
        <f>3240000</f>
        <v>3240000</v>
      </c>
      <c r="S631" s="5" t="s">
        <v>1108</v>
      </c>
      <c r="T631" s="4" t="s">
        <v>314</v>
      </c>
      <c r="U631" s="4" t="s">
        <v>1110</v>
      </c>
      <c r="W631" s="6">
        <f>3239999</f>
        <v>3239999</v>
      </c>
      <c r="X631" s="4" t="s">
        <v>243</v>
      </c>
      <c r="Y631" s="4" t="s">
        <v>244</v>
      </c>
      <c r="Z631" s="4" t="s">
        <v>338</v>
      </c>
      <c r="AA631" s="4" t="s">
        <v>241</v>
      </c>
      <c r="AD631" s="4" t="s">
        <v>241</v>
      </c>
      <c r="AF631" s="5" t="s">
        <v>241</v>
      </c>
      <c r="AI631" s="5" t="s">
        <v>249</v>
      </c>
      <c r="AJ631" s="4" t="s">
        <v>251</v>
      </c>
      <c r="AK631" s="4" t="s">
        <v>252</v>
      </c>
      <c r="BA631" s="4" t="s">
        <v>254</v>
      </c>
      <c r="BB631" s="4" t="s">
        <v>241</v>
      </c>
      <c r="BC631" s="4" t="s">
        <v>255</v>
      </c>
      <c r="BD631" s="4" t="s">
        <v>241</v>
      </c>
      <c r="BE631" s="4" t="s">
        <v>257</v>
      </c>
      <c r="BF631" s="4" t="s">
        <v>241</v>
      </c>
      <c r="BJ631" s="4" t="s">
        <v>367</v>
      </c>
      <c r="BK631" s="5" t="s">
        <v>249</v>
      </c>
      <c r="BL631" s="4" t="s">
        <v>261</v>
      </c>
      <c r="BM631" s="4" t="s">
        <v>262</v>
      </c>
      <c r="BN631" s="4" t="s">
        <v>241</v>
      </c>
      <c r="BO631" s="6">
        <f>0</f>
        <v>0</v>
      </c>
      <c r="BP631" s="6">
        <f>0</f>
        <v>0</v>
      </c>
      <c r="BQ631" s="4" t="s">
        <v>263</v>
      </c>
      <c r="BR631" s="4" t="s">
        <v>264</v>
      </c>
      <c r="CF631" s="4" t="s">
        <v>241</v>
      </c>
      <c r="CG631" s="4" t="s">
        <v>241</v>
      </c>
      <c r="CK631" s="4" t="s">
        <v>265</v>
      </c>
      <c r="CL631" s="4" t="s">
        <v>266</v>
      </c>
      <c r="CM631" s="4" t="s">
        <v>241</v>
      </c>
      <c r="CO631" s="4" t="s">
        <v>1109</v>
      </c>
      <c r="CP631" s="5" t="s">
        <v>268</v>
      </c>
      <c r="CQ631" s="4" t="s">
        <v>269</v>
      </c>
      <c r="CR631" s="4" t="s">
        <v>270</v>
      </c>
      <c r="CS631" s="4" t="s">
        <v>241</v>
      </c>
      <c r="CT631" s="4" t="s">
        <v>241</v>
      </c>
      <c r="CU631" s="4">
        <v>0</v>
      </c>
      <c r="CV631" s="4" t="s">
        <v>271</v>
      </c>
      <c r="CW631" s="4" t="s">
        <v>411</v>
      </c>
      <c r="CX631" s="4" t="s">
        <v>347</v>
      </c>
      <c r="CZ631" s="6">
        <f>3240000</f>
        <v>3240000</v>
      </c>
      <c r="DA631" s="6">
        <f>0</f>
        <v>0</v>
      </c>
      <c r="DC631" s="4" t="s">
        <v>241</v>
      </c>
      <c r="DD631" s="4" t="s">
        <v>241</v>
      </c>
      <c r="DF631" s="4" t="s">
        <v>241</v>
      </c>
      <c r="DI631" s="4" t="s">
        <v>241</v>
      </c>
      <c r="DJ631" s="4" t="s">
        <v>241</v>
      </c>
      <c r="DK631" s="4" t="s">
        <v>241</v>
      </c>
      <c r="DL631" s="4" t="s">
        <v>241</v>
      </c>
      <c r="DM631" s="4" t="s">
        <v>277</v>
      </c>
      <c r="DN631" s="4" t="s">
        <v>278</v>
      </c>
      <c r="DO631" s="6">
        <f>32.4</f>
        <v>32.4</v>
      </c>
      <c r="DP631" s="4" t="s">
        <v>241</v>
      </c>
      <c r="DQ631" s="4" t="s">
        <v>241</v>
      </c>
      <c r="DR631" s="4" t="s">
        <v>241</v>
      </c>
      <c r="DS631" s="4" t="s">
        <v>241</v>
      </c>
      <c r="DV631" s="4" t="s">
        <v>2150</v>
      </c>
      <c r="DW631" s="4" t="s">
        <v>343</v>
      </c>
      <c r="HO631" s="4" t="s">
        <v>277</v>
      </c>
      <c r="HR631" s="4" t="s">
        <v>278</v>
      </c>
      <c r="HS631" s="4" t="s">
        <v>278</v>
      </c>
    </row>
    <row r="632" spans="1:240" x14ac:dyDescent="0.4">
      <c r="A632" s="4">
        <v>2</v>
      </c>
      <c r="B632" s="4" t="s">
        <v>239</v>
      </c>
      <c r="C632" s="4">
        <v>669</v>
      </c>
      <c r="D632" s="4">
        <v>1</v>
      </c>
      <c r="E632" s="4">
        <v>1</v>
      </c>
      <c r="F632" s="4" t="s">
        <v>240</v>
      </c>
      <c r="G632" s="4" t="s">
        <v>241</v>
      </c>
      <c r="H632" s="4" t="s">
        <v>241</v>
      </c>
      <c r="I632" s="4" t="s">
        <v>2148</v>
      </c>
      <c r="J632" s="4" t="s">
        <v>344</v>
      </c>
      <c r="K632" s="4" t="s">
        <v>256</v>
      </c>
      <c r="L632" s="4" t="s">
        <v>2101</v>
      </c>
      <c r="M632" s="5" t="s">
        <v>2149</v>
      </c>
      <c r="N632" s="4" t="s">
        <v>2114</v>
      </c>
      <c r="O632" s="6">
        <f>32.4</f>
        <v>32.4</v>
      </c>
      <c r="P632" s="4" t="s">
        <v>276</v>
      </c>
      <c r="Q632" s="6">
        <f>1</f>
        <v>1</v>
      </c>
      <c r="R632" s="6">
        <f>3240000</f>
        <v>3240000</v>
      </c>
      <c r="S632" s="5" t="s">
        <v>1108</v>
      </c>
      <c r="T632" s="4" t="s">
        <v>314</v>
      </c>
      <c r="U632" s="4" t="s">
        <v>1110</v>
      </c>
      <c r="W632" s="6">
        <f>3239999</f>
        <v>3239999</v>
      </c>
      <c r="X632" s="4" t="s">
        <v>243</v>
      </c>
      <c r="Y632" s="4" t="s">
        <v>244</v>
      </c>
      <c r="Z632" s="4" t="s">
        <v>338</v>
      </c>
      <c r="AA632" s="4" t="s">
        <v>241</v>
      </c>
      <c r="AD632" s="4" t="s">
        <v>241</v>
      </c>
      <c r="AF632" s="5" t="s">
        <v>241</v>
      </c>
      <c r="AI632" s="5" t="s">
        <v>249</v>
      </c>
      <c r="AJ632" s="4" t="s">
        <v>251</v>
      </c>
      <c r="AK632" s="4" t="s">
        <v>252</v>
      </c>
      <c r="BA632" s="4" t="s">
        <v>254</v>
      </c>
      <c r="BB632" s="4" t="s">
        <v>241</v>
      </c>
      <c r="BC632" s="4" t="s">
        <v>255</v>
      </c>
      <c r="BD632" s="4" t="s">
        <v>241</v>
      </c>
      <c r="BE632" s="4" t="s">
        <v>257</v>
      </c>
      <c r="BF632" s="4" t="s">
        <v>241</v>
      </c>
      <c r="BJ632" s="4" t="s">
        <v>374</v>
      </c>
      <c r="BK632" s="5" t="s">
        <v>375</v>
      </c>
      <c r="BL632" s="4" t="s">
        <v>261</v>
      </c>
      <c r="BM632" s="4" t="s">
        <v>262</v>
      </c>
      <c r="BN632" s="4" t="s">
        <v>241</v>
      </c>
      <c r="BO632" s="6">
        <f>0</f>
        <v>0</v>
      </c>
      <c r="BP632" s="6">
        <f>0</f>
        <v>0</v>
      </c>
      <c r="BQ632" s="4" t="s">
        <v>263</v>
      </c>
      <c r="BR632" s="4" t="s">
        <v>264</v>
      </c>
      <c r="CF632" s="4" t="s">
        <v>241</v>
      </c>
      <c r="CG632" s="4" t="s">
        <v>241</v>
      </c>
      <c r="CK632" s="4" t="s">
        <v>265</v>
      </c>
      <c r="CL632" s="4" t="s">
        <v>266</v>
      </c>
      <c r="CM632" s="4" t="s">
        <v>241</v>
      </c>
      <c r="CO632" s="4" t="s">
        <v>1109</v>
      </c>
      <c r="CP632" s="5" t="s">
        <v>268</v>
      </c>
      <c r="CQ632" s="4" t="s">
        <v>269</v>
      </c>
      <c r="CR632" s="4" t="s">
        <v>270</v>
      </c>
      <c r="CS632" s="4" t="s">
        <v>241</v>
      </c>
      <c r="CT632" s="4" t="s">
        <v>241</v>
      </c>
      <c r="CU632" s="4">
        <v>0</v>
      </c>
      <c r="CV632" s="4" t="s">
        <v>271</v>
      </c>
      <c r="CW632" s="4" t="s">
        <v>411</v>
      </c>
      <c r="CX632" s="4" t="s">
        <v>347</v>
      </c>
      <c r="CZ632" s="6">
        <f>3240000</f>
        <v>3240000</v>
      </c>
      <c r="DA632" s="6">
        <f>0</f>
        <v>0</v>
      </c>
      <c r="DC632" s="4" t="s">
        <v>241</v>
      </c>
      <c r="DD632" s="4" t="s">
        <v>241</v>
      </c>
      <c r="DF632" s="4" t="s">
        <v>241</v>
      </c>
      <c r="DI632" s="4" t="s">
        <v>241</v>
      </c>
      <c r="DJ632" s="4" t="s">
        <v>241</v>
      </c>
      <c r="DK632" s="4" t="s">
        <v>241</v>
      </c>
      <c r="DL632" s="4" t="s">
        <v>241</v>
      </c>
      <c r="DM632" s="4" t="s">
        <v>277</v>
      </c>
      <c r="DN632" s="4" t="s">
        <v>278</v>
      </c>
      <c r="DO632" s="6">
        <f>32.4</f>
        <v>32.4</v>
      </c>
      <c r="DP632" s="4" t="s">
        <v>241</v>
      </c>
      <c r="DQ632" s="4" t="s">
        <v>241</v>
      </c>
      <c r="DR632" s="4" t="s">
        <v>241</v>
      </c>
      <c r="DS632" s="4" t="s">
        <v>241</v>
      </c>
      <c r="DV632" s="4" t="s">
        <v>2150</v>
      </c>
      <c r="DW632" s="4" t="s">
        <v>417</v>
      </c>
      <c r="HO632" s="4" t="s">
        <v>277</v>
      </c>
      <c r="HR632" s="4" t="s">
        <v>278</v>
      </c>
      <c r="HS632" s="4" t="s">
        <v>278</v>
      </c>
    </row>
    <row r="633" spans="1:240" x14ac:dyDescent="0.4">
      <c r="A633" s="4">
        <v>2</v>
      </c>
      <c r="B633" s="4" t="s">
        <v>239</v>
      </c>
      <c r="C633" s="4">
        <v>670</v>
      </c>
      <c r="D633" s="4">
        <v>1</v>
      </c>
      <c r="E633" s="4">
        <v>1</v>
      </c>
      <c r="F633" s="4" t="s">
        <v>240</v>
      </c>
      <c r="G633" s="4" t="s">
        <v>241</v>
      </c>
      <c r="H633" s="4" t="s">
        <v>241</v>
      </c>
      <c r="I633" s="4" t="s">
        <v>2148</v>
      </c>
      <c r="J633" s="4" t="s">
        <v>344</v>
      </c>
      <c r="K633" s="4" t="s">
        <v>256</v>
      </c>
      <c r="L633" s="4" t="s">
        <v>2101</v>
      </c>
      <c r="M633" s="5" t="s">
        <v>2149</v>
      </c>
      <c r="N633" s="4" t="s">
        <v>2114</v>
      </c>
      <c r="O633" s="6">
        <f>32.4</f>
        <v>32.4</v>
      </c>
      <c r="P633" s="4" t="s">
        <v>276</v>
      </c>
      <c r="Q633" s="6">
        <f>1</f>
        <v>1</v>
      </c>
      <c r="R633" s="6">
        <f>3240000</f>
        <v>3240000</v>
      </c>
      <c r="S633" s="5" t="s">
        <v>1108</v>
      </c>
      <c r="T633" s="4" t="s">
        <v>314</v>
      </c>
      <c r="U633" s="4" t="s">
        <v>1110</v>
      </c>
      <c r="W633" s="6">
        <f>3239999</f>
        <v>3239999</v>
      </c>
      <c r="X633" s="4" t="s">
        <v>243</v>
      </c>
      <c r="Y633" s="4" t="s">
        <v>244</v>
      </c>
      <c r="Z633" s="4" t="s">
        <v>338</v>
      </c>
      <c r="AA633" s="4" t="s">
        <v>241</v>
      </c>
      <c r="AD633" s="4" t="s">
        <v>241</v>
      </c>
      <c r="AF633" s="5" t="s">
        <v>241</v>
      </c>
      <c r="AI633" s="5" t="s">
        <v>249</v>
      </c>
      <c r="AJ633" s="4" t="s">
        <v>251</v>
      </c>
      <c r="AK633" s="4" t="s">
        <v>252</v>
      </c>
      <c r="BA633" s="4" t="s">
        <v>254</v>
      </c>
      <c r="BB633" s="4" t="s">
        <v>241</v>
      </c>
      <c r="BC633" s="4" t="s">
        <v>255</v>
      </c>
      <c r="BD633" s="4" t="s">
        <v>241</v>
      </c>
      <c r="BE633" s="4" t="s">
        <v>257</v>
      </c>
      <c r="BF633" s="4" t="s">
        <v>241</v>
      </c>
      <c r="BJ633" s="4" t="s">
        <v>377</v>
      </c>
      <c r="BK633" s="5" t="s">
        <v>378</v>
      </c>
      <c r="BL633" s="4" t="s">
        <v>261</v>
      </c>
      <c r="BM633" s="4" t="s">
        <v>262</v>
      </c>
      <c r="BN633" s="4" t="s">
        <v>241</v>
      </c>
      <c r="BO633" s="6">
        <f>0</f>
        <v>0</v>
      </c>
      <c r="BP633" s="6">
        <f>0</f>
        <v>0</v>
      </c>
      <c r="BQ633" s="4" t="s">
        <v>263</v>
      </c>
      <c r="BR633" s="4" t="s">
        <v>264</v>
      </c>
      <c r="CF633" s="4" t="s">
        <v>241</v>
      </c>
      <c r="CG633" s="4" t="s">
        <v>241</v>
      </c>
      <c r="CK633" s="4" t="s">
        <v>265</v>
      </c>
      <c r="CL633" s="4" t="s">
        <v>266</v>
      </c>
      <c r="CM633" s="4" t="s">
        <v>241</v>
      </c>
      <c r="CO633" s="4" t="s">
        <v>1109</v>
      </c>
      <c r="CP633" s="5" t="s">
        <v>268</v>
      </c>
      <c r="CQ633" s="4" t="s">
        <v>269</v>
      </c>
      <c r="CR633" s="4" t="s">
        <v>270</v>
      </c>
      <c r="CS633" s="4" t="s">
        <v>241</v>
      </c>
      <c r="CT633" s="4" t="s">
        <v>241</v>
      </c>
      <c r="CU633" s="4">
        <v>0</v>
      </c>
      <c r="CV633" s="4" t="s">
        <v>271</v>
      </c>
      <c r="CW633" s="4" t="s">
        <v>411</v>
      </c>
      <c r="CX633" s="4" t="s">
        <v>347</v>
      </c>
      <c r="CZ633" s="6">
        <f>3240000</f>
        <v>3240000</v>
      </c>
      <c r="DA633" s="6">
        <f>0</f>
        <v>0</v>
      </c>
      <c r="DC633" s="4" t="s">
        <v>241</v>
      </c>
      <c r="DD633" s="4" t="s">
        <v>241</v>
      </c>
      <c r="DF633" s="4" t="s">
        <v>241</v>
      </c>
      <c r="DI633" s="4" t="s">
        <v>241</v>
      </c>
      <c r="DJ633" s="4" t="s">
        <v>241</v>
      </c>
      <c r="DK633" s="4" t="s">
        <v>241</v>
      </c>
      <c r="DL633" s="4" t="s">
        <v>241</v>
      </c>
      <c r="DM633" s="4" t="s">
        <v>277</v>
      </c>
      <c r="DN633" s="4" t="s">
        <v>278</v>
      </c>
      <c r="DO633" s="6">
        <f>32.4</f>
        <v>32.4</v>
      </c>
      <c r="DP633" s="4" t="s">
        <v>241</v>
      </c>
      <c r="DQ633" s="4" t="s">
        <v>241</v>
      </c>
      <c r="DR633" s="4" t="s">
        <v>241</v>
      </c>
      <c r="DS633" s="4" t="s">
        <v>241</v>
      </c>
      <c r="DV633" s="4" t="s">
        <v>2150</v>
      </c>
      <c r="DW633" s="4" t="s">
        <v>427</v>
      </c>
      <c r="HO633" s="4" t="s">
        <v>277</v>
      </c>
      <c r="HR633" s="4" t="s">
        <v>278</v>
      </c>
      <c r="HS633" s="4" t="s">
        <v>278</v>
      </c>
    </row>
    <row r="634" spans="1:240" x14ac:dyDescent="0.4">
      <c r="A634" s="4">
        <v>2</v>
      </c>
      <c r="B634" s="4" t="s">
        <v>239</v>
      </c>
      <c r="C634" s="4">
        <v>684</v>
      </c>
      <c r="D634" s="4">
        <v>1</v>
      </c>
      <c r="E634" s="4">
        <v>1</v>
      </c>
      <c r="F634" s="4" t="s">
        <v>240</v>
      </c>
      <c r="G634" s="4" t="s">
        <v>241</v>
      </c>
      <c r="H634" s="4" t="s">
        <v>241</v>
      </c>
      <c r="I634" s="4" t="s">
        <v>2151</v>
      </c>
      <c r="J634" s="4" t="s">
        <v>344</v>
      </c>
      <c r="K634" s="4" t="s">
        <v>256</v>
      </c>
      <c r="L634" s="4" t="s">
        <v>2101</v>
      </c>
      <c r="M634" s="5" t="s">
        <v>2152</v>
      </c>
      <c r="N634" s="4" t="s">
        <v>2114</v>
      </c>
      <c r="O634" s="6">
        <f t="shared" ref="O634:O639" si="12">128.72</f>
        <v>128.72</v>
      </c>
      <c r="P634" s="4" t="s">
        <v>276</v>
      </c>
      <c r="Q634" s="6">
        <f>1</f>
        <v>1</v>
      </c>
      <c r="R634" s="6">
        <f t="shared" ref="R634:R639" si="13">13515600</f>
        <v>13515600</v>
      </c>
      <c r="S634" s="5" t="s">
        <v>753</v>
      </c>
      <c r="T634" s="4" t="s">
        <v>333</v>
      </c>
      <c r="U634" s="4" t="s">
        <v>683</v>
      </c>
      <c r="W634" s="6">
        <f t="shared" ref="W634:W639" si="14">13515599</f>
        <v>13515599</v>
      </c>
      <c r="X634" s="4" t="s">
        <v>243</v>
      </c>
      <c r="Y634" s="4" t="s">
        <v>244</v>
      </c>
      <c r="Z634" s="4" t="s">
        <v>338</v>
      </c>
      <c r="AA634" s="4" t="s">
        <v>241</v>
      </c>
      <c r="AD634" s="4" t="s">
        <v>241</v>
      </c>
      <c r="AF634" s="5" t="s">
        <v>241</v>
      </c>
      <c r="AI634" s="5" t="s">
        <v>249</v>
      </c>
      <c r="AJ634" s="4" t="s">
        <v>251</v>
      </c>
      <c r="AK634" s="4" t="s">
        <v>252</v>
      </c>
      <c r="BA634" s="4" t="s">
        <v>254</v>
      </c>
      <c r="BB634" s="4" t="s">
        <v>241</v>
      </c>
      <c r="BC634" s="4" t="s">
        <v>255</v>
      </c>
      <c r="BD634" s="4" t="s">
        <v>241</v>
      </c>
      <c r="BE634" s="4" t="s">
        <v>257</v>
      </c>
      <c r="BF634" s="4" t="s">
        <v>241</v>
      </c>
      <c r="BJ634" s="4" t="s">
        <v>367</v>
      </c>
      <c r="BK634" s="5" t="s">
        <v>249</v>
      </c>
      <c r="BL634" s="4" t="s">
        <v>261</v>
      </c>
      <c r="BM634" s="4" t="s">
        <v>262</v>
      </c>
      <c r="BN634" s="4" t="s">
        <v>241</v>
      </c>
      <c r="BO634" s="6">
        <f>0</f>
        <v>0</v>
      </c>
      <c r="BP634" s="6">
        <f>0</f>
        <v>0</v>
      </c>
      <c r="BQ634" s="4" t="s">
        <v>263</v>
      </c>
      <c r="BR634" s="4" t="s">
        <v>264</v>
      </c>
      <c r="CF634" s="4" t="s">
        <v>241</v>
      </c>
      <c r="CG634" s="4" t="s">
        <v>241</v>
      </c>
      <c r="CK634" s="4" t="s">
        <v>265</v>
      </c>
      <c r="CL634" s="4" t="s">
        <v>266</v>
      </c>
      <c r="CM634" s="4" t="s">
        <v>241</v>
      </c>
      <c r="CO634" s="4" t="s">
        <v>511</v>
      </c>
      <c r="CP634" s="5" t="s">
        <v>268</v>
      </c>
      <c r="CQ634" s="4" t="s">
        <v>269</v>
      </c>
      <c r="CR634" s="4" t="s">
        <v>270</v>
      </c>
      <c r="CS634" s="4" t="s">
        <v>241</v>
      </c>
      <c r="CT634" s="4" t="s">
        <v>241</v>
      </c>
      <c r="CU634" s="4">
        <v>0</v>
      </c>
      <c r="CV634" s="4" t="s">
        <v>271</v>
      </c>
      <c r="CW634" s="4" t="s">
        <v>411</v>
      </c>
      <c r="CX634" s="4" t="s">
        <v>2130</v>
      </c>
      <c r="CZ634" s="6">
        <f t="shared" ref="CZ634:CZ639" si="15">13515600</f>
        <v>13515600</v>
      </c>
      <c r="DA634" s="6">
        <f>0</f>
        <v>0</v>
      </c>
      <c r="DC634" s="4" t="s">
        <v>241</v>
      </c>
      <c r="DD634" s="4" t="s">
        <v>241</v>
      </c>
      <c r="DF634" s="4" t="s">
        <v>241</v>
      </c>
      <c r="DI634" s="4" t="s">
        <v>241</v>
      </c>
      <c r="DJ634" s="4" t="s">
        <v>241</v>
      </c>
      <c r="DK634" s="4" t="s">
        <v>241</v>
      </c>
      <c r="DL634" s="4" t="s">
        <v>241</v>
      </c>
      <c r="DM634" s="4" t="s">
        <v>277</v>
      </c>
      <c r="DN634" s="4" t="s">
        <v>278</v>
      </c>
      <c r="DO634" s="6">
        <f t="shared" ref="DO634:DO639" si="16">128.72</f>
        <v>128.72</v>
      </c>
      <c r="DP634" s="4" t="s">
        <v>241</v>
      </c>
      <c r="DQ634" s="4" t="s">
        <v>241</v>
      </c>
      <c r="DR634" s="4" t="s">
        <v>241</v>
      </c>
      <c r="DS634" s="4" t="s">
        <v>241</v>
      </c>
      <c r="DV634" s="4" t="s">
        <v>2153</v>
      </c>
      <c r="DW634" s="4" t="s">
        <v>277</v>
      </c>
      <c r="HO634" s="4" t="s">
        <v>277</v>
      </c>
      <c r="HR634" s="4" t="s">
        <v>278</v>
      </c>
      <c r="HS634" s="4" t="s">
        <v>278</v>
      </c>
    </row>
    <row r="635" spans="1:240" x14ac:dyDescent="0.4">
      <c r="A635" s="4">
        <v>2</v>
      </c>
      <c r="B635" s="4" t="s">
        <v>239</v>
      </c>
      <c r="C635" s="4">
        <v>685</v>
      </c>
      <c r="D635" s="4">
        <v>1</v>
      </c>
      <c r="E635" s="4">
        <v>1</v>
      </c>
      <c r="F635" s="4" t="s">
        <v>240</v>
      </c>
      <c r="G635" s="4" t="s">
        <v>241</v>
      </c>
      <c r="H635" s="4" t="s">
        <v>241</v>
      </c>
      <c r="I635" s="4" t="s">
        <v>2151</v>
      </c>
      <c r="J635" s="4" t="s">
        <v>344</v>
      </c>
      <c r="K635" s="4" t="s">
        <v>256</v>
      </c>
      <c r="L635" s="4" t="s">
        <v>2101</v>
      </c>
      <c r="M635" s="5" t="s">
        <v>2152</v>
      </c>
      <c r="N635" s="4" t="s">
        <v>2114</v>
      </c>
      <c r="O635" s="6">
        <f t="shared" si="12"/>
        <v>128.72</v>
      </c>
      <c r="P635" s="4" t="s">
        <v>276</v>
      </c>
      <c r="Q635" s="6">
        <f>1</f>
        <v>1</v>
      </c>
      <c r="R635" s="6">
        <f t="shared" si="13"/>
        <v>13515600</v>
      </c>
      <c r="S635" s="5" t="s">
        <v>753</v>
      </c>
      <c r="T635" s="4" t="s">
        <v>333</v>
      </c>
      <c r="U635" s="4" t="s">
        <v>683</v>
      </c>
      <c r="W635" s="6">
        <f t="shared" si="14"/>
        <v>13515599</v>
      </c>
      <c r="X635" s="4" t="s">
        <v>243</v>
      </c>
      <c r="Y635" s="4" t="s">
        <v>244</v>
      </c>
      <c r="Z635" s="4" t="s">
        <v>338</v>
      </c>
      <c r="AA635" s="4" t="s">
        <v>241</v>
      </c>
      <c r="AD635" s="4" t="s">
        <v>241</v>
      </c>
      <c r="AF635" s="5" t="s">
        <v>241</v>
      </c>
      <c r="AI635" s="5" t="s">
        <v>249</v>
      </c>
      <c r="AJ635" s="4" t="s">
        <v>251</v>
      </c>
      <c r="AK635" s="4" t="s">
        <v>252</v>
      </c>
      <c r="BA635" s="4" t="s">
        <v>254</v>
      </c>
      <c r="BB635" s="4" t="s">
        <v>241</v>
      </c>
      <c r="BC635" s="4" t="s">
        <v>255</v>
      </c>
      <c r="BD635" s="4" t="s">
        <v>241</v>
      </c>
      <c r="BE635" s="4" t="s">
        <v>257</v>
      </c>
      <c r="BF635" s="4" t="s">
        <v>241</v>
      </c>
      <c r="BJ635" s="4" t="s">
        <v>374</v>
      </c>
      <c r="BK635" s="5" t="s">
        <v>375</v>
      </c>
      <c r="BL635" s="4" t="s">
        <v>261</v>
      </c>
      <c r="BM635" s="4" t="s">
        <v>262</v>
      </c>
      <c r="BN635" s="4" t="s">
        <v>241</v>
      </c>
      <c r="BO635" s="6">
        <f>0</f>
        <v>0</v>
      </c>
      <c r="BP635" s="6">
        <f>0</f>
        <v>0</v>
      </c>
      <c r="BQ635" s="4" t="s">
        <v>263</v>
      </c>
      <c r="BR635" s="4" t="s">
        <v>264</v>
      </c>
      <c r="CF635" s="4" t="s">
        <v>241</v>
      </c>
      <c r="CG635" s="4" t="s">
        <v>241</v>
      </c>
      <c r="CK635" s="4" t="s">
        <v>265</v>
      </c>
      <c r="CL635" s="4" t="s">
        <v>266</v>
      </c>
      <c r="CM635" s="4" t="s">
        <v>241</v>
      </c>
      <c r="CO635" s="4" t="s">
        <v>511</v>
      </c>
      <c r="CP635" s="5" t="s">
        <v>268</v>
      </c>
      <c r="CQ635" s="4" t="s">
        <v>269</v>
      </c>
      <c r="CR635" s="4" t="s">
        <v>270</v>
      </c>
      <c r="CS635" s="4" t="s">
        <v>241</v>
      </c>
      <c r="CT635" s="4" t="s">
        <v>241</v>
      </c>
      <c r="CU635" s="4">
        <v>0</v>
      </c>
      <c r="CV635" s="4" t="s">
        <v>271</v>
      </c>
      <c r="CW635" s="4" t="s">
        <v>411</v>
      </c>
      <c r="CX635" s="4" t="s">
        <v>2130</v>
      </c>
      <c r="CZ635" s="6">
        <f t="shared" si="15"/>
        <v>13515600</v>
      </c>
      <c r="DA635" s="6">
        <f>0</f>
        <v>0</v>
      </c>
      <c r="DC635" s="4" t="s">
        <v>241</v>
      </c>
      <c r="DD635" s="4" t="s">
        <v>241</v>
      </c>
      <c r="DF635" s="4" t="s">
        <v>241</v>
      </c>
      <c r="DI635" s="4" t="s">
        <v>241</v>
      </c>
      <c r="DJ635" s="4" t="s">
        <v>241</v>
      </c>
      <c r="DK635" s="4" t="s">
        <v>241</v>
      </c>
      <c r="DL635" s="4" t="s">
        <v>241</v>
      </c>
      <c r="DM635" s="4" t="s">
        <v>277</v>
      </c>
      <c r="DN635" s="4" t="s">
        <v>278</v>
      </c>
      <c r="DO635" s="6">
        <f t="shared" si="16"/>
        <v>128.72</v>
      </c>
      <c r="DP635" s="4" t="s">
        <v>241</v>
      </c>
      <c r="DQ635" s="4" t="s">
        <v>241</v>
      </c>
      <c r="DR635" s="4" t="s">
        <v>241</v>
      </c>
      <c r="DS635" s="4" t="s">
        <v>241</v>
      </c>
      <c r="DV635" s="4" t="s">
        <v>2153</v>
      </c>
      <c r="DW635" s="4" t="s">
        <v>323</v>
      </c>
      <c r="HO635" s="4" t="s">
        <v>277</v>
      </c>
      <c r="HR635" s="4" t="s">
        <v>278</v>
      </c>
      <c r="HS635" s="4" t="s">
        <v>278</v>
      </c>
    </row>
    <row r="636" spans="1:240" x14ac:dyDescent="0.4">
      <c r="A636" s="4">
        <v>2</v>
      </c>
      <c r="B636" s="4" t="s">
        <v>239</v>
      </c>
      <c r="C636" s="4">
        <v>686</v>
      </c>
      <c r="D636" s="4">
        <v>1</v>
      </c>
      <c r="E636" s="4">
        <v>1</v>
      </c>
      <c r="F636" s="4" t="s">
        <v>240</v>
      </c>
      <c r="G636" s="4" t="s">
        <v>241</v>
      </c>
      <c r="H636" s="4" t="s">
        <v>241</v>
      </c>
      <c r="I636" s="4" t="s">
        <v>2151</v>
      </c>
      <c r="J636" s="4" t="s">
        <v>344</v>
      </c>
      <c r="K636" s="4" t="s">
        <v>256</v>
      </c>
      <c r="L636" s="4" t="s">
        <v>2101</v>
      </c>
      <c r="M636" s="5" t="s">
        <v>2152</v>
      </c>
      <c r="N636" s="4" t="s">
        <v>2114</v>
      </c>
      <c r="O636" s="6">
        <f t="shared" si="12"/>
        <v>128.72</v>
      </c>
      <c r="P636" s="4" t="s">
        <v>276</v>
      </c>
      <c r="Q636" s="6">
        <f>1</f>
        <v>1</v>
      </c>
      <c r="R636" s="6">
        <f t="shared" si="13"/>
        <v>13515600</v>
      </c>
      <c r="S636" s="5" t="s">
        <v>753</v>
      </c>
      <c r="T636" s="4" t="s">
        <v>333</v>
      </c>
      <c r="U636" s="4" t="s">
        <v>683</v>
      </c>
      <c r="W636" s="6">
        <f t="shared" si="14"/>
        <v>13515599</v>
      </c>
      <c r="X636" s="4" t="s">
        <v>243</v>
      </c>
      <c r="Y636" s="4" t="s">
        <v>244</v>
      </c>
      <c r="Z636" s="4" t="s">
        <v>338</v>
      </c>
      <c r="AA636" s="4" t="s">
        <v>241</v>
      </c>
      <c r="AD636" s="4" t="s">
        <v>241</v>
      </c>
      <c r="AF636" s="5" t="s">
        <v>241</v>
      </c>
      <c r="AI636" s="5" t="s">
        <v>249</v>
      </c>
      <c r="AJ636" s="4" t="s">
        <v>251</v>
      </c>
      <c r="AK636" s="4" t="s">
        <v>252</v>
      </c>
      <c r="BA636" s="4" t="s">
        <v>254</v>
      </c>
      <c r="BB636" s="4" t="s">
        <v>241</v>
      </c>
      <c r="BC636" s="4" t="s">
        <v>255</v>
      </c>
      <c r="BD636" s="4" t="s">
        <v>241</v>
      </c>
      <c r="BE636" s="4" t="s">
        <v>257</v>
      </c>
      <c r="BF636" s="4" t="s">
        <v>241</v>
      </c>
      <c r="BJ636" s="4" t="s">
        <v>377</v>
      </c>
      <c r="BK636" s="5" t="s">
        <v>378</v>
      </c>
      <c r="BL636" s="4" t="s">
        <v>261</v>
      </c>
      <c r="BM636" s="4" t="s">
        <v>262</v>
      </c>
      <c r="BN636" s="4" t="s">
        <v>241</v>
      </c>
      <c r="BO636" s="6">
        <f>0</f>
        <v>0</v>
      </c>
      <c r="BP636" s="6">
        <f>0</f>
        <v>0</v>
      </c>
      <c r="BQ636" s="4" t="s">
        <v>263</v>
      </c>
      <c r="BR636" s="4" t="s">
        <v>264</v>
      </c>
      <c r="CF636" s="4" t="s">
        <v>241</v>
      </c>
      <c r="CG636" s="4" t="s">
        <v>241</v>
      </c>
      <c r="CK636" s="4" t="s">
        <v>265</v>
      </c>
      <c r="CL636" s="4" t="s">
        <v>266</v>
      </c>
      <c r="CM636" s="4" t="s">
        <v>241</v>
      </c>
      <c r="CO636" s="4" t="s">
        <v>511</v>
      </c>
      <c r="CP636" s="5" t="s">
        <v>268</v>
      </c>
      <c r="CQ636" s="4" t="s">
        <v>269</v>
      </c>
      <c r="CR636" s="4" t="s">
        <v>270</v>
      </c>
      <c r="CS636" s="4" t="s">
        <v>241</v>
      </c>
      <c r="CT636" s="4" t="s">
        <v>241</v>
      </c>
      <c r="CU636" s="4">
        <v>0</v>
      </c>
      <c r="CV636" s="4" t="s">
        <v>271</v>
      </c>
      <c r="CW636" s="4" t="s">
        <v>411</v>
      </c>
      <c r="CX636" s="4" t="s">
        <v>2130</v>
      </c>
      <c r="CZ636" s="6">
        <f t="shared" si="15"/>
        <v>13515600</v>
      </c>
      <c r="DA636" s="6">
        <f>0</f>
        <v>0</v>
      </c>
      <c r="DC636" s="4" t="s">
        <v>241</v>
      </c>
      <c r="DD636" s="4" t="s">
        <v>241</v>
      </c>
      <c r="DF636" s="4" t="s">
        <v>241</v>
      </c>
      <c r="DI636" s="4" t="s">
        <v>241</v>
      </c>
      <c r="DJ636" s="4" t="s">
        <v>241</v>
      </c>
      <c r="DK636" s="4" t="s">
        <v>241</v>
      </c>
      <c r="DL636" s="4" t="s">
        <v>241</v>
      </c>
      <c r="DM636" s="4" t="s">
        <v>277</v>
      </c>
      <c r="DN636" s="4" t="s">
        <v>278</v>
      </c>
      <c r="DO636" s="6">
        <f t="shared" si="16"/>
        <v>128.72</v>
      </c>
      <c r="DP636" s="4" t="s">
        <v>241</v>
      </c>
      <c r="DQ636" s="4" t="s">
        <v>241</v>
      </c>
      <c r="DR636" s="4" t="s">
        <v>241</v>
      </c>
      <c r="DS636" s="4" t="s">
        <v>241</v>
      </c>
      <c r="DV636" s="4" t="s">
        <v>2153</v>
      </c>
      <c r="DW636" s="4" t="s">
        <v>297</v>
      </c>
      <c r="HO636" s="4" t="s">
        <v>277</v>
      </c>
      <c r="HR636" s="4" t="s">
        <v>278</v>
      </c>
      <c r="HS636" s="4" t="s">
        <v>278</v>
      </c>
    </row>
    <row r="637" spans="1:240" x14ac:dyDescent="0.4">
      <c r="A637" s="4">
        <v>2</v>
      </c>
      <c r="B637" s="4" t="s">
        <v>239</v>
      </c>
      <c r="C637" s="4">
        <v>687</v>
      </c>
      <c r="D637" s="4">
        <v>1</v>
      </c>
      <c r="E637" s="4">
        <v>1</v>
      </c>
      <c r="F637" s="4" t="s">
        <v>240</v>
      </c>
      <c r="G637" s="4" t="s">
        <v>241</v>
      </c>
      <c r="H637" s="4" t="s">
        <v>241</v>
      </c>
      <c r="I637" s="4" t="s">
        <v>2151</v>
      </c>
      <c r="J637" s="4" t="s">
        <v>344</v>
      </c>
      <c r="K637" s="4" t="s">
        <v>256</v>
      </c>
      <c r="L637" s="4" t="s">
        <v>2101</v>
      </c>
      <c r="M637" s="5" t="s">
        <v>2152</v>
      </c>
      <c r="N637" s="4" t="s">
        <v>2114</v>
      </c>
      <c r="O637" s="6">
        <f t="shared" si="12"/>
        <v>128.72</v>
      </c>
      <c r="P637" s="4" t="s">
        <v>276</v>
      </c>
      <c r="Q637" s="6">
        <f>1</f>
        <v>1</v>
      </c>
      <c r="R637" s="6">
        <f t="shared" si="13"/>
        <v>13515600</v>
      </c>
      <c r="S637" s="5" t="s">
        <v>748</v>
      </c>
      <c r="T637" s="4" t="s">
        <v>333</v>
      </c>
      <c r="U637" s="4" t="s">
        <v>835</v>
      </c>
      <c r="W637" s="6">
        <f t="shared" si="14"/>
        <v>13515599</v>
      </c>
      <c r="X637" s="4" t="s">
        <v>243</v>
      </c>
      <c r="Y637" s="4" t="s">
        <v>244</v>
      </c>
      <c r="Z637" s="4" t="s">
        <v>338</v>
      </c>
      <c r="AA637" s="4" t="s">
        <v>241</v>
      </c>
      <c r="AD637" s="4" t="s">
        <v>241</v>
      </c>
      <c r="AF637" s="5" t="s">
        <v>241</v>
      </c>
      <c r="AI637" s="5" t="s">
        <v>249</v>
      </c>
      <c r="AJ637" s="4" t="s">
        <v>251</v>
      </c>
      <c r="AK637" s="4" t="s">
        <v>252</v>
      </c>
      <c r="BA637" s="4" t="s">
        <v>254</v>
      </c>
      <c r="BB637" s="4" t="s">
        <v>241</v>
      </c>
      <c r="BC637" s="4" t="s">
        <v>255</v>
      </c>
      <c r="BD637" s="4" t="s">
        <v>241</v>
      </c>
      <c r="BE637" s="4" t="s">
        <v>257</v>
      </c>
      <c r="BF637" s="4" t="s">
        <v>241</v>
      </c>
      <c r="BJ637" s="4" t="s">
        <v>259</v>
      </c>
      <c r="BK637" s="5" t="s">
        <v>260</v>
      </c>
      <c r="BL637" s="4" t="s">
        <v>261</v>
      </c>
      <c r="BM637" s="4" t="s">
        <v>262</v>
      </c>
      <c r="BN637" s="4" t="s">
        <v>241</v>
      </c>
      <c r="BO637" s="6">
        <f>0</f>
        <v>0</v>
      </c>
      <c r="BP637" s="6">
        <f>0</f>
        <v>0</v>
      </c>
      <c r="BQ637" s="4" t="s">
        <v>263</v>
      </c>
      <c r="BR637" s="4" t="s">
        <v>264</v>
      </c>
      <c r="CF637" s="4" t="s">
        <v>241</v>
      </c>
      <c r="CG637" s="4" t="s">
        <v>241</v>
      </c>
      <c r="CK637" s="4" t="s">
        <v>265</v>
      </c>
      <c r="CL637" s="4" t="s">
        <v>266</v>
      </c>
      <c r="CM637" s="4" t="s">
        <v>241</v>
      </c>
      <c r="CO637" s="4" t="s">
        <v>513</v>
      </c>
      <c r="CP637" s="5" t="s">
        <v>268</v>
      </c>
      <c r="CQ637" s="4" t="s">
        <v>269</v>
      </c>
      <c r="CR637" s="4" t="s">
        <v>270</v>
      </c>
      <c r="CS637" s="4" t="s">
        <v>241</v>
      </c>
      <c r="CT637" s="4" t="s">
        <v>241</v>
      </c>
      <c r="CU637" s="4">
        <v>0</v>
      </c>
      <c r="CV637" s="4" t="s">
        <v>271</v>
      </c>
      <c r="CW637" s="4" t="s">
        <v>411</v>
      </c>
      <c r="CX637" s="4" t="s">
        <v>2130</v>
      </c>
      <c r="CZ637" s="6">
        <f t="shared" si="15"/>
        <v>13515600</v>
      </c>
      <c r="DA637" s="6">
        <f>0</f>
        <v>0</v>
      </c>
      <c r="DC637" s="4" t="s">
        <v>241</v>
      </c>
      <c r="DD637" s="4" t="s">
        <v>241</v>
      </c>
      <c r="DF637" s="4" t="s">
        <v>241</v>
      </c>
      <c r="DI637" s="4" t="s">
        <v>241</v>
      </c>
      <c r="DJ637" s="4" t="s">
        <v>241</v>
      </c>
      <c r="DK637" s="4" t="s">
        <v>241</v>
      </c>
      <c r="DL637" s="4" t="s">
        <v>241</v>
      </c>
      <c r="DM637" s="4" t="s">
        <v>277</v>
      </c>
      <c r="DN637" s="4" t="s">
        <v>278</v>
      </c>
      <c r="DO637" s="6">
        <f t="shared" si="16"/>
        <v>128.72</v>
      </c>
      <c r="DP637" s="4" t="s">
        <v>241</v>
      </c>
      <c r="DQ637" s="4" t="s">
        <v>241</v>
      </c>
      <c r="DR637" s="4" t="s">
        <v>241</v>
      </c>
      <c r="DS637" s="4" t="s">
        <v>241</v>
      </c>
      <c r="DV637" s="4" t="s">
        <v>2153</v>
      </c>
      <c r="DW637" s="4" t="s">
        <v>336</v>
      </c>
      <c r="HO637" s="4" t="s">
        <v>277</v>
      </c>
      <c r="HR637" s="4" t="s">
        <v>278</v>
      </c>
      <c r="HS637" s="4" t="s">
        <v>278</v>
      </c>
    </row>
    <row r="638" spans="1:240" x14ac:dyDescent="0.4">
      <c r="A638" s="4">
        <v>2</v>
      </c>
      <c r="B638" s="4" t="s">
        <v>239</v>
      </c>
      <c r="C638" s="4">
        <v>688</v>
      </c>
      <c r="D638" s="4">
        <v>1</v>
      </c>
      <c r="E638" s="4">
        <v>1</v>
      </c>
      <c r="F638" s="4" t="s">
        <v>240</v>
      </c>
      <c r="G638" s="4" t="s">
        <v>241</v>
      </c>
      <c r="H638" s="4" t="s">
        <v>241</v>
      </c>
      <c r="I638" s="4" t="s">
        <v>2151</v>
      </c>
      <c r="J638" s="4" t="s">
        <v>344</v>
      </c>
      <c r="K638" s="4" t="s">
        <v>256</v>
      </c>
      <c r="L638" s="4" t="s">
        <v>2101</v>
      </c>
      <c r="M638" s="5" t="s">
        <v>2152</v>
      </c>
      <c r="N638" s="4" t="s">
        <v>2114</v>
      </c>
      <c r="O638" s="6">
        <f t="shared" si="12"/>
        <v>128.72</v>
      </c>
      <c r="P638" s="4" t="s">
        <v>276</v>
      </c>
      <c r="Q638" s="6">
        <f>1</f>
        <v>1</v>
      </c>
      <c r="R638" s="6">
        <f t="shared" si="13"/>
        <v>13515600</v>
      </c>
      <c r="S638" s="5" t="s">
        <v>748</v>
      </c>
      <c r="T638" s="4" t="s">
        <v>333</v>
      </c>
      <c r="U638" s="4" t="s">
        <v>835</v>
      </c>
      <c r="W638" s="6">
        <f t="shared" si="14"/>
        <v>13515599</v>
      </c>
      <c r="X638" s="4" t="s">
        <v>243</v>
      </c>
      <c r="Y638" s="4" t="s">
        <v>244</v>
      </c>
      <c r="Z638" s="4" t="s">
        <v>338</v>
      </c>
      <c r="AA638" s="4" t="s">
        <v>241</v>
      </c>
      <c r="AD638" s="4" t="s">
        <v>241</v>
      </c>
      <c r="AF638" s="5" t="s">
        <v>241</v>
      </c>
      <c r="AI638" s="5" t="s">
        <v>249</v>
      </c>
      <c r="AJ638" s="4" t="s">
        <v>251</v>
      </c>
      <c r="AK638" s="4" t="s">
        <v>252</v>
      </c>
      <c r="BA638" s="4" t="s">
        <v>254</v>
      </c>
      <c r="BB638" s="4" t="s">
        <v>241</v>
      </c>
      <c r="BC638" s="4" t="s">
        <v>255</v>
      </c>
      <c r="BD638" s="4" t="s">
        <v>241</v>
      </c>
      <c r="BE638" s="4" t="s">
        <v>257</v>
      </c>
      <c r="BF638" s="4" t="s">
        <v>241</v>
      </c>
      <c r="BJ638" s="4" t="s">
        <v>367</v>
      </c>
      <c r="BK638" s="5" t="s">
        <v>249</v>
      </c>
      <c r="BL638" s="4" t="s">
        <v>261</v>
      </c>
      <c r="BM638" s="4" t="s">
        <v>262</v>
      </c>
      <c r="BN638" s="4" t="s">
        <v>241</v>
      </c>
      <c r="BO638" s="6">
        <f>0</f>
        <v>0</v>
      </c>
      <c r="BP638" s="6">
        <f>0</f>
        <v>0</v>
      </c>
      <c r="BQ638" s="4" t="s">
        <v>263</v>
      </c>
      <c r="BR638" s="4" t="s">
        <v>264</v>
      </c>
      <c r="CF638" s="4" t="s">
        <v>241</v>
      </c>
      <c r="CG638" s="4" t="s">
        <v>241</v>
      </c>
      <c r="CK638" s="4" t="s">
        <v>265</v>
      </c>
      <c r="CL638" s="4" t="s">
        <v>266</v>
      </c>
      <c r="CM638" s="4" t="s">
        <v>241</v>
      </c>
      <c r="CO638" s="4" t="s">
        <v>513</v>
      </c>
      <c r="CP638" s="5" t="s">
        <v>268</v>
      </c>
      <c r="CQ638" s="4" t="s">
        <v>269</v>
      </c>
      <c r="CR638" s="4" t="s">
        <v>270</v>
      </c>
      <c r="CS638" s="4" t="s">
        <v>241</v>
      </c>
      <c r="CT638" s="4" t="s">
        <v>241</v>
      </c>
      <c r="CU638" s="4">
        <v>0</v>
      </c>
      <c r="CV638" s="4" t="s">
        <v>271</v>
      </c>
      <c r="CW638" s="4" t="s">
        <v>411</v>
      </c>
      <c r="CX638" s="4" t="s">
        <v>2130</v>
      </c>
      <c r="CZ638" s="6">
        <f t="shared" si="15"/>
        <v>13515600</v>
      </c>
      <c r="DA638" s="6">
        <f>0</f>
        <v>0</v>
      </c>
      <c r="DC638" s="4" t="s">
        <v>241</v>
      </c>
      <c r="DD638" s="4" t="s">
        <v>241</v>
      </c>
      <c r="DF638" s="4" t="s">
        <v>241</v>
      </c>
      <c r="DI638" s="4" t="s">
        <v>241</v>
      </c>
      <c r="DJ638" s="4" t="s">
        <v>241</v>
      </c>
      <c r="DK638" s="4" t="s">
        <v>241</v>
      </c>
      <c r="DL638" s="4" t="s">
        <v>241</v>
      </c>
      <c r="DM638" s="4" t="s">
        <v>277</v>
      </c>
      <c r="DN638" s="4" t="s">
        <v>278</v>
      </c>
      <c r="DO638" s="6">
        <f t="shared" si="16"/>
        <v>128.72</v>
      </c>
      <c r="DP638" s="4" t="s">
        <v>241</v>
      </c>
      <c r="DQ638" s="4" t="s">
        <v>241</v>
      </c>
      <c r="DR638" s="4" t="s">
        <v>241</v>
      </c>
      <c r="DS638" s="4" t="s">
        <v>241</v>
      </c>
      <c r="DV638" s="4" t="s">
        <v>2153</v>
      </c>
      <c r="DW638" s="4" t="s">
        <v>351</v>
      </c>
      <c r="HO638" s="4" t="s">
        <v>277</v>
      </c>
      <c r="HR638" s="4" t="s">
        <v>278</v>
      </c>
      <c r="HS638" s="4" t="s">
        <v>278</v>
      </c>
    </row>
    <row r="639" spans="1:240" x14ac:dyDescent="0.4">
      <c r="A639" s="4">
        <v>2</v>
      </c>
      <c r="B639" s="4" t="s">
        <v>239</v>
      </c>
      <c r="C639" s="4">
        <v>689</v>
      </c>
      <c r="D639" s="4">
        <v>1</v>
      </c>
      <c r="E639" s="4">
        <v>1</v>
      </c>
      <c r="F639" s="4" t="s">
        <v>240</v>
      </c>
      <c r="G639" s="4" t="s">
        <v>241</v>
      </c>
      <c r="H639" s="4" t="s">
        <v>241</v>
      </c>
      <c r="I639" s="4" t="s">
        <v>2151</v>
      </c>
      <c r="J639" s="4" t="s">
        <v>344</v>
      </c>
      <c r="K639" s="4" t="s">
        <v>256</v>
      </c>
      <c r="L639" s="4" t="s">
        <v>2101</v>
      </c>
      <c r="M639" s="5" t="s">
        <v>2152</v>
      </c>
      <c r="N639" s="4" t="s">
        <v>2114</v>
      </c>
      <c r="O639" s="6">
        <f t="shared" si="12"/>
        <v>128.72</v>
      </c>
      <c r="P639" s="4" t="s">
        <v>276</v>
      </c>
      <c r="Q639" s="6">
        <f>1</f>
        <v>1</v>
      </c>
      <c r="R639" s="6">
        <f t="shared" si="13"/>
        <v>13515600</v>
      </c>
      <c r="S639" s="5" t="s">
        <v>748</v>
      </c>
      <c r="T639" s="4" t="s">
        <v>333</v>
      </c>
      <c r="U639" s="4" t="s">
        <v>835</v>
      </c>
      <c r="W639" s="6">
        <f t="shared" si="14"/>
        <v>13515599</v>
      </c>
      <c r="X639" s="4" t="s">
        <v>243</v>
      </c>
      <c r="Y639" s="4" t="s">
        <v>244</v>
      </c>
      <c r="Z639" s="4" t="s">
        <v>338</v>
      </c>
      <c r="AA639" s="4" t="s">
        <v>241</v>
      </c>
      <c r="AD639" s="4" t="s">
        <v>241</v>
      </c>
      <c r="AF639" s="5" t="s">
        <v>241</v>
      </c>
      <c r="AI639" s="5" t="s">
        <v>249</v>
      </c>
      <c r="AJ639" s="4" t="s">
        <v>251</v>
      </c>
      <c r="AK639" s="4" t="s">
        <v>252</v>
      </c>
      <c r="BA639" s="4" t="s">
        <v>254</v>
      </c>
      <c r="BB639" s="4" t="s">
        <v>241</v>
      </c>
      <c r="BC639" s="4" t="s">
        <v>255</v>
      </c>
      <c r="BD639" s="4" t="s">
        <v>241</v>
      </c>
      <c r="BE639" s="4" t="s">
        <v>257</v>
      </c>
      <c r="BF639" s="4" t="s">
        <v>241</v>
      </c>
      <c r="BJ639" s="4" t="s">
        <v>374</v>
      </c>
      <c r="BK639" s="5" t="s">
        <v>375</v>
      </c>
      <c r="BL639" s="4" t="s">
        <v>261</v>
      </c>
      <c r="BM639" s="4" t="s">
        <v>262</v>
      </c>
      <c r="BN639" s="4" t="s">
        <v>241</v>
      </c>
      <c r="BO639" s="6">
        <f>0</f>
        <v>0</v>
      </c>
      <c r="BP639" s="6">
        <f>0</f>
        <v>0</v>
      </c>
      <c r="BQ639" s="4" t="s">
        <v>263</v>
      </c>
      <c r="BR639" s="4" t="s">
        <v>264</v>
      </c>
      <c r="CF639" s="4" t="s">
        <v>241</v>
      </c>
      <c r="CG639" s="4" t="s">
        <v>241</v>
      </c>
      <c r="CK639" s="4" t="s">
        <v>265</v>
      </c>
      <c r="CL639" s="4" t="s">
        <v>266</v>
      </c>
      <c r="CM639" s="4" t="s">
        <v>241</v>
      </c>
      <c r="CO639" s="4" t="s">
        <v>513</v>
      </c>
      <c r="CP639" s="5" t="s">
        <v>268</v>
      </c>
      <c r="CQ639" s="4" t="s">
        <v>269</v>
      </c>
      <c r="CR639" s="4" t="s">
        <v>270</v>
      </c>
      <c r="CS639" s="4" t="s">
        <v>241</v>
      </c>
      <c r="CT639" s="4" t="s">
        <v>241</v>
      </c>
      <c r="CU639" s="4">
        <v>0</v>
      </c>
      <c r="CV639" s="4" t="s">
        <v>271</v>
      </c>
      <c r="CW639" s="4" t="s">
        <v>411</v>
      </c>
      <c r="CX639" s="4" t="s">
        <v>2130</v>
      </c>
      <c r="CZ639" s="6">
        <f t="shared" si="15"/>
        <v>13515600</v>
      </c>
      <c r="DA639" s="6">
        <f>0</f>
        <v>0</v>
      </c>
      <c r="DC639" s="4" t="s">
        <v>241</v>
      </c>
      <c r="DD639" s="4" t="s">
        <v>241</v>
      </c>
      <c r="DF639" s="4" t="s">
        <v>241</v>
      </c>
      <c r="DI639" s="4" t="s">
        <v>241</v>
      </c>
      <c r="DJ639" s="4" t="s">
        <v>241</v>
      </c>
      <c r="DK639" s="4" t="s">
        <v>241</v>
      </c>
      <c r="DL639" s="4" t="s">
        <v>241</v>
      </c>
      <c r="DM639" s="4" t="s">
        <v>277</v>
      </c>
      <c r="DN639" s="4" t="s">
        <v>278</v>
      </c>
      <c r="DO639" s="6">
        <f t="shared" si="16"/>
        <v>128.72</v>
      </c>
      <c r="DP639" s="4" t="s">
        <v>241</v>
      </c>
      <c r="DQ639" s="4" t="s">
        <v>241</v>
      </c>
      <c r="DR639" s="4" t="s">
        <v>241</v>
      </c>
      <c r="DS639" s="4" t="s">
        <v>241</v>
      </c>
      <c r="DV639" s="4" t="s">
        <v>2153</v>
      </c>
      <c r="DW639" s="4" t="s">
        <v>300</v>
      </c>
      <c r="HO639" s="4" t="s">
        <v>277</v>
      </c>
      <c r="HR639" s="4" t="s">
        <v>278</v>
      </c>
      <c r="HS639" s="4" t="s">
        <v>278</v>
      </c>
    </row>
    <row r="640" spans="1:240" x14ac:dyDescent="0.4">
      <c r="A640" s="4">
        <v>2</v>
      </c>
      <c r="B640" s="4" t="s">
        <v>239</v>
      </c>
      <c r="C640" s="4">
        <v>690</v>
      </c>
      <c r="D640" s="4">
        <v>1</v>
      </c>
      <c r="E640" s="4">
        <v>3</v>
      </c>
      <c r="F640" s="4" t="s">
        <v>240</v>
      </c>
      <c r="G640" s="4" t="s">
        <v>241</v>
      </c>
      <c r="H640" s="4" t="s">
        <v>241</v>
      </c>
      <c r="I640" s="4" t="s">
        <v>2492</v>
      </c>
      <c r="J640" s="4" t="s">
        <v>344</v>
      </c>
      <c r="K640" s="4" t="s">
        <v>256</v>
      </c>
      <c r="L640" s="4" t="s">
        <v>2101</v>
      </c>
      <c r="M640" s="5" t="s">
        <v>2493</v>
      </c>
      <c r="N640" s="4" t="s">
        <v>2104</v>
      </c>
      <c r="O640" s="6">
        <f>498</f>
        <v>498</v>
      </c>
      <c r="P640" s="4" t="s">
        <v>276</v>
      </c>
      <c r="Q640" s="6">
        <f>17753700</f>
        <v>17753700</v>
      </c>
      <c r="R640" s="6">
        <f>77190000</f>
        <v>77190000</v>
      </c>
      <c r="S640" s="5" t="s">
        <v>397</v>
      </c>
      <c r="T640" s="4" t="s">
        <v>668</v>
      </c>
      <c r="U640" s="4" t="s">
        <v>357</v>
      </c>
      <c r="V640" s="6">
        <f>1698180</f>
        <v>1698180</v>
      </c>
      <c r="W640" s="6">
        <f>59436300</f>
        <v>59436300</v>
      </c>
      <c r="X640" s="4" t="s">
        <v>243</v>
      </c>
      <c r="Y640" s="4" t="s">
        <v>244</v>
      </c>
      <c r="Z640" s="4" t="s">
        <v>338</v>
      </c>
      <c r="AA640" s="4" t="s">
        <v>241</v>
      </c>
      <c r="AD640" s="4" t="s">
        <v>241</v>
      </c>
      <c r="AE640" s="5" t="s">
        <v>241</v>
      </c>
      <c r="AF640" s="5" t="s">
        <v>241</v>
      </c>
      <c r="AH640" s="5" t="s">
        <v>241</v>
      </c>
      <c r="AI640" s="5" t="s">
        <v>375</v>
      </c>
      <c r="AJ640" s="4" t="s">
        <v>251</v>
      </c>
      <c r="AK640" s="4" t="s">
        <v>252</v>
      </c>
      <c r="AQ640" s="4" t="s">
        <v>241</v>
      </c>
      <c r="AR640" s="4" t="s">
        <v>241</v>
      </c>
      <c r="AS640" s="4" t="s">
        <v>241</v>
      </c>
      <c r="AT640" s="5" t="s">
        <v>241</v>
      </c>
      <c r="AU640" s="5" t="s">
        <v>241</v>
      </c>
      <c r="AV640" s="5" t="s">
        <v>241</v>
      </c>
      <c r="AY640" s="4" t="s">
        <v>286</v>
      </c>
      <c r="AZ640" s="4" t="s">
        <v>286</v>
      </c>
      <c r="BA640" s="4" t="s">
        <v>254</v>
      </c>
      <c r="BB640" s="4" t="s">
        <v>287</v>
      </c>
      <c r="BC640" s="4" t="s">
        <v>255</v>
      </c>
      <c r="BD640" s="4" t="s">
        <v>241</v>
      </c>
      <c r="BE640" s="4" t="s">
        <v>257</v>
      </c>
      <c r="BF640" s="4" t="s">
        <v>241</v>
      </c>
      <c r="BJ640" s="4" t="s">
        <v>288</v>
      </c>
      <c r="BK640" s="5" t="s">
        <v>289</v>
      </c>
      <c r="BL640" s="4" t="s">
        <v>290</v>
      </c>
      <c r="BM640" s="4" t="s">
        <v>290</v>
      </c>
      <c r="BN640" s="4" t="s">
        <v>241</v>
      </c>
      <c r="BO640" s="6">
        <f>0</f>
        <v>0</v>
      </c>
      <c r="BP640" s="6">
        <f>-1698180</f>
        <v>-1698180</v>
      </c>
      <c r="BQ640" s="4" t="s">
        <v>263</v>
      </c>
      <c r="BR640" s="4" t="s">
        <v>264</v>
      </c>
      <c r="BS640" s="4" t="s">
        <v>241</v>
      </c>
      <c r="BT640" s="4" t="s">
        <v>241</v>
      </c>
      <c r="BU640" s="4" t="s">
        <v>241</v>
      </c>
      <c r="BV640" s="4" t="s">
        <v>241</v>
      </c>
      <c r="CE640" s="4" t="s">
        <v>264</v>
      </c>
      <c r="CF640" s="4" t="s">
        <v>241</v>
      </c>
      <c r="CG640" s="4" t="s">
        <v>241</v>
      </c>
      <c r="CK640" s="4" t="s">
        <v>291</v>
      </c>
      <c r="CL640" s="4" t="s">
        <v>266</v>
      </c>
      <c r="CM640" s="4" t="s">
        <v>241</v>
      </c>
      <c r="CO640" s="4" t="s">
        <v>398</v>
      </c>
      <c r="CP640" s="5" t="s">
        <v>268</v>
      </c>
      <c r="CQ640" s="4" t="s">
        <v>269</v>
      </c>
      <c r="CR640" s="4" t="s">
        <v>270</v>
      </c>
      <c r="CS640" s="4" t="s">
        <v>293</v>
      </c>
      <c r="CT640" s="4" t="s">
        <v>241</v>
      </c>
      <c r="CU640" s="4">
        <v>2.1999999999999999E-2</v>
      </c>
      <c r="CV640" s="4" t="s">
        <v>271</v>
      </c>
      <c r="CW640" s="4" t="s">
        <v>411</v>
      </c>
      <c r="CX640" s="4" t="s">
        <v>295</v>
      </c>
      <c r="CY640" s="6">
        <f>0</f>
        <v>0</v>
      </c>
      <c r="CZ640" s="6">
        <f>77190000</f>
        <v>77190000</v>
      </c>
      <c r="DA640" s="6">
        <f>17753700</f>
        <v>17753700</v>
      </c>
      <c r="DC640" s="4" t="s">
        <v>241</v>
      </c>
      <c r="DD640" s="4" t="s">
        <v>241</v>
      </c>
      <c r="DF640" s="4" t="s">
        <v>241</v>
      </c>
      <c r="DG640" s="6">
        <f>0</f>
        <v>0</v>
      </c>
      <c r="DI640" s="4" t="s">
        <v>241</v>
      </c>
      <c r="DJ640" s="4" t="s">
        <v>241</v>
      </c>
      <c r="DK640" s="4" t="s">
        <v>241</v>
      </c>
      <c r="DL640" s="4" t="s">
        <v>241</v>
      </c>
      <c r="DM640" s="4" t="s">
        <v>297</v>
      </c>
      <c r="DN640" s="4" t="s">
        <v>278</v>
      </c>
      <c r="DO640" s="6">
        <f>498</f>
        <v>498</v>
      </c>
      <c r="DP640" s="4" t="s">
        <v>241</v>
      </c>
      <c r="DQ640" s="4" t="s">
        <v>241</v>
      </c>
      <c r="DR640" s="4" t="s">
        <v>241</v>
      </c>
      <c r="DS640" s="4" t="s">
        <v>241</v>
      </c>
      <c r="DV640" s="4" t="s">
        <v>2494</v>
      </c>
      <c r="DW640" s="4" t="s">
        <v>277</v>
      </c>
      <c r="GN640" s="4" t="s">
        <v>2497</v>
      </c>
      <c r="HO640" s="4" t="s">
        <v>300</v>
      </c>
      <c r="HR640" s="4" t="s">
        <v>278</v>
      </c>
      <c r="HS640" s="4" t="s">
        <v>278</v>
      </c>
      <c r="HT640" s="4" t="s">
        <v>241</v>
      </c>
      <c r="HU640" s="4" t="s">
        <v>241</v>
      </c>
      <c r="HV640" s="4" t="s">
        <v>241</v>
      </c>
      <c r="HW640" s="4" t="s">
        <v>241</v>
      </c>
      <c r="HX640" s="4" t="s">
        <v>241</v>
      </c>
      <c r="HY640" s="4" t="s">
        <v>241</v>
      </c>
      <c r="HZ640" s="4" t="s">
        <v>241</v>
      </c>
      <c r="IA640" s="4" t="s">
        <v>241</v>
      </c>
      <c r="IB640" s="4" t="s">
        <v>241</v>
      </c>
      <c r="IC640" s="4" t="s">
        <v>241</v>
      </c>
      <c r="ID640" s="4" t="s">
        <v>241</v>
      </c>
      <c r="IE640" s="4" t="s">
        <v>241</v>
      </c>
      <c r="IF640" s="4" t="s">
        <v>241</v>
      </c>
    </row>
    <row r="641" spans="1:240" x14ac:dyDescent="0.4">
      <c r="A641" s="4">
        <v>2</v>
      </c>
      <c r="B641" s="4" t="s">
        <v>239</v>
      </c>
      <c r="C641" s="4">
        <v>691</v>
      </c>
      <c r="D641" s="4">
        <v>1</v>
      </c>
      <c r="E641" s="4">
        <v>3</v>
      </c>
      <c r="F641" s="4" t="s">
        <v>240</v>
      </c>
      <c r="G641" s="4" t="s">
        <v>241</v>
      </c>
      <c r="H641" s="4" t="s">
        <v>241</v>
      </c>
      <c r="I641" s="4" t="s">
        <v>2492</v>
      </c>
      <c r="J641" s="4" t="s">
        <v>344</v>
      </c>
      <c r="K641" s="4" t="s">
        <v>256</v>
      </c>
      <c r="L641" s="4" t="s">
        <v>2101</v>
      </c>
      <c r="M641" s="5" t="s">
        <v>2493</v>
      </c>
      <c r="N641" s="4" t="s">
        <v>2109</v>
      </c>
      <c r="O641" s="6">
        <f>996</f>
        <v>996</v>
      </c>
      <c r="P641" s="4" t="s">
        <v>276</v>
      </c>
      <c r="Q641" s="6">
        <f>38903760</f>
        <v>38903760</v>
      </c>
      <c r="R641" s="6">
        <f>154380000</f>
        <v>154380000</v>
      </c>
      <c r="S641" s="5" t="s">
        <v>900</v>
      </c>
      <c r="T641" s="4" t="s">
        <v>668</v>
      </c>
      <c r="U641" s="4" t="s">
        <v>473</v>
      </c>
      <c r="V641" s="6">
        <f>3396360</f>
        <v>3396360</v>
      </c>
      <c r="W641" s="6">
        <f>115476240</f>
        <v>115476240</v>
      </c>
      <c r="X641" s="4" t="s">
        <v>243</v>
      </c>
      <c r="Y641" s="4" t="s">
        <v>244</v>
      </c>
      <c r="Z641" s="4" t="s">
        <v>338</v>
      </c>
      <c r="AA641" s="4" t="s">
        <v>241</v>
      </c>
      <c r="AD641" s="4" t="s">
        <v>241</v>
      </c>
      <c r="AE641" s="5" t="s">
        <v>241</v>
      </c>
      <c r="AF641" s="5" t="s">
        <v>241</v>
      </c>
      <c r="AH641" s="5" t="s">
        <v>241</v>
      </c>
      <c r="AI641" s="5" t="s">
        <v>375</v>
      </c>
      <c r="AJ641" s="4" t="s">
        <v>251</v>
      </c>
      <c r="AK641" s="4" t="s">
        <v>252</v>
      </c>
      <c r="AQ641" s="4" t="s">
        <v>241</v>
      </c>
      <c r="AR641" s="4" t="s">
        <v>241</v>
      </c>
      <c r="AS641" s="4" t="s">
        <v>241</v>
      </c>
      <c r="AT641" s="5" t="s">
        <v>241</v>
      </c>
      <c r="AU641" s="5" t="s">
        <v>241</v>
      </c>
      <c r="AV641" s="5" t="s">
        <v>241</v>
      </c>
      <c r="AY641" s="4" t="s">
        <v>286</v>
      </c>
      <c r="AZ641" s="4" t="s">
        <v>286</v>
      </c>
      <c r="BA641" s="4" t="s">
        <v>254</v>
      </c>
      <c r="BB641" s="4" t="s">
        <v>287</v>
      </c>
      <c r="BC641" s="4" t="s">
        <v>255</v>
      </c>
      <c r="BD641" s="4" t="s">
        <v>241</v>
      </c>
      <c r="BE641" s="4" t="s">
        <v>257</v>
      </c>
      <c r="BF641" s="4" t="s">
        <v>241</v>
      </c>
      <c r="BJ641" s="4" t="s">
        <v>288</v>
      </c>
      <c r="BK641" s="5" t="s">
        <v>289</v>
      </c>
      <c r="BL641" s="4" t="s">
        <v>290</v>
      </c>
      <c r="BM641" s="4" t="s">
        <v>290</v>
      </c>
      <c r="BN641" s="4" t="s">
        <v>241</v>
      </c>
      <c r="BO641" s="6">
        <f>0</f>
        <v>0</v>
      </c>
      <c r="BP641" s="6">
        <f>-3396360</f>
        <v>-3396360</v>
      </c>
      <c r="BQ641" s="4" t="s">
        <v>263</v>
      </c>
      <c r="BR641" s="4" t="s">
        <v>264</v>
      </c>
      <c r="BS641" s="4" t="s">
        <v>241</v>
      </c>
      <c r="BT641" s="4" t="s">
        <v>241</v>
      </c>
      <c r="BU641" s="4" t="s">
        <v>241</v>
      </c>
      <c r="BV641" s="4" t="s">
        <v>241</v>
      </c>
      <c r="CE641" s="4" t="s">
        <v>264</v>
      </c>
      <c r="CF641" s="4" t="s">
        <v>241</v>
      </c>
      <c r="CG641" s="4" t="s">
        <v>241</v>
      </c>
      <c r="CK641" s="4" t="s">
        <v>291</v>
      </c>
      <c r="CL641" s="4" t="s">
        <v>266</v>
      </c>
      <c r="CM641" s="4" t="s">
        <v>241</v>
      </c>
      <c r="CO641" s="4" t="s">
        <v>390</v>
      </c>
      <c r="CP641" s="5" t="s">
        <v>268</v>
      </c>
      <c r="CQ641" s="4" t="s">
        <v>269</v>
      </c>
      <c r="CR641" s="4" t="s">
        <v>270</v>
      </c>
      <c r="CS641" s="4" t="s">
        <v>293</v>
      </c>
      <c r="CT641" s="4" t="s">
        <v>241</v>
      </c>
      <c r="CU641" s="4">
        <v>2.1999999999999999E-2</v>
      </c>
      <c r="CV641" s="4" t="s">
        <v>271</v>
      </c>
      <c r="CW641" s="4" t="s">
        <v>411</v>
      </c>
      <c r="CX641" s="4" t="s">
        <v>295</v>
      </c>
      <c r="CY641" s="6">
        <f>0</f>
        <v>0</v>
      </c>
      <c r="CZ641" s="6">
        <f>154380000</f>
        <v>154380000</v>
      </c>
      <c r="DA641" s="6">
        <f>38903760</f>
        <v>38903760</v>
      </c>
      <c r="DC641" s="4" t="s">
        <v>241</v>
      </c>
      <c r="DD641" s="4" t="s">
        <v>241</v>
      </c>
      <c r="DF641" s="4" t="s">
        <v>241</v>
      </c>
      <c r="DG641" s="6">
        <f>0</f>
        <v>0</v>
      </c>
      <c r="DI641" s="4" t="s">
        <v>241</v>
      </c>
      <c r="DJ641" s="4" t="s">
        <v>241</v>
      </c>
      <c r="DK641" s="4" t="s">
        <v>241</v>
      </c>
      <c r="DL641" s="4" t="s">
        <v>241</v>
      </c>
      <c r="DM641" s="4" t="s">
        <v>297</v>
      </c>
      <c r="DN641" s="4" t="s">
        <v>278</v>
      </c>
      <c r="DO641" s="6">
        <f>996</f>
        <v>996</v>
      </c>
      <c r="DP641" s="4" t="s">
        <v>241</v>
      </c>
      <c r="DQ641" s="4" t="s">
        <v>241</v>
      </c>
      <c r="DR641" s="4" t="s">
        <v>241</v>
      </c>
      <c r="DS641" s="4" t="s">
        <v>241</v>
      </c>
      <c r="DV641" s="4" t="s">
        <v>2494</v>
      </c>
      <c r="DW641" s="4" t="s">
        <v>323</v>
      </c>
      <c r="GN641" s="4" t="s">
        <v>2496</v>
      </c>
      <c r="HO641" s="4" t="s">
        <v>300</v>
      </c>
      <c r="HR641" s="4" t="s">
        <v>278</v>
      </c>
      <c r="HS641" s="4" t="s">
        <v>278</v>
      </c>
      <c r="HT641" s="4" t="s">
        <v>241</v>
      </c>
      <c r="HU641" s="4" t="s">
        <v>241</v>
      </c>
      <c r="HV641" s="4" t="s">
        <v>241</v>
      </c>
      <c r="HW641" s="4" t="s">
        <v>241</v>
      </c>
      <c r="HX641" s="4" t="s">
        <v>241</v>
      </c>
      <c r="HY641" s="4" t="s">
        <v>241</v>
      </c>
      <c r="HZ641" s="4" t="s">
        <v>241</v>
      </c>
      <c r="IA641" s="4" t="s">
        <v>241</v>
      </c>
      <c r="IB641" s="4" t="s">
        <v>241</v>
      </c>
      <c r="IC641" s="4" t="s">
        <v>241</v>
      </c>
      <c r="ID641" s="4" t="s">
        <v>241</v>
      </c>
      <c r="IE641" s="4" t="s">
        <v>241</v>
      </c>
      <c r="IF641" s="4" t="s">
        <v>241</v>
      </c>
    </row>
    <row r="642" spans="1:240" x14ac:dyDescent="0.4">
      <c r="A642" s="4">
        <v>2</v>
      </c>
      <c r="B642" s="4" t="s">
        <v>239</v>
      </c>
      <c r="C642" s="4">
        <v>692</v>
      </c>
      <c r="D642" s="4">
        <v>1</v>
      </c>
      <c r="E642" s="4">
        <v>3</v>
      </c>
      <c r="F642" s="4" t="s">
        <v>240</v>
      </c>
      <c r="G642" s="4" t="s">
        <v>241</v>
      </c>
      <c r="H642" s="4" t="s">
        <v>241</v>
      </c>
      <c r="I642" s="4" t="s">
        <v>2492</v>
      </c>
      <c r="J642" s="4" t="s">
        <v>344</v>
      </c>
      <c r="K642" s="4" t="s">
        <v>256</v>
      </c>
      <c r="L642" s="4" t="s">
        <v>2101</v>
      </c>
      <c r="M642" s="5" t="s">
        <v>2493</v>
      </c>
      <c r="N642" s="4" t="s">
        <v>2110</v>
      </c>
      <c r="O642" s="6">
        <f>995.88</f>
        <v>995.88</v>
      </c>
      <c r="P642" s="4" t="s">
        <v>276</v>
      </c>
      <c r="Q642" s="6">
        <f>35503150</f>
        <v>35503150</v>
      </c>
      <c r="R642" s="6">
        <f>154361400</f>
        <v>154361400</v>
      </c>
      <c r="S642" s="5" t="s">
        <v>397</v>
      </c>
      <c r="T642" s="4" t="s">
        <v>668</v>
      </c>
      <c r="U642" s="4" t="s">
        <v>357</v>
      </c>
      <c r="V642" s="6">
        <f>3395950</f>
        <v>3395950</v>
      </c>
      <c r="W642" s="6">
        <f>118858250</f>
        <v>118858250</v>
      </c>
      <c r="X642" s="4" t="s">
        <v>243</v>
      </c>
      <c r="Y642" s="4" t="s">
        <v>244</v>
      </c>
      <c r="Z642" s="4" t="s">
        <v>338</v>
      </c>
      <c r="AA642" s="4" t="s">
        <v>241</v>
      </c>
      <c r="AD642" s="4" t="s">
        <v>241</v>
      </c>
      <c r="AE642" s="5" t="s">
        <v>241</v>
      </c>
      <c r="AF642" s="5" t="s">
        <v>241</v>
      </c>
      <c r="AH642" s="5" t="s">
        <v>241</v>
      </c>
      <c r="AI642" s="5" t="s">
        <v>375</v>
      </c>
      <c r="AJ642" s="4" t="s">
        <v>251</v>
      </c>
      <c r="AK642" s="4" t="s">
        <v>252</v>
      </c>
      <c r="AQ642" s="4" t="s">
        <v>241</v>
      </c>
      <c r="AR642" s="4" t="s">
        <v>241</v>
      </c>
      <c r="AS642" s="4" t="s">
        <v>241</v>
      </c>
      <c r="AT642" s="5" t="s">
        <v>241</v>
      </c>
      <c r="AU642" s="5" t="s">
        <v>241</v>
      </c>
      <c r="AV642" s="5" t="s">
        <v>241</v>
      </c>
      <c r="AY642" s="4" t="s">
        <v>286</v>
      </c>
      <c r="AZ642" s="4" t="s">
        <v>286</v>
      </c>
      <c r="BA642" s="4" t="s">
        <v>254</v>
      </c>
      <c r="BB642" s="4" t="s">
        <v>287</v>
      </c>
      <c r="BC642" s="4" t="s">
        <v>255</v>
      </c>
      <c r="BD642" s="4" t="s">
        <v>241</v>
      </c>
      <c r="BE642" s="4" t="s">
        <v>257</v>
      </c>
      <c r="BF642" s="4" t="s">
        <v>241</v>
      </c>
      <c r="BJ642" s="4" t="s">
        <v>288</v>
      </c>
      <c r="BK642" s="5" t="s">
        <v>289</v>
      </c>
      <c r="BL642" s="4" t="s">
        <v>290</v>
      </c>
      <c r="BM642" s="4" t="s">
        <v>290</v>
      </c>
      <c r="BN642" s="4" t="s">
        <v>241</v>
      </c>
      <c r="BO642" s="6">
        <f>0</f>
        <v>0</v>
      </c>
      <c r="BP642" s="6">
        <f>-3395950</f>
        <v>-3395950</v>
      </c>
      <c r="BQ642" s="4" t="s">
        <v>263</v>
      </c>
      <c r="BR642" s="4" t="s">
        <v>264</v>
      </c>
      <c r="BS642" s="4" t="s">
        <v>241</v>
      </c>
      <c r="BT642" s="4" t="s">
        <v>241</v>
      </c>
      <c r="BU642" s="4" t="s">
        <v>241</v>
      </c>
      <c r="BV642" s="4" t="s">
        <v>241</v>
      </c>
      <c r="CE642" s="4" t="s">
        <v>264</v>
      </c>
      <c r="CF642" s="4" t="s">
        <v>241</v>
      </c>
      <c r="CG642" s="4" t="s">
        <v>241</v>
      </c>
      <c r="CK642" s="4" t="s">
        <v>291</v>
      </c>
      <c r="CL642" s="4" t="s">
        <v>266</v>
      </c>
      <c r="CM642" s="4" t="s">
        <v>241</v>
      </c>
      <c r="CO642" s="4" t="s">
        <v>398</v>
      </c>
      <c r="CP642" s="5" t="s">
        <v>268</v>
      </c>
      <c r="CQ642" s="4" t="s">
        <v>269</v>
      </c>
      <c r="CR642" s="4" t="s">
        <v>270</v>
      </c>
      <c r="CS642" s="4" t="s">
        <v>293</v>
      </c>
      <c r="CT642" s="4" t="s">
        <v>241</v>
      </c>
      <c r="CU642" s="4">
        <v>2.1999999999999999E-2</v>
      </c>
      <c r="CV642" s="4" t="s">
        <v>271</v>
      </c>
      <c r="CW642" s="4" t="s">
        <v>411</v>
      </c>
      <c r="CX642" s="4" t="s">
        <v>295</v>
      </c>
      <c r="CY642" s="6">
        <f>0</f>
        <v>0</v>
      </c>
      <c r="CZ642" s="6">
        <f>154361400</f>
        <v>154361400</v>
      </c>
      <c r="DA642" s="6">
        <f>35503150</f>
        <v>35503150</v>
      </c>
      <c r="DC642" s="4" t="s">
        <v>241</v>
      </c>
      <c r="DD642" s="4" t="s">
        <v>241</v>
      </c>
      <c r="DF642" s="4" t="s">
        <v>241</v>
      </c>
      <c r="DG642" s="6">
        <f>0</f>
        <v>0</v>
      </c>
      <c r="DI642" s="4" t="s">
        <v>241</v>
      </c>
      <c r="DJ642" s="4" t="s">
        <v>241</v>
      </c>
      <c r="DK642" s="4" t="s">
        <v>241</v>
      </c>
      <c r="DL642" s="4" t="s">
        <v>241</v>
      </c>
      <c r="DM642" s="4" t="s">
        <v>297</v>
      </c>
      <c r="DN642" s="4" t="s">
        <v>278</v>
      </c>
      <c r="DO642" s="6">
        <f>995.88</f>
        <v>995.88</v>
      </c>
      <c r="DP642" s="4" t="s">
        <v>241</v>
      </c>
      <c r="DQ642" s="4" t="s">
        <v>241</v>
      </c>
      <c r="DR642" s="4" t="s">
        <v>241</v>
      </c>
      <c r="DS642" s="4" t="s">
        <v>241</v>
      </c>
      <c r="DV642" s="4" t="s">
        <v>2494</v>
      </c>
      <c r="DW642" s="4" t="s">
        <v>297</v>
      </c>
      <c r="GN642" s="4" t="s">
        <v>2495</v>
      </c>
      <c r="HO642" s="4" t="s">
        <v>300</v>
      </c>
      <c r="HR642" s="4" t="s">
        <v>278</v>
      </c>
      <c r="HS642" s="4" t="s">
        <v>278</v>
      </c>
      <c r="HT642" s="4" t="s">
        <v>241</v>
      </c>
      <c r="HU642" s="4" t="s">
        <v>241</v>
      </c>
      <c r="HV642" s="4" t="s">
        <v>241</v>
      </c>
      <c r="HW642" s="4" t="s">
        <v>241</v>
      </c>
      <c r="HX642" s="4" t="s">
        <v>241</v>
      </c>
      <c r="HY642" s="4" t="s">
        <v>241</v>
      </c>
      <c r="HZ642" s="4" t="s">
        <v>241</v>
      </c>
      <c r="IA642" s="4" t="s">
        <v>241</v>
      </c>
      <c r="IB642" s="4" t="s">
        <v>241</v>
      </c>
      <c r="IC642" s="4" t="s">
        <v>241</v>
      </c>
      <c r="ID642" s="4" t="s">
        <v>241</v>
      </c>
      <c r="IE642" s="4" t="s">
        <v>241</v>
      </c>
      <c r="IF642" s="4" t="s">
        <v>241</v>
      </c>
    </row>
    <row r="643" spans="1:240" x14ac:dyDescent="0.4">
      <c r="A643" s="4">
        <v>2</v>
      </c>
      <c r="B643" s="4" t="s">
        <v>239</v>
      </c>
      <c r="C643" s="4">
        <v>695</v>
      </c>
      <c r="D643" s="4">
        <v>1</v>
      </c>
      <c r="E643" s="4">
        <v>1</v>
      </c>
      <c r="F643" s="4" t="s">
        <v>240</v>
      </c>
      <c r="G643" s="4" t="s">
        <v>241</v>
      </c>
      <c r="H643" s="4" t="s">
        <v>241</v>
      </c>
      <c r="I643" s="4" t="s">
        <v>2193</v>
      </c>
      <c r="J643" s="4" t="s">
        <v>344</v>
      </c>
      <c r="K643" s="4" t="s">
        <v>256</v>
      </c>
      <c r="L643" s="4" t="s">
        <v>2101</v>
      </c>
      <c r="M643" s="5" t="s">
        <v>2194</v>
      </c>
      <c r="N643" s="4" t="s">
        <v>2110</v>
      </c>
      <c r="O643" s="6">
        <f>36.3</f>
        <v>36.299999999999997</v>
      </c>
      <c r="P643" s="4" t="s">
        <v>276</v>
      </c>
      <c r="Q643" s="6">
        <f>1</f>
        <v>1</v>
      </c>
      <c r="R643" s="6">
        <f>3630000</f>
        <v>3630000</v>
      </c>
      <c r="S643" s="5" t="s">
        <v>2156</v>
      </c>
      <c r="T643" s="4" t="s">
        <v>314</v>
      </c>
      <c r="U643" s="4" t="s">
        <v>1191</v>
      </c>
      <c r="W643" s="6">
        <f>3629999</f>
        <v>3629999</v>
      </c>
      <c r="X643" s="4" t="s">
        <v>243</v>
      </c>
      <c r="Y643" s="4" t="s">
        <v>244</v>
      </c>
      <c r="Z643" s="4" t="s">
        <v>338</v>
      </c>
      <c r="AA643" s="4" t="s">
        <v>241</v>
      </c>
      <c r="AD643" s="4" t="s">
        <v>241</v>
      </c>
      <c r="AF643" s="5" t="s">
        <v>241</v>
      </c>
      <c r="AI643" s="5" t="s">
        <v>1209</v>
      </c>
      <c r="AJ643" s="4" t="s">
        <v>251</v>
      </c>
      <c r="AK643" s="4" t="s">
        <v>252</v>
      </c>
      <c r="BA643" s="4" t="s">
        <v>254</v>
      </c>
      <c r="BB643" s="4" t="s">
        <v>241</v>
      </c>
      <c r="BC643" s="4" t="s">
        <v>255</v>
      </c>
      <c r="BD643" s="4" t="s">
        <v>241</v>
      </c>
      <c r="BE643" s="4" t="s">
        <v>257</v>
      </c>
      <c r="BF643" s="4" t="s">
        <v>241</v>
      </c>
      <c r="BJ643" s="4" t="s">
        <v>259</v>
      </c>
      <c r="BK643" s="5" t="s">
        <v>260</v>
      </c>
      <c r="BL643" s="4" t="s">
        <v>261</v>
      </c>
      <c r="BM643" s="4" t="s">
        <v>262</v>
      </c>
      <c r="BN643" s="4" t="s">
        <v>241</v>
      </c>
      <c r="BO643" s="6">
        <f>0</f>
        <v>0</v>
      </c>
      <c r="BP643" s="6">
        <f>0</f>
        <v>0</v>
      </c>
      <c r="BQ643" s="4" t="s">
        <v>263</v>
      </c>
      <c r="BR643" s="4" t="s">
        <v>264</v>
      </c>
      <c r="CF643" s="4" t="s">
        <v>241</v>
      </c>
      <c r="CG643" s="4" t="s">
        <v>241</v>
      </c>
      <c r="CK643" s="4" t="s">
        <v>265</v>
      </c>
      <c r="CL643" s="4" t="s">
        <v>266</v>
      </c>
      <c r="CM643" s="4" t="s">
        <v>241</v>
      </c>
      <c r="CO643" s="4" t="s">
        <v>793</v>
      </c>
      <c r="CP643" s="5" t="s">
        <v>268</v>
      </c>
      <c r="CQ643" s="4" t="s">
        <v>269</v>
      </c>
      <c r="CR643" s="4" t="s">
        <v>270</v>
      </c>
      <c r="CS643" s="4" t="s">
        <v>241</v>
      </c>
      <c r="CT643" s="4" t="s">
        <v>241</v>
      </c>
      <c r="CU643" s="4">
        <v>0</v>
      </c>
      <c r="CV643" s="4" t="s">
        <v>271</v>
      </c>
      <c r="CW643" s="4" t="s">
        <v>411</v>
      </c>
      <c r="CX643" s="4" t="s">
        <v>347</v>
      </c>
      <c r="CZ643" s="6">
        <f>3630000</f>
        <v>3630000</v>
      </c>
      <c r="DA643" s="6">
        <f>0</f>
        <v>0</v>
      </c>
      <c r="DC643" s="4" t="s">
        <v>241</v>
      </c>
      <c r="DD643" s="4" t="s">
        <v>241</v>
      </c>
      <c r="DF643" s="4" t="s">
        <v>241</v>
      </c>
      <c r="DI643" s="4" t="s">
        <v>241</v>
      </c>
      <c r="DJ643" s="4" t="s">
        <v>241</v>
      </c>
      <c r="DK643" s="4" t="s">
        <v>241</v>
      </c>
      <c r="DL643" s="4" t="s">
        <v>241</v>
      </c>
      <c r="DM643" s="4" t="s">
        <v>277</v>
      </c>
      <c r="DN643" s="4" t="s">
        <v>278</v>
      </c>
      <c r="DO643" s="6">
        <f>36.3</f>
        <v>36.299999999999997</v>
      </c>
      <c r="DP643" s="4" t="s">
        <v>241</v>
      </c>
      <c r="DQ643" s="4" t="s">
        <v>241</v>
      </c>
      <c r="DR643" s="4" t="s">
        <v>241</v>
      </c>
      <c r="DS643" s="4" t="s">
        <v>241</v>
      </c>
      <c r="DV643" s="4" t="s">
        <v>2195</v>
      </c>
      <c r="DW643" s="4" t="s">
        <v>297</v>
      </c>
      <c r="HO643" s="4" t="s">
        <v>277</v>
      </c>
      <c r="HR643" s="4" t="s">
        <v>278</v>
      </c>
      <c r="HS643" s="4" t="s">
        <v>278</v>
      </c>
    </row>
    <row r="644" spans="1:240" x14ac:dyDescent="0.4">
      <c r="A644" s="4">
        <v>2</v>
      </c>
      <c r="B644" s="4" t="s">
        <v>239</v>
      </c>
      <c r="C644" s="4">
        <v>696</v>
      </c>
      <c r="D644" s="4">
        <v>1</v>
      </c>
      <c r="E644" s="4">
        <v>1</v>
      </c>
      <c r="F644" s="4" t="s">
        <v>240</v>
      </c>
      <c r="G644" s="4" t="s">
        <v>241</v>
      </c>
      <c r="H644" s="4" t="s">
        <v>241</v>
      </c>
      <c r="I644" s="4" t="s">
        <v>2193</v>
      </c>
      <c r="J644" s="4" t="s">
        <v>344</v>
      </c>
      <c r="K644" s="4" t="s">
        <v>256</v>
      </c>
      <c r="L644" s="4" t="s">
        <v>2101</v>
      </c>
      <c r="M644" s="5" t="s">
        <v>2194</v>
      </c>
      <c r="N644" s="4" t="s">
        <v>2122</v>
      </c>
      <c r="O644" s="6">
        <f>36.3</f>
        <v>36.299999999999997</v>
      </c>
      <c r="P644" s="4" t="s">
        <v>276</v>
      </c>
      <c r="Q644" s="6">
        <f>1</f>
        <v>1</v>
      </c>
      <c r="R644" s="6">
        <f>3630000</f>
        <v>3630000</v>
      </c>
      <c r="S644" s="5" t="s">
        <v>2156</v>
      </c>
      <c r="T644" s="4" t="s">
        <v>314</v>
      </c>
      <c r="U644" s="4" t="s">
        <v>1191</v>
      </c>
      <c r="W644" s="6">
        <f>3629999</f>
        <v>3629999</v>
      </c>
      <c r="X644" s="4" t="s">
        <v>243</v>
      </c>
      <c r="Y644" s="4" t="s">
        <v>244</v>
      </c>
      <c r="Z644" s="4" t="s">
        <v>338</v>
      </c>
      <c r="AA644" s="4" t="s">
        <v>241</v>
      </c>
      <c r="AD644" s="4" t="s">
        <v>241</v>
      </c>
      <c r="AF644" s="5" t="s">
        <v>241</v>
      </c>
      <c r="AI644" s="5" t="s">
        <v>2196</v>
      </c>
      <c r="AJ644" s="4" t="s">
        <v>251</v>
      </c>
      <c r="AK644" s="4" t="s">
        <v>252</v>
      </c>
      <c r="BA644" s="4" t="s">
        <v>254</v>
      </c>
      <c r="BB644" s="4" t="s">
        <v>241</v>
      </c>
      <c r="BC644" s="4" t="s">
        <v>255</v>
      </c>
      <c r="BD644" s="4" t="s">
        <v>241</v>
      </c>
      <c r="BE644" s="4" t="s">
        <v>257</v>
      </c>
      <c r="BF644" s="4" t="s">
        <v>241</v>
      </c>
      <c r="BJ644" s="4" t="s">
        <v>259</v>
      </c>
      <c r="BK644" s="5" t="s">
        <v>2196</v>
      </c>
      <c r="BL644" s="4" t="s">
        <v>261</v>
      </c>
      <c r="BM644" s="4" t="s">
        <v>262</v>
      </c>
      <c r="BN644" s="4" t="s">
        <v>241</v>
      </c>
      <c r="BO644" s="6">
        <f>0</f>
        <v>0</v>
      </c>
      <c r="BP644" s="6">
        <f>0</f>
        <v>0</v>
      </c>
      <c r="BQ644" s="4" t="s">
        <v>263</v>
      </c>
      <c r="BR644" s="4" t="s">
        <v>264</v>
      </c>
      <c r="CF644" s="4" t="s">
        <v>241</v>
      </c>
      <c r="CG644" s="4" t="s">
        <v>241</v>
      </c>
      <c r="CK644" s="4" t="s">
        <v>265</v>
      </c>
      <c r="CL644" s="4" t="s">
        <v>266</v>
      </c>
      <c r="CM644" s="4" t="s">
        <v>241</v>
      </c>
      <c r="CO644" s="4" t="s">
        <v>793</v>
      </c>
      <c r="CP644" s="5" t="s">
        <v>268</v>
      </c>
      <c r="CQ644" s="4" t="s">
        <v>269</v>
      </c>
      <c r="CR644" s="4" t="s">
        <v>270</v>
      </c>
      <c r="CS644" s="4" t="s">
        <v>241</v>
      </c>
      <c r="CT644" s="4" t="s">
        <v>241</v>
      </c>
      <c r="CU644" s="4">
        <v>0</v>
      </c>
      <c r="CV644" s="4" t="s">
        <v>271</v>
      </c>
      <c r="CW644" s="4" t="s">
        <v>411</v>
      </c>
      <c r="CX644" s="4" t="s">
        <v>347</v>
      </c>
      <c r="CZ644" s="6">
        <f>3630000</f>
        <v>3630000</v>
      </c>
      <c r="DA644" s="6">
        <f>0</f>
        <v>0</v>
      </c>
      <c r="DC644" s="4" t="s">
        <v>241</v>
      </c>
      <c r="DD644" s="4" t="s">
        <v>241</v>
      </c>
      <c r="DF644" s="4" t="s">
        <v>241</v>
      </c>
      <c r="DI644" s="4" t="s">
        <v>241</v>
      </c>
      <c r="DJ644" s="4" t="s">
        <v>241</v>
      </c>
      <c r="DK644" s="4" t="s">
        <v>241</v>
      </c>
      <c r="DL644" s="4" t="s">
        <v>241</v>
      </c>
      <c r="DM644" s="4" t="s">
        <v>277</v>
      </c>
      <c r="DN644" s="4" t="s">
        <v>278</v>
      </c>
      <c r="DO644" s="6">
        <f>36.3</f>
        <v>36.299999999999997</v>
      </c>
      <c r="DP644" s="4" t="s">
        <v>241</v>
      </c>
      <c r="DQ644" s="4" t="s">
        <v>241</v>
      </c>
      <c r="DR644" s="4" t="s">
        <v>241</v>
      </c>
      <c r="DS644" s="4" t="s">
        <v>241</v>
      </c>
      <c r="DV644" s="4" t="s">
        <v>2195</v>
      </c>
      <c r="DW644" s="4" t="s">
        <v>336</v>
      </c>
      <c r="HO644" s="4" t="s">
        <v>277</v>
      </c>
      <c r="HR644" s="4" t="s">
        <v>278</v>
      </c>
      <c r="HS644" s="4" t="s">
        <v>278</v>
      </c>
    </row>
    <row r="645" spans="1:240" x14ac:dyDescent="0.4">
      <c r="A645" s="4">
        <v>2</v>
      </c>
      <c r="B645" s="4" t="s">
        <v>239</v>
      </c>
      <c r="C645" s="4">
        <v>697</v>
      </c>
      <c r="D645" s="4">
        <v>1</v>
      </c>
      <c r="E645" s="4">
        <v>1</v>
      </c>
      <c r="F645" s="4" t="s">
        <v>240</v>
      </c>
      <c r="G645" s="4" t="s">
        <v>241</v>
      </c>
      <c r="H645" s="4" t="s">
        <v>241</v>
      </c>
      <c r="I645" s="4" t="s">
        <v>2193</v>
      </c>
      <c r="J645" s="4" t="s">
        <v>344</v>
      </c>
      <c r="K645" s="4" t="s">
        <v>256</v>
      </c>
      <c r="L645" s="4" t="s">
        <v>2101</v>
      </c>
      <c r="M645" s="5" t="s">
        <v>2194</v>
      </c>
      <c r="N645" s="4" t="s">
        <v>2098</v>
      </c>
      <c r="O645" s="6">
        <f>36.3</f>
        <v>36.299999999999997</v>
      </c>
      <c r="P645" s="4" t="s">
        <v>276</v>
      </c>
      <c r="Q645" s="6">
        <f>1</f>
        <v>1</v>
      </c>
      <c r="R645" s="6">
        <f>3630000</f>
        <v>3630000</v>
      </c>
      <c r="S645" s="5" t="s">
        <v>2156</v>
      </c>
      <c r="T645" s="4" t="s">
        <v>314</v>
      </c>
      <c r="U645" s="4" t="s">
        <v>1191</v>
      </c>
      <c r="W645" s="6">
        <f>3629999</f>
        <v>3629999</v>
      </c>
      <c r="X645" s="4" t="s">
        <v>243</v>
      </c>
      <c r="Y645" s="4" t="s">
        <v>244</v>
      </c>
      <c r="Z645" s="4" t="s">
        <v>338</v>
      </c>
      <c r="AA645" s="4" t="s">
        <v>241</v>
      </c>
      <c r="AD645" s="4" t="s">
        <v>241</v>
      </c>
      <c r="AF645" s="5" t="s">
        <v>241</v>
      </c>
      <c r="AI645" s="5" t="s">
        <v>2196</v>
      </c>
      <c r="AJ645" s="4" t="s">
        <v>251</v>
      </c>
      <c r="AK645" s="4" t="s">
        <v>252</v>
      </c>
      <c r="BA645" s="4" t="s">
        <v>254</v>
      </c>
      <c r="BB645" s="4" t="s">
        <v>241</v>
      </c>
      <c r="BC645" s="4" t="s">
        <v>255</v>
      </c>
      <c r="BD645" s="4" t="s">
        <v>241</v>
      </c>
      <c r="BE645" s="4" t="s">
        <v>257</v>
      </c>
      <c r="BF645" s="4" t="s">
        <v>241</v>
      </c>
      <c r="BJ645" s="4" t="s">
        <v>259</v>
      </c>
      <c r="BK645" s="5" t="s">
        <v>260</v>
      </c>
      <c r="BL645" s="4" t="s">
        <v>261</v>
      </c>
      <c r="BM645" s="4" t="s">
        <v>262</v>
      </c>
      <c r="BN645" s="4" t="s">
        <v>241</v>
      </c>
      <c r="BO645" s="6">
        <f>0</f>
        <v>0</v>
      </c>
      <c r="BP645" s="6">
        <f>0</f>
        <v>0</v>
      </c>
      <c r="BQ645" s="4" t="s">
        <v>263</v>
      </c>
      <c r="BR645" s="4" t="s">
        <v>264</v>
      </c>
      <c r="CF645" s="4" t="s">
        <v>241</v>
      </c>
      <c r="CG645" s="4" t="s">
        <v>241</v>
      </c>
      <c r="CK645" s="4" t="s">
        <v>265</v>
      </c>
      <c r="CL645" s="4" t="s">
        <v>266</v>
      </c>
      <c r="CM645" s="4" t="s">
        <v>241</v>
      </c>
      <c r="CO645" s="4" t="s">
        <v>793</v>
      </c>
      <c r="CP645" s="5" t="s">
        <v>268</v>
      </c>
      <c r="CQ645" s="4" t="s">
        <v>269</v>
      </c>
      <c r="CR645" s="4" t="s">
        <v>270</v>
      </c>
      <c r="CS645" s="4" t="s">
        <v>241</v>
      </c>
      <c r="CT645" s="4" t="s">
        <v>241</v>
      </c>
      <c r="CU645" s="4">
        <v>0</v>
      </c>
      <c r="CV645" s="4" t="s">
        <v>271</v>
      </c>
      <c r="CW645" s="4" t="s">
        <v>411</v>
      </c>
      <c r="CX645" s="4" t="s">
        <v>347</v>
      </c>
      <c r="CZ645" s="6">
        <f>3630000</f>
        <v>3630000</v>
      </c>
      <c r="DA645" s="6">
        <f>0</f>
        <v>0</v>
      </c>
      <c r="DC645" s="4" t="s">
        <v>241</v>
      </c>
      <c r="DD645" s="4" t="s">
        <v>241</v>
      </c>
      <c r="DF645" s="4" t="s">
        <v>241</v>
      </c>
      <c r="DI645" s="4" t="s">
        <v>241</v>
      </c>
      <c r="DJ645" s="4" t="s">
        <v>241</v>
      </c>
      <c r="DK645" s="4" t="s">
        <v>241</v>
      </c>
      <c r="DL645" s="4" t="s">
        <v>241</v>
      </c>
      <c r="DM645" s="4" t="s">
        <v>277</v>
      </c>
      <c r="DN645" s="4" t="s">
        <v>278</v>
      </c>
      <c r="DO645" s="6">
        <f>36.3</f>
        <v>36.299999999999997</v>
      </c>
      <c r="DP645" s="4" t="s">
        <v>241</v>
      </c>
      <c r="DQ645" s="4" t="s">
        <v>241</v>
      </c>
      <c r="DR645" s="4" t="s">
        <v>241</v>
      </c>
      <c r="DS645" s="4" t="s">
        <v>241</v>
      </c>
      <c r="DV645" s="4" t="s">
        <v>2195</v>
      </c>
      <c r="DW645" s="4" t="s">
        <v>351</v>
      </c>
      <c r="HO645" s="4" t="s">
        <v>277</v>
      </c>
      <c r="HR645" s="4" t="s">
        <v>278</v>
      </c>
      <c r="HS645" s="4" t="s">
        <v>278</v>
      </c>
    </row>
    <row r="646" spans="1:240" x14ac:dyDescent="0.4">
      <c r="A646" s="4">
        <v>2</v>
      </c>
      <c r="B646" s="4" t="s">
        <v>239</v>
      </c>
      <c r="C646" s="4">
        <v>698</v>
      </c>
      <c r="D646" s="4">
        <v>1</v>
      </c>
      <c r="E646" s="4">
        <v>1</v>
      </c>
      <c r="F646" s="4" t="s">
        <v>240</v>
      </c>
      <c r="G646" s="4" t="s">
        <v>241</v>
      </c>
      <c r="H646" s="4" t="s">
        <v>241</v>
      </c>
      <c r="I646" s="4" t="s">
        <v>2155</v>
      </c>
      <c r="J646" s="4" t="s">
        <v>344</v>
      </c>
      <c r="K646" s="4" t="s">
        <v>256</v>
      </c>
      <c r="L646" s="4" t="s">
        <v>2101</v>
      </c>
      <c r="M646" s="5" t="s">
        <v>2157</v>
      </c>
      <c r="N646" s="4" t="s">
        <v>2104</v>
      </c>
      <c r="O646" s="6">
        <f t="shared" ref="O646:O661" si="17">29.7</f>
        <v>29.7</v>
      </c>
      <c r="P646" s="4" t="s">
        <v>276</v>
      </c>
      <c r="Q646" s="6">
        <f>1</f>
        <v>1</v>
      </c>
      <c r="R646" s="6">
        <f t="shared" ref="R646:R661" si="18">2970000</f>
        <v>2970000</v>
      </c>
      <c r="S646" s="5" t="s">
        <v>2156</v>
      </c>
      <c r="T646" s="4" t="s">
        <v>314</v>
      </c>
      <c r="U646" s="4" t="s">
        <v>1191</v>
      </c>
      <c r="W646" s="6">
        <f t="shared" ref="W646:W661" si="19">2969999</f>
        <v>2969999</v>
      </c>
      <c r="X646" s="4" t="s">
        <v>243</v>
      </c>
      <c r="Y646" s="4" t="s">
        <v>244</v>
      </c>
      <c r="Z646" s="4" t="s">
        <v>338</v>
      </c>
      <c r="AA646" s="4" t="s">
        <v>241</v>
      </c>
      <c r="AD646" s="4" t="s">
        <v>241</v>
      </c>
      <c r="AF646" s="5" t="s">
        <v>241</v>
      </c>
      <c r="AI646" s="5" t="s">
        <v>249</v>
      </c>
      <c r="AJ646" s="4" t="s">
        <v>251</v>
      </c>
      <c r="AK646" s="4" t="s">
        <v>252</v>
      </c>
      <c r="BA646" s="4" t="s">
        <v>254</v>
      </c>
      <c r="BB646" s="4" t="s">
        <v>241</v>
      </c>
      <c r="BC646" s="4" t="s">
        <v>255</v>
      </c>
      <c r="BD646" s="4" t="s">
        <v>241</v>
      </c>
      <c r="BE646" s="4" t="s">
        <v>257</v>
      </c>
      <c r="BF646" s="4" t="s">
        <v>241</v>
      </c>
      <c r="BJ646" s="4" t="s">
        <v>367</v>
      </c>
      <c r="BK646" s="5" t="s">
        <v>249</v>
      </c>
      <c r="BL646" s="4" t="s">
        <v>261</v>
      </c>
      <c r="BM646" s="4" t="s">
        <v>262</v>
      </c>
      <c r="BN646" s="4" t="s">
        <v>241</v>
      </c>
      <c r="BO646" s="6">
        <f>0</f>
        <v>0</v>
      </c>
      <c r="BP646" s="6">
        <f>0</f>
        <v>0</v>
      </c>
      <c r="BQ646" s="4" t="s">
        <v>263</v>
      </c>
      <c r="BR646" s="4" t="s">
        <v>264</v>
      </c>
      <c r="CF646" s="4" t="s">
        <v>241</v>
      </c>
      <c r="CG646" s="4" t="s">
        <v>241</v>
      </c>
      <c r="CK646" s="4" t="s">
        <v>265</v>
      </c>
      <c r="CL646" s="4" t="s">
        <v>266</v>
      </c>
      <c r="CM646" s="4" t="s">
        <v>241</v>
      </c>
      <c r="CO646" s="4" t="s">
        <v>793</v>
      </c>
      <c r="CP646" s="5" t="s">
        <v>268</v>
      </c>
      <c r="CQ646" s="4" t="s">
        <v>269</v>
      </c>
      <c r="CR646" s="4" t="s">
        <v>270</v>
      </c>
      <c r="CS646" s="4" t="s">
        <v>241</v>
      </c>
      <c r="CT646" s="4" t="s">
        <v>241</v>
      </c>
      <c r="CU646" s="4">
        <v>0</v>
      </c>
      <c r="CV646" s="4" t="s">
        <v>271</v>
      </c>
      <c r="CW646" s="4" t="s">
        <v>411</v>
      </c>
      <c r="CX646" s="4" t="s">
        <v>347</v>
      </c>
      <c r="CZ646" s="6">
        <f t="shared" ref="CZ646:CZ661" si="20">2970000</f>
        <v>2970000</v>
      </c>
      <c r="DA646" s="6">
        <f>0</f>
        <v>0</v>
      </c>
      <c r="DC646" s="4" t="s">
        <v>241</v>
      </c>
      <c r="DD646" s="4" t="s">
        <v>241</v>
      </c>
      <c r="DF646" s="4" t="s">
        <v>241</v>
      </c>
      <c r="DI646" s="4" t="s">
        <v>241</v>
      </c>
      <c r="DJ646" s="4" t="s">
        <v>241</v>
      </c>
      <c r="DK646" s="4" t="s">
        <v>241</v>
      </c>
      <c r="DL646" s="4" t="s">
        <v>241</v>
      </c>
      <c r="DM646" s="4" t="s">
        <v>277</v>
      </c>
      <c r="DN646" s="4" t="s">
        <v>278</v>
      </c>
      <c r="DO646" s="6">
        <f t="shared" ref="DO646:DO661" si="21">29.7</f>
        <v>29.7</v>
      </c>
      <c r="DP646" s="4" t="s">
        <v>241</v>
      </c>
      <c r="DQ646" s="4" t="s">
        <v>241</v>
      </c>
      <c r="DR646" s="4" t="s">
        <v>241</v>
      </c>
      <c r="DS646" s="4" t="s">
        <v>241</v>
      </c>
      <c r="DV646" s="4" t="s">
        <v>2158</v>
      </c>
      <c r="DW646" s="4" t="s">
        <v>277</v>
      </c>
      <c r="HO646" s="4" t="s">
        <v>277</v>
      </c>
      <c r="HR646" s="4" t="s">
        <v>278</v>
      </c>
      <c r="HS646" s="4" t="s">
        <v>278</v>
      </c>
    </row>
    <row r="647" spans="1:240" x14ac:dyDescent="0.4">
      <c r="A647" s="4">
        <v>2</v>
      </c>
      <c r="B647" s="4" t="s">
        <v>239</v>
      </c>
      <c r="C647" s="4">
        <v>699</v>
      </c>
      <c r="D647" s="4">
        <v>1</v>
      </c>
      <c r="E647" s="4">
        <v>1</v>
      </c>
      <c r="F647" s="4" t="s">
        <v>240</v>
      </c>
      <c r="G647" s="4" t="s">
        <v>241</v>
      </c>
      <c r="H647" s="4" t="s">
        <v>241</v>
      </c>
      <c r="I647" s="4" t="s">
        <v>2155</v>
      </c>
      <c r="J647" s="4" t="s">
        <v>344</v>
      </c>
      <c r="K647" s="4" t="s">
        <v>256</v>
      </c>
      <c r="L647" s="4" t="s">
        <v>2101</v>
      </c>
      <c r="M647" s="5" t="s">
        <v>2157</v>
      </c>
      <c r="N647" s="4" t="s">
        <v>2109</v>
      </c>
      <c r="O647" s="6">
        <f t="shared" si="17"/>
        <v>29.7</v>
      </c>
      <c r="P647" s="4" t="s">
        <v>276</v>
      </c>
      <c r="Q647" s="6">
        <f>1</f>
        <v>1</v>
      </c>
      <c r="R647" s="6">
        <f t="shared" si="18"/>
        <v>2970000</v>
      </c>
      <c r="S647" s="5" t="s">
        <v>2156</v>
      </c>
      <c r="T647" s="4" t="s">
        <v>314</v>
      </c>
      <c r="U647" s="4" t="s">
        <v>1191</v>
      </c>
      <c r="W647" s="6">
        <f t="shared" si="19"/>
        <v>2969999</v>
      </c>
      <c r="X647" s="4" t="s">
        <v>243</v>
      </c>
      <c r="Y647" s="4" t="s">
        <v>244</v>
      </c>
      <c r="Z647" s="4" t="s">
        <v>338</v>
      </c>
      <c r="AA647" s="4" t="s">
        <v>241</v>
      </c>
      <c r="AD647" s="4" t="s">
        <v>241</v>
      </c>
      <c r="AF647" s="5" t="s">
        <v>241</v>
      </c>
      <c r="AI647" s="5" t="s">
        <v>249</v>
      </c>
      <c r="AJ647" s="4" t="s">
        <v>251</v>
      </c>
      <c r="AK647" s="4" t="s">
        <v>252</v>
      </c>
      <c r="BA647" s="4" t="s">
        <v>254</v>
      </c>
      <c r="BB647" s="4" t="s">
        <v>241</v>
      </c>
      <c r="BC647" s="4" t="s">
        <v>255</v>
      </c>
      <c r="BD647" s="4" t="s">
        <v>241</v>
      </c>
      <c r="BE647" s="4" t="s">
        <v>257</v>
      </c>
      <c r="BF647" s="4" t="s">
        <v>241</v>
      </c>
      <c r="BJ647" s="4" t="s">
        <v>374</v>
      </c>
      <c r="BK647" s="5" t="s">
        <v>375</v>
      </c>
      <c r="BL647" s="4" t="s">
        <v>261</v>
      </c>
      <c r="BM647" s="4" t="s">
        <v>262</v>
      </c>
      <c r="BN647" s="4" t="s">
        <v>241</v>
      </c>
      <c r="BO647" s="6">
        <f>0</f>
        <v>0</v>
      </c>
      <c r="BP647" s="6">
        <f>0</f>
        <v>0</v>
      </c>
      <c r="BQ647" s="4" t="s">
        <v>263</v>
      </c>
      <c r="BR647" s="4" t="s">
        <v>264</v>
      </c>
      <c r="CF647" s="4" t="s">
        <v>241</v>
      </c>
      <c r="CG647" s="4" t="s">
        <v>241</v>
      </c>
      <c r="CK647" s="4" t="s">
        <v>265</v>
      </c>
      <c r="CL647" s="4" t="s">
        <v>266</v>
      </c>
      <c r="CM647" s="4" t="s">
        <v>241</v>
      </c>
      <c r="CO647" s="4" t="s">
        <v>793</v>
      </c>
      <c r="CP647" s="5" t="s">
        <v>268</v>
      </c>
      <c r="CQ647" s="4" t="s">
        <v>269</v>
      </c>
      <c r="CR647" s="4" t="s">
        <v>270</v>
      </c>
      <c r="CS647" s="4" t="s">
        <v>241</v>
      </c>
      <c r="CT647" s="4" t="s">
        <v>241</v>
      </c>
      <c r="CU647" s="4">
        <v>0</v>
      </c>
      <c r="CV647" s="4" t="s">
        <v>271</v>
      </c>
      <c r="CW647" s="4" t="s">
        <v>411</v>
      </c>
      <c r="CX647" s="4" t="s">
        <v>347</v>
      </c>
      <c r="CZ647" s="6">
        <f t="shared" si="20"/>
        <v>2970000</v>
      </c>
      <c r="DA647" s="6">
        <f>0</f>
        <v>0</v>
      </c>
      <c r="DC647" s="4" t="s">
        <v>241</v>
      </c>
      <c r="DD647" s="4" t="s">
        <v>241</v>
      </c>
      <c r="DF647" s="4" t="s">
        <v>241</v>
      </c>
      <c r="DI647" s="4" t="s">
        <v>241</v>
      </c>
      <c r="DJ647" s="4" t="s">
        <v>241</v>
      </c>
      <c r="DK647" s="4" t="s">
        <v>241</v>
      </c>
      <c r="DL647" s="4" t="s">
        <v>241</v>
      </c>
      <c r="DM647" s="4" t="s">
        <v>277</v>
      </c>
      <c r="DN647" s="4" t="s">
        <v>278</v>
      </c>
      <c r="DO647" s="6">
        <f t="shared" si="21"/>
        <v>29.7</v>
      </c>
      <c r="DP647" s="4" t="s">
        <v>241</v>
      </c>
      <c r="DQ647" s="4" t="s">
        <v>241</v>
      </c>
      <c r="DR647" s="4" t="s">
        <v>241</v>
      </c>
      <c r="DS647" s="4" t="s">
        <v>241</v>
      </c>
      <c r="DV647" s="4" t="s">
        <v>2158</v>
      </c>
      <c r="DW647" s="4" t="s">
        <v>323</v>
      </c>
      <c r="HO647" s="4" t="s">
        <v>277</v>
      </c>
      <c r="HR647" s="4" t="s">
        <v>278</v>
      </c>
      <c r="HS647" s="4" t="s">
        <v>278</v>
      </c>
    </row>
    <row r="648" spans="1:240" x14ac:dyDescent="0.4">
      <c r="A648" s="4">
        <v>2</v>
      </c>
      <c r="B648" s="4" t="s">
        <v>239</v>
      </c>
      <c r="C648" s="4">
        <v>700</v>
      </c>
      <c r="D648" s="4">
        <v>1</v>
      </c>
      <c r="E648" s="4">
        <v>1</v>
      </c>
      <c r="F648" s="4" t="s">
        <v>240</v>
      </c>
      <c r="G648" s="4" t="s">
        <v>241</v>
      </c>
      <c r="H648" s="4" t="s">
        <v>241</v>
      </c>
      <c r="I648" s="4" t="s">
        <v>2155</v>
      </c>
      <c r="J648" s="4" t="s">
        <v>344</v>
      </c>
      <c r="K648" s="4" t="s">
        <v>256</v>
      </c>
      <c r="L648" s="4" t="s">
        <v>2101</v>
      </c>
      <c r="M648" s="5" t="s">
        <v>2157</v>
      </c>
      <c r="N648" s="4" t="s">
        <v>2110</v>
      </c>
      <c r="O648" s="6">
        <f t="shared" si="17"/>
        <v>29.7</v>
      </c>
      <c r="P648" s="4" t="s">
        <v>276</v>
      </c>
      <c r="Q648" s="6">
        <f>1</f>
        <v>1</v>
      </c>
      <c r="R648" s="6">
        <f t="shared" si="18"/>
        <v>2970000</v>
      </c>
      <c r="S648" s="5" t="s">
        <v>2156</v>
      </c>
      <c r="T648" s="4" t="s">
        <v>314</v>
      </c>
      <c r="U648" s="4" t="s">
        <v>1191</v>
      </c>
      <c r="W648" s="6">
        <f t="shared" si="19"/>
        <v>2969999</v>
      </c>
      <c r="X648" s="4" t="s">
        <v>243</v>
      </c>
      <c r="Y648" s="4" t="s">
        <v>244</v>
      </c>
      <c r="Z648" s="4" t="s">
        <v>338</v>
      </c>
      <c r="AA648" s="4" t="s">
        <v>241</v>
      </c>
      <c r="AD648" s="4" t="s">
        <v>241</v>
      </c>
      <c r="AF648" s="5" t="s">
        <v>241</v>
      </c>
      <c r="AI648" s="5" t="s">
        <v>249</v>
      </c>
      <c r="AJ648" s="4" t="s">
        <v>251</v>
      </c>
      <c r="AK648" s="4" t="s">
        <v>252</v>
      </c>
      <c r="BA648" s="4" t="s">
        <v>254</v>
      </c>
      <c r="BB648" s="4" t="s">
        <v>241</v>
      </c>
      <c r="BC648" s="4" t="s">
        <v>255</v>
      </c>
      <c r="BD648" s="4" t="s">
        <v>241</v>
      </c>
      <c r="BE648" s="4" t="s">
        <v>257</v>
      </c>
      <c r="BF648" s="4" t="s">
        <v>241</v>
      </c>
      <c r="BJ648" s="4" t="s">
        <v>377</v>
      </c>
      <c r="BK648" s="5" t="s">
        <v>378</v>
      </c>
      <c r="BL648" s="4" t="s">
        <v>261</v>
      </c>
      <c r="BM648" s="4" t="s">
        <v>262</v>
      </c>
      <c r="BN648" s="4" t="s">
        <v>241</v>
      </c>
      <c r="BO648" s="6">
        <f>0</f>
        <v>0</v>
      </c>
      <c r="BP648" s="6">
        <f>0</f>
        <v>0</v>
      </c>
      <c r="BQ648" s="4" t="s">
        <v>263</v>
      </c>
      <c r="BR648" s="4" t="s">
        <v>264</v>
      </c>
      <c r="CF648" s="4" t="s">
        <v>241</v>
      </c>
      <c r="CG648" s="4" t="s">
        <v>241</v>
      </c>
      <c r="CK648" s="4" t="s">
        <v>265</v>
      </c>
      <c r="CL648" s="4" t="s">
        <v>266</v>
      </c>
      <c r="CM648" s="4" t="s">
        <v>241</v>
      </c>
      <c r="CO648" s="4" t="s">
        <v>793</v>
      </c>
      <c r="CP648" s="5" t="s">
        <v>268</v>
      </c>
      <c r="CQ648" s="4" t="s">
        <v>269</v>
      </c>
      <c r="CR648" s="4" t="s">
        <v>270</v>
      </c>
      <c r="CS648" s="4" t="s">
        <v>241</v>
      </c>
      <c r="CT648" s="4" t="s">
        <v>241</v>
      </c>
      <c r="CU648" s="4">
        <v>0</v>
      </c>
      <c r="CV648" s="4" t="s">
        <v>271</v>
      </c>
      <c r="CW648" s="4" t="s">
        <v>411</v>
      </c>
      <c r="CX648" s="4" t="s">
        <v>347</v>
      </c>
      <c r="CZ648" s="6">
        <f t="shared" si="20"/>
        <v>2970000</v>
      </c>
      <c r="DA648" s="6">
        <f>0</f>
        <v>0</v>
      </c>
      <c r="DC648" s="4" t="s">
        <v>241</v>
      </c>
      <c r="DD648" s="4" t="s">
        <v>241</v>
      </c>
      <c r="DF648" s="4" t="s">
        <v>241</v>
      </c>
      <c r="DI648" s="4" t="s">
        <v>241</v>
      </c>
      <c r="DJ648" s="4" t="s">
        <v>241</v>
      </c>
      <c r="DK648" s="4" t="s">
        <v>241</v>
      </c>
      <c r="DL648" s="4" t="s">
        <v>241</v>
      </c>
      <c r="DM648" s="4" t="s">
        <v>277</v>
      </c>
      <c r="DN648" s="4" t="s">
        <v>278</v>
      </c>
      <c r="DO648" s="6">
        <f t="shared" si="21"/>
        <v>29.7</v>
      </c>
      <c r="DP648" s="4" t="s">
        <v>241</v>
      </c>
      <c r="DQ648" s="4" t="s">
        <v>241</v>
      </c>
      <c r="DR648" s="4" t="s">
        <v>241</v>
      </c>
      <c r="DS648" s="4" t="s">
        <v>241</v>
      </c>
      <c r="DV648" s="4" t="s">
        <v>2158</v>
      </c>
      <c r="DW648" s="4" t="s">
        <v>297</v>
      </c>
      <c r="HO648" s="4" t="s">
        <v>277</v>
      </c>
      <c r="HR648" s="4" t="s">
        <v>278</v>
      </c>
      <c r="HS648" s="4" t="s">
        <v>278</v>
      </c>
    </row>
    <row r="649" spans="1:240" x14ac:dyDescent="0.4">
      <c r="A649" s="4">
        <v>2</v>
      </c>
      <c r="B649" s="4" t="s">
        <v>239</v>
      </c>
      <c r="C649" s="4">
        <v>701</v>
      </c>
      <c r="D649" s="4">
        <v>1</v>
      </c>
      <c r="E649" s="4">
        <v>1</v>
      </c>
      <c r="F649" s="4" t="s">
        <v>240</v>
      </c>
      <c r="G649" s="4" t="s">
        <v>241</v>
      </c>
      <c r="H649" s="4" t="s">
        <v>241</v>
      </c>
      <c r="I649" s="4" t="s">
        <v>2155</v>
      </c>
      <c r="J649" s="4" t="s">
        <v>344</v>
      </c>
      <c r="K649" s="4" t="s">
        <v>256</v>
      </c>
      <c r="L649" s="4" t="s">
        <v>2101</v>
      </c>
      <c r="M649" s="5" t="s">
        <v>2157</v>
      </c>
      <c r="N649" s="4" t="s">
        <v>2122</v>
      </c>
      <c r="O649" s="6">
        <f t="shared" si="17"/>
        <v>29.7</v>
      </c>
      <c r="P649" s="4" t="s">
        <v>276</v>
      </c>
      <c r="Q649" s="6">
        <f>1</f>
        <v>1</v>
      </c>
      <c r="R649" s="6">
        <f t="shared" si="18"/>
        <v>2970000</v>
      </c>
      <c r="S649" s="5" t="s">
        <v>2156</v>
      </c>
      <c r="T649" s="4" t="s">
        <v>314</v>
      </c>
      <c r="U649" s="4" t="s">
        <v>1191</v>
      </c>
      <c r="W649" s="6">
        <f t="shared" si="19"/>
        <v>2969999</v>
      </c>
      <c r="X649" s="4" t="s">
        <v>243</v>
      </c>
      <c r="Y649" s="4" t="s">
        <v>244</v>
      </c>
      <c r="Z649" s="4" t="s">
        <v>338</v>
      </c>
      <c r="AA649" s="4" t="s">
        <v>241</v>
      </c>
      <c r="AD649" s="4" t="s">
        <v>241</v>
      </c>
      <c r="AF649" s="5" t="s">
        <v>241</v>
      </c>
      <c r="AI649" s="5" t="s">
        <v>249</v>
      </c>
      <c r="AJ649" s="4" t="s">
        <v>251</v>
      </c>
      <c r="AK649" s="4" t="s">
        <v>252</v>
      </c>
      <c r="BA649" s="4" t="s">
        <v>254</v>
      </c>
      <c r="BB649" s="4" t="s">
        <v>241</v>
      </c>
      <c r="BC649" s="4" t="s">
        <v>255</v>
      </c>
      <c r="BD649" s="4" t="s">
        <v>241</v>
      </c>
      <c r="BE649" s="4" t="s">
        <v>257</v>
      </c>
      <c r="BF649" s="4" t="s">
        <v>241</v>
      </c>
      <c r="BJ649" s="4" t="s">
        <v>259</v>
      </c>
      <c r="BK649" s="5" t="s">
        <v>260</v>
      </c>
      <c r="BL649" s="4" t="s">
        <v>261</v>
      </c>
      <c r="BM649" s="4" t="s">
        <v>262</v>
      </c>
      <c r="BN649" s="4" t="s">
        <v>241</v>
      </c>
      <c r="BO649" s="6">
        <f>0</f>
        <v>0</v>
      </c>
      <c r="BP649" s="6">
        <f>0</f>
        <v>0</v>
      </c>
      <c r="BQ649" s="4" t="s">
        <v>263</v>
      </c>
      <c r="BR649" s="4" t="s">
        <v>264</v>
      </c>
      <c r="CF649" s="4" t="s">
        <v>241</v>
      </c>
      <c r="CG649" s="4" t="s">
        <v>241</v>
      </c>
      <c r="CK649" s="4" t="s">
        <v>265</v>
      </c>
      <c r="CL649" s="4" t="s">
        <v>266</v>
      </c>
      <c r="CM649" s="4" t="s">
        <v>241</v>
      </c>
      <c r="CO649" s="4" t="s">
        <v>793</v>
      </c>
      <c r="CP649" s="5" t="s">
        <v>268</v>
      </c>
      <c r="CQ649" s="4" t="s">
        <v>269</v>
      </c>
      <c r="CR649" s="4" t="s">
        <v>270</v>
      </c>
      <c r="CS649" s="4" t="s">
        <v>241</v>
      </c>
      <c r="CT649" s="4" t="s">
        <v>241</v>
      </c>
      <c r="CU649" s="4">
        <v>0</v>
      </c>
      <c r="CV649" s="4" t="s">
        <v>271</v>
      </c>
      <c r="CW649" s="4" t="s">
        <v>411</v>
      </c>
      <c r="CX649" s="4" t="s">
        <v>347</v>
      </c>
      <c r="CZ649" s="6">
        <f t="shared" si="20"/>
        <v>2970000</v>
      </c>
      <c r="DA649" s="6">
        <f>0</f>
        <v>0</v>
      </c>
      <c r="DC649" s="4" t="s">
        <v>241</v>
      </c>
      <c r="DD649" s="4" t="s">
        <v>241</v>
      </c>
      <c r="DF649" s="4" t="s">
        <v>241</v>
      </c>
      <c r="DI649" s="4" t="s">
        <v>241</v>
      </c>
      <c r="DJ649" s="4" t="s">
        <v>241</v>
      </c>
      <c r="DK649" s="4" t="s">
        <v>241</v>
      </c>
      <c r="DL649" s="4" t="s">
        <v>241</v>
      </c>
      <c r="DM649" s="4" t="s">
        <v>277</v>
      </c>
      <c r="DN649" s="4" t="s">
        <v>278</v>
      </c>
      <c r="DO649" s="6">
        <f t="shared" si="21"/>
        <v>29.7</v>
      </c>
      <c r="DP649" s="4" t="s">
        <v>241</v>
      </c>
      <c r="DQ649" s="4" t="s">
        <v>241</v>
      </c>
      <c r="DR649" s="4" t="s">
        <v>241</v>
      </c>
      <c r="DS649" s="4" t="s">
        <v>241</v>
      </c>
      <c r="DV649" s="4" t="s">
        <v>2158</v>
      </c>
      <c r="DW649" s="4" t="s">
        <v>336</v>
      </c>
      <c r="HO649" s="4" t="s">
        <v>277</v>
      </c>
      <c r="HR649" s="4" t="s">
        <v>278</v>
      </c>
      <c r="HS649" s="4" t="s">
        <v>278</v>
      </c>
    </row>
    <row r="650" spans="1:240" x14ac:dyDescent="0.4">
      <c r="A650" s="4">
        <v>2</v>
      </c>
      <c r="B650" s="4" t="s">
        <v>239</v>
      </c>
      <c r="C650" s="4">
        <v>702</v>
      </c>
      <c r="D650" s="4">
        <v>1</v>
      </c>
      <c r="E650" s="4">
        <v>1</v>
      </c>
      <c r="F650" s="4" t="s">
        <v>240</v>
      </c>
      <c r="G650" s="4" t="s">
        <v>241</v>
      </c>
      <c r="H650" s="4" t="s">
        <v>241</v>
      </c>
      <c r="I650" s="4" t="s">
        <v>2155</v>
      </c>
      <c r="J650" s="4" t="s">
        <v>344</v>
      </c>
      <c r="K650" s="4" t="s">
        <v>256</v>
      </c>
      <c r="L650" s="4" t="s">
        <v>2101</v>
      </c>
      <c r="M650" s="5" t="s">
        <v>2157</v>
      </c>
      <c r="N650" s="4" t="s">
        <v>2098</v>
      </c>
      <c r="O650" s="6">
        <f t="shared" si="17"/>
        <v>29.7</v>
      </c>
      <c r="P650" s="4" t="s">
        <v>276</v>
      </c>
      <c r="Q650" s="6">
        <f>1</f>
        <v>1</v>
      </c>
      <c r="R650" s="6">
        <f t="shared" si="18"/>
        <v>2970000</v>
      </c>
      <c r="S650" s="5" t="s">
        <v>2156</v>
      </c>
      <c r="T650" s="4" t="s">
        <v>314</v>
      </c>
      <c r="U650" s="4" t="s">
        <v>1191</v>
      </c>
      <c r="W650" s="6">
        <f t="shared" si="19"/>
        <v>2969999</v>
      </c>
      <c r="X650" s="4" t="s">
        <v>243</v>
      </c>
      <c r="Y650" s="4" t="s">
        <v>244</v>
      </c>
      <c r="Z650" s="4" t="s">
        <v>338</v>
      </c>
      <c r="AA650" s="4" t="s">
        <v>241</v>
      </c>
      <c r="AD650" s="4" t="s">
        <v>241</v>
      </c>
      <c r="AF650" s="5" t="s">
        <v>241</v>
      </c>
      <c r="AI650" s="5" t="s">
        <v>249</v>
      </c>
      <c r="AJ650" s="4" t="s">
        <v>251</v>
      </c>
      <c r="AK650" s="4" t="s">
        <v>252</v>
      </c>
      <c r="BA650" s="4" t="s">
        <v>254</v>
      </c>
      <c r="BB650" s="4" t="s">
        <v>241</v>
      </c>
      <c r="BC650" s="4" t="s">
        <v>255</v>
      </c>
      <c r="BD650" s="4" t="s">
        <v>241</v>
      </c>
      <c r="BE650" s="4" t="s">
        <v>257</v>
      </c>
      <c r="BF650" s="4" t="s">
        <v>241</v>
      </c>
      <c r="BJ650" s="4" t="s">
        <v>367</v>
      </c>
      <c r="BK650" s="5" t="s">
        <v>249</v>
      </c>
      <c r="BL650" s="4" t="s">
        <v>261</v>
      </c>
      <c r="BM650" s="4" t="s">
        <v>262</v>
      </c>
      <c r="BN650" s="4" t="s">
        <v>241</v>
      </c>
      <c r="BO650" s="6">
        <f>0</f>
        <v>0</v>
      </c>
      <c r="BP650" s="6">
        <f>0</f>
        <v>0</v>
      </c>
      <c r="BQ650" s="4" t="s">
        <v>263</v>
      </c>
      <c r="BR650" s="4" t="s">
        <v>264</v>
      </c>
      <c r="CF650" s="4" t="s">
        <v>241</v>
      </c>
      <c r="CG650" s="4" t="s">
        <v>241</v>
      </c>
      <c r="CK650" s="4" t="s">
        <v>265</v>
      </c>
      <c r="CL650" s="4" t="s">
        <v>266</v>
      </c>
      <c r="CM650" s="4" t="s">
        <v>241</v>
      </c>
      <c r="CO650" s="4" t="s">
        <v>793</v>
      </c>
      <c r="CP650" s="5" t="s">
        <v>268</v>
      </c>
      <c r="CQ650" s="4" t="s">
        <v>269</v>
      </c>
      <c r="CR650" s="4" t="s">
        <v>270</v>
      </c>
      <c r="CS650" s="4" t="s">
        <v>241</v>
      </c>
      <c r="CT650" s="4" t="s">
        <v>241</v>
      </c>
      <c r="CU650" s="4">
        <v>0</v>
      </c>
      <c r="CV650" s="4" t="s">
        <v>271</v>
      </c>
      <c r="CW650" s="4" t="s">
        <v>411</v>
      </c>
      <c r="CX650" s="4" t="s">
        <v>347</v>
      </c>
      <c r="CZ650" s="6">
        <f t="shared" si="20"/>
        <v>2970000</v>
      </c>
      <c r="DA650" s="6">
        <f>0</f>
        <v>0</v>
      </c>
      <c r="DC650" s="4" t="s">
        <v>241</v>
      </c>
      <c r="DD650" s="4" t="s">
        <v>241</v>
      </c>
      <c r="DF650" s="4" t="s">
        <v>241</v>
      </c>
      <c r="DI650" s="4" t="s">
        <v>241</v>
      </c>
      <c r="DJ650" s="4" t="s">
        <v>241</v>
      </c>
      <c r="DK650" s="4" t="s">
        <v>241</v>
      </c>
      <c r="DL650" s="4" t="s">
        <v>241</v>
      </c>
      <c r="DM650" s="4" t="s">
        <v>277</v>
      </c>
      <c r="DN650" s="4" t="s">
        <v>278</v>
      </c>
      <c r="DO650" s="6">
        <f t="shared" si="21"/>
        <v>29.7</v>
      </c>
      <c r="DP650" s="4" t="s">
        <v>241</v>
      </c>
      <c r="DQ650" s="4" t="s">
        <v>241</v>
      </c>
      <c r="DR650" s="4" t="s">
        <v>241</v>
      </c>
      <c r="DS650" s="4" t="s">
        <v>241</v>
      </c>
      <c r="DV650" s="4" t="s">
        <v>2158</v>
      </c>
      <c r="DW650" s="4" t="s">
        <v>351</v>
      </c>
      <c r="HO650" s="4" t="s">
        <v>277</v>
      </c>
      <c r="HR650" s="4" t="s">
        <v>278</v>
      </c>
      <c r="HS650" s="4" t="s">
        <v>278</v>
      </c>
    </row>
    <row r="651" spans="1:240" x14ac:dyDescent="0.4">
      <c r="A651" s="4">
        <v>2</v>
      </c>
      <c r="B651" s="4" t="s">
        <v>239</v>
      </c>
      <c r="C651" s="4">
        <v>703</v>
      </c>
      <c r="D651" s="4">
        <v>1</v>
      </c>
      <c r="E651" s="4">
        <v>1</v>
      </c>
      <c r="F651" s="4" t="s">
        <v>240</v>
      </c>
      <c r="G651" s="4" t="s">
        <v>241</v>
      </c>
      <c r="H651" s="4" t="s">
        <v>241</v>
      </c>
      <c r="I651" s="4" t="s">
        <v>2155</v>
      </c>
      <c r="J651" s="4" t="s">
        <v>344</v>
      </c>
      <c r="K651" s="4" t="s">
        <v>256</v>
      </c>
      <c r="L651" s="4" t="s">
        <v>2101</v>
      </c>
      <c r="M651" s="5" t="s">
        <v>2157</v>
      </c>
      <c r="N651" s="4" t="s">
        <v>2191</v>
      </c>
      <c r="O651" s="6">
        <f t="shared" si="17"/>
        <v>29.7</v>
      </c>
      <c r="P651" s="4" t="s">
        <v>276</v>
      </c>
      <c r="Q651" s="6">
        <f>1</f>
        <v>1</v>
      </c>
      <c r="R651" s="6">
        <f t="shared" si="18"/>
        <v>2970000</v>
      </c>
      <c r="S651" s="5" t="s">
        <v>2156</v>
      </c>
      <c r="T651" s="4" t="s">
        <v>314</v>
      </c>
      <c r="U651" s="4" t="s">
        <v>1191</v>
      </c>
      <c r="W651" s="6">
        <f t="shared" si="19"/>
        <v>2969999</v>
      </c>
      <c r="X651" s="4" t="s">
        <v>243</v>
      </c>
      <c r="Y651" s="4" t="s">
        <v>244</v>
      </c>
      <c r="Z651" s="4" t="s">
        <v>338</v>
      </c>
      <c r="AA651" s="4" t="s">
        <v>241</v>
      </c>
      <c r="AD651" s="4" t="s">
        <v>241</v>
      </c>
      <c r="AF651" s="5" t="s">
        <v>241</v>
      </c>
      <c r="AI651" s="5" t="s">
        <v>249</v>
      </c>
      <c r="AJ651" s="4" t="s">
        <v>251</v>
      </c>
      <c r="AK651" s="4" t="s">
        <v>252</v>
      </c>
      <c r="BA651" s="4" t="s">
        <v>254</v>
      </c>
      <c r="BB651" s="4" t="s">
        <v>241</v>
      </c>
      <c r="BC651" s="4" t="s">
        <v>255</v>
      </c>
      <c r="BD651" s="4" t="s">
        <v>241</v>
      </c>
      <c r="BE651" s="4" t="s">
        <v>257</v>
      </c>
      <c r="BF651" s="4" t="s">
        <v>241</v>
      </c>
      <c r="BJ651" s="4" t="s">
        <v>367</v>
      </c>
      <c r="BK651" s="5" t="s">
        <v>249</v>
      </c>
      <c r="BL651" s="4" t="s">
        <v>261</v>
      </c>
      <c r="BM651" s="4" t="s">
        <v>262</v>
      </c>
      <c r="BN651" s="4" t="s">
        <v>241</v>
      </c>
      <c r="BO651" s="6">
        <f>0</f>
        <v>0</v>
      </c>
      <c r="BP651" s="6">
        <f>0</f>
        <v>0</v>
      </c>
      <c r="BQ651" s="4" t="s">
        <v>263</v>
      </c>
      <c r="BR651" s="4" t="s">
        <v>264</v>
      </c>
      <c r="CF651" s="4" t="s">
        <v>241</v>
      </c>
      <c r="CG651" s="4" t="s">
        <v>241</v>
      </c>
      <c r="CK651" s="4" t="s">
        <v>265</v>
      </c>
      <c r="CL651" s="4" t="s">
        <v>266</v>
      </c>
      <c r="CM651" s="4" t="s">
        <v>241</v>
      </c>
      <c r="CO651" s="4" t="s">
        <v>793</v>
      </c>
      <c r="CP651" s="5" t="s">
        <v>268</v>
      </c>
      <c r="CQ651" s="4" t="s">
        <v>269</v>
      </c>
      <c r="CR651" s="4" t="s">
        <v>270</v>
      </c>
      <c r="CS651" s="4" t="s">
        <v>241</v>
      </c>
      <c r="CT651" s="4" t="s">
        <v>241</v>
      </c>
      <c r="CU651" s="4">
        <v>0</v>
      </c>
      <c r="CV651" s="4" t="s">
        <v>271</v>
      </c>
      <c r="CW651" s="4" t="s">
        <v>411</v>
      </c>
      <c r="CX651" s="4" t="s">
        <v>347</v>
      </c>
      <c r="CZ651" s="6">
        <f t="shared" si="20"/>
        <v>2970000</v>
      </c>
      <c r="DA651" s="6">
        <f>0</f>
        <v>0</v>
      </c>
      <c r="DC651" s="4" t="s">
        <v>241</v>
      </c>
      <c r="DD651" s="4" t="s">
        <v>241</v>
      </c>
      <c r="DF651" s="4" t="s">
        <v>241</v>
      </c>
      <c r="DI651" s="4" t="s">
        <v>241</v>
      </c>
      <c r="DJ651" s="4" t="s">
        <v>241</v>
      </c>
      <c r="DK651" s="4" t="s">
        <v>241</v>
      </c>
      <c r="DL651" s="4" t="s">
        <v>241</v>
      </c>
      <c r="DM651" s="4" t="s">
        <v>277</v>
      </c>
      <c r="DN651" s="4" t="s">
        <v>278</v>
      </c>
      <c r="DO651" s="6">
        <f t="shared" si="21"/>
        <v>29.7</v>
      </c>
      <c r="DP651" s="4" t="s">
        <v>241</v>
      </c>
      <c r="DQ651" s="4" t="s">
        <v>241</v>
      </c>
      <c r="DR651" s="4" t="s">
        <v>241</v>
      </c>
      <c r="DS651" s="4" t="s">
        <v>241</v>
      </c>
      <c r="DV651" s="4" t="s">
        <v>2158</v>
      </c>
      <c r="DW651" s="4" t="s">
        <v>300</v>
      </c>
      <c r="HO651" s="4" t="s">
        <v>277</v>
      </c>
      <c r="HR651" s="4" t="s">
        <v>278</v>
      </c>
      <c r="HS651" s="4" t="s">
        <v>278</v>
      </c>
    </row>
    <row r="652" spans="1:240" x14ac:dyDescent="0.4">
      <c r="A652" s="4">
        <v>2</v>
      </c>
      <c r="B652" s="4" t="s">
        <v>239</v>
      </c>
      <c r="C652" s="4">
        <v>704</v>
      </c>
      <c r="D652" s="4">
        <v>1</v>
      </c>
      <c r="E652" s="4">
        <v>1</v>
      </c>
      <c r="F652" s="4" t="s">
        <v>240</v>
      </c>
      <c r="G652" s="4" t="s">
        <v>241</v>
      </c>
      <c r="H652" s="4" t="s">
        <v>241</v>
      </c>
      <c r="I652" s="4" t="s">
        <v>2155</v>
      </c>
      <c r="J652" s="4" t="s">
        <v>344</v>
      </c>
      <c r="K652" s="4" t="s">
        <v>256</v>
      </c>
      <c r="L652" s="4" t="s">
        <v>2101</v>
      </c>
      <c r="M652" s="5" t="s">
        <v>2157</v>
      </c>
      <c r="N652" s="4" t="s">
        <v>2192</v>
      </c>
      <c r="O652" s="6">
        <f t="shared" si="17"/>
        <v>29.7</v>
      </c>
      <c r="P652" s="4" t="s">
        <v>276</v>
      </c>
      <c r="Q652" s="6">
        <f>1</f>
        <v>1</v>
      </c>
      <c r="R652" s="6">
        <f t="shared" si="18"/>
        <v>2970000</v>
      </c>
      <c r="S652" s="5" t="s">
        <v>2156</v>
      </c>
      <c r="T652" s="4" t="s">
        <v>314</v>
      </c>
      <c r="U652" s="4" t="s">
        <v>1191</v>
      </c>
      <c r="W652" s="6">
        <f t="shared" si="19"/>
        <v>2969999</v>
      </c>
      <c r="X652" s="4" t="s">
        <v>243</v>
      </c>
      <c r="Y652" s="4" t="s">
        <v>244</v>
      </c>
      <c r="Z652" s="4" t="s">
        <v>338</v>
      </c>
      <c r="AA652" s="4" t="s">
        <v>241</v>
      </c>
      <c r="AD652" s="4" t="s">
        <v>241</v>
      </c>
      <c r="AF652" s="5" t="s">
        <v>241</v>
      </c>
      <c r="AI652" s="5" t="s">
        <v>884</v>
      </c>
      <c r="AJ652" s="4" t="s">
        <v>251</v>
      </c>
      <c r="AK652" s="4" t="s">
        <v>252</v>
      </c>
      <c r="BA652" s="4" t="s">
        <v>254</v>
      </c>
      <c r="BB652" s="4" t="s">
        <v>241</v>
      </c>
      <c r="BC652" s="4" t="s">
        <v>255</v>
      </c>
      <c r="BD652" s="4" t="s">
        <v>241</v>
      </c>
      <c r="BE652" s="4" t="s">
        <v>257</v>
      </c>
      <c r="BF652" s="4" t="s">
        <v>241</v>
      </c>
      <c r="BJ652" s="4" t="s">
        <v>259</v>
      </c>
      <c r="BK652" s="5" t="s">
        <v>884</v>
      </c>
      <c r="BL652" s="4" t="s">
        <v>261</v>
      </c>
      <c r="BM652" s="4" t="s">
        <v>262</v>
      </c>
      <c r="BN652" s="4" t="s">
        <v>241</v>
      </c>
      <c r="BO652" s="6">
        <f>0</f>
        <v>0</v>
      </c>
      <c r="BP652" s="6">
        <f>0</f>
        <v>0</v>
      </c>
      <c r="BQ652" s="4" t="s">
        <v>263</v>
      </c>
      <c r="BR652" s="4" t="s">
        <v>264</v>
      </c>
      <c r="CF652" s="4" t="s">
        <v>241</v>
      </c>
      <c r="CG652" s="4" t="s">
        <v>241</v>
      </c>
      <c r="CK652" s="4" t="s">
        <v>265</v>
      </c>
      <c r="CL652" s="4" t="s">
        <v>266</v>
      </c>
      <c r="CM652" s="4" t="s">
        <v>241</v>
      </c>
      <c r="CO652" s="4" t="s">
        <v>793</v>
      </c>
      <c r="CP652" s="5" t="s">
        <v>268</v>
      </c>
      <c r="CQ652" s="4" t="s">
        <v>269</v>
      </c>
      <c r="CR652" s="4" t="s">
        <v>270</v>
      </c>
      <c r="CS652" s="4" t="s">
        <v>241</v>
      </c>
      <c r="CT652" s="4" t="s">
        <v>241</v>
      </c>
      <c r="CU652" s="4">
        <v>0</v>
      </c>
      <c r="CV652" s="4" t="s">
        <v>271</v>
      </c>
      <c r="CW652" s="4" t="s">
        <v>411</v>
      </c>
      <c r="CX652" s="4" t="s">
        <v>347</v>
      </c>
      <c r="CZ652" s="6">
        <f t="shared" si="20"/>
        <v>2970000</v>
      </c>
      <c r="DA652" s="6">
        <f>0</f>
        <v>0</v>
      </c>
      <c r="DC652" s="4" t="s">
        <v>241</v>
      </c>
      <c r="DD652" s="4" t="s">
        <v>241</v>
      </c>
      <c r="DF652" s="4" t="s">
        <v>241</v>
      </c>
      <c r="DI652" s="4" t="s">
        <v>241</v>
      </c>
      <c r="DJ652" s="4" t="s">
        <v>241</v>
      </c>
      <c r="DK652" s="4" t="s">
        <v>241</v>
      </c>
      <c r="DL652" s="4" t="s">
        <v>241</v>
      </c>
      <c r="DM652" s="4" t="s">
        <v>277</v>
      </c>
      <c r="DN652" s="4" t="s">
        <v>278</v>
      </c>
      <c r="DO652" s="6">
        <f t="shared" si="21"/>
        <v>29.7</v>
      </c>
      <c r="DP652" s="4" t="s">
        <v>241</v>
      </c>
      <c r="DQ652" s="4" t="s">
        <v>241</v>
      </c>
      <c r="DR652" s="4" t="s">
        <v>241</v>
      </c>
      <c r="DS652" s="4" t="s">
        <v>241</v>
      </c>
      <c r="DV652" s="4" t="s">
        <v>2158</v>
      </c>
      <c r="DW652" s="4" t="s">
        <v>341</v>
      </c>
      <c r="HO652" s="4" t="s">
        <v>277</v>
      </c>
      <c r="HR652" s="4" t="s">
        <v>278</v>
      </c>
      <c r="HS652" s="4" t="s">
        <v>278</v>
      </c>
    </row>
    <row r="653" spans="1:240" x14ac:dyDescent="0.4">
      <c r="A653" s="4">
        <v>2</v>
      </c>
      <c r="B653" s="4" t="s">
        <v>239</v>
      </c>
      <c r="C653" s="4">
        <v>705</v>
      </c>
      <c r="D653" s="4">
        <v>1</v>
      </c>
      <c r="E653" s="4">
        <v>1</v>
      </c>
      <c r="F653" s="4" t="s">
        <v>240</v>
      </c>
      <c r="G653" s="4" t="s">
        <v>241</v>
      </c>
      <c r="H653" s="4" t="s">
        <v>241</v>
      </c>
      <c r="I653" s="4" t="s">
        <v>2155</v>
      </c>
      <c r="J653" s="4" t="s">
        <v>344</v>
      </c>
      <c r="K653" s="4" t="s">
        <v>256</v>
      </c>
      <c r="L653" s="4" t="s">
        <v>2101</v>
      </c>
      <c r="M653" s="5" t="s">
        <v>2157</v>
      </c>
      <c r="N653" s="4" t="s">
        <v>2173</v>
      </c>
      <c r="O653" s="6">
        <f t="shared" si="17"/>
        <v>29.7</v>
      </c>
      <c r="P653" s="4" t="s">
        <v>276</v>
      </c>
      <c r="Q653" s="6">
        <f>1</f>
        <v>1</v>
      </c>
      <c r="R653" s="6">
        <f t="shared" si="18"/>
        <v>2970000</v>
      </c>
      <c r="S653" s="5" t="s">
        <v>2156</v>
      </c>
      <c r="T653" s="4" t="s">
        <v>314</v>
      </c>
      <c r="U653" s="4" t="s">
        <v>1191</v>
      </c>
      <c r="W653" s="6">
        <f t="shared" si="19"/>
        <v>2969999</v>
      </c>
      <c r="X653" s="4" t="s">
        <v>243</v>
      </c>
      <c r="Y653" s="4" t="s">
        <v>244</v>
      </c>
      <c r="Z653" s="4" t="s">
        <v>338</v>
      </c>
      <c r="AA653" s="4" t="s">
        <v>241</v>
      </c>
      <c r="AD653" s="4" t="s">
        <v>241</v>
      </c>
      <c r="AF653" s="5" t="s">
        <v>241</v>
      </c>
      <c r="AI653" s="5" t="s">
        <v>884</v>
      </c>
      <c r="AJ653" s="4" t="s">
        <v>251</v>
      </c>
      <c r="AK653" s="4" t="s">
        <v>252</v>
      </c>
      <c r="BA653" s="4" t="s">
        <v>254</v>
      </c>
      <c r="BB653" s="4" t="s">
        <v>241</v>
      </c>
      <c r="BC653" s="4" t="s">
        <v>255</v>
      </c>
      <c r="BD653" s="4" t="s">
        <v>241</v>
      </c>
      <c r="BE653" s="4" t="s">
        <v>257</v>
      </c>
      <c r="BF653" s="4" t="s">
        <v>241</v>
      </c>
      <c r="BJ653" s="4" t="s">
        <v>259</v>
      </c>
      <c r="BK653" s="5" t="s">
        <v>260</v>
      </c>
      <c r="BL653" s="4" t="s">
        <v>261</v>
      </c>
      <c r="BM653" s="4" t="s">
        <v>262</v>
      </c>
      <c r="BN653" s="4" t="s">
        <v>241</v>
      </c>
      <c r="BO653" s="6">
        <f>0</f>
        <v>0</v>
      </c>
      <c r="BP653" s="6">
        <f>0</f>
        <v>0</v>
      </c>
      <c r="BQ653" s="4" t="s">
        <v>263</v>
      </c>
      <c r="BR653" s="4" t="s">
        <v>264</v>
      </c>
      <c r="CF653" s="4" t="s">
        <v>241</v>
      </c>
      <c r="CG653" s="4" t="s">
        <v>241</v>
      </c>
      <c r="CK653" s="4" t="s">
        <v>265</v>
      </c>
      <c r="CL653" s="4" t="s">
        <v>266</v>
      </c>
      <c r="CM653" s="4" t="s">
        <v>241</v>
      </c>
      <c r="CO653" s="4" t="s">
        <v>793</v>
      </c>
      <c r="CP653" s="5" t="s">
        <v>268</v>
      </c>
      <c r="CQ653" s="4" t="s">
        <v>269</v>
      </c>
      <c r="CR653" s="4" t="s">
        <v>270</v>
      </c>
      <c r="CS653" s="4" t="s">
        <v>241</v>
      </c>
      <c r="CT653" s="4" t="s">
        <v>241</v>
      </c>
      <c r="CU653" s="4">
        <v>0</v>
      </c>
      <c r="CV653" s="4" t="s">
        <v>271</v>
      </c>
      <c r="CW653" s="4" t="s">
        <v>411</v>
      </c>
      <c r="CX653" s="4" t="s">
        <v>347</v>
      </c>
      <c r="CZ653" s="6">
        <f t="shared" si="20"/>
        <v>2970000</v>
      </c>
      <c r="DA653" s="6">
        <f>0</f>
        <v>0</v>
      </c>
      <c r="DC653" s="4" t="s">
        <v>241</v>
      </c>
      <c r="DD653" s="4" t="s">
        <v>241</v>
      </c>
      <c r="DF653" s="4" t="s">
        <v>241</v>
      </c>
      <c r="DI653" s="4" t="s">
        <v>241</v>
      </c>
      <c r="DJ653" s="4" t="s">
        <v>241</v>
      </c>
      <c r="DK653" s="4" t="s">
        <v>241</v>
      </c>
      <c r="DL653" s="4" t="s">
        <v>241</v>
      </c>
      <c r="DM653" s="4" t="s">
        <v>277</v>
      </c>
      <c r="DN653" s="4" t="s">
        <v>278</v>
      </c>
      <c r="DO653" s="6">
        <f t="shared" si="21"/>
        <v>29.7</v>
      </c>
      <c r="DP653" s="4" t="s">
        <v>241</v>
      </c>
      <c r="DQ653" s="4" t="s">
        <v>241</v>
      </c>
      <c r="DR653" s="4" t="s">
        <v>241</v>
      </c>
      <c r="DS653" s="4" t="s">
        <v>241</v>
      </c>
      <c r="DV653" s="4" t="s">
        <v>2158</v>
      </c>
      <c r="DW653" s="4" t="s">
        <v>343</v>
      </c>
      <c r="HO653" s="4" t="s">
        <v>277</v>
      </c>
      <c r="HR653" s="4" t="s">
        <v>278</v>
      </c>
      <c r="HS653" s="4" t="s">
        <v>278</v>
      </c>
    </row>
    <row r="654" spans="1:240" x14ac:dyDescent="0.4">
      <c r="A654" s="4">
        <v>2</v>
      </c>
      <c r="B654" s="4" t="s">
        <v>239</v>
      </c>
      <c r="C654" s="4">
        <v>706</v>
      </c>
      <c r="D654" s="4">
        <v>1</v>
      </c>
      <c r="E654" s="4">
        <v>1</v>
      </c>
      <c r="F654" s="4" t="s">
        <v>240</v>
      </c>
      <c r="G654" s="4" t="s">
        <v>241</v>
      </c>
      <c r="H654" s="4" t="s">
        <v>241</v>
      </c>
      <c r="I654" s="4" t="s">
        <v>2155</v>
      </c>
      <c r="J654" s="4" t="s">
        <v>344</v>
      </c>
      <c r="K654" s="4" t="s">
        <v>256</v>
      </c>
      <c r="L654" s="4" t="s">
        <v>2101</v>
      </c>
      <c r="M654" s="5" t="s">
        <v>2157</v>
      </c>
      <c r="N654" s="4" t="s">
        <v>2174</v>
      </c>
      <c r="O654" s="6">
        <f t="shared" si="17"/>
        <v>29.7</v>
      </c>
      <c r="P654" s="4" t="s">
        <v>276</v>
      </c>
      <c r="Q654" s="6">
        <f>1</f>
        <v>1</v>
      </c>
      <c r="R654" s="6">
        <f t="shared" si="18"/>
        <v>2970000</v>
      </c>
      <c r="S654" s="5" t="s">
        <v>2156</v>
      </c>
      <c r="T654" s="4" t="s">
        <v>314</v>
      </c>
      <c r="U654" s="4" t="s">
        <v>1191</v>
      </c>
      <c r="W654" s="6">
        <f t="shared" si="19"/>
        <v>2969999</v>
      </c>
      <c r="X654" s="4" t="s">
        <v>243</v>
      </c>
      <c r="Y654" s="4" t="s">
        <v>244</v>
      </c>
      <c r="Z654" s="4" t="s">
        <v>338</v>
      </c>
      <c r="AA654" s="4" t="s">
        <v>241</v>
      </c>
      <c r="AD654" s="4" t="s">
        <v>241</v>
      </c>
      <c r="AF654" s="5" t="s">
        <v>241</v>
      </c>
      <c r="AI654" s="5" t="s">
        <v>249</v>
      </c>
      <c r="AJ654" s="4" t="s">
        <v>251</v>
      </c>
      <c r="AK654" s="4" t="s">
        <v>252</v>
      </c>
      <c r="BA654" s="4" t="s">
        <v>254</v>
      </c>
      <c r="BB654" s="4" t="s">
        <v>241</v>
      </c>
      <c r="BC654" s="4" t="s">
        <v>255</v>
      </c>
      <c r="BD654" s="4" t="s">
        <v>241</v>
      </c>
      <c r="BE654" s="4" t="s">
        <v>257</v>
      </c>
      <c r="BF654" s="4" t="s">
        <v>241</v>
      </c>
      <c r="BJ654" s="4" t="s">
        <v>367</v>
      </c>
      <c r="BK654" s="5" t="s">
        <v>249</v>
      </c>
      <c r="BL654" s="4" t="s">
        <v>261</v>
      </c>
      <c r="BM654" s="4" t="s">
        <v>262</v>
      </c>
      <c r="BN654" s="4" t="s">
        <v>241</v>
      </c>
      <c r="BO654" s="6">
        <f>0</f>
        <v>0</v>
      </c>
      <c r="BP654" s="6">
        <f>0</f>
        <v>0</v>
      </c>
      <c r="BQ654" s="4" t="s">
        <v>263</v>
      </c>
      <c r="BR654" s="4" t="s">
        <v>264</v>
      </c>
      <c r="CF654" s="4" t="s">
        <v>241</v>
      </c>
      <c r="CG654" s="4" t="s">
        <v>241</v>
      </c>
      <c r="CK654" s="4" t="s">
        <v>265</v>
      </c>
      <c r="CL654" s="4" t="s">
        <v>266</v>
      </c>
      <c r="CM654" s="4" t="s">
        <v>241</v>
      </c>
      <c r="CO654" s="4" t="s">
        <v>793</v>
      </c>
      <c r="CP654" s="5" t="s">
        <v>268</v>
      </c>
      <c r="CQ654" s="4" t="s">
        <v>269</v>
      </c>
      <c r="CR654" s="4" t="s">
        <v>270</v>
      </c>
      <c r="CS654" s="4" t="s">
        <v>241</v>
      </c>
      <c r="CT654" s="4" t="s">
        <v>241</v>
      </c>
      <c r="CU654" s="4">
        <v>0</v>
      </c>
      <c r="CV654" s="4" t="s">
        <v>271</v>
      </c>
      <c r="CW654" s="4" t="s">
        <v>411</v>
      </c>
      <c r="CX654" s="4" t="s">
        <v>347</v>
      </c>
      <c r="CZ654" s="6">
        <f t="shared" si="20"/>
        <v>2970000</v>
      </c>
      <c r="DA654" s="6">
        <f>0</f>
        <v>0</v>
      </c>
      <c r="DC654" s="4" t="s">
        <v>241</v>
      </c>
      <c r="DD654" s="4" t="s">
        <v>241</v>
      </c>
      <c r="DF654" s="4" t="s">
        <v>241</v>
      </c>
      <c r="DI654" s="4" t="s">
        <v>241</v>
      </c>
      <c r="DJ654" s="4" t="s">
        <v>241</v>
      </c>
      <c r="DK654" s="4" t="s">
        <v>241</v>
      </c>
      <c r="DL654" s="4" t="s">
        <v>241</v>
      </c>
      <c r="DM654" s="4" t="s">
        <v>277</v>
      </c>
      <c r="DN654" s="4" t="s">
        <v>278</v>
      </c>
      <c r="DO654" s="6">
        <f t="shared" si="21"/>
        <v>29.7</v>
      </c>
      <c r="DP654" s="4" t="s">
        <v>241</v>
      </c>
      <c r="DQ654" s="4" t="s">
        <v>241</v>
      </c>
      <c r="DR654" s="4" t="s">
        <v>241</v>
      </c>
      <c r="DS654" s="4" t="s">
        <v>241</v>
      </c>
      <c r="DV654" s="4" t="s">
        <v>2158</v>
      </c>
      <c r="DW654" s="4" t="s">
        <v>417</v>
      </c>
      <c r="HO654" s="4" t="s">
        <v>277</v>
      </c>
      <c r="HR654" s="4" t="s">
        <v>278</v>
      </c>
      <c r="HS654" s="4" t="s">
        <v>278</v>
      </c>
    </row>
    <row r="655" spans="1:240" x14ac:dyDescent="0.4">
      <c r="A655" s="4">
        <v>2</v>
      </c>
      <c r="B655" s="4" t="s">
        <v>239</v>
      </c>
      <c r="C655" s="4">
        <v>707</v>
      </c>
      <c r="D655" s="4">
        <v>1</v>
      </c>
      <c r="E655" s="4">
        <v>1</v>
      </c>
      <c r="F655" s="4" t="s">
        <v>240</v>
      </c>
      <c r="G655" s="4" t="s">
        <v>241</v>
      </c>
      <c r="H655" s="4" t="s">
        <v>241</v>
      </c>
      <c r="I655" s="4" t="s">
        <v>2155</v>
      </c>
      <c r="J655" s="4" t="s">
        <v>344</v>
      </c>
      <c r="K655" s="4" t="s">
        <v>256</v>
      </c>
      <c r="L655" s="4" t="s">
        <v>2101</v>
      </c>
      <c r="M655" s="5" t="s">
        <v>2157</v>
      </c>
      <c r="N655" s="4" t="s">
        <v>2154</v>
      </c>
      <c r="O655" s="6">
        <f t="shared" si="17"/>
        <v>29.7</v>
      </c>
      <c r="P655" s="4" t="s">
        <v>276</v>
      </c>
      <c r="Q655" s="6">
        <f>1</f>
        <v>1</v>
      </c>
      <c r="R655" s="6">
        <f t="shared" si="18"/>
        <v>2970000</v>
      </c>
      <c r="S655" s="5" t="s">
        <v>2156</v>
      </c>
      <c r="T655" s="4" t="s">
        <v>314</v>
      </c>
      <c r="U655" s="4" t="s">
        <v>1191</v>
      </c>
      <c r="W655" s="6">
        <f t="shared" si="19"/>
        <v>2969999</v>
      </c>
      <c r="X655" s="4" t="s">
        <v>243</v>
      </c>
      <c r="Y655" s="4" t="s">
        <v>244</v>
      </c>
      <c r="Z655" s="4" t="s">
        <v>338</v>
      </c>
      <c r="AA655" s="4" t="s">
        <v>241</v>
      </c>
      <c r="AD655" s="4" t="s">
        <v>241</v>
      </c>
      <c r="AF655" s="5" t="s">
        <v>241</v>
      </c>
      <c r="AI655" s="5" t="s">
        <v>249</v>
      </c>
      <c r="AJ655" s="4" t="s">
        <v>251</v>
      </c>
      <c r="AK655" s="4" t="s">
        <v>252</v>
      </c>
      <c r="BA655" s="4" t="s">
        <v>254</v>
      </c>
      <c r="BB655" s="4" t="s">
        <v>241</v>
      </c>
      <c r="BC655" s="4" t="s">
        <v>255</v>
      </c>
      <c r="BD655" s="4" t="s">
        <v>241</v>
      </c>
      <c r="BE655" s="4" t="s">
        <v>257</v>
      </c>
      <c r="BF655" s="4" t="s">
        <v>241</v>
      </c>
      <c r="BJ655" s="4" t="s">
        <v>259</v>
      </c>
      <c r="BK655" s="5" t="s">
        <v>413</v>
      </c>
      <c r="BL655" s="4" t="s">
        <v>261</v>
      </c>
      <c r="BM655" s="4" t="s">
        <v>262</v>
      </c>
      <c r="BN655" s="4" t="s">
        <v>241</v>
      </c>
      <c r="BO655" s="6">
        <f>0</f>
        <v>0</v>
      </c>
      <c r="BP655" s="6">
        <f>0</f>
        <v>0</v>
      </c>
      <c r="BQ655" s="4" t="s">
        <v>263</v>
      </c>
      <c r="BR655" s="4" t="s">
        <v>264</v>
      </c>
      <c r="CF655" s="4" t="s">
        <v>241</v>
      </c>
      <c r="CG655" s="4" t="s">
        <v>241</v>
      </c>
      <c r="CK655" s="4" t="s">
        <v>265</v>
      </c>
      <c r="CL655" s="4" t="s">
        <v>266</v>
      </c>
      <c r="CM655" s="4" t="s">
        <v>241</v>
      </c>
      <c r="CO655" s="4" t="s">
        <v>793</v>
      </c>
      <c r="CP655" s="5" t="s">
        <v>268</v>
      </c>
      <c r="CQ655" s="4" t="s">
        <v>269</v>
      </c>
      <c r="CR655" s="4" t="s">
        <v>270</v>
      </c>
      <c r="CS655" s="4" t="s">
        <v>241</v>
      </c>
      <c r="CT655" s="4" t="s">
        <v>241</v>
      </c>
      <c r="CU655" s="4">
        <v>0</v>
      </c>
      <c r="CV655" s="4" t="s">
        <v>271</v>
      </c>
      <c r="CW655" s="4" t="s">
        <v>411</v>
      </c>
      <c r="CX655" s="4" t="s">
        <v>347</v>
      </c>
      <c r="CZ655" s="6">
        <f t="shared" si="20"/>
        <v>2970000</v>
      </c>
      <c r="DA655" s="6">
        <f>0</f>
        <v>0</v>
      </c>
      <c r="DC655" s="4" t="s">
        <v>241</v>
      </c>
      <c r="DD655" s="4" t="s">
        <v>241</v>
      </c>
      <c r="DF655" s="4" t="s">
        <v>241</v>
      </c>
      <c r="DI655" s="4" t="s">
        <v>241</v>
      </c>
      <c r="DJ655" s="4" t="s">
        <v>241</v>
      </c>
      <c r="DK655" s="4" t="s">
        <v>241</v>
      </c>
      <c r="DL655" s="4" t="s">
        <v>241</v>
      </c>
      <c r="DM655" s="4" t="s">
        <v>277</v>
      </c>
      <c r="DN655" s="4" t="s">
        <v>278</v>
      </c>
      <c r="DO655" s="6">
        <f t="shared" si="21"/>
        <v>29.7</v>
      </c>
      <c r="DP655" s="4" t="s">
        <v>241</v>
      </c>
      <c r="DQ655" s="4" t="s">
        <v>241</v>
      </c>
      <c r="DR655" s="4" t="s">
        <v>241</v>
      </c>
      <c r="DS655" s="4" t="s">
        <v>241</v>
      </c>
      <c r="DV655" s="4" t="s">
        <v>2158</v>
      </c>
      <c r="DW655" s="4" t="s">
        <v>427</v>
      </c>
      <c r="HO655" s="4" t="s">
        <v>277</v>
      </c>
      <c r="HR655" s="4" t="s">
        <v>278</v>
      </c>
      <c r="HS655" s="4" t="s">
        <v>278</v>
      </c>
    </row>
    <row r="656" spans="1:240" x14ac:dyDescent="0.4">
      <c r="A656" s="4">
        <v>2</v>
      </c>
      <c r="B656" s="4" t="s">
        <v>239</v>
      </c>
      <c r="C656" s="4">
        <v>709</v>
      </c>
      <c r="D656" s="4">
        <v>1</v>
      </c>
      <c r="E656" s="4">
        <v>1</v>
      </c>
      <c r="F656" s="4" t="s">
        <v>240</v>
      </c>
      <c r="G656" s="4" t="s">
        <v>241</v>
      </c>
      <c r="H656" s="4" t="s">
        <v>241</v>
      </c>
      <c r="I656" s="4" t="s">
        <v>2159</v>
      </c>
      <c r="J656" s="4" t="s">
        <v>344</v>
      </c>
      <c r="K656" s="4" t="s">
        <v>256</v>
      </c>
      <c r="L656" s="4" t="s">
        <v>2101</v>
      </c>
      <c r="M656" s="5" t="s">
        <v>2161</v>
      </c>
      <c r="N656" s="4" t="s">
        <v>2114</v>
      </c>
      <c r="O656" s="6">
        <f t="shared" si="17"/>
        <v>29.7</v>
      </c>
      <c r="P656" s="4" t="s">
        <v>276</v>
      </c>
      <c r="Q656" s="6">
        <f>1</f>
        <v>1</v>
      </c>
      <c r="R656" s="6">
        <f t="shared" si="18"/>
        <v>2970000</v>
      </c>
      <c r="S656" s="5" t="s">
        <v>2160</v>
      </c>
      <c r="T656" s="4" t="s">
        <v>314</v>
      </c>
      <c r="U656" s="4" t="s">
        <v>791</v>
      </c>
      <c r="W656" s="6">
        <f t="shared" si="19"/>
        <v>2969999</v>
      </c>
      <c r="X656" s="4" t="s">
        <v>243</v>
      </c>
      <c r="Y656" s="4" t="s">
        <v>244</v>
      </c>
      <c r="Z656" s="4" t="s">
        <v>338</v>
      </c>
      <c r="AA656" s="4" t="s">
        <v>241</v>
      </c>
      <c r="AD656" s="4" t="s">
        <v>241</v>
      </c>
      <c r="AF656" s="5" t="s">
        <v>241</v>
      </c>
      <c r="AI656" s="5" t="s">
        <v>249</v>
      </c>
      <c r="AJ656" s="4" t="s">
        <v>251</v>
      </c>
      <c r="AK656" s="4" t="s">
        <v>252</v>
      </c>
      <c r="BA656" s="4" t="s">
        <v>254</v>
      </c>
      <c r="BB656" s="4" t="s">
        <v>241</v>
      </c>
      <c r="BC656" s="4" t="s">
        <v>255</v>
      </c>
      <c r="BD656" s="4" t="s">
        <v>241</v>
      </c>
      <c r="BE656" s="4" t="s">
        <v>257</v>
      </c>
      <c r="BF656" s="4" t="s">
        <v>241</v>
      </c>
      <c r="BJ656" s="4" t="s">
        <v>374</v>
      </c>
      <c r="BK656" s="5" t="s">
        <v>375</v>
      </c>
      <c r="BL656" s="4" t="s">
        <v>261</v>
      </c>
      <c r="BM656" s="4" t="s">
        <v>262</v>
      </c>
      <c r="BN656" s="4" t="s">
        <v>241</v>
      </c>
      <c r="BO656" s="6">
        <f>0</f>
        <v>0</v>
      </c>
      <c r="BP656" s="6">
        <f>0</f>
        <v>0</v>
      </c>
      <c r="BQ656" s="4" t="s">
        <v>263</v>
      </c>
      <c r="BR656" s="4" t="s">
        <v>264</v>
      </c>
      <c r="CF656" s="4" t="s">
        <v>241</v>
      </c>
      <c r="CG656" s="4" t="s">
        <v>241</v>
      </c>
      <c r="CK656" s="4" t="s">
        <v>265</v>
      </c>
      <c r="CL656" s="4" t="s">
        <v>266</v>
      </c>
      <c r="CM656" s="4" t="s">
        <v>241</v>
      </c>
      <c r="CO656" s="4" t="s">
        <v>790</v>
      </c>
      <c r="CP656" s="5" t="s">
        <v>268</v>
      </c>
      <c r="CQ656" s="4" t="s">
        <v>269</v>
      </c>
      <c r="CR656" s="4" t="s">
        <v>270</v>
      </c>
      <c r="CS656" s="4" t="s">
        <v>241</v>
      </c>
      <c r="CT656" s="4" t="s">
        <v>241</v>
      </c>
      <c r="CU656" s="4">
        <v>0</v>
      </c>
      <c r="CV656" s="4" t="s">
        <v>271</v>
      </c>
      <c r="CW656" s="4" t="s">
        <v>411</v>
      </c>
      <c r="CX656" s="4" t="s">
        <v>347</v>
      </c>
      <c r="CZ656" s="6">
        <f t="shared" si="20"/>
        <v>2970000</v>
      </c>
      <c r="DA656" s="6">
        <f>0</f>
        <v>0</v>
      </c>
      <c r="DC656" s="4" t="s">
        <v>241</v>
      </c>
      <c r="DD656" s="4" t="s">
        <v>241</v>
      </c>
      <c r="DF656" s="4" t="s">
        <v>241</v>
      </c>
      <c r="DI656" s="4" t="s">
        <v>241</v>
      </c>
      <c r="DJ656" s="4" t="s">
        <v>241</v>
      </c>
      <c r="DK656" s="4" t="s">
        <v>241</v>
      </c>
      <c r="DL656" s="4" t="s">
        <v>241</v>
      </c>
      <c r="DM656" s="4" t="s">
        <v>277</v>
      </c>
      <c r="DN656" s="4" t="s">
        <v>278</v>
      </c>
      <c r="DO656" s="6">
        <f t="shared" si="21"/>
        <v>29.7</v>
      </c>
      <c r="DP656" s="4" t="s">
        <v>241</v>
      </c>
      <c r="DQ656" s="4" t="s">
        <v>241</v>
      </c>
      <c r="DR656" s="4" t="s">
        <v>241</v>
      </c>
      <c r="DS656" s="4" t="s">
        <v>241</v>
      </c>
      <c r="DV656" s="4" t="s">
        <v>2162</v>
      </c>
      <c r="DW656" s="4" t="s">
        <v>323</v>
      </c>
      <c r="HO656" s="4" t="s">
        <v>277</v>
      </c>
      <c r="HR656" s="4" t="s">
        <v>278</v>
      </c>
      <c r="HS656" s="4" t="s">
        <v>278</v>
      </c>
    </row>
    <row r="657" spans="1:227" x14ac:dyDescent="0.4">
      <c r="A657" s="4">
        <v>2</v>
      </c>
      <c r="B657" s="4" t="s">
        <v>239</v>
      </c>
      <c r="C657" s="4">
        <v>710</v>
      </c>
      <c r="D657" s="4">
        <v>1</v>
      </c>
      <c r="E657" s="4">
        <v>1</v>
      </c>
      <c r="F657" s="4" t="s">
        <v>240</v>
      </c>
      <c r="G657" s="4" t="s">
        <v>241</v>
      </c>
      <c r="H657" s="4" t="s">
        <v>241</v>
      </c>
      <c r="I657" s="4" t="s">
        <v>2159</v>
      </c>
      <c r="J657" s="4" t="s">
        <v>344</v>
      </c>
      <c r="K657" s="4" t="s">
        <v>256</v>
      </c>
      <c r="L657" s="4" t="s">
        <v>2101</v>
      </c>
      <c r="M657" s="5" t="s">
        <v>2161</v>
      </c>
      <c r="N657" s="4" t="s">
        <v>2114</v>
      </c>
      <c r="O657" s="6">
        <f t="shared" si="17"/>
        <v>29.7</v>
      </c>
      <c r="P657" s="4" t="s">
        <v>276</v>
      </c>
      <c r="Q657" s="6">
        <f>1</f>
        <v>1</v>
      </c>
      <c r="R657" s="6">
        <f t="shared" si="18"/>
        <v>2970000</v>
      </c>
      <c r="S657" s="5" t="s">
        <v>2160</v>
      </c>
      <c r="T657" s="4" t="s">
        <v>314</v>
      </c>
      <c r="U657" s="4" t="s">
        <v>791</v>
      </c>
      <c r="W657" s="6">
        <f t="shared" si="19"/>
        <v>2969999</v>
      </c>
      <c r="X657" s="4" t="s">
        <v>243</v>
      </c>
      <c r="Y657" s="4" t="s">
        <v>244</v>
      </c>
      <c r="Z657" s="4" t="s">
        <v>338</v>
      </c>
      <c r="AA657" s="4" t="s">
        <v>241</v>
      </c>
      <c r="AD657" s="4" t="s">
        <v>241</v>
      </c>
      <c r="AF657" s="5" t="s">
        <v>241</v>
      </c>
      <c r="AI657" s="5" t="s">
        <v>249</v>
      </c>
      <c r="AJ657" s="4" t="s">
        <v>251</v>
      </c>
      <c r="AK657" s="4" t="s">
        <v>252</v>
      </c>
      <c r="BA657" s="4" t="s">
        <v>254</v>
      </c>
      <c r="BB657" s="4" t="s">
        <v>241</v>
      </c>
      <c r="BC657" s="4" t="s">
        <v>255</v>
      </c>
      <c r="BD657" s="4" t="s">
        <v>241</v>
      </c>
      <c r="BE657" s="4" t="s">
        <v>257</v>
      </c>
      <c r="BF657" s="4" t="s">
        <v>241</v>
      </c>
      <c r="BJ657" s="4" t="s">
        <v>377</v>
      </c>
      <c r="BK657" s="5" t="s">
        <v>378</v>
      </c>
      <c r="BL657" s="4" t="s">
        <v>261</v>
      </c>
      <c r="BM657" s="4" t="s">
        <v>262</v>
      </c>
      <c r="BN657" s="4" t="s">
        <v>241</v>
      </c>
      <c r="BO657" s="6">
        <f>0</f>
        <v>0</v>
      </c>
      <c r="BP657" s="6">
        <f>0</f>
        <v>0</v>
      </c>
      <c r="BQ657" s="4" t="s">
        <v>263</v>
      </c>
      <c r="BR657" s="4" t="s">
        <v>264</v>
      </c>
      <c r="CF657" s="4" t="s">
        <v>241</v>
      </c>
      <c r="CG657" s="4" t="s">
        <v>241</v>
      </c>
      <c r="CK657" s="4" t="s">
        <v>265</v>
      </c>
      <c r="CL657" s="4" t="s">
        <v>266</v>
      </c>
      <c r="CM657" s="4" t="s">
        <v>241</v>
      </c>
      <c r="CO657" s="4" t="s">
        <v>790</v>
      </c>
      <c r="CP657" s="5" t="s">
        <v>268</v>
      </c>
      <c r="CQ657" s="4" t="s">
        <v>269</v>
      </c>
      <c r="CR657" s="4" t="s">
        <v>270</v>
      </c>
      <c r="CS657" s="4" t="s">
        <v>241</v>
      </c>
      <c r="CT657" s="4" t="s">
        <v>241</v>
      </c>
      <c r="CU657" s="4">
        <v>0</v>
      </c>
      <c r="CV657" s="4" t="s">
        <v>271</v>
      </c>
      <c r="CW657" s="4" t="s">
        <v>411</v>
      </c>
      <c r="CX657" s="4" t="s">
        <v>347</v>
      </c>
      <c r="CZ657" s="6">
        <f t="shared" si="20"/>
        <v>2970000</v>
      </c>
      <c r="DA657" s="6">
        <f>0</f>
        <v>0</v>
      </c>
      <c r="DC657" s="4" t="s">
        <v>241</v>
      </c>
      <c r="DD657" s="4" t="s">
        <v>241</v>
      </c>
      <c r="DF657" s="4" t="s">
        <v>241</v>
      </c>
      <c r="DI657" s="4" t="s">
        <v>241</v>
      </c>
      <c r="DJ657" s="4" t="s">
        <v>241</v>
      </c>
      <c r="DK657" s="4" t="s">
        <v>241</v>
      </c>
      <c r="DL657" s="4" t="s">
        <v>241</v>
      </c>
      <c r="DM657" s="4" t="s">
        <v>277</v>
      </c>
      <c r="DN657" s="4" t="s">
        <v>278</v>
      </c>
      <c r="DO657" s="6">
        <f t="shared" si="21"/>
        <v>29.7</v>
      </c>
      <c r="DP657" s="4" t="s">
        <v>241</v>
      </c>
      <c r="DQ657" s="4" t="s">
        <v>241</v>
      </c>
      <c r="DR657" s="4" t="s">
        <v>241</v>
      </c>
      <c r="DS657" s="4" t="s">
        <v>241</v>
      </c>
      <c r="DV657" s="4" t="s">
        <v>2162</v>
      </c>
      <c r="DW657" s="4" t="s">
        <v>297</v>
      </c>
      <c r="HO657" s="4" t="s">
        <v>277</v>
      </c>
      <c r="HR657" s="4" t="s">
        <v>278</v>
      </c>
      <c r="HS657" s="4" t="s">
        <v>278</v>
      </c>
    </row>
    <row r="658" spans="1:227" x14ac:dyDescent="0.4">
      <c r="A658" s="4">
        <v>2</v>
      </c>
      <c r="B658" s="4" t="s">
        <v>239</v>
      </c>
      <c r="C658" s="4">
        <v>711</v>
      </c>
      <c r="D658" s="4">
        <v>1</v>
      </c>
      <c r="E658" s="4">
        <v>1</v>
      </c>
      <c r="F658" s="4" t="s">
        <v>240</v>
      </c>
      <c r="G658" s="4" t="s">
        <v>241</v>
      </c>
      <c r="H658" s="4" t="s">
        <v>241</v>
      </c>
      <c r="I658" s="4" t="s">
        <v>2159</v>
      </c>
      <c r="J658" s="4" t="s">
        <v>344</v>
      </c>
      <c r="K658" s="4" t="s">
        <v>256</v>
      </c>
      <c r="L658" s="4" t="s">
        <v>2101</v>
      </c>
      <c r="M658" s="5" t="s">
        <v>2161</v>
      </c>
      <c r="N658" s="4" t="s">
        <v>2114</v>
      </c>
      <c r="O658" s="6">
        <f t="shared" si="17"/>
        <v>29.7</v>
      </c>
      <c r="P658" s="4" t="s">
        <v>276</v>
      </c>
      <c r="Q658" s="6">
        <f>1</f>
        <v>1</v>
      </c>
      <c r="R658" s="6">
        <f t="shared" si="18"/>
        <v>2970000</v>
      </c>
      <c r="S658" s="5" t="s">
        <v>2160</v>
      </c>
      <c r="T658" s="4" t="s">
        <v>314</v>
      </c>
      <c r="U658" s="4" t="s">
        <v>791</v>
      </c>
      <c r="W658" s="6">
        <f t="shared" si="19"/>
        <v>2969999</v>
      </c>
      <c r="X658" s="4" t="s">
        <v>243</v>
      </c>
      <c r="Y658" s="4" t="s">
        <v>244</v>
      </c>
      <c r="Z658" s="4" t="s">
        <v>338</v>
      </c>
      <c r="AA658" s="4" t="s">
        <v>241</v>
      </c>
      <c r="AD658" s="4" t="s">
        <v>241</v>
      </c>
      <c r="AF658" s="5" t="s">
        <v>241</v>
      </c>
      <c r="AI658" s="5" t="s">
        <v>249</v>
      </c>
      <c r="AJ658" s="4" t="s">
        <v>251</v>
      </c>
      <c r="AK658" s="4" t="s">
        <v>252</v>
      </c>
      <c r="BA658" s="4" t="s">
        <v>254</v>
      </c>
      <c r="BB658" s="4" t="s">
        <v>241</v>
      </c>
      <c r="BC658" s="4" t="s">
        <v>255</v>
      </c>
      <c r="BD658" s="4" t="s">
        <v>241</v>
      </c>
      <c r="BE658" s="4" t="s">
        <v>257</v>
      </c>
      <c r="BF658" s="4" t="s">
        <v>241</v>
      </c>
      <c r="BJ658" s="4" t="s">
        <v>259</v>
      </c>
      <c r="BK658" s="5" t="s">
        <v>413</v>
      </c>
      <c r="BL658" s="4" t="s">
        <v>261</v>
      </c>
      <c r="BM658" s="4" t="s">
        <v>262</v>
      </c>
      <c r="BN658" s="4" t="s">
        <v>241</v>
      </c>
      <c r="BO658" s="6">
        <f>0</f>
        <v>0</v>
      </c>
      <c r="BP658" s="6">
        <f>0</f>
        <v>0</v>
      </c>
      <c r="BQ658" s="4" t="s">
        <v>263</v>
      </c>
      <c r="BR658" s="4" t="s">
        <v>264</v>
      </c>
      <c r="CF658" s="4" t="s">
        <v>241</v>
      </c>
      <c r="CG658" s="4" t="s">
        <v>241</v>
      </c>
      <c r="CK658" s="4" t="s">
        <v>265</v>
      </c>
      <c r="CL658" s="4" t="s">
        <v>266</v>
      </c>
      <c r="CM658" s="4" t="s">
        <v>241</v>
      </c>
      <c r="CO658" s="4" t="s">
        <v>790</v>
      </c>
      <c r="CP658" s="5" t="s">
        <v>268</v>
      </c>
      <c r="CQ658" s="4" t="s">
        <v>269</v>
      </c>
      <c r="CR658" s="4" t="s">
        <v>270</v>
      </c>
      <c r="CS658" s="4" t="s">
        <v>241</v>
      </c>
      <c r="CT658" s="4" t="s">
        <v>241</v>
      </c>
      <c r="CU658" s="4">
        <v>0</v>
      </c>
      <c r="CV658" s="4" t="s">
        <v>271</v>
      </c>
      <c r="CW658" s="4" t="s">
        <v>411</v>
      </c>
      <c r="CX658" s="4" t="s">
        <v>347</v>
      </c>
      <c r="CZ658" s="6">
        <f t="shared" si="20"/>
        <v>2970000</v>
      </c>
      <c r="DA658" s="6">
        <f>0</f>
        <v>0</v>
      </c>
      <c r="DC658" s="4" t="s">
        <v>241</v>
      </c>
      <c r="DD658" s="4" t="s">
        <v>241</v>
      </c>
      <c r="DF658" s="4" t="s">
        <v>241</v>
      </c>
      <c r="DI658" s="4" t="s">
        <v>241</v>
      </c>
      <c r="DJ658" s="4" t="s">
        <v>241</v>
      </c>
      <c r="DK658" s="4" t="s">
        <v>241</v>
      </c>
      <c r="DL658" s="4" t="s">
        <v>241</v>
      </c>
      <c r="DM658" s="4" t="s">
        <v>277</v>
      </c>
      <c r="DN658" s="4" t="s">
        <v>278</v>
      </c>
      <c r="DO658" s="6">
        <f t="shared" si="21"/>
        <v>29.7</v>
      </c>
      <c r="DP658" s="4" t="s">
        <v>241</v>
      </c>
      <c r="DQ658" s="4" t="s">
        <v>241</v>
      </c>
      <c r="DR658" s="4" t="s">
        <v>241</v>
      </c>
      <c r="DS658" s="4" t="s">
        <v>241</v>
      </c>
      <c r="DV658" s="4" t="s">
        <v>2162</v>
      </c>
      <c r="DW658" s="4" t="s">
        <v>336</v>
      </c>
      <c r="HO658" s="4" t="s">
        <v>277</v>
      </c>
      <c r="HR658" s="4" t="s">
        <v>278</v>
      </c>
      <c r="HS658" s="4" t="s">
        <v>278</v>
      </c>
    </row>
    <row r="659" spans="1:227" x14ac:dyDescent="0.4">
      <c r="A659" s="4">
        <v>2</v>
      </c>
      <c r="B659" s="4" t="s">
        <v>239</v>
      </c>
      <c r="C659" s="4">
        <v>712</v>
      </c>
      <c r="D659" s="4">
        <v>1</v>
      </c>
      <c r="E659" s="4">
        <v>1</v>
      </c>
      <c r="F659" s="4" t="s">
        <v>240</v>
      </c>
      <c r="G659" s="4" t="s">
        <v>241</v>
      </c>
      <c r="H659" s="4" t="s">
        <v>241</v>
      </c>
      <c r="I659" s="4" t="s">
        <v>2159</v>
      </c>
      <c r="J659" s="4" t="s">
        <v>344</v>
      </c>
      <c r="K659" s="4" t="s">
        <v>256</v>
      </c>
      <c r="L659" s="4" t="s">
        <v>2101</v>
      </c>
      <c r="M659" s="5" t="s">
        <v>2161</v>
      </c>
      <c r="N659" s="4" t="s">
        <v>2114</v>
      </c>
      <c r="O659" s="6">
        <f t="shared" si="17"/>
        <v>29.7</v>
      </c>
      <c r="P659" s="4" t="s">
        <v>276</v>
      </c>
      <c r="Q659" s="6">
        <f>1</f>
        <v>1</v>
      </c>
      <c r="R659" s="6">
        <f t="shared" si="18"/>
        <v>2970000</v>
      </c>
      <c r="S659" s="5" t="s">
        <v>2160</v>
      </c>
      <c r="T659" s="4" t="s">
        <v>314</v>
      </c>
      <c r="U659" s="4" t="s">
        <v>791</v>
      </c>
      <c r="W659" s="6">
        <f t="shared" si="19"/>
        <v>2969999</v>
      </c>
      <c r="X659" s="4" t="s">
        <v>243</v>
      </c>
      <c r="Y659" s="4" t="s">
        <v>244</v>
      </c>
      <c r="Z659" s="4" t="s">
        <v>338</v>
      </c>
      <c r="AA659" s="4" t="s">
        <v>241</v>
      </c>
      <c r="AD659" s="4" t="s">
        <v>241</v>
      </c>
      <c r="AF659" s="5" t="s">
        <v>241</v>
      </c>
      <c r="AI659" s="5" t="s">
        <v>249</v>
      </c>
      <c r="AJ659" s="4" t="s">
        <v>251</v>
      </c>
      <c r="AK659" s="4" t="s">
        <v>252</v>
      </c>
      <c r="BA659" s="4" t="s">
        <v>254</v>
      </c>
      <c r="BB659" s="4" t="s">
        <v>241</v>
      </c>
      <c r="BC659" s="4" t="s">
        <v>255</v>
      </c>
      <c r="BD659" s="4" t="s">
        <v>241</v>
      </c>
      <c r="BE659" s="4" t="s">
        <v>257</v>
      </c>
      <c r="BF659" s="4" t="s">
        <v>241</v>
      </c>
      <c r="BJ659" s="4" t="s">
        <v>367</v>
      </c>
      <c r="BK659" s="5" t="s">
        <v>249</v>
      </c>
      <c r="BL659" s="4" t="s">
        <v>261</v>
      </c>
      <c r="BM659" s="4" t="s">
        <v>262</v>
      </c>
      <c r="BN659" s="4" t="s">
        <v>241</v>
      </c>
      <c r="BO659" s="6">
        <f>0</f>
        <v>0</v>
      </c>
      <c r="BP659" s="6">
        <f>0</f>
        <v>0</v>
      </c>
      <c r="BQ659" s="4" t="s">
        <v>263</v>
      </c>
      <c r="BR659" s="4" t="s">
        <v>264</v>
      </c>
      <c r="CF659" s="4" t="s">
        <v>241</v>
      </c>
      <c r="CG659" s="4" t="s">
        <v>241</v>
      </c>
      <c r="CK659" s="4" t="s">
        <v>265</v>
      </c>
      <c r="CL659" s="4" t="s">
        <v>266</v>
      </c>
      <c r="CM659" s="4" t="s">
        <v>241</v>
      </c>
      <c r="CO659" s="4" t="s">
        <v>790</v>
      </c>
      <c r="CP659" s="5" t="s">
        <v>268</v>
      </c>
      <c r="CQ659" s="4" t="s">
        <v>269</v>
      </c>
      <c r="CR659" s="4" t="s">
        <v>270</v>
      </c>
      <c r="CS659" s="4" t="s">
        <v>241</v>
      </c>
      <c r="CT659" s="4" t="s">
        <v>241</v>
      </c>
      <c r="CU659" s="4">
        <v>0</v>
      </c>
      <c r="CV659" s="4" t="s">
        <v>271</v>
      </c>
      <c r="CW659" s="4" t="s">
        <v>411</v>
      </c>
      <c r="CX659" s="4" t="s">
        <v>347</v>
      </c>
      <c r="CZ659" s="6">
        <f t="shared" si="20"/>
        <v>2970000</v>
      </c>
      <c r="DA659" s="6">
        <f>0</f>
        <v>0</v>
      </c>
      <c r="DC659" s="4" t="s">
        <v>241</v>
      </c>
      <c r="DD659" s="4" t="s">
        <v>241</v>
      </c>
      <c r="DF659" s="4" t="s">
        <v>241</v>
      </c>
      <c r="DI659" s="4" t="s">
        <v>241</v>
      </c>
      <c r="DJ659" s="4" t="s">
        <v>241</v>
      </c>
      <c r="DK659" s="4" t="s">
        <v>241</v>
      </c>
      <c r="DL659" s="4" t="s">
        <v>241</v>
      </c>
      <c r="DM659" s="4" t="s">
        <v>277</v>
      </c>
      <c r="DN659" s="4" t="s">
        <v>278</v>
      </c>
      <c r="DO659" s="6">
        <f t="shared" si="21"/>
        <v>29.7</v>
      </c>
      <c r="DP659" s="4" t="s">
        <v>241</v>
      </c>
      <c r="DQ659" s="4" t="s">
        <v>241</v>
      </c>
      <c r="DR659" s="4" t="s">
        <v>241</v>
      </c>
      <c r="DS659" s="4" t="s">
        <v>241</v>
      </c>
      <c r="DV659" s="4" t="s">
        <v>2162</v>
      </c>
      <c r="DW659" s="4" t="s">
        <v>351</v>
      </c>
      <c r="HO659" s="4" t="s">
        <v>277</v>
      </c>
      <c r="HR659" s="4" t="s">
        <v>278</v>
      </c>
      <c r="HS659" s="4" t="s">
        <v>278</v>
      </c>
    </row>
    <row r="660" spans="1:227" x14ac:dyDescent="0.4">
      <c r="A660" s="4">
        <v>2</v>
      </c>
      <c r="B660" s="4" t="s">
        <v>239</v>
      </c>
      <c r="C660" s="4">
        <v>713</v>
      </c>
      <c r="D660" s="4">
        <v>1</v>
      </c>
      <c r="E660" s="4">
        <v>1</v>
      </c>
      <c r="F660" s="4" t="s">
        <v>240</v>
      </c>
      <c r="G660" s="4" t="s">
        <v>241</v>
      </c>
      <c r="H660" s="4" t="s">
        <v>241</v>
      </c>
      <c r="I660" s="4" t="s">
        <v>2159</v>
      </c>
      <c r="J660" s="4" t="s">
        <v>344</v>
      </c>
      <c r="K660" s="4" t="s">
        <v>256</v>
      </c>
      <c r="L660" s="4" t="s">
        <v>2101</v>
      </c>
      <c r="M660" s="5" t="s">
        <v>2161</v>
      </c>
      <c r="N660" s="4" t="s">
        <v>2114</v>
      </c>
      <c r="O660" s="6">
        <f t="shared" si="17"/>
        <v>29.7</v>
      </c>
      <c r="P660" s="4" t="s">
        <v>276</v>
      </c>
      <c r="Q660" s="6">
        <f>1</f>
        <v>1</v>
      </c>
      <c r="R660" s="6">
        <f t="shared" si="18"/>
        <v>2970000</v>
      </c>
      <c r="S660" s="5" t="s">
        <v>2160</v>
      </c>
      <c r="T660" s="4" t="s">
        <v>314</v>
      </c>
      <c r="U660" s="4" t="s">
        <v>791</v>
      </c>
      <c r="W660" s="6">
        <f t="shared" si="19"/>
        <v>2969999</v>
      </c>
      <c r="X660" s="4" t="s">
        <v>243</v>
      </c>
      <c r="Y660" s="4" t="s">
        <v>244</v>
      </c>
      <c r="Z660" s="4" t="s">
        <v>338</v>
      </c>
      <c r="AA660" s="4" t="s">
        <v>241</v>
      </c>
      <c r="AD660" s="4" t="s">
        <v>241</v>
      </c>
      <c r="AF660" s="5" t="s">
        <v>241</v>
      </c>
      <c r="AI660" s="5" t="s">
        <v>249</v>
      </c>
      <c r="AJ660" s="4" t="s">
        <v>251</v>
      </c>
      <c r="AK660" s="4" t="s">
        <v>252</v>
      </c>
      <c r="BA660" s="4" t="s">
        <v>254</v>
      </c>
      <c r="BB660" s="4" t="s">
        <v>241</v>
      </c>
      <c r="BC660" s="4" t="s">
        <v>255</v>
      </c>
      <c r="BD660" s="4" t="s">
        <v>241</v>
      </c>
      <c r="BE660" s="4" t="s">
        <v>257</v>
      </c>
      <c r="BF660" s="4" t="s">
        <v>241</v>
      </c>
      <c r="BJ660" s="4" t="s">
        <v>374</v>
      </c>
      <c r="BK660" s="5" t="s">
        <v>375</v>
      </c>
      <c r="BL660" s="4" t="s">
        <v>261</v>
      </c>
      <c r="BM660" s="4" t="s">
        <v>262</v>
      </c>
      <c r="BN660" s="4" t="s">
        <v>241</v>
      </c>
      <c r="BO660" s="6">
        <f>0</f>
        <v>0</v>
      </c>
      <c r="BP660" s="6">
        <f>0</f>
        <v>0</v>
      </c>
      <c r="BQ660" s="4" t="s">
        <v>263</v>
      </c>
      <c r="BR660" s="4" t="s">
        <v>264</v>
      </c>
      <c r="CF660" s="4" t="s">
        <v>241</v>
      </c>
      <c r="CG660" s="4" t="s">
        <v>241</v>
      </c>
      <c r="CK660" s="4" t="s">
        <v>265</v>
      </c>
      <c r="CL660" s="4" t="s">
        <v>266</v>
      </c>
      <c r="CM660" s="4" t="s">
        <v>241</v>
      </c>
      <c r="CO660" s="4" t="s">
        <v>790</v>
      </c>
      <c r="CP660" s="5" t="s">
        <v>268</v>
      </c>
      <c r="CQ660" s="4" t="s">
        <v>269</v>
      </c>
      <c r="CR660" s="4" t="s">
        <v>270</v>
      </c>
      <c r="CS660" s="4" t="s">
        <v>241</v>
      </c>
      <c r="CT660" s="4" t="s">
        <v>241</v>
      </c>
      <c r="CU660" s="4">
        <v>0</v>
      </c>
      <c r="CV660" s="4" t="s">
        <v>271</v>
      </c>
      <c r="CW660" s="4" t="s">
        <v>411</v>
      </c>
      <c r="CX660" s="4" t="s">
        <v>347</v>
      </c>
      <c r="CZ660" s="6">
        <f t="shared" si="20"/>
        <v>2970000</v>
      </c>
      <c r="DA660" s="6">
        <f>0</f>
        <v>0</v>
      </c>
      <c r="DC660" s="4" t="s">
        <v>241</v>
      </c>
      <c r="DD660" s="4" t="s">
        <v>241</v>
      </c>
      <c r="DF660" s="4" t="s">
        <v>241</v>
      </c>
      <c r="DI660" s="4" t="s">
        <v>241</v>
      </c>
      <c r="DJ660" s="4" t="s">
        <v>241</v>
      </c>
      <c r="DK660" s="4" t="s">
        <v>241</v>
      </c>
      <c r="DL660" s="4" t="s">
        <v>241</v>
      </c>
      <c r="DM660" s="4" t="s">
        <v>277</v>
      </c>
      <c r="DN660" s="4" t="s">
        <v>278</v>
      </c>
      <c r="DO660" s="6">
        <f t="shared" si="21"/>
        <v>29.7</v>
      </c>
      <c r="DP660" s="4" t="s">
        <v>241</v>
      </c>
      <c r="DQ660" s="4" t="s">
        <v>241</v>
      </c>
      <c r="DR660" s="4" t="s">
        <v>241</v>
      </c>
      <c r="DS660" s="4" t="s">
        <v>241</v>
      </c>
      <c r="DV660" s="4" t="s">
        <v>2162</v>
      </c>
      <c r="DW660" s="4" t="s">
        <v>300</v>
      </c>
      <c r="HO660" s="4" t="s">
        <v>277</v>
      </c>
      <c r="HR660" s="4" t="s">
        <v>278</v>
      </c>
      <c r="HS660" s="4" t="s">
        <v>278</v>
      </c>
    </row>
    <row r="661" spans="1:227" x14ac:dyDescent="0.4">
      <c r="A661" s="4">
        <v>2</v>
      </c>
      <c r="B661" s="4" t="s">
        <v>239</v>
      </c>
      <c r="C661" s="4">
        <v>714</v>
      </c>
      <c r="D661" s="4">
        <v>1</v>
      </c>
      <c r="E661" s="4">
        <v>1</v>
      </c>
      <c r="F661" s="4" t="s">
        <v>240</v>
      </c>
      <c r="G661" s="4" t="s">
        <v>241</v>
      </c>
      <c r="H661" s="4" t="s">
        <v>241</v>
      </c>
      <c r="I661" s="4" t="s">
        <v>2159</v>
      </c>
      <c r="J661" s="4" t="s">
        <v>344</v>
      </c>
      <c r="K661" s="4" t="s">
        <v>256</v>
      </c>
      <c r="L661" s="4" t="s">
        <v>2101</v>
      </c>
      <c r="M661" s="5" t="s">
        <v>2161</v>
      </c>
      <c r="N661" s="4" t="s">
        <v>2114</v>
      </c>
      <c r="O661" s="6">
        <f t="shared" si="17"/>
        <v>29.7</v>
      </c>
      <c r="P661" s="4" t="s">
        <v>276</v>
      </c>
      <c r="Q661" s="6">
        <f>1</f>
        <v>1</v>
      </c>
      <c r="R661" s="6">
        <f t="shared" si="18"/>
        <v>2970000</v>
      </c>
      <c r="S661" s="5" t="s">
        <v>2160</v>
      </c>
      <c r="T661" s="4" t="s">
        <v>314</v>
      </c>
      <c r="U661" s="4" t="s">
        <v>791</v>
      </c>
      <c r="W661" s="6">
        <f t="shared" si="19"/>
        <v>2969999</v>
      </c>
      <c r="X661" s="4" t="s">
        <v>243</v>
      </c>
      <c r="Y661" s="4" t="s">
        <v>244</v>
      </c>
      <c r="Z661" s="4" t="s">
        <v>338</v>
      </c>
      <c r="AA661" s="4" t="s">
        <v>241</v>
      </c>
      <c r="AD661" s="4" t="s">
        <v>241</v>
      </c>
      <c r="AF661" s="5" t="s">
        <v>241</v>
      </c>
      <c r="AI661" s="5" t="s">
        <v>249</v>
      </c>
      <c r="AJ661" s="4" t="s">
        <v>251</v>
      </c>
      <c r="AK661" s="4" t="s">
        <v>252</v>
      </c>
      <c r="BA661" s="4" t="s">
        <v>254</v>
      </c>
      <c r="BB661" s="4" t="s">
        <v>241</v>
      </c>
      <c r="BC661" s="4" t="s">
        <v>255</v>
      </c>
      <c r="BD661" s="4" t="s">
        <v>241</v>
      </c>
      <c r="BE661" s="4" t="s">
        <v>257</v>
      </c>
      <c r="BF661" s="4" t="s">
        <v>241</v>
      </c>
      <c r="BJ661" s="4" t="s">
        <v>377</v>
      </c>
      <c r="BK661" s="5" t="s">
        <v>378</v>
      </c>
      <c r="BL661" s="4" t="s">
        <v>261</v>
      </c>
      <c r="BM661" s="4" t="s">
        <v>262</v>
      </c>
      <c r="BN661" s="4" t="s">
        <v>241</v>
      </c>
      <c r="BO661" s="6">
        <f>0</f>
        <v>0</v>
      </c>
      <c r="BP661" s="6">
        <f>0</f>
        <v>0</v>
      </c>
      <c r="BQ661" s="4" t="s">
        <v>263</v>
      </c>
      <c r="BR661" s="4" t="s">
        <v>264</v>
      </c>
      <c r="CF661" s="4" t="s">
        <v>241</v>
      </c>
      <c r="CG661" s="4" t="s">
        <v>241</v>
      </c>
      <c r="CK661" s="4" t="s">
        <v>265</v>
      </c>
      <c r="CL661" s="4" t="s">
        <v>266</v>
      </c>
      <c r="CM661" s="4" t="s">
        <v>241</v>
      </c>
      <c r="CO661" s="4" t="s">
        <v>790</v>
      </c>
      <c r="CP661" s="5" t="s">
        <v>268</v>
      </c>
      <c r="CQ661" s="4" t="s">
        <v>269</v>
      </c>
      <c r="CR661" s="4" t="s">
        <v>270</v>
      </c>
      <c r="CS661" s="4" t="s">
        <v>241</v>
      </c>
      <c r="CT661" s="4" t="s">
        <v>241</v>
      </c>
      <c r="CU661" s="4">
        <v>0</v>
      </c>
      <c r="CV661" s="4" t="s">
        <v>271</v>
      </c>
      <c r="CW661" s="4" t="s">
        <v>411</v>
      </c>
      <c r="CX661" s="4" t="s">
        <v>347</v>
      </c>
      <c r="CZ661" s="6">
        <f t="shared" si="20"/>
        <v>2970000</v>
      </c>
      <c r="DA661" s="6">
        <f>0</f>
        <v>0</v>
      </c>
      <c r="DC661" s="4" t="s">
        <v>241</v>
      </c>
      <c r="DD661" s="4" t="s">
        <v>241</v>
      </c>
      <c r="DF661" s="4" t="s">
        <v>241</v>
      </c>
      <c r="DI661" s="4" t="s">
        <v>241</v>
      </c>
      <c r="DJ661" s="4" t="s">
        <v>241</v>
      </c>
      <c r="DK661" s="4" t="s">
        <v>241</v>
      </c>
      <c r="DL661" s="4" t="s">
        <v>241</v>
      </c>
      <c r="DM661" s="4" t="s">
        <v>277</v>
      </c>
      <c r="DN661" s="4" t="s">
        <v>278</v>
      </c>
      <c r="DO661" s="6">
        <f t="shared" si="21"/>
        <v>29.7</v>
      </c>
      <c r="DP661" s="4" t="s">
        <v>241</v>
      </c>
      <c r="DQ661" s="4" t="s">
        <v>241</v>
      </c>
      <c r="DR661" s="4" t="s">
        <v>241</v>
      </c>
      <c r="DS661" s="4" t="s">
        <v>241</v>
      </c>
      <c r="DV661" s="4" t="s">
        <v>2162</v>
      </c>
      <c r="DW661" s="4" t="s">
        <v>341</v>
      </c>
      <c r="HO661" s="4" t="s">
        <v>277</v>
      </c>
      <c r="HR661" s="4" t="s">
        <v>278</v>
      </c>
      <c r="HS661" s="4" t="s">
        <v>278</v>
      </c>
    </row>
    <row r="662" spans="1:227" x14ac:dyDescent="0.4">
      <c r="A662" s="4">
        <v>2</v>
      </c>
      <c r="B662" s="4" t="s">
        <v>239</v>
      </c>
      <c r="C662" s="4">
        <v>716</v>
      </c>
      <c r="D662" s="4">
        <v>1</v>
      </c>
      <c r="E662" s="4">
        <v>1</v>
      </c>
      <c r="F662" s="4" t="s">
        <v>240</v>
      </c>
      <c r="G662" s="4" t="s">
        <v>241</v>
      </c>
      <c r="H662" s="4" t="s">
        <v>241</v>
      </c>
      <c r="I662" s="4" t="s">
        <v>2197</v>
      </c>
      <c r="J662" s="4" t="s">
        <v>344</v>
      </c>
      <c r="K662" s="4" t="s">
        <v>256</v>
      </c>
      <c r="L662" s="4" t="s">
        <v>2101</v>
      </c>
      <c r="M662" s="5" t="s">
        <v>2199</v>
      </c>
      <c r="N662" s="4" t="s">
        <v>2114</v>
      </c>
      <c r="O662" s="6">
        <f>34.65</f>
        <v>34.65</v>
      </c>
      <c r="P662" s="4" t="s">
        <v>276</v>
      </c>
      <c r="Q662" s="6">
        <f>1</f>
        <v>1</v>
      </c>
      <c r="R662" s="6">
        <f>3465000</f>
        <v>3465000</v>
      </c>
      <c r="S662" s="5" t="s">
        <v>2198</v>
      </c>
      <c r="T662" s="4" t="s">
        <v>314</v>
      </c>
      <c r="U662" s="4" t="s">
        <v>2201</v>
      </c>
      <c r="W662" s="6">
        <f>3464999</f>
        <v>3464999</v>
      </c>
      <c r="X662" s="4" t="s">
        <v>243</v>
      </c>
      <c r="Y662" s="4" t="s">
        <v>244</v>
      </c>
      <c r="Z662" s="4" t="s">
        <v>338</v>
      </c>
      <c r="AA662" s="4" t="s">
        <v>241</v>
      </c>
      <c r="AD662" s="4" t="s">
        <v>241</v>
      </c>
      <c r="AF662" s="5" t="s">
        <v>241</v>
      </c>
      <c r="AI662" s="5" t="s">
        <v>249</v>
      </c>
      <c r="AJ662" s="4" t="s">
        <v>251</v>
      </c>
      <c r="AK662" s="4" t="s">
        <v>252</v>
      </c>
      <c r="BA662" s="4" t="s">
        <v>254</v>
      </c>
      <c r="BB662" s="4" t="s">
        <v>241</v>
      </c>
      <c r="BC662" s="4" t="s">
        <v>255</v>
      </c>
      <c r="BD662" s="4" t="s">
        <v>241</v>
      </c>
      <c r="BE662" s="4" t="s">
        <v>257</v>
      </c>
      <c r="BF662" s="4" t="s">
        <v>241</v>
      </c>
      <c r="BJ662" s="4" t="s">
        <v>367</v>
      </c>
      <c r="BK662" s="5" t="s">
        <v>249</v>
      </c>
      <c r="BL662" s="4" t="s">
        <v>261</v>
      </c>
      <c r="BM662" s="4" t="s">
        <v>262</v>
      </c>
      <c r="BN662" s="4" t="s">
        <v>241</v>
      </c>
      <c r="BO662" s="6">
        <f>0</f>
        <v>0</v>
      </c>
      <c r="BP662" s="6">
        <f>0</f>
        <v>0</v>
      </c>
      <c r="BQ662" s="4" t="s">
        <v>263</v>
      </c>
      <c r="BR662" s="4" t="s">
        <v>264</v>
      </c>
      <c r="CF662" s="4" t="s">
        <v>241</v>
      </c>
      <c r="CG662" s="4" t="s">
        <v>241</v>
      </c>
      <c r="CK662" s="4" t="s">
        <v>265</v>
      </c>
      <c r="CL662" s="4" t="s">
        <v>266</v>
      </c>
      <c r="CM662" s="4" t="s">
        <v>241</v>
      </c>
      <c r="CO662" s="4" t="s">
        <v>2200</v>
      </c>
      <c r="CP662" s="5" t="s">
        <v>268</v>
      </c>
      <c r="CQ662" s="4" t="s">
        <v>269</v>
      </c>
      <c r="CR662" s="4" t="s">
        <v>270</v>
      </c>
      <c r="CS662" s="4" t="s">
        <v>241</v>
      </c>
      <c r="CT662" s="4" t="s">
        <v>241</v>
      </c>
      <c r="CU662" s="4">
        <v>0</v>
      </c>
      <c r="CV662" s="4" t="s">
        <v>271</v>
      </c>
      <c r="CW662" s="4" t="s">
        <v>411</v>
      </c>
      <c r="CX662" s="4" t="s">
        <v>347</v>
      </c>
      <c r="CZ662" s="6">
        <f>3465000</f>
        <v>3465000</v>
      </c>
      <c r="DA662" s="6">
        <f>0</f>
        <v>0</v>
      </c>
      <c r="DC662" s="4" t="s">
        <v>241</v>
      </c>
      <c r="DD662" s="4" t="s">
        <v>241</v>
      </c>
      <c r="DF662" s="4" t="s">
        <v>241</v>
      </c>
      <c r="DI662" s="4" t="s">
        <v>241</v>
      </c>
      <c r="DJ662" s="4" t="s">
        <v>241</v>
      </c>
      <c r="DK662" s="4" t="s">
        <v>241</v>
      </c>
      <c r="DL662" s="4" t="s">
        <v>241</v>
      </c>
      <c r="DM662" s="4" t="s">
        <v>277</v>
      </c>
      <c r="DN662" s="4" t="s">
        <v>278</v>
      </c>
      <c r="DO662" s="6">
        <f>34.65</f>
        <v>34.65</v>
      </c>
      <c r="DP662" s="4" t="s">
        <v>241</v>
      </c>
      <c r="DQ662" s="4" t="s">
        <v>241</v>
      </c>
      <c r="DR662" s="4" t="s">
        <v>241</v>
      </c>
      <c r="DS662" s="4" t="s">
        <v>241</v>
      </c>
      <c r="DV662" s="4" t="s">
        <v>2202</v>
      </c>
      <c r="DW662" s="4" t="s">
        <v>277</v>
      </c>
      <c r="HO662" s="4" t="s">
        <v>277</v>
      </c>
      <c r="HR662" s="4" t="s">
        <v>278</v>
      </c>
      <c r="HS662" s="4" t="s">
        <v>278</v>
      </c>
    </row>
    <row r="663" spans="1:227" x14ac:dyDescent="0.4">
      <c r="A663" s="4">
        <v>2</v>
      </c>
      <c r="B663" s="4" t="s">
        <v>239</v>
      </c>
      <c r="C663" s="4">
        <v>717</v>
      </c>
      <c r="D663" s="4">
        <v>1</v>
      </c>
      <c r="E663" s="4">
        <v>1</v>
      </c>
      <c r="F663" s="4" t="s">
        <v>240</v>
      </c>
      <c r="G663" s="4" t="s">
        <v>241</v>
      </c>
      <c r="H663" s="4" t="s">
        <v>241</v>
      </c>
      <c r="I663" s="4" t="s">
        <v>2197</v>
      </c>
      <c r="J663" s="4" t="s">
        <v>344</v>
      </c>
      <c r="K663" s="4" t="s">
        <v>256</v>
      </c>
      <c r="L663" s="4" t="s">
        <v>2101</v>
      </c>
      <c r="M663" s="5" t="s">
        <v>2199</v>
      </c>
      <c r="N663" s="4" t="s">
        <v>2114</v>
      </c>
      <c r="O663" s="6">
        <f>34.65</f>
        <v>34.65</v>
      </c>
      <c r="P663" s="4" t="s">
        <v>276</v>
      </c>
      <c r="Q663" s="6">
        <f>1</f>
        <v>1</v>
      </c>
      <c r="R663" s="6">
        <f>3465000</f>
        <v>3465000</v>
      </c>
      <c r="S663" s="5" t="s">
        <v>2198</v>
      </c>
      <c r="T663" s="4" t="s">
        <v>314</v>
      </c>
      <c r="U663" s="4" t="s">
        <v>2201</v>
      </c>
      <c r="W663" s="6">
        <f>3464999</f>
        <v>3464999</v>
      </c>
      <c r="X663" s="4" t="s">
        <v>243</v>
      </c>
      <c r="Y663" s="4" t="s">
        <v>244</v>
      </c>
      <c r="Z663" s="4" t="s">
        <v>338</v>
      </c>
      <c r="AA663" s="4" t="s">
        <v>241</v>
      </c>
      <c r="AD663" s="4" t="s">
        <v>241</v>
      </c>
      <c r="AF663" s="5" t="s">
        <v>241</v>
      </c>
      <c r="AI663" s="5" t="s">
        <v>249</v>
      </c>
      <c r="AJ663" s="4" t="s">
        <v>251</v>
      </c>
      <c r="AK663" s="4" t="s">
        <v>252</v>
      </c>
      <c r="BA663" s="4" t="s">
        <v>254</v>
      </c>
      <c r="BB663" s="4" t="s">
        <v>241</v>
      </c>
      <c r="BC663" s="4" t="s">
        <v>255</v>
      </c>
      <c r="BD663" s="4" t="s">
        <v>241</v>
      </c>
      <c r="BE663" s="4" t="s">
        <v>257</v>
      </c>
      <c r="BF663" s="4" t="s">
        <v>241</v>
      </c>
      <c r="BJ663" s="4" t="s">
        <v>367</v>
      </c>
      <c r="BK663" s="5" t="s">
        <v>249</v>
      </c>
      <c r="BL663" s="4" t="s">
        <v>261</v>
      </c>
      <c r="BM663" s="4" t="s">
        <v>262</v>
      </c>
      <c r="BN663" s="4" t="s">
        <v>241</v>
      </c>
      <c r="BO663" s="6">
        <f>0</f>
        <v>0</v>
      </c>
      <c r="BP663" s="6">
        <f>0</f>
        <v>0</v>
      </c>
      <c r="BQ663" s="4" t="s">
        <v>263</v>
      </c>
      <c r="BR663" s="4" t="s">
        <v>264</v>
      </c>
      <c r="CF663" s="4" t="s">
        <v>241</v>
      </c>
      <c r="CG663" s="4" t="s">
        <v>241</v>
      </c>
      <c r="CK663" s="4" t="s">
        <v>265</v>
      </c>
      <c r="CL663" s="4" t="s">
        <v>266</v>
      </c>
      <c r="CM663" s="4" t="s">
        <v>241</v>
      </c>
      <c r="CO663" s="4" t="s">
        <v>2200</v>
      </c>
      <c r="CP663" s="5" t="s">
        <v>268</v>
      </c>
      <c r="CQ663" s="4" t="s">
        <v>269</v>
      </c>
      <c r="CR663" s="4" t="s">
        <v>270</v>
      </c>
      <c r="CS663" s="4" t="s">
        <v>241</v>
      </c>
      <c r="CT663" s="4" t="s">
        <v>241</v>
      </c>
      <c r="CU663" s="4">
        <v>0</v>
      </c>
      <c r="CV663" s="4" t="s">
        <v>271</v>
      </c>
      <c r="CW663" s="4" t="s">
        <v>411</v>
      </c>
      <c r="CX663" s="4" t="s">
        <v>347</v>
      </c>
      <c r="CZ663" s="6">
        <f>3465000</f>
        <v>3465000</v>
      </c>
      <c r="DA663" s="6">
        <f>0</f>
        <v>0</v>
      </c>
      <c r="DC663" s="4" t="s">
        <v>241</v>
      </c>
      <c r="DD663" s="4" t="s">
        <v>241</v>
      </c>
      <c r="DF663" s="4" t="s">
        <v>241</v>
      </c>
      <c r="DI663" s="4" t="s">
        <v>241</v>
      </c>
      <c r="DJ663" s="4" t="s">
        <v>241</v>
      </c>
      <c r="DK663" s="4" t="s">
        <v>241</v>
      </c>
      <c r="DL663" s="4" t="s">
        <v>241</v>
      </c>
      <c r="DM663" s="4" t="s">
        <v>277</v>
      </c>
      <c r="DN663" s="4" t="s">
        <v>278</v>
      </c>
      <c r="DO663" s="6">
        <f>34.65</f>
        <v>34.65</v>
      </c>
      <c r="DP663" s="4" t="s">
        <v>241</v>
      </c>
      <c r="DQ663" s="4" t="s">
        <v>241</v>
      </c>
      <c r="DR663" s="4" t="s">
        <v>241</v>
      </c>
      <c r="DS663" s="4" t="s">
        <v>241</v>
      </c>
      <c r="DV663" s="4" t="s">
        <v>2202</v>
      </c>
      <c r="DW663" s="4" t="s">
        <v>323</v>
      </c>
      <c r="HO663" s="4" t="s">
        <v>277</v>
      </c>
      <c r="HR663" s="4" t="s">
        <v>278</v>
      </c>
      <c r="HS663" s="4" t="s">
        <v>278</v>
      </c>
    </row>
    <row r="664" spans="1:227" x14ac:dyDescent="0.4">
      <c r="A664" s="4">
        <v>2</v>
      </c>
      <c r="B664" s="4" t="s">
        <v>239</v>
      </c>
      <c r="C664" s="4">
        <v>719</v>
      </c>
      <c r="D664" s="4">
        <v>1</v>
      </c>
      <c r="E664" s="4">
        <v>1</v>
      </c>
      <c r="F664" s="4" t="s">
        <v>240</v>
      </c>
      <c r="G664" s="4" t="s">
        <v>241</v>
      </c>
      <c r="H664" s="4" t="s">
        <v>241</v>
      </c>
      <c r="I664" s="4" t="s">
        <v>2197</v>
      </c>
      <c r="J664" s="4" t="s">
        <v>344</v>
      </c>
      <c r="K664" s="4" t="s">
        <v>256</v>
      </c>
      <c r="L664" s="4" t="s">
        <v>2101</v>
      </c>
      <c r="M664" s="5" t="s">
        <v>2199</v>
      </c>
      <c r="N664" s="4" t="s">
        <v>2114</v>
      </c>
      <c r="O664" s="6">
        <f>34.65</f>
        <v>34.65</v>
      </c>
      <c r="P664" s="4" t="s">
        <v>276</v>
      </c>
      <c r="Q664" s="6">
        <f>1</f>
        <v>1</v>
      </c>
      <c r="R664" s="6">
        <f>3465000</f>
        <v>3465000</v>
      </c>
      <c r="S664" s="5" t="s">
        <v>2198</v>
      </c>
      <c r="T664" s="4" t="s">
        <v>314</v>
      </c>
      <c r="U664" s="4" t="s">
        <v>2201</v>
      </c>
      <c r="W664" s="6">
        <f>3464999</f>
        <v>3464999</v>
      </c>
      <c r="X664" s="4" t="s">
        <v>243</v>
      </c>
      <c r="Y664" s="4" t="s">
        <v>244</v>
      </c>
      <c r="Z664" s="4" t="s">
        <v>338</v>
      </c>
      <c r="AA664" s="4" t="s">
        <v>241</v>
      </c>
      <c r="AD664" s="4" t="s">
        <v>241</v>
      </c>
      <c r="AF664" s="5" t="s">
        <v>241</v>
      </c>
      <c r="AI664" s="5" t="s">
        <v>249</v>
      </c>
      <c r="AJ664" s="4" t="s">
        <v>251</v>
      </c>
      <c r="AK664" s="4" t="s">
        <v>252</v>
      </c>
      <c r="BA664" s="4" t="s">
        <v>254</v>
      </c>
      <c r="BB664" s="4" t="s">
        <v>241</v>
      </c>
      <c r="BC664" s="4" t="s">
        <v>255</v>
      </c>
      <c r="BD664" s="4" t="s">
        <v>241</v>
      </c>
      <c r="BE664" s="4" t="s">
        <v>257</v>
      </c>
      <c r="BF664" s="4" t="s">
        <v>241</v>
      </c>
      <c r="BJ664" s="4" t="s">
        <v>377</v>
      </c>
      <c r="BK664" s="5" t="s">
        <v>378</v>
      </c>
      <c r="BL664" s="4" t="s">
        <v>261</v>
      </c>
      <c r="BM664" s="4" t="s">
        <v>262</v>
      </c>
      <c r="BN664" s="4" t="s">
        <v>241</v>
      </c>
      <c r="BO664" s="6">
        <f>0</f>
        <v>0</v>
      </c>
      <c r="BP664" s="6">
        <f>0</f>
        <v>0</v>
      </c>
      <c r="BQ664" s="4" t="s">
        <v>263</v>
      </c>
      <c r="BR664" s="4" t="s">
        <v>264</v>
      </c>
      <c r="CF664" s="4" t="s">
        <v>241</v>
      </c>
      <c r="CG664" s="4" t="s">
        <v>241</v>
      </c>
      <c r="CK664" s="4" t="s">
        <v>265</v>
      </c>
      <c r="CL664" s="4" t="s">
        <v>266</v>
      </c>
      <c r="CM664" s="4" t="s">
        <v>241</v>
      </c>
      <c r="CO664" s="4" t="s">
        <v>2200</v>
      </c>
      <c r="CP664" s="5" t="s">
        <v>268</v>
      </c>
      <c r="CQ664" s="4" t="s">
        <v>269</v>
      </c>
      <c r="CR664" s="4" t="s">
        <v>270</v>
      </c>
      <c r="CS664" s="4" t="s">
        <v>241</v>
      </c>
      <c r="CT664" s="4" t="s">
        <v>241</v>
      </c>
      <c r="CU664" s="4">
        <v>0</v>
      </c>
      <c r="CV664" s="4" t="s">
        <v>271</v>
      </c>
      <c r="CW664" s="4" t="s">
        <v>411</v>
      </c>
      <c r="CX664" s="4" t="s">
        <v>347</v>
      </c>
      <c r="CZ664" s="6">
        <f>3465000</f>
        <v>3465000</v>
      </c>
      <c r="DA664" s="6">
        <f>0</f>
        <v>0</v>
      </c>
      <c r="DC664" s="4" t="s">
        <v>241</v>
      </c>
      <c r="DD664" s="4" t="s">
        <v>241</v>
      </c>
      <c r="DF664" s="4" t="s">
        <v>241</v>
      </c>
      <c r="DI664" s="4" t="s">
        <v>241</v>
      </c>
      <c r="DJ664" s="4" t="s">
        <v>241</v>
      </c>
      <c r="DK664" s="4" t="s">
        <v>241</v>
      </c>
      <c r="DL664" s="4" t="s">
        <v>241</v>
      </c>
      <c r="DM664" s="4" t="s">
        <v>277</v>
      </c>
      <c r="DN664" s="4" t="s">
        <v>278</v>
      </c>
      <c r="DO664" s="6">
        <f>34.65</f>
        <v>34.65</v>
      </c>
      <c r="DP664" s="4" t="s">
        <v>241</v>
      </c>
      <c r="DQ664" s="4" t="s">
        <v>241</v>
      </c>
      <c r="DR664" s="4" t="s">
        <v>241</v>
      </c>
      <c r="DS664" s="4" t="s">
        <v>241</v>
      </c>
      <c r="DV664" s="4" t="s">
        <v>2202</v>
      </c>
      <c r="DW664" s="4" t="s">
        <v>336</v>
      </c>
      <c r="HO664" s="4" t="s">
        <v>277</v>
      </c>
      <c r="HR664" s="4" t="s">
        <v>278</v>
      </c>
      <c r="HS664" s="4" t="s">
        <v>278</v>
      </c>
    </row>
    <row r="665" spans="1:227" x14ac:dyDescent="0.4">
      <c r="A665" s="4">
        <v>2</v>
      </c>
      <c r="B665" s="4" t="s">
        <v>239</v>
      </c>
      <c r="C665" s="4">
        <v>720</v>
      </c>
      <c r="D665" s="4">
        <v>1</v>
      </c>
      <c r="E665" s="4">
        <v>1</v>
      </c>
      <c r="F665" s="4" t="s">
        <v>240</v>
      </c>
      <c r="G665" s="4" t="s">
        <v>241</v>
      </c>
      <c r="H665" s="4" t="s">
        <v>241</v>
      </c>
      <c r="I665" s="4" t="s">
        <v>2197</v>
      </c>
      <c r="J665" s="4" t="s">
        <v>344</v>
      </c>
      <c r="K665" s="4" t="s">
        <v>256</v>
      </c>
      <c r="L665" s="4" t="s">
        <v>2101</v>
      </c>
      <c r="M665" s="5" t="s">
        <v>2199</v>
      </c>
      <c r="N665" s="4" t="s">
        <v>2114</v>
      </c>
      <c r="O665" s="6">
        <f>34.65</f>
        <v>34.65</v>
      </c>
      <c r="P665" s="4" t="s">
        <v>276</v>
      </c>
      <c r="Q665" s="6">
        <f>1</f>
        <v>1</v>
      </c>
      <c r="R665" s="6">
        <f>3465000</f>
        <v>3465000</v>
      </c>
      <c r="S665" s="5" t="s">
        <v>2198</v>
      </c>
      <c r="T665" s="4" t="s">
        <v>314</v>
      </c>
      <c r="U665" s="4" t="s">
        <v>2201</v>
      </c>
      <c r="W665" s="6">
        <f>3464999</f>
        <v>3464999</v>
      </c>
      <c r="X665" s="4" t="s">
        <v>243</v>
      </c>
      <c r="Y665" s="4" t="s">
        <v>244</v>
      </c>
      <c r="Z665" s="4" t="s">
        <v>338</v>
      </c>
      <c r="AA665" s="4" t="s">
        <v>241</v>
      </c>
      <c r="AD665" s="4" t="s">
        <v>241</v>
      </c>
      <c r="AF665" s="5" t="s">
        <v>241</v>
      </c>
      <c r="AI665" s="5" t="s">
        <v>249</v>
      </c>
      <c r="AJ665" s="4" t="s">
        <v>251</v>
      </c>
      <c r="AK665" s="4" t="s">
        <v>252</v>
      </c>
      <c r="BA665" s="4" t="s">
        <v>254</v>
      </c>
      <c r="BB665" s="4" t="s">
        <v>241</v>
      </c>
      <c r="BC665" s="4" t="s">
        <v>255</v>
      </c>
      <c r="BD665" s="4" t="s">
        <v>241</v>
      </c>
      <c r="BE665" s="4" t="s">
        <v>257</v>
      </c>
      <c r="BF665" s="4" t="s">
        <v>241</v>
      </c>
      <c r="BJ665" s="4" t="s">
        <v>259</v>
      </c>
      <c r="BK665" s="5" t="s">
        <v>260</v>
      </c>
      <c r="BL665" s="4" t="s">
        <v>261</v>
      </c>
      <c r="BM665" s="4" t="s">
        <v>262</v>
      </c>
      <c r="BN665" s="4" t="s">
        <v>241</v>
      </c>
      <c r="BO665" s="6">
        <f>0</f>
        <v>0</v>
      </c>
      <c r="BP665" s="6">
        <f>0</f>
        <v>0</v>
      </c>
      <c r="BQ665" s="4" t="s">
        <v>263</v>
      </c>
      <c r="BR665" s="4" t="s">
        <v>264</v>
      </c>
      <c r="CF665" s="4" t="s">
        <v>241</v>
      </c>
      <c r="CG665" s="4" t="s">
        <v>241</v>
      </c>
      <c r="CK665" s="4" t="s">
        <v>265</v>
      </c>
      <c r="CL665" s="4" t="s">
        <v>266</v>
      </c>
      <c r="CM665" s="4" t="s">
        <v>241</v>
      </c>
      <c r="CO665" s="4" t="s">
        <v>2200</v>
      </c>
      <c r="CP665" s="5" t="s">
        <v>268</v>
      </c>
      <c r="CQ665" s="4" t="s">
        <v>269</v>
      </c>
      <c r="CR665" s="4" t="s">
        <v>270</v>
      </c>
      <c r="CS665" s="4" t="s">
        <v>241</v>
      </c>
      <c r="CT665" s="4" t="s">
        <v>241</v>
      </c>
      <c r="CU665" s="4">
        <v>0</v>
      </c>
      <c r="CV665" s="4" t="s">
        <v>271</v>
      </c>
      <c r="CW665" s="4" t="s">
        <v>411</v>
      </c>
      <c r="CX665" s="4" t="s">
        <v>347</v>
      </c>
      <c r="CZ665" s="6">
        <f>3465000</f>
        <v>3465000</v>
      </c>
      <c r="DA665" s="6">
        <f>0</f>
        <v>0</v>
      </c>
      <c r="DC665" s="4" t="s">
        <v>241</v>
      </c>
      <c r="DD665" s="4" t="s">
        <v>241</v>
      </c>
      <c r="DF665" s="4" t="s">
        <v>241</v>
      </c>
      <c r="DI665" s="4" t="s">
        <v>241</v>
      </c>
      <c r="DJ665" s="4" t="s">
        <v>241</v>
      </c>
      <c r="DK665" s="4" t="s">
        <v>241</v>
      </c>
      <c r="DL665" s="4" t="s">
        <v>241</v>
      </c>
      <c r="DM665" s="4" t="s">
        <v>277</v>
      </c>
      <c r="DN665" s="4" t="s">
        <v>278</v>
      </c>
      <c r="DO665" s="6">
        <f>34.65</f>
        <v>34.65</v>
      </c>
      <c r="DP665" s="4" t="s">
        <v>241</v>
      </c>
      <c r="DQ665" s="4" t="s">
        <v>241</v>
      </c>
      <c r="DR665" s="4" t="s">
        <v>241</v>
      </c>
      <c r="DS665" s="4" t="s">
        <v>241</v>
      </c>
      <c r="DV665" s="4" t="s">
        <v>2202</v>
      </c>
      <c r="DW665" s="4" t="s">
        <v>351</v>
      </c>
      <c r="HO665" s="4" t="s">
        <v>277</v>
      </c>
      <c r="HR665" s="4" t="s">
        <v>278</v>
      </c>
      <c r="HS665" s="4" t="s">
        <v>278</v>
      </c>
    </row>
    <row r="666" spans="1:227" x14ac:dyDescent="0.4">
      <c r="A666" s="4">
        <v>2</v>
      </c>
      <c r="B666" s="4" t="s">
        <v>239</v>
      </c>
      <c r="C666" s="4">
        <v>721</v>
      </c>
      <c r="D666" s="4">
        <v>1</v>
      </c>
      <c r="E666" s="4">
        <v>1</v>
      </c>
      <c r="F666" s="4" t="s">
        <v>240</v>
      </c>
      <c r="G666" s="4" t="s">
        <v>241</v>
      </c>
      <c r="H666" s="4" t="s">
        <v>241</v>
      </c>
      <c r="I666" s="4" t="s">
        <v>2197</v>
      </c>
      <c r="J666" s="4" t="s">
        <v>344</v>
      </c>
      <c r="K666" s="4" t="s">
        <v>256</v>
      </c>
      <c r="L666" s="4" t="s">
        <v>2101</v>
      </c>
      <c r="M666" s="5" t="s">
        <v>2199</v>
      </c>
      <c r="N666" s="4" t="s">
        <v>2114</v>
      </c>
      <c r="O666" s="6">
        <f>28.05</f>
        <v>28.05</v>
      </c>
      <c r="P666" s="4" t="s">
        <v>276</v>
      </c>
      <c r="Q666" s="6">
        <f>1</f>
        <v>1</v>
      </c>
      <c r="R666" s="6">
        <f>2805000</f>
        <v>2805000</v>
      </c>
      <c r="S666" s="5" t="s">
        <v>2198</v>
      </c>
      <c r="T666" s="4" t="s">
        <v>314</v>
      </c>
      <c r="U666" s="4" t="s">
        <v>2201</v>
      </c>
      <c r="W666" s="6">
        <f>2804999</f>
        <v>2804999</v>
      </c>
      <c r="X666" s="4" t="s">
        <v>243</v>
      </c>
      <c r="Y666" s="4" t="s">
        <v>244</v>
      </c>
      <c r="Z666" s="4" t="s">
        <v>338</v>
      </c>
      <c r="AA666" s="4" t="s">
        <v>241</v>
      </c>
      <c r="AD666" s="4" t="s">
        <v>241</v>
      </c>
      <c r="AF666" s="5" t="s">
        <v>241</v>
      </c>
      <c r="AI666" s="5" t="s">
        <v>249</v>
      </c>
      <c r="AJ666" s="4" t="s">
        <v>251</v>
      </c>
      <c r="AK666" s="4" t="s">
        <v>252</v>
      </c>
      <c r="BA666" s="4" t="s">
        <v>254</v>
      </c>
      <c r="BB666" s="4" t="s">
        <v>241</v>
      </c>
      <c r="BC666" s="4" t="s">
        <v>255</v>
      </c>
      <c r="BD666" s="4" t="s">
        <v>241</v>
      </c>
      <c r="BE666" s="4" t="s">
        <v>257</v>
      </c>
      <c r="BF666" s="4" t="s">
        <v>241</v>
      </c>
      <c r="BJ666" s="4" t="s">
        <v>367</v>
      </c>
      <c r="BK666" s="5" t="s">
        <v>249</v>
      </c>
      <c r="BL666" s="4" t="s">
        <v>261</v>
      </c>
      <c r="BM666" s="4" t="s">
        <v>262</v>
      </c>
      <c r="BN666" s="4" t="s">
        <v>241</v>
      </c>
      <c r="BO666" s="6">
        <f>0</f>
        <v>0</v>
      </c>
      <c r="BP666" s="6">
        <f>0</f>
        <v>0</v>
      </c>
      <c r="BQ666" s="4" t="s">
        <v>263</v>
      </c>
      <c r="BR666" s="4" t="s">
        <v>264</v>
      </c>
      <c r="CF666" s="4" t="s">
        <v>241</v>
      </c>
      <c r="CG666" s="4" t="s">
        <v>241</v>
      </c>
      <c r="CK666" s="4" t="s">
        <v>265</v>
      </c>
      <c r="CL666" s="4" t="s">
        <v>266</v>
      </c>
      <c r="CM666" s="4" t="s">
        <v>241</v>
      </c>
      <c r="CO666" s="4" t="s">
        <v>2200</v>
      </c>
      <c r="CP666" s="5" t="s">
        <v>268</v>
      </c>
      <c r="CQ666" s="4" t="s">
        <v>269</v>
      </c>
      <c r="CR666" s="4" t="s">
        <v>270</v>
      </c>
      <c r="CS666" s="4" t="s">
        <v>241</v>
      </c>
      <c r="CT666" s="4" t="s">
        <v>241</v>
      </c>
      <c r="CU666" s="4">
        <v>0</v>
      </c>
      <c r="CV666" s="4" t="s">
        <v>271</v>
      </c>
      <c r="CW666" s="4" t="s">
        <v>411</v>
      </c>
      <c r="CX666" s="4" t="s">
        <v>347</v>
      </c>
      <c r="CZ666" s="6">
        <f>2805000</f>
        <v>2805000</v>
      </c>
      <c r="DA666" s="6">
        <f>0</f>
        <v>0</v>
      </c>
      <c r="DC666" s="4" t="s">
        <v>241</v>
      </c>
      <c r="DD666" s="4" t="s">
        <v>241</v>
      </c>
      <c r="DF666" s="4" t="s">
        <v>241</v>
      </c>
      <c r="DI666" s="4" t="s">
        <v>241</v>
      </c>
      <c r="DJ666" s="4" t="s">
        <v>241</v>
      </c>
      <c r="DK666" s="4" t="s">
        <v>241</v>
      </c>
      <c r="DL666" s="4" t="s">
        <v>241</v>
      </c>
      <c r="DM666" s="4" t="s">
        <v>277</v>
      </c>
      <c r="DN666" s="4" t="s">
        <v>278</v>
      </c>
      <c r="DO666" s="6">
        <f>28.05</f>
        <v>28.05</v>
      </c>
      <c r="DP666" s="4" t="s">
        <v>241</v>
      </c>
      <c r="DQ666" s="4" t="s">
        <v>241</v>
      </c>
      <c r="DR666" s="4" t="s">
        <v>241</v>
      </c>
      <c r="DS666" s="4" t="s">
        <v>241</v>
      </c>
      <c r="DV666" s="4" t="s">
        <v>2202</v>
      </c>
      <c r="DW666" s="4" t="s">
        <v>300</v>
      </c>
      <c r="HO666" s="4" t="s">
        <v>277</v>
      </c>
      <c r="HR666" s="4" t="s">
        <v>278</v>
      </c>
      <c r="HS666" s="4" t="s">
        <v>278</v>
      </c>
    </row>
    <row r="667" spans="1:227" x14ac:dyDescent="0.4">
      <c r="A667" s="4">
        <v>2</v>
      </c>
      <c r="B667" s="4" t="s">
        <v>239</v>
      </c>
      <c r="C667" s="4">
        <v>722</v>
      </c>
      <c r="D667" s="4">
        <v>1</v>
      </c>
      <c r="E667" s="4">
        <v>1</v>
      </c>
      <c r="F667" s="4" t="s">
        <v>240</v>
      </c>
      <c r="G667" s="4" t="s">
        <v>241</v>
      </c>
      <c r="H667" s="4" t="s">
        <v>241</v>
      </c>
      <c r="I667" s="4" t="s">
        <v>2197</v>
      </c>
      <c r="J667" s="4" t="s">
        <v>344</v>
      </c>
      <c r="K667" s="4" t="s">
        <v>256</v>
      </c>
      <c r="L667" s="4" t="s">
        <v>2101</v>
      </c>
      <c r="M667" s="5" t="s">
        <v>2199</v>
      </c>
      <c r="N667" s="4" t="s">
        <v>2114</v>
      </c>
      <c r="O667" s="6">
        <f>28.05</f>
        <v>28.05</v>
      </c>
      <c r="P667" s="4" t="s">
        <v>276</v>
      </c>
      <c r="Q667" s="6">
        <f>1</f>
        <v>1</v>
      </c>
      <c r="R667" s="6">
        <f>2805000</f>
        <v>2805000</v>
      </c>
      <c r="S667" s="5" t="s">
        <v>2198</v>
      </c>
      <c r="T667" s="4" t="s">
        <v>314</v>
      </c>
      <c r="U667" s="4" t="s">
        <v>2201</v>
      </c>
      <c r="W667" s="6">
        <f>2804999</f>
        <v>2804999</v>
      </c>
      <c r="X667" s="4" t="s">
        <v>243</v>
      </c>
      <c r="Y667" s="4" t="s">
        <v>244</v>
      </c>
      <c r="Z667" s="4" t="s">
        <v>338</v>
      </c>
      <c r="AA667" s="4" t="s">
        <v>241</v>
      </c>
      <c r="AD667" s="4" t="s">
        <v>241</v>
      </c>
      <c r="AF667" s="5" t="s">
        <v>241</v>
      </c>
      <c r="AI667" s="5" t="s">
        <v>249</v>
      </c>
      <c r="AJ667" s="4" t="s">
        <v>251</v>
      </c>
      <c r="AK667" s="4" t="s">
        <v>252</v>
      </c>
      <c r="BA667" s="4" t="s">
        <v>254</v>
      </c>
      <c r="BB667" s="4" t="s">
        <v>241</v>
      </c>
      <c r="BC667" s="4" t="s">
        <v>255</v>
      </c>
      <c r="BD667" s="4" t="s">
        <v>241</v>
      </c>
      <c r="BE667" s="4" t="s">
        <v>257</v>
      </c>
      <c r="BF667" s="4" t="s">
        <v>241</v>
      </c>
      <c r="BJ667" s="4" t="s">
        <v>374</v>
      </c>
      <c r="BK667" s="5" t="s">
        <v>375</v>
      </c>
      <c r="BL667" s="4" t="s">
        <v>261</v>
      </c>
      <c r="BM667" s="4" t="s">
        <v>262</v>
      </c>
      <c r="BN667" s="4" t="s">
        <v>241</v>
      </c>
      <c r="BO667" s="6">
        <f>0</f>
        <v>0</v>
      </c>
      <c r="BP667" s="6">
        <f>0</f>
        <v>0</v>
      </c>
      <c r="BQ667" s="4" t="s">
        <v>263</v>
      </c>
      <c r="BR667" s="4" t="s">
        <v>264</v>
      </c>
      <c r="CF667" s="4" t="s">
        <v>241</v>
      </c>
      <c r="CG667" s="4" t="s">
        <v>241</v>
      </c>
      <c r="CK667" s="4" t="s">
        <v>265</v>
      </c>
      <c r="CL667" s="4" t="s">
        <v>266</v>
      </c>
      <c r="CM667" s="4" t="s">
        <v>241</v>
      </c>
      <c r="CO667" s="4" t="s">
        <v>2200</v>
      </c>
      <c r="CP667" s="5" t="s">
        <v>268</v>
      </c>
      <c r="CQ667" s="4" t="s">
        <v>269</v>
      </c>
      <c r="CR667" s="4" t="s">
        <v>270</v>
      </c>
      <c r="CS667" s="4" t="s">
        <v>241</v>
      </c>
      <c r="CT667" s="4" t="s">
        <v>241</v>
      </c>
      <c r="CU667" s="4">
        <v>0</v>
      </c>
      <c r="CV667" s="4" t="s">
        <v>271</v>
      </c>
      <c r="CW667" s="4" t="s">
        <v>411</v>
      </c>
      <c r="CX667" s="4" t="s">
        <v>347</v>
      </c>
      <c r="CZ667" s="6">
        <f>2805000</f>
        <v>2805000</v>
      </c>
      <c r="DA667" s="6">
        <f>0</f>
        <v>0</v>
      </c>
      <c r="DC667" s="4" t="s">
        <v>241</v>
      </c>
      <c r="DD667" s="4" t="s">
        <v>241</v>
      </c>
      <c r="DF667" s="4" t="s">
        <v>241</v>
      </c>
      <c r="DI667" s="4" t="s">
        <v>241</v>
      </c>
      <c r="DJ667" s="4" t="s">
        <v>241</v>
      </c>
      <c r="DK667" s="4" t="s">
        <v>241</v>
      </c>
      <c r="DL667" s="4" t="s">
        <v>241</v>
      </c>
      <c r="DM667" s="4" t="s">
        <v>277</v>
      </c>
      <c r="DN667" s="4" t="s">
        <v>278</v>
      </c>
      <c r="DO667" s="6">
        <f>28.05</f>
        <v>28.05</v>
      </c>
      <c r="DP667" s="4" t="s">
        <v>241</v>
      </c>
      <c r="DQ667" s="4" t="s">
        <v>241</v>
      </c>
      <c r="DR667" s="4" t="s">
        <v>241</v>
      </c>
      <c r="DS667" s="4" t="s">
        <v>241</v>
      </c>
      <c r="DV667" s="4" t="s">
        <v>2202</v>
      </c>
      <c r="DW667" s="4" t="s">
        <v>341</v>
      </c>
      <c r="HO667" s="4" t="s">
        <v>277</v>
      </c>
      <c r="HR667" s="4" t="s">
        <v>278</v>
      </c>
      <c r="HS667" s="4" t="s">
        <v>278</v>
      </c>
    </row>
    <row r="668" spans="1:227" x14ac:dyDescent="0.4">
      <c r="A668" s="4">
        <v>2</v>
      </c>
      <c r="B668" s="4" t="s">
        <v>239</v>
      </c>
      <c r="C668" s="4">
        <v>723</v>
      </c>
      <c r="D668" s="4">
        <v>1</v>
      </c>
      <c r="E668" s="4">
        <v>1</v>
      </c>
      <c r="F668" s="4" t="s">
        <v>240</v>
      </c>
      <c r="G668" s="4" t="s">
        <v>241</v>
      </c>
      <c r="H668" s="4" t="s">
        <v>241</v>
      </c>
      <c r="I668" s="4" t="s">
        <v>2197</v>
      </c>
      <c r="J668" s="4" t="s">
        <v>344</v>
      </c>
      <c r="K668" s="4" t="s">
        <v>256</v>
      </c>
      <c r="L668" s="4" t="s">
        <v>2101</v>
      </c>
      <c r="M668" s="5" t="s">
        <v>2199</v>
      </c>
      <c r="N668" s="4" t="s">
        <v>2114</v>
      </c>
      <c r="O668" s="6">
        <f>28.44</f>
        <v>28.44</v>
      </c>
      <c r="P668" s="4" t="s">
        <v>276</v>
      </c>
      <c r="Q668" s="6">
        <f>1</f>
        <v>1</v>
      </c>
      <c r="R668" s="6">
        <f>2844000</f>
        <v>2844000</v>
      </c>
      <c r="S668" s="5" t="s">
        <v>2209</v>
      </c>
      <c r="T668" s="4" t="s">
        <v>314</v>
      </c>
      <c r="U668" s="4" t="s">
        <v>2171</v>
      </c>
      <c r="W668" s="6">
        <f>2843999</f>
        <v>2843999</v>
      </c>
      <c r="X668" s="4" t="s">
        <v>243</v>
      </c>
      <c r="Y668" s="4" t="s">
        <v>244</v>
      </c>
      <c r="Z668" s="4" t="s">
        <v>338</v>
      </c>
      <c r="AA668" s="4" t="s">
        <v>241</v>
      </c>
      <c r="AD668" s="4" t="s">
        <v>241</v>
      </c>
      <c r="AF668" s="5" t="s">
        <v>241</v>
      </c>
      <c r="AI668" s="5" t="s">
        <v>249</v>
      </c>
      <c r="AJ668" s="4" t="s">
        <v>251</v>
      </c>
      <c r="AK668" s="4" t="s">
        <v>252</v>
      </c>
      <c r="BA668" s="4" t="s">
        <v>254</v>
      </c>
      <c r="BB668" s="4" t="s">
        <v>241</v>
      </c>
      <c r="BC668" s="4" t="s">
        <v>255</v>
      </c>
      <c r="BD668" s="4" t="s">
        <v>241</v>
      </c>
      <c r="BE668" s="4" t="s">
        <v>257</v>
      </c>
      <c r="BF668" s="4" t="s">
        <v>241</v>
      </c>
      <c r="BJ668" s="4" t="s">
        <v>377</v>
      </c>
      <c r="BK668" s="5" t="s">
        <v>378</v>
      </c>
      <c r="BL668" s="4" t="s">
        <v>261</v>
      </c>
      <c r="BM668" s="4" t="s">
        <v>262</v>
      </c>
      <c r="BN668" s="4" t="s">
        <v>241</v>
      </c>
      <c r="BO668" s="6">
        <f>0</f>
        <v>0</v>
      </c>
      <c r="BP668" s="6">
        <f>0</f>
        <v>0</v>
      </c>
      <c r="BQ668" s="4" t="s">
        <v>263</v>
      </c>
      <c r="BR668" s="4" t="s">
        <v>264</v>
      </c>
      <c r="CF668" s="4" t="s">
        <v>241</v>
      </c>
      <c r="CG668" s="4" t="s">
        <v>241</v>
      </c>
      <c r="CK668" s="4" t="s">
        <v>265</v>
      </c>
      <c r="CL668" s="4" t="s">
        <v>266</v>
      </c>
      <c r="CM668" s="4" t="s">
        <v>241</v>
      </c>
      <c r="CO668" s="4" t="s">
        <v>2210</v>
      </c>
      <c r="CP668" s="5" t="s">
        <v>268</v>
      </c>
      <c r="CQ668" s="4" t="s">
        <v>269</v>
      </c>
      <c r="CR668" s="4" t="s">
        <v>270</v>
      </c>
      <c r="CS668" s="4" t="s">
        <v>241</v>
      </c>
      <c r="CT668" s="4" t="s">
        <v>241</v>
      </c>
      <c r="CU668" s="4">
        <v>0</v>
      </c>
      <c r="CV668" s="4" t="s">
        <v>271</v>
      </c>
      <c r="CW668" s="4" t="s">
        <v>411</v>
      </c>
      <c r="CX668" s="4" t="s">
        <v>347</v>
      </c>
      <c r="CZ668" s="6">
        <f>2844000</f>
        <v>2844000</v>
      </c>
      <c r="DA668" s="6">
        <f>0</f>
        <v>0</v>
      </c>
      <c r="DC668" s="4" t="s">
        <v>241</v>
      </c>
      <c r="DD668" s="4" t="s">
        <v>241</v>
      </c>
      <c r="DF668" s="4" t="s">
        <v>241</v>
      </c>
      <c r="DI668" s="4" t="s">
        <v>241</v>
      </c>
      <c r="DJ668" s="4" t="s">
        <v>241</v>
      </c>
      <c r="DK668" s="4" t="s">
        <v>241</v>
      </c>
      <c r="DL668" s="4" t="s">
        <v>241</v>
      </c>
      <c r="DM668" s="4" t="s">
        <v>277</v>
      </c>
      <c r="DN668" s="4" t="s">
        <v>278</v>
      </c>
      <c r="DO668" s="6">
        <f>28.44</f>
        <v>28.44</v>
      </c>
      <c r="DP668" s="4" t="s">
        <v>241</v>
      </c>
      <c r="DQ668" s="4" t="s">
        <v>241</v>
      </c>
      <c r="DR668" s="4" t="s">
        <v>241</v>
      </c>
      <c r="DS668" s="4" t="s">
        <v>241</v>
      </c>
      <c r="DV668" s="4" t="s">
        <v>2202</v>
      </c>
      <c r="DW668" s="4" t="s">
        <v>343</v>
      </c>
      <c r="HO668" s="4" t="s">
        <v>277</v>
      </c>
      <c r="HR668" s="4" t="s">
        <v>278</v>
      </c>
      <c r="HS668" s="4" t="s">
        <v>278</v>
      </c>
    </row>
    <row r="669" spans="1:227" x14ac:dyDescent="0.4">
      <c r="A669" s="4">
        <v>2</v>
      </c>
      <c r="B669" s="4" t="s">
        <v>239</v>
      </c>
      <c r="C669" s="4">
        <v>724</v>
      </c>
      <c r="D669" s="4">
        <v>1</v>
      </c>
      <c r="E669" s="4">
        <v>1</v>
      </c>
      <c r="F669" s="4" t="s">
        <v>240</v>
      </c>
      <c r="G669" s="4" t="s">
        <v>241</v>
      </c>
      <c r="H669" s="4" t="s">
        <v>241</v>
      </c>
      <c r="I669" s="4" t="s">
        <v>2197</v>
      </c>
      <c r="J669" s="4" t="s">
        <v>344</v>
      </c>
      <c r="K669" s="4" t="s">
        <v>256</v>
      </c>
      <c r="L669" s="4" t="s">
        <v>2101</v>
      </c>
      <c r="M669" s="5" t="s">
        <v>2199</v>
      </c>
      <c r="N669" s="4" t="s">
        <v>2114</v>
      </c>
      <c r="O669" s="6">
        <f>28.44</f>
        <v>28.44</v>
      </c>
      <c r="P669" s="4" t="s">
        <v>276</v>
      </c>
      <c r="Q669" s="6">
        <f>1</f>
        <v>1</v>
      </c>
      <c r="R669" s="6">
        <f>2844000</f>
        <v>2844000</v>
      </c>
      <c r="S669" s="5" t="s">
        <v>2209</v>
      </c>
      <c r="T669" s="4" t="s">
        <v>314</v>
      </c>
      <c r="U669" s="4" t="s">
        <v>2171</v>
      </c>
      <c r="W669" s="6">
        <f>2843999</f>
        <v>2843999</v>
      </c>
      <c r="X669" s="4" t="s">
        <v>243</v>
      </c>
      <c r="Y669" s="4" t="s">
        <v>244</v>
      </c>
      <c r="Z669" s="4" t="s">
        <v>338</v>
      </c>
      <c r="AA669" s="4" t="s">
        <v>241</v>
      </c>
      <c r="AD669" s="4" t="s">
        <v>241</v>
      </c>
      <c r="AF669" s="5" t="s">
        <v>241</v>
      </c>
      <c r="AI669" s="5" t="s">
        <v>249</v>
      </c>
      <c r="AJ669" s="4" t="s">
        <v>251</v>
      </c>
      <c r="AK669" s="4" t="s">
        <v>252</v>
      </c>
      <c r="BA669" s="4" t="s">
        <v>254</v>
      </c>
      <c r="BB669" s="4" t="s">
        <v>241</v>
      </c>
      <c r="BC669" s="4" t="s">
        <v>255</v>
      </c>
      <c r="BD669" s="4" t="s">
        <v>241</v>
      </c>
      <c r="BE669" s="4" t="s">
        <v>257</v>
      </c>
      <c r="BF669" s="4" t="s">
        <v>241</v>
      </c>
      <c r="BJ669" s="4" t="s">
        <v>259</v>
      </c>
      <c r="BK669" s="5" t="s">
        <v>260</v>
      </c>
      <c r="BL669" s="4" t="s">
        <v>261</v>
      </c>
      <c r="BM669" s="4" t="s">
        <v>262</v>
      </c>
      <c r="BN669" s="4" t="s">
        <v>241</v>
      </c>
      <c r="BO669" s="6">
        <f>0</f>
        <v>0</v>
      </c>
      <c r="BP669" s="6">
        <f>0</f>
        <v>0</v>
      </c>
      <c r="BQ669" s="4" t="s">
        <v>263</v>
      </c>
      <c r="BR669" s="4" t="s">
        <v>264</v>
      </c>
      <c r="CF669" s="4" t="s">
        <v>241</v>
      </c>
      <c r="CG669" s="4" t="s">
        <v>241</v>
      </c>
      <c r="CK669" s="4" t="s">
        <v>265</v>
      </c>
      <c r="CL669" s="4" t="s">
        <v>266</v>
      </c>
      <c r="CM669" s="4" t="s">
        <v>241</v>
      </c>
      <c r="CO669" s="4" t="s">
        <v>2210</v>
      </c>
      <c r="CP669" s="5" t="s">
        <v>268</v>
      </c>
      <c r="CQ669" s="4" t="s">
        <v>269</v>
      </c>
      <c r="CR669" s="4" t="s">
        <v>270</v>
      </c>
      <c r="CS669" s="4" t="s">
        <v>241</v>
      </c>
      <c r="CT669" s="4" t="s">
        <v>241</v>
      </c>
      <c r="CU669" s="4">
        <v>0</v>
      </c>
      <c r="CV669" s="4" t="s">
        <v>271</v>
      </c>
      <c r="CW669" s="4" t="s">
        <v>411</v>
      </c>
      <c r="CX669" s="4" t="s">
        <v>347</v>
      </c>
      <c r="CZ669" s="6">
        <f>2844000</f>
        <v>2844000</v>
      </c>
      <c r="DA669" s="6">
        <f>0</f>
        <v>0</v>
      </c>
      <c r="DC669" s="4" t="s">
        <v>241</v>
      </c>
      <c r="DD669" s="4" t="s">
        <v>241</v>
      </c>
      <c r="DF669" s="4" t="s">
        <v>241</v>
      </c>
      <c r="DI669" s="4" t="s">
        <v>241</v>
      </c>
      <c r="DJ669" s="4" t="s">
        <v>241</v>
      </c>
      <c r="DK669" s="4" t="s">
        <v>241</v>
      </c>
      <c r="DL669" s="4" t="s">
        <v>241</v>
      </c>
      <c r="DM669" s="4" t="s">
        <v>277</v>
      </c>
      <c r="DN669" s="4" t="s">
        <v>278</v>
      </c>
      <c r="DO669" s="6">
        <f>28.44</f>
        <v>28.44</v>
      </c>
      <c r="DP669" s="4" t="s">
        <v>241</v>
      </c>
      <c r="DQ669" s="4" t="s">
        <v>241</v>
      </c>
      <c r="DR669" s="4" t="s">
        <v>241</v>
      </c>
      <c r="DS669" s="4" t="s">
        <v>241</v>
      </c>
      <c r="DV669" s="4" t="s">
        <v>2202</v>
      </c>
      <c r="DW669" s="4" t="s">
        <v>417</v>
      </c>
      <c r="HO669" s="4" t="s">
        <v>277</v>
      </c>
      <c r="HR669" s="4" t="s">
        <v>278</v>
      </c>
      <c r="HS669" s="4" t="s">
        <v>278</v>
      </c>
    </row>
    <row r="670" spans="1:227" x14ac:dyDescent="0.4">
      <c r="A670" s="4">
        <v>2</v>
      </c>
      <c r="B670" s="4" t="s">
        <v>239</v>
      </c>
      <c r="C670" s="4">
        <v>725</v>
      </c>
      <c r="D670" s="4">
        <v>1</v>
      </c>
      <c r="E670" s="4">
        <v>1</v>
      </c>
      <c r="F670" s="4" t="s">
        <v>240</v>
      </c>
      <c r="G670" s="4" t="s">
        <v>241</v>
      </c>
      <c r="H670" s="4" t="s">
        <v>241</v>
      </c>
      <c r="I670" s="4" t="s">
        <v>2211</v>
      </c>
      <c r="J670" s="4" t="s">
        <v>344</v>
      </c>
      <c r="K670" s="4" t="s">
        <v>256</v>
      </c>
      <c r="L670" s="4" t="s">
        <v>2101</v>
      </c>
      <c r="M670" s="5" t="s">
        <v>2213</v>
      </c>
      <c r="N670" s="4" t="s">
        <v>2114</v>
      </c>
      <c r="O670" s="6">
        <f>36.3</f>
        <v>36.299999999999997</v>
      </c>
      <c r="P670" s="4" t="s">
        <v>276</v>
      </c>
      <c r="Q670" s="6">
        <f>1</f>
        <v>1</v>
      </c>
      <c r="R670" s="6">
        <f>3630000</f>
        <v>3630000</v>
      </c>
      <c r="S670" s="5" t="s">
        <v>2212</v>
      </c>
      <c r="T670" s="4" t="s">
        <v>314</v>
      </c>
      <c r="U670" s="4" t="s">
        <v>2215</v>
      </c>
      <c r="W670" s="6">
        <f>3629999</f>
        <v>3629999</v>
      </c>
      <c r="X670" s="4" t="s">
        <v>243</v>
      </c>
      <c r="Y670" s="4" t="s">
        <v>244</v>
      </c>
      <c r="Z670" s="4" t="s">
        <v>338</v>
      </c>
      <c r="AA670" s="4" t="s">
        <v>241</v>
      </c>
      <c r="AD670" s="4" t="s">
        <v>241</v>
      </c>
      <c r="AF670" s="5" t="s">
        <v>241</v>
      </c>
      <c r="AI670" s="5" t="s">
        <v>249</v>
      </c>
      <c r="AJ670" s="4" t="s">
        <v>251</v>
      </c>
      <c r="AK670" s="4" t="s">
        <v>252</v>
      </c>
      <c r="BA670" s="4" t="s">
        <v>254</v>
      </c>
      <c r="BB670" s="4" t="s">
        <v>241</v>
      </c>
      <c r="BC670" s="4" t="s">
        <v>255</v>
      </c>
      <c r="BD670" s="4" t="s">
        <v>241</v>
      </c>
      <c r="BE670" s="4" t="s">
        <v>257</v>
      </c>
      <c r="BF670" s="4" t="s">
        <v>241</v>
      </c>
      <c r="BJ670" s="4" t="s">
        <v>367</v>
      </c>
      <c r="BK670" s="5" t="s">
        <v>249</v>
      </c>
      <c r="BL670" s="4" t="s">
        <v>261</v>
      </c>
      <c r="BM670" s="4" t="s">
        <v>262</v>
      </c>
      <c r="BN670" s="4" t="s">
        <v>241</v>
      </c>
      <c r="BO670" s="6">
        <f>0</f>
        <v>0</v>
      </c>
      <c r="BP670" s="6">
        <f>0</f>
        <v>0</v>
      </c>
      <c r="BQ670" s="4" t="s">
        <v>263</v>
      </c>
      <c r="BR670" s="4" t="s">
        <v>264</v>
      </c>
      <c r="CF670" s="4" t="s">
        <v>241</v>
      </c>
      <c r="CG670" s="4" t="s">
        <v>241</v>
      </c>
      <c r="CK670" s="4" t="s">
        <v>265</v>
      </c>
      <c r="CL670" s="4" t="s">
        <v>266</v>
      </c>
      <c r="CM670" s="4" t="s">
        <v>241</v>
      </c>
      <c r="CO670" s="4" t="s">
        <v>2214</v>
      </c>
      <c r="CP670" s="5" t="s">
        <v>268</v>
      </c>
      <c r="CQ670" s="4" t="s">
        <v>269</v>
      </c>
      <c r="CR670" s="4" t="s">
        <v>270</v>
      </c>
      <c r="CS670" s="4" t="s">
        <v>241</v>
      </c>
      <c r="CT670" s="4" t="s">
        <v>241</v>
      </c>
      <c r="CU670" s="4">
        <v>0</v>
      </c>
      <c r="CV670" s="4" t="s">
        <v>271</v>
      </c>
      <c r="CW670" s="4" t="s">
        <v>411</v>
      </c>
      <c r="CX670" s="4" t="s">
        <v>347</v>
      </c>
      <c r="CZ670" s="6">
        <f>3630000</f>
        <v>3630000</v>
      </c>
      <c r="DA670" s="6">
        <f>0</f>
        <v>0</v>
      </c>
      <c r="DC670" s="4" t="s">
        <v>241</v>
      </c>
      <c r="DD670" s="4" t="s">
        <v>241</v>
      </c>
      <c r="DF670" s="4" t="s">
        <v>241</v>
      </c>
      <c r="DI670" s="4" t="s">
        <v>241</v>
      </c>
      <c r="DJ670" s="4" t="s">
        <v>241</v>
      </c>
      <c r="DK670" s="4" t="s">
        <v>241</v>
      </c>
      <c r="DL670" s="4" t="s">
        <v>241</v>
      </c>
      <c r="DM670" s="4" t="s">
        <v>277</v>
      </c>
      <c r="DN670" s="4" t="s">
        <v>278</v>
      </c>
      <c r="DO670" s="6">
        <f>36.3</f>
        <v>36.299999999999997</v>
      </c>
      <c r="DP670" s="4" t="s">
        <v>241</v>
      </c>
      <c r="DQ670" s="4" t="s">
        <v>241</v>
      </c>
      <c r="DR670" s="4" t="s">
        <v>241</v>
      </c>
      <c r="DS670" s="4" t="s">
        <v>241</v>
      </c>
      <c r="DV670" s="4" t="s">
        <v>2216</v>
      </c>
      <c r="DW670" s="4" t="s">
        <v>277</v>
      </c>
      <c r="HO670" s="4" t="s">
        <v>277</v>
      </c>
      <c r="HR670" s="4" t="s">
        <v>278</v>
      </c>
      <c r="HS670" s="4" t="s">
        <v>278</v>
      </c>
    </row>
    <row r="671" spans="1:227" x14ac:dyDescent="0.4">
      <c r="A671" s="4">
        <v>2</v>
      </c>
      <c r="B671" s="4" t="s">
        <v>239</v>
      </c>
      <c r="C671" s="4">
        <v>726</v>
      </c>
      <c r="D671" s="4">
        <v>1</v>
      </c>
      <c r="E671" s="4">
        <v>1</v>
      </c>
      <c r="F671" s="4" t="s">
        <v>240</v>
      </c>
      <c r="G671" s="4" t="s">
        <v>241</v>
      </c>
      <c r="H671" s="4" t="s">
        <v>241</v>
      </c>
      <c r="I671" s="4" t="s">
        <v>2211</v>
      </c>
      <c r="J671" s="4" t="s">
        <v>344</v>
      </c>
      <c r="K671" s="4" t="s">
        <v>256</v>
      </c>
      <c r="L671" s="4" t="s">
        <v>2101</v>
      </c>
      <c r="M671" s="5" t="s">
        <v>2213</v>
      </c>
      <c r="N671" s="4" t="s">
        <v>2114</v>
      </c>
      <c r="O671" s="6">
        <f>36.3</f>
        <v>36.299999999999997</v>
      </c>
      <c r="P671" s="4" t="s">
        <v>276</v>
      </c>
      <c r="Q671" s="6">
        <f>1</f>
        <v>1</v>
      </c>
      <c r="R671" s="6">
        <f>3630000</f>
        <v>3630000</v>
      </c>
      <c r="S671" s="5" t="s">
        <v>2212</v>
      </c>
      <c r="T671" s="4" t="s">
        <v>314</v>
      </c>
      <c r="U671" s="4" t="s">
        <v>2215</v>
      </c>
      <c r="W671" s="6">
        <f>3629999</f>
        <v>3629999</v>
      </c>
      <c r="X671" s="4" t="s">
        <v>243</v>
      </c>
      <c r="Y671" s="4" t="s">
        <v>244</v>
      </c>
      <c r="Z671" s="4" t="s">
        <v>338</v>
      </c>
      <c r="AA671" s="4" t="s">
        <v>241</v>
      </c>
      <c r="AD671" s="4" t="s">
        <v>241</v>
      </c>
      <c r="AF671" s="5" t="s">
        <v>241</v>
      </c>
      <c r="AI671" s="5" t="s">
        <v>249</v>
      </c>
      <c r="AJ671" s="4" t="s">
        <v>251</v>
      </c>
      <c r="AK671" s="4" t="s">
        <v>252</v>
      </c>
      <c r="BA671" s="4" t="s">
        <v>254</v>
      </c>
      <c r="BB671" s="4" t="s">
        <v>241</v>
      </c>
      <c r="BC671" s="4" t="s">
        <v>255</v>
      </c>
      <c r="BD671" s="4" t="s">
        <v>241</v>
      </c>
      <c r="BE671" s="4" t="s">
        <v>257</v>
      </c>
      <c r="BF671" s="4" t="s">
        <v>241</v>
      </c>
      <c r="BJ671" s="4" t="s">
        <v>367</v>
      </c>
      <c r="BK671" s="5" t="s">
        <v>249</v>
      </c>
      <c r="BL671" s="4" t="s">
        <v>261</v>
      </c>
      <c r="BM671" s="4" t="s">
        <v>262</v>
      </c>
      <c r="BN671" s="4" t="s">
        <v>241</v>
      </c>
      <c r="BO671" s="6">
        <f>0</f>
        <v>0</v>
      </c>
      <c r="BP671" s="6">
        <f>0</f>
        <v>0</v>
      </c>
      <c r="BQ671" s="4" t="s">
        <v>263</v>
      </c>
      <c r="BR671" s="4" t="s">
        <v>264</v>
      </c>
      <c r="CF671" s="4" t="s">
        <v>241</v>
      </c>
      <c r="CG671" s="4" t="s">
        <v>241</v>
      </c>
      <c r="CK671" s="4" t="s">
        <v>265</v>
      </c>
      <c r="CL671" s="4" t="s">
        <v>266</v>
      </c>
      <c r="CM671" s="4" t="s">
        <v>241</v>
      </c>
      <c r="CO671" s="4" t="s">
        <v>2214</v>
      </c>
      <c r="CP671" s="5" t="s">
        <v>268</v>
      </c>
      <c r="CQ671" s="4" t="s">
        <v>269</v>
      </c>
      <c r="CR671" s="4" t="s">
        <v>270</v>
      </c>
      <c r="CS671" s="4" t="s">
        <v>241</v>
      </c>
      <c r="CT671" s="4" t="s">
        <v>241</v>
      </c>
      <c r="CU671" s="4">
        <v>0</v>
      </c>
      <c r="CV671" s="4" t="s">
        <v>271</v>
      </c>
      <c r="CW671" s="4" t="s">
        <v>411</v>
      </c>
      <c r="CX671" s="4" t="s">
        <v>347</v>
      </c>
      <c r="CZ671" s="6">
        <f>3630000</f>
        <v>3630000</v>
      </c>
      <c r="DA671" s="6">
        <f>0</f>
        <v>0</v>
      </c>
      <c r="DC671" s="4" t="s">
        <v>241</v>
      </c>
      <c r="DD671" s="4" t="s">
        <v>241</v>
      </c>
      <c r="DF671" s="4" t="s">
        <v>241</v>
      </c>
      <c r="DI671" s="4" t="s">
        <v>241</v>
      </c>
      <c r="DJ671" s="4" t="s">
        <v>241</v>
      </c>
      <c r="DK671" s="4" t="s">
        <v>241</v>
      </c>
      <c r="DL671" s="4" t="s">
        <v>241</v>
      </c>
      <c r="DM671" s="4" t="s">
        <v>277</v>
      </c>
      <c r="DN671" s="4" t="s">
        <v>278</v>
      </c>
      <c r="DO671" s="6">
        <f>36.3</f>
        <v>36.299999999999997</v>
      </c>
      <c r="DP671" s="4" t="s">
        <v>241</v>
      </c>
      <c r="DQ671" s="4" t="s">
        <v>241</v>
      </c>
      <c r="DR671" s="4" t="s">
        <v>241</v>
      </c>
      <c r="DS671" s="4" t="s">
        <v>241</v>
      </c>
      <c r="DV671" s="4" t="s">
        <v>2216</v>
      </c>
      <c r="DW671" s="4" t="s">
        <v>323</v>
      </c>
      <c r="HO671" s="4" t="s">
        <v>277</v>
      </c>
      <c r="HR671" s="4" t="s">
        <v>278</v>
      </c>
      <c r="HS671" s="4" t="s">
        <v>278</v>
      </c>
    </row>
    <row r="672" spans="1:227" x14ac:dyDescent="0.4">
      <c r="A672" s="4">
        <v>2</v>
      </c>
      <c r="B672" s="4" t="s">
        <v>239</v>
      </c>
      <c r="C672" s="4">
        <v>727</v>
      </c>
      <c r="D672" s="4">
        <v>1</v>
      </c>
      <c r="E672" s="4">
        <v>1</v>
      </c>
      <c r="F672" s="4" t="s">
        <v>240</v>
      </c>
      <c r="G672" s="4" t="s">
        <v>241</v>
      </c>
      <c r="H672" s="4" t="s">
        <v>241</v>
      </c>
      <c r="I672" s="4" t="s">
        <v>2211</v>
      </c>
      <c r="J672" s="4" t="s">
        <v>344</v>
      </c>
      <c r="K672" s="4" t="s">
        <v>256</v>
      </c>
      <c r="L672" s="4" t="s">
        <v>2101</v>
      </c>
      <c r="M672" s="5" t="s">
        <v>2213</v>
      </c>
      <c r="N672" s="4" t="s">
        <v>2114</v>
      </c>
      <c r="O672" s="6">
        <f>36.3</f>
        <v>36.299999999999997</v>
      </c>
      <c r="P672" s="4" t="s">
        <v>276</v>
      </c>
      <c r="Q672" s="6">
        <f>1</f>
        <v>1</v>
      </c>
      <c r="R672" s="6">
        <f>3630000</f>
        <v>3630000</v>
      </c>
      <c r="S672" s="5" t="s">
        <v>2212</v>
      </c>
      <c r="T672" s="4" t="s">
        <v>314</v>
      </c>
      <c r="U672" s="4" t="s">
        <v>2215</v>
      </c>
      <c r="W672" s="6">
        <f>3629999</f>
        <v>3629999</v>
      </c>
      <c r="X672" s="4" t="s">
        <v>243</v>
      </c>
      <c r="Y672" s="4" t="s">
        <v>244</v>
      </c>
      <c r="Z672" s="4" t="s">
        <v>338</v>
      </c>
      <c r="AA672" s="4" t="s">
        <v>241</v>
      </c>
      <c r="AD672" s="4" t="s">
        <v>241</v>
      </c>
      <c r="AF672" s="5" t="s">
        <v>241</v>
      </c>
      <c r="AI672" s="5" t="s">
        <v>249</v>
      </c>
      <c r="AJ672" s="4" t="s">
        <v>251</v>
      </c>
      <c r="AK672" s="4" t="s">
        <v>252</v>
      </c>
      <c r="BA672" s="4" t="s">
        <v>254</v>
      </c>
      <c r="BB672" s="4" t="s">
        <v>241</v>
      </c>
      <c r="BC672" s="4" t="s">
        <v>255</v>
      </c>
      <c r="BD672" s="4" t="s">
        <v>241</v>
      </c>
      <c r="BE672" s="4" t="s">
        <v>257</v>
      </c>
      <c r="BF672" s="4" t="s">
        <v>241</v>
      </c>
      <c r="BJ672" s="4" t="s">
        <v>374</v>
      </c>
      <c r="BK672" s="5" t="s">
        <v>375</v>
      </c>
      <c r="BL672" s="4" t="s">
        <v>261</v>
      </c>
      <c r="BM672" s="4" t="s">
        <v>262</v>
      </c>
      <c r="BN672" s="4" t="s">
        <v>241</v>
      </c>
      <c r="BO672" s="6">
        <f>0</f>
        <v>0</v>
      </c>
      <c r="BP672" s="6">
        <f>0</f>
        <v>0</v>
      </c>
      <c r="BQ672" s="4" t="s">
        <v>263</v>
      </c>
      <c r="BR672" s="4" t="s">
        <v>264</v>
      </c>
      <c r="CF672" s="4" t="s">
        <v>241</v>
      </c>
      <c r="CG672" s="4" t="s">
        <v>241</v>
      </c>
      <c r="CK672" s="4" t="s">
        <v>265</v>
      </c>
      <c r="CL672" s="4" t="s">
        <v>266</v>
      </c>
      <c r="CM672" s="4" t="s">
        <v>241</v>
      </c>
      <c r="CO672" s="4" t="s">
        <v>2214</v>
      </c>
      <c r="CP672" s="5" t="s">
        <v>268</v>
      </c>
      <c r="CQ672" s="4" t="s">
        <v>269</v>
      </c>
      <c r="CR672" s="4" t="s">
        <v>270</v>
      </c>
      <c r="CS672" s="4" t="s">
        <v>241</v>
      </c>
      <c r="CT672" s="4" t="s">
        <v>241</v>
      </c>
      <c r="CU672" s="4">
        <v>0</v>
      </c>
      <c r="CV672" s="4" t="s">
        <v>271</v>
      </c>
      <c r="CW672" s="4" t="s">
        <v>411</v>
      </c>
      <c r="CX672" s="4" t="s">
        <v>347</v>
      </c>
      <c r="CZ672" s="6">
        <f>3630000</f>
        <v>3630000</v>
      </c>
      <c r="DA672" s="6">
        <f>0</f>
        <v>0</v>
      </c>
      <c r="DC672" s="4" t="s">
        <v>241</v>
      </c>
      <c r="DD672" s="4" t="s">
        <v>241</v>
      </c>
      <c r="DF672" s="4" t="s">
        <v>241</v>
      </c>
      <c r="DI672" s="4" t="s">
        <v>241</v>
      </c>
      <c r="DJ672" s="4" t="s">
        <v>241</v>
      </c>
      <c r="DK672" s="4" t="s">
        <v>241</v>
      </c>
      <c r="DL672" s="4" t="s">
        <v>241</v>
      </c>
      <c r="DM672" s="4" t="s">
        <v>277</v>
      </c>
      <c r="DN672" s="4" t="s">
        <v>278</v>
      </c>
      <c r="DO672" s="6">
        <f>36.3</f>
        <v>36.299999999999997</v>
      </c>
      <c r="DP672" s="4" t="s">
        <v>241</v>
      </c>
      <c r="DQ672" s="4" t="s">
        <v>241</v>
      </c>
      <c r="DR672" s="4" t="s">
        <v>241</v>
      </c>
      <c r="DS672" s="4" t="s">
        <v>241</v>
      </c>
      <c r="DV672" s="4" t="s">
        <v>2216</v>
      </c>
      <c r="DW672" s="4" t="s">
        <v>297</v>
      </c>
      <c r="HO672" s="4" t="s">
        <v>277</v>
      </c>
      <c r="HR672" s="4" t="s">
        <v>278</v>
      </c>
      <c r="HS672" s="4" t="s">
        <v>278</v>
      </c>
    </row>
    <row r="673" spans="1:240" x14ac:dyDescent="0.4">
      <c r="A673" s="4">
        <v>2</v>
      </c>
      <c r="B673" s="4" t="s">
        <v>239</v>
      </c>
      <c r="C673" s="4">
        <v>729</v>
      </c>
      <c r="D673" s="4">
        <v>1</v>
      </c>
      <c r="E673" s="4">
        <v>1</v>
      </c>
      <c r="F673" s="4" t="s">
        <v>240</v>
      </c>
      <c r="G673" s="4" t="s">
        <v>241</v>
      </c>
      <c r="H673" s="4" t="s">
        <v>241</v>
      </c>
      <c r="I673" s="4" t="s">
        <v>2211</v>
      </c>
      <c r="J673" s="4" t="s">
        <v>344</v>
      </c>
      <c r="K673" s="4" t="s">
        <v>256</v>
      </c>
      <c r="L673" s="4" t="s">
        <v>2101</v>
      </c>
      <c r="M673" s="5" t="s">
        <v>2213</v>
      </c>
      <c r="N673" s="4" t="s">
        <v>2114</v>
      </c>
      <c r="O673" s="6">
        <f>36.3</f>
        <v>36.299999999999997</v>
      </c>
      <c r="P673" s="4" t="s">
        <v>276</v>
      </c>
      <c r="Q673" s="6">
        <f>1</f>
        <v>1</v>
      </c>
      <c r="R673" s="6">
        <f>3630000</f>
        <v>3630000</v>
      </c>
      <c r="S673" s="5" t="s">
        <v>2212</v>
      </c>
      <c r="T673" s="4" t="s">
        <v>314</v>
      </c>
      <c r="U673" s="4" t="s">
        <v>2215</v>
      </c>
      <c r="W673" s="6">
        <f>3629999</f>
        <v>3629999</v>
      </c>
      <c r="X673" s="4" t="s">
        <v>243</v>
      </c>
      <c r="Y673" s="4" t="s">
        <v>244</v>
      </c>
      <c r="Z673" s="4" t="s">
        <v>338</v>
      </c>
      <c r="AA673" s="4" t="s">
        <v>241</v>
      </c>
      <c r="AD673" s="4" t="s">
        <v>241</v>
      </c>
      <c r="AF673" s="5" t="s">
        <v>241</v>
      </c>
      <c r="AI673" s="5" t="s">
        <v>249</v>
      </c>
      <c r="AJ673" s="4" t="s">
        <v>251</v>
      </c>
      <c r="AK673" s="4" t="s">
        <v>252</v>
      </c>
      <c r="BA673" s="4" t="s">
        <v>254</v>
      </c>
      <c r="BB673" s="4" t="s">
        <v>241</v>
      </c>
      <c r="BC673" s="4" t="s">
        <v>255</v>
      </c>
      <c r="BD673" s="4" t="s">
        <v>241</v>
      </c>
      <c r="BE673" s="4" t="s">
        <v>257</v>
      </c>
      <c r="BF673" s="4" t="s">
        <v>241</v>
      </c>
      <c r="BJ673" s="4" t="s">
        <v>367</v>
      </c>
      <c r="BK673" s="5" t="s">
        <v>249</v>
      </c>
      <c r="BL673" s="4" t="s">
        <v>261</v>
      </c>
      <c r="BM673" s="4" t="s">
        <v>262</v>
      </c>
      <c r="BN673" s="4" t="s">
        <v>241</v>
      </c>
      <c r="BO673" s="6">
        <f>0</f>
        <v>0</v>
      </c>
      <c r="BP673" s="6">
        <f>0</f>
        <v>0</v>
      </c>
      <c r="BQ673" s="4" t="s">
        <v>263</v>
      </c>
      <c r="BR673" s="4" t="s">
        <v>264</v>
      </c>
      <c r="CF673" s="4" t="s">
        <v>241</v>
      </c>
      <c r="CG673" s="4" t="s">
        <v>241</v>
      </c>
      <c r="CK673" s="4" t="s">
        <v>265</v>
      </c>
      <c r="CL673" s="4" t="s">
        <v>266</v>
      </c>
      <c r="CM673" s="4" t="s">
        <v>241</v>
      </c>
      <c r="CO673" s="4" t="s">
        <v>2214</v>
      </c>
      <c r="CP673" s="5" t="s">
        <v>268</v>
      </c>
      <c r="CQ673" s="4" t="s">
        <v>269</v>
      </c>
      <c r="CR673" s="4" t="s">
        <v>270</v>
      </c>
      <c r="CS673" s="4" t="s">
        <v>241</v>
      </c>
      <c r="CT673" s="4" t="s">
        <v>241</v>
      </c>
      <c r="CU673" s="4">
        <v>0</v>
      </c>
      <c r="CV673" s="4" t="s">
        <v>271</v>
      </c>
      <c r="CW673" s="4" t="s">
        <v>411</v>
      </c>
      <c r="CX673" s="4" t="s">
        <v>347</v>
      </c>
      <c r="CZ673" s="6">
        <f>3630000</f>
        <v>3630000</v>
      </c>
      <c r="DA673" s="6">
        <f>0</f>
        <v>0</v>
      </c>
      <c r="DC673" s="4" t="s">
        <v>241</v>
      </c>
      <c r="DD673" s="4" t="s">
        <v>241</v>
      </c>
      <c r="DF673" s="4" t="s">
        <v>241</v>
      </c>
      <c r="DI673" s="4" t="s">
        <v>241</v>
      </c>
      <c r="DJ673" s="4" t="s">
        <v>241</v>
      </c>
      <c r="DK673" s="4" t="s">
        <v>241</v>
      </c>
      <c r="DL673" s="4" t="s">
        <v>241</v>
      </c>
      <c r="DM673" s="4" t="s">
        <v>277</v>
      </c>
      <c r="DN673" s="4" t="s">
        <v>278</v>
      </c>
      <c r="DO673" s="6">
        <f>36.3</f>
        <v>36.299999999999997</v>
      </c>
      <c r="DP673" s="4" t="s">
        <v>241</v>
      </c>
      <c r="DQ673" s="4" t="s">
        <v>241</v>
      </c>
      <c r="DR673" s="4" t="s">
        <v>241</v>
      </c>
      <c r="DS673" s="4" t="s">
        <v>241</v>
      </c>
      <c r="DV673" s="4" t="s">
        <v>2216</v>
      </c>
      <c r="DW673" s="4" t="s">
        <v>351</v>
      </c>
      <c r="HO673" s="4" t="s">
        <v>277</v>
      </c>
      <c r="HR673" s="4" t="s">
        <v>278</v>
      </c>
      <c r="HS673" s="4" t="s">
        <v>278</v>
      </c>
    </row>
    <row r="674" spans="1:240" x14ac:dyDescent="0.4">
      <c r="A674" s="4">
        <v>2</v>
      </c>
      <c r="B674" s="4" t="s">
        <v>239</v>
      </c>
      <c r="C674" s="4">
        <v>731</v>
      </c>
      <c r="D674" s="4">
        <v>1</v>
      </c>
      <c r="E674" s="4">
        <v>1</v>
      </c>
      <c r="F674" s="4" t="s">
        <v>240</v>
      </c>
      <c r="G674" s="4" t="s">
        <v>241</v>
      </c>
      <c r="H674" s="4" t="s">
        <v>241</v>
      </c>
      <c r="I674" s="4" t="s">
        <v>2163</v>
      </c>
      <c r="J674" s="4" t="s">
        <v>344</v>
      </c>
      <c r="K674" s="4" t="s">
        <v>256</v>
      </c>
      <c r="L674" s="4" t="s">
        <v>2101</v>
      </c>
      <c r="M674" s="5" t="s">
        <v>2165</v>
      </c>
      <c r="N674" s="4" t="s">
        <v>2109</v>
      </c>
      <c r="O674" s="6">
        <f>63.18</f>
        <v>63.18</v>
      </c>
      <c r="P674" s="4" t="s">
        <v>276</v>
      </c>
      <c r="Q674" s="6">
        <f>1</f>
        <v>1</v>
      </c>
      <c r="R674" s="6">
        <f>6318000</f>
        <v>6318000</v>
      </c>
      <c r="S674" s="5" t="s">
        <v>2164</v>
      </c>
      <c r="T674" s="4" t="s">
        <v>314</v>
      </c>
      <c r="U674" s="4" t="s">
        <v>668</v>
      </c>
      <c r="W674" s="6">
        <f>6317999</f>
        <v>6317999</v>
      </c>
      <c r="X674" s="4" t="s">
        <v>243</v>
      </c>
      <c r="Y674" s="4" t="s">
        <v>244</v>
      </c>
      <c r="Z674" s="4" t="s">
        <v>338</v>
      </c>
      <c r="AA674" s="4" t="s">
        <v>241</v>
      </c>
      <c r="AD674" s="4" t="s">
        <v>241</v>
      </c>
      <c r="AF674" s="5" t="s">
        <v>241</v>
      </c>
      <c r="AI674" s="5" t="s">
        <v>249</v>
      </c>
      <c r="AJ674" s="4" t="s">
        <v>251</v>
      </c>
      <c r="AK674" s="4" t="s">
        <v>252</v>
      </c>
      <c r="BA674" s="4" t="s">
        <v>254</v>
      </c>
      <c r="BB674" s="4" t="s">
        <v>241</v>
      </c>
      <c r="BC674" s="4" t="s">
        <v>255</v>
      </c>
      <c r="BD674" s="4" t="s">
        <v>241</v>
      </c>
      <c r="BE674" s="4" t="s">
        <v>257</v>
      </c>
      <c r="BF674" s="4" t="s">
        <v>241</v>
      </c>
      <c r="BJ674" s="4" t="s">
        <v>367</v>
      </c>
      <c r="BK674" s="5" t="s">
        <v>249</v>
      </c>
      <c r="BL674" s="4" t="s">
        <v>261</v>
      </c>
      <c r="BM674" s="4" t="s">
        <v>262</v>
      </c>
      <c r="BN674" s="4" t="s">
        <v>241</v>
      </c>
      <c r="BO674" s="6">
        <f>0</f>
        <v>0</v>
      </c>
      <c r="BP674" s="6">
        <f>0</f>
        <v>0</v>
      </c>
      <c r="BQ674" s="4" t="s">
        <v>263</v>
      </c>
      <c r="BR674" s="4" t="s">
        <v>264</v>
      </c>
      <c r="CF674" s="4" t="s">
        <v>241</v>
      </c>
      <c r="CG674" s="4" t="s">
        <v>241</v>
      </c>
      <c r="CK674" s="4" t="s">
        <v>265</v>
      </c>
      <c r="CL674" s="4" t="s">
        <v>266</v>
      </c>
      <c r="CM674" s="4" t="s">
        <v>241</v>
      </c>
      <c r="CO674" s="4" t="s">
        <v>1021</v>
      </c>
      <c r="CP674" s="5" t="s">
        <v>268</v>
      </c>
      <c r="CQ674" s="4" t="s">
        <v>269</v>
      </c>
      <c r="CR674" s="4" t="s">
        <v>270</v>
      </c>
      <c r="CS674" s="4" t="s">
        <v>241</v>
      </c>
      <c r="CT674" s="4" t="s">
        <v>241</v>
      </c>
      <c r="CU674" s="4">
        <v>0</v>
      </c>
      <c r="CV674" s="4" t="s">
        <v>271</v>
      </c>
      <c r="CW674" s="4" t="s">
        <v>411</v>
      </c>
      <c r="CX674" s="4" t="s">
        <v>347</v>
      </c>
      <c r="CZ674" s="6">
        <f>6318000</f>
        <v>6318000</v>
      </c>
      <c r="DA674" s="6">
        <f>0</f>
        <v>0</v>
      </c>
      <c r="DC674" s="4" t="s">
        <v>241</v>
      </c>
      <c r="DD674" s="4" t="s">
        <v>241</v>
      </c>
      <c r="DF674" s="4" t="s">
        <v>241</v>
      </c>
      <c r="DI674" s="4" t="s">
        <v>241</v>
      </c>
      <c r="DJ674" s="4" t="s">
        <v>241</v>
      </c>
      <c r="DK674" s="4" t="s">
        <v>241</v>
      </c>
      <c r="DL674" s="4" t="s">
        <v>241</v>
      </c>
      <c r="DM674" s="4" t="s">
        <v>277</v>
      </c>
      <c r="DN674" s="4" t="s">
        <v>278</v>
      </c>
      <c r="DO674" s="6">
        <f>63.18</f>
        <v>63.18</v>
      </c>
      <c r="DP674" s="4" t="s">
        <v>241</v>
      </c>
      <c r="DQ674" s="4" t="s">
        <v>241</v>
      </c>
      <c r="DR674" s="4" t="s">
        <v>241</v>
      </c>
      <c r="DS674" s="4" t="s">
        <v>241</v>
      </c>
      <c r="DV674" s="4" t="s">
        <v>2166</v>
      </c>
      <c r="DW674" s="4" t="s">
        <v>277</v>
      </c>
      <c r="HO674" s="4" t="s">
        <v>277</v>
      </c>
      <c r="HR674" s="4" t="s">
        <v>278</v>
      </c>
      <c r="HS674" s="4" t="s">
        <v>278</v>
      </c>
    </row>
    <row r="675" spans="1:240" x14ac:dyDescent="0.4">
      <c r="A675" s="4">
        <v>2</v>
      </c>
      <c r="B675" s="4" t="s">
        <v>239</v>
      </c>
      <c r="C675" s="4">
        <v>732</v>
      </c>
      <c r="D675" s="4">
        <v>1</v>
      </c>
      <c r="E675" s="4">
        <v>1</v>
      </c>
      <c r="F675" s="4" t="s">
        <v>240</v>
      </c>
      <c r="G675" s="4" t="s">
        <v>241</v>
      </c>
      <c r="H675" s="4" t="s">
        <v>241</v>
      </c>
      <c r="I675" s="4" t="s">
        <v>2163</v>
      </c>
      <c r="J675" s="4" t="s">
        <v>344</v>
      </c>
      <c r="K675" s="4" t="s">
        <v>256</v>
      </c>
      <c r="L675" s="4" t="s">
        <v>2101</v>
      </c>
      <c r="M675" s="5" t="s">
        <v>2165</v>
      </c>
      <c r="N675" s="4" t="s">
        <v>2110</v>
      </c>
      <c r="O675" s="6">
        <f>63.18</f>
        <v>63.18</v>
      </c>
      <c r="P675" s="4" t="s">
        <v>276</v>
      </c>
      <c r="Q675" s="6">
        <f>1</f>
        <v>1</v>
      </c>
      <c r="R675" s="6">
        <f>6318000</f>
        <v>6318000</v>
      </c>
      <c r="S675" s="5" t="s">
        <v>2164</v>
      </c>
      <c r="T675" s="4" t="s">
        <v>314</v>
      </c>
      <c r="U675" s="4" t="s">
        <v>668</v>
      </c>
      <c r="W675" s="6">
        <f>6317999</f>
        <v>6317999</v>
      </c>
      <c r="X675" s="4" t="s">
        <v>243</v>
      </c>
      <c r="Y675" s="4" t="s">
        <v>244</v>
      </c>
      <c r="Z675" s="4" t="s">
        <v>338</v>
      </c>
      <c r="AA675" s="4" t="s">
        <v>241</v>
      </c>
      <c r="AD675" s="4" t="s">
        <v>241</v>
      </c>
      <c r="AF675" s="5" t="s">
        <v>241</v>
      </c>
      <c r="AI675" s="5" t="s">
        <v>249</v>
      </c>
      <c r="AJ675" s="4" t="s">
        <v>251</v>
      </c>
      <c r="AK675" s="4" t="s">
        <v>252</v>
      </c>
      <c r="BA675" s="4" t="s">
        <v>254</v>
      </c>
      <c r="BB675" s="4" t="s">
        <v>241</v>
      </c>
      <c r="BC675" s="4" t="s">
        <v>255</v>
      </c>
      <c r="BD675" s="4" t="s">
        <v>241</v>
      </c>
      <c r="BE675" s="4" t="s">
        <v>257</v>
      </c>
      <c r="BF675" s="4" t="s">
        <v>241</v>
      </c>
      <c r="BJ675" s="4" t="s">
        <v>374</v>
      </c>
      <c r="BK675" s="5" t="s">
        <v>375</v>
      </c>
      <c r="BL675" s="4" t="s">
        <v>261</v>
      </c>
      <c r="BM675" s="4" t="s">
        <v>262</v>
      </c>
      <c r="BN675" s="4" t="s">
        <v>241</v>
      </c>
      <c r="BO675" s="6">
        <f>0</f>
        <v>0</v>
      </c>
      <c r="BP675" s="6">
        <f>0</f>
        <v>0</v>
      </c>
      <c r="BQ675" s="4" t="s">
        <v>263</v>
      </c>
      <c r="BR675" s="4" t="s">
        <v>264</v>
      </c>
      <c r="CF675" s="4" t="s">
        <v>241</v>
      </c>
      <c r="CG675" s="4" t="s">
        <v>241</v>
      </c>
      <c r="CK675" s="4" t="s">
        <v>265</v>
      </c>
      <c r="CL675" s="4" t="s">
        <v>266</v>
      </c>
      <c r="CM675" s="4" t="s">
        <v>241</v>
      </c>
      <c r="CO675" s="4" t="s">
        <v>1021</v>
      </c>
      <c r="CP675" s="5" t="s">
        <v>268</v>
      </c>
      <c r="CQ675" s="4" t="s">
        <v>269</v>
      </c>
      <c r="CR675" s="4" t="s">
        <v>270</v>
      </c>
      <c r="CS675" s="4" t="s">
        <v>241</v>
      </c>
      <c r="CT675" s="4" t="s">
        <v>241</v>
      </c>
      <c r="CU675" s="4">
        <v>0</v>
      </c>
      <c r="CV675" s="4" t="s">
        <v>271</v>
      </c>
      <c r="CW675" s="4" t="s">
        <v>411</v>
      </c>
      <c r="CX675" s="4" t="s">
        <v>347</v>
      </c>
      <c r="CZ675" s="6">
        <f>6318000</f>
        <v>6318000</v>
      </c>
      <c r="DA675" s="6">
        <f>0</f>
        <v>0</v>
      </c>
      <c r="DC675" s="4" t="s">
        <v>241</v>
      </c>
      <c r="DD675" s="4" t="s">
        <v>241</v>
      </c>
      <c r="DF675" s="4" t="s">
        <v>241</v>
      </c>
      <c r="DI675" s="4" t="s">
        <v>241</v>
      </c>
      <c r="DJ675" s="4" t="s">
        <v>241</v>
      </c>
      <c r="DK675" s="4" t="s">
        <v>241</v>
      </c>
      <c r="DL675" s="4" t="s">
        <v>241</v>
      </c>
      <c r="DM675" s="4" t="s">
        <v>277</v>
      </c>
      <c r="DN675" s="4" t="s">
        <v>278</v>
      </c>
      <c r="DO675" s="6">
        <f>63.18</f>
        <v>63.18</v>
      </c>
      <c r="DP675" s="4" t="s">
        <v>241</v>
      </c>
      <c r="DQ675" s="4" t="s">
        <v>241</v>
      </c>
      <c r="DR675" s="4" t="s">
        <v>241</v>
      </c>
      <c r="DS675" s="4" t="s">
        <v>241</v>
      </c>
      <c r="DV675" s="4" t="s">
        <v>2166</v>
      </c>
      <c r="DW675" s="4" t="s">
        <v>323</v>
      </c>
      <c r="HO675" s="4" t="s">
        <v>277</v>
      </c>
      <c r="HR675" s="4" t="s">
        <v>278</v>
      </c>
      <c r="HS675" s="4" t="s">
        <v>278</v>
      </c>
    </row>
    <row r="676" spans="1:240" x14ac:dyDescent="0.4">
      <c r="A676" s="4">
        <v>2</v>
      </c>
      <c r="B676" s="4" t="s">
        <v>239</v>
      </c>
      <c r="C676" s="4">
        <v>734</v>
      </c>
      <c r="D676" s="4">
        <v>1</v>
      </c>
      <c r="E676" s="4">
        <v>1</v>
      </c>
      <c r="F676" s="4" t="s">
        <v>240</v>
      </c>
      <c r="G676" s="4" t="s">
        <v>241</v>
      </c>
      <c r="H676" s="4" t="s">
        <v>241</v>
      </c>
      <c r="I676" s="4" t="s">
        <v>2163</v>
      </c>
      <c r="J676" s="4" t="s">
        <v>344</v>
      </c>
      <c r="K676" s="4" t="s">
        <v>256</v>
      </c>
      <c r="L676" s="4" t="s">
        <v>2101</v>
      </c>
      <c r="M676" s="5" t="s">
        <v>2165</v>
      </c>
      <c r="N676" s="4" t="s">
        <v>2098</v>
      </c>
      <c r="O676" s="6">
        <f>31.59</f>
        <v>31.59</v>
      </c>
      <c r="P676" s="4" t="s">
        <v>276</v>
      </c>
      <c r="Q676" s="6">
        <f>1</f>
        <v>1</v>
      </c>
      <c r="R676" s="6">
        <f>3159000</f>
        <v>3159000</v>
      </c>
      <c r="S676" s="5" t="s">
        <v>2164</v>
      </c>
      <c r="T676" s="4" t="s">
        <v>314</v>
      </c>
      <c r="U676" s="4" t="s">
        <v>668</v>
      </c>
      <c r="W676" s="6">
        <f>3158999</f>
        <v>3158999</v>
      </c>
      <c r="X676" s="4" t="s">
        <v>243</v>
      </c>
      <c r="Y676" s="4" t="s">
        <v>244</v>
      </c>
      <c r="Z676" s="4" t="s">
        <v>338</v>
      </c>
      <c r="AA676" s="4" t="s">
        <v>241</v>
      </c>
      <c r="AD676" s="4" t="s">
        <v>241</v>
      </c>
      <c r="AF676" s="5" t="s">
        <v>241</v>
      </c>
      <c r="AI676" s="5" t="s">
        <v>249</v>
      </c>
      <c r="AJ676" s="4" t="s">
        <v>251</v>
      </c>
      <c r="AK676" s="4" t="s">
        <v>252</v>
      </c>
      <c r="BA676" s="4" t="s">
        <v>254</v>
      </c>
      <c r="BB676" s="4" t="s">
        <v>241</v>
      </c>
      <c r="BC676" s="4" t="s">
        <v>255</v>
      </c>
      <c r="BD676" s="4" t="s">
        <v>241</v>
      </c>
      <c r="BE676" s="4" t="s">
        <v>257</v>
      </c>
      <c r="BF676" s="4" t="s">
        <v>241</v>
      </c>
      <c r="BJ676" s="4" t="s">
        <v>259</v>
      </c>
      <c r="BK676" s="5" t="s">
        <v>413</v>
      </c>
      <c r="BL676" s="4" t="s">
        <v>261</v>
      </c>
      <c r="BM676" s="4" t="s">
        <v>262</v>
      </c>
      <c r="BN676" s="4" t="s">
        <v>241</v>
      </c>
      <c r="BO676" s="6">
        <f>0</f>
        <v>0</v>
      </c>
      <c r="BP676" s="6">
        <f>0</f>
        <v>0</v>
      </c>
      <c r="BQ676" s="4" t="s">
        <v>263</v>
      </c>
      <c r="BR676" s="4" t="s">
        <v>264</v>
      </c>
      <c r="CF676" s="4" t="s">
        <v>241</v>
      </c>
      <c r="CG676" s="4" t="s">
        <v>241</v>
      </c>
      <c r="CK676" s="4" t="s">
        <v>265</v>
      </c>
      <c r="CL676" s="4" t="s">
        <v>266</v>
      </c>
      <c r="CM676" s="4" t="s">
        <v>241</v>
      </c>
      <c r="CO676" s="4" t="s">
        <v>1021</v>
      </c>
      <c r="CP676" s="5" t="s">
        <v>268</v>
      </c>
      <c r="CQ676" s="4" t="s">
        <v>269</v>
      </c>
      <c r="CR676" s="4" t="s">
        <v>270</v>
      </c>
      <c r="CS676" s="4" t="s">
        <v>241</v>
      </c>
      <c r="CT676" s="4" t="s">
        <v>241</v>
      </c>
      <c r="CU676" s="4">
        <v>0</v>
      </c>
      <c r="CV676" s="4" t="s">
        <v>271</v>
      </c>
      <c r="CW676" s="4" t="s">
        <v>411</v>
      </c>
      <c r="CX676" s="4" t="s">
        <v>347</v>
      </c>
      <c r="CZ676" s="6">
        <f>3159000</f>
        <v>3159000</v>
      </c>
      <c r="DA676" s="6">
        <f>0</f>
        <v>0</v>
      </c>
      <c r="DC676" s="4" t="s">
        <v>241</v>
      </c>
      <c r="DD676" s="4" t="s">
        <v>241</v>
      </c>
      <c r="DF676" s="4" t="s">
        <v>241</v>
      </c>
      <c r="DI676" s="4" t="s">
        <v>241</v>
      </c>
      <c r="DJ676" s="4" t="s">
        <v>241</v>
      </c>
      <c r="DK676" s="4" t="s">
        <v>241</v>
      </c>
      <c r="DL676" s="4" t="s">
        <v>241</v>
      </c>
      <c r="DM676" s="4" t="s">
        <v>277</v>
      </c>
      <c r="DN676" s="4" t="s">
        <v>278</v>
      </c>
      <c r="DO676" s="6">
        <f>31.59</f>
        <v>31.59</v>
      </c>
      <c r="DP676" s="4" t="s">
        <v>241</v>
      </c>
      <c r="DQ676" s="4" t="s">
        <v>241</v>
      </c>
      <c r="DR676" s="4" t="s">
        <v>241</v>
      </c>
      <c r="DS676" s="4" t="s">
        <v>241</v>
      </c>
      <c r="DV676" s="4" t="s">
        <v>2166</v>
      </c>
      <c r="DW676" s="4" t="s">
        <v>336</v>
      </c>
      <c r="HO676" s="4" t="s">
        <v>277</v>
      </c>
      <c r="HR676" s="4" t="s">
        <v>278</v>
      </c>
      <c r="HS676" s="4" t="s">
        <v>278</v>
      </c>
    </row>
    <row r="677" spans="1:240" x14ac:dyDescent="0.4">
      <c r="A677" s="4">
        <v>2</v>
      </c>
      <c r="B677" s="4" t="s">
        <v>239</v>
      </c>
      <c r="C677" s="4">
        <v>737</v>
      </c>
      <c r="D677" s="4">
        <v>1</v>
      </c>
      <c r="E677" s="4">
        <v>1</v>
      </c>
      <c r="F677" s="4" t="s">
        <v>240</v>
      </c>
      <c r="G677" s="4" t="s">
        <v>241</v>
      </c>
      <c r="H677" s="4" t="s">
        <v>241</v>
      </c>
      <c r="I677" s="4" t="s">
        <v>2163</v>
      </c>
      <c r="J677" s="4" t="s">
        <v>344</v>
      </c>
      <c r="K677" s="4" t="s">
        <v>256</v>
      </c>
      <c r="L677" s="4" t="s">
        <v>2101</v>
      </c>
      <c r="M677" s="5" t="s">
        <v>2165</v>
      </c>
      <c r="N677" s="4" t="s">
        <v>2173</v>
      </c>
      <c r="O677" s="6">
        <f>63.18</f>
        <v>63.18</v>
      </c>
      <c r="P677" s="4" t="s">
        <v>276</v>
      </c>
      <c r="Q677" s="6">
        <f>1</f>
        <v>1</v>
      </c>
      <c r="R677" s="6">
        <f>6318000</f>
        <v>6318000</v>
      </c>
      <c r="S677" s="5" t="s">
        <v>2164</v>
      </c>
      <c r="T677" s="4" t="s">
        <v>314</v>
      </c>
      <c r="U677" s="4" t="s">
        <v>668</v>
      </c>
      <c r="W677" s="6">
        <f>6317999</f>
        <v>6317999</v>
      </c>
      <c r="X677" s="4" t="s">
        <v>243</v>
      </c>
      <c r="Y677" s="4" t="s">
        <v>244</v>
      </c>
      <c r="Z677" s="4" t="s">
        <v>338</v>
      </c>
      <c r="AA677" s="4" t="s">
        <v>241</v>
      </c>
      <c r="AD677" s="4" t="s">
        <v>241</v>
      </c>
      <c r="AF677" s="5" t="s">
        <v>241</v>
      </c>
      <c r="AI677" s="5" t="s">
        <v>249</v>
      </c>
      <c r="AJ677" s="4" t="s">
        <v>251</v>
      </c>
      <c r="AK677" s="4" t="s">
        <v>252</v>
      </c>
      <c r="BA677" s="4" t="s">
        <v>254</v>
      </c>
      <c r="BB677" s="4" t="s">
        <v>241</v>
      </c>
      <c r="BC677" s="4" t="s">
        <v>255</v>
      </c>
      <c r="BD677" s="4" t="s">
        <v>241</v>
      </c>
      <c r="BE677" s="4" t="s">
        <v>257</v>
      </c>
      <c r="BF677" s="4" t="s">
        <v>241</v>
      </c>
      <c r="BJ677" s="4" t="s">
        <v>377</v>
      </c>
      <c r="BK677" s="5" t="s">
        <v>378</v>
      </c>
      <c r="BL677" s="4" t="s">
        <v>261</v>
      </c>
      <c r="BM677" s="4" t="s">
        <v>262</v>
      </c>
      <c r="BN677" s="4" t="s">
        <v>241</v>
      </c>
      <c r="BO677" s="6">
        <f>0</f>
        <v>0</v>
      </c>
      <c r="BP677" s="6">
        <f>0</f>
        <v>0</v>
      </c>
      <c r="BQ677" s="4" t="s">
        <v>263</v>
      </c>
      <c r="BR677" s="4" t="s">
        <v>264</v>
      </c>
      <c r="CF677" s="4" t="s">
        <v>241</v>
      </c>
      <c r="CG677" s="4" t="s">
        <v>241</v>
      </c>
      <c r="CK677" s="4" t="s">
        <v>265</v>
      </c>
      <c r="CL677" s="4" t="s">
        <v>266</v>
      </c>
      <c r="CM677" s="4" t="s">
        <v>241</v>
      </c>
      <c r="CO677" s="4" t="s">
        <v>1021</v>
      </c>
      <c r="CP677" s="5" t="s">
        <v>268</v>
      </c>
      <c r="CQ677" s="4" t="s">
        <v>269</v>
      </c>
      <c r="CR677" s="4" t="s">
        <v>270</v>
      </c>
      <c r="CS677" s="4" t="s">
        <v>241</v>
      </c>
      <c r="CT677" s="4" t="s">
        <v>241</v>
      </c>
      <c r="CU677" s="4">
        <v>0</v>
      </c>
      <c r="CV677" s="4" t="s">
        <v>271</v>
      </c>
      <c r="CW677" s="4" t="s">
        <v>411</v>
      </c>
      <c r="CX677" s="4" t="s">
        <v>347</v>
      </c>
      <c r="CZ677" s="6">
        <f>6318000</f>
        <v>6318000</v>
      </c>
      <c r="DA677" s="6">
        <f>0</f>
        <v>0</v>
      </c>
      <c r="DC677" s="4" t="s">
        <v>241</v>
      </c>
      <c r="DD677" s="4" t="s">
        <v>241</v>
      </c>
      <c r="DF677" s="4" t="s">
        <v>241</v>
      </c>
      <c r="DI677" s="4" t="s">
        <v>241</v>
      </c>
      <c r="DJ677" s="4" t="s">
        <v>241</v>
      </c>
      <c r="DK677" s="4" t="s">
        <v>241</v>
      </c>
      <c r="DL677" s="4" t="s">
        <v>241</v>
      </c>
      <c r="DM677" s="4" t="s">
        <v>277</v>
      </c>
      <c r="DN677" s="4" t="s">
        <v>278</v>
      </c>
      <c r="DO677" s="6">
        <f>63.18</f>
        <v>63.18</v>
      </c>
      <c r="DP677" s="4" t="s">
        <v>241</v>
      </c>
      <c r="DQ677" s="4" t="s">
        <v>241</v>
      </c>
      <c r="DR677" s="4" t="s">
        <v>241</v>
      </c>
      <c r="DS677" s="4" t="s">
        <v>241</v>
      </c>
      <c r="DV677" s="4" t="s">
        <v>2166</v>
      </c>
      <c r="DW677" s="4" t="s">
        <v>341</v>
      </c>
      <c r="HO677" s="4" t="s">
        <v>277</v>
      </c>
      <c r="HR677" s="4" t="s">
        <v>278</v>
      </c>
      <c r="HS677" s="4" t="s">
        <v>278</v>
      </c>
    </row>
    <row r="678" spans="1:240" x14ac:dyDescent="0.4">
      <c r="A678" s="4">
        <v>2</v>
      </c>
      <c r="B678" s="4" t="s">
        <v>239</v>
      </c>
      <c r="C678" s="4">
        <v>738</v>
      </c>
      <c r="D678" s="4">
        <v>1</v>
      </c>
      <c r="E678" s="4">
        <v>1</v>
      </c>
      <c r="F678" s="4" t="s">
        <v>240</v>
      </c>
      <c r="G678" s="4" t="s">
        <v>241</v>
      </c>
      <c r="H678" s="4" t="s">
        <v>241</v>
      </c>
      <c r="I678" s="4" t="s">
        <v>2163</v>
      </c>
      <c r="J678" s="4" t="s">
        <v>344</v>
      </c>
      <c r="K678" s="4" t="s">
        <v>256</v>
      </c>
      <c r="L678" s="4" t="s">
        <v>2101</v>
      </c>
      <c r="M678" s="5" t="s">
        <v>2165</v>
      </c>
      <c r="N678" s="4" t="s">
        <v>2174</v>
      </c>
      <c r="O678" s="6">
        <f>36.45</f>
        <v>36.450000000000003</v>
      </c>
      <c r="P678" s="4" t="s">
        <v>276</v>
      </c>
      <c r="Q678" s="6">
        <f>1</f>
        <v>1</v>
      </c>
      <c r="R678" s="6">
        <f>3645000</f>
        <v>3645000</v>
      </c>
      <c r="S678" s="5" t="s">
        <v>2164</v>
      </c>
      <c r="T678" s="4" t="s">
        <v>314</v>
      </c>
      <c r="U678" s="4" t="s">
        <v>668</v>
      </c>
      <c r="W678" s="6">
        <f>3644999</f>
        <v>3644999</v>
      </c>
      <c r="X678" s="4" t="s">
        <v>243</v>
      </c>
      <c r="Y678" s="4" t="s">
        <v>244</v>
      </c>
      <c r="Z678" s="4" t="s">
        <v>338</v>
      </c>
      <c r="AA678" s="4" t="s">
        <v>241</v>
      </c>
      <c r="AD678" s="4" t="s">
        <v>241</v>
      </c>
      <c r="AF678" s="5" t="s">
        <v>241</v>
      </c>
      <c r="AI678" s="5" t="s">
        <v>249</v>
      </c>
      <c r="AJ678" s="4" t="s">
        <v>251</v>
      </c>
      <c r="AK678" s="4" t="s">
        <v>252</v>
      </c>
      <c r="BA678" s="4" t="s">
        <v>254</v>
      </c>
      <c r="BB678" s="4" t="s">
        <v>241</v>
      </c>
      <c r="BC678" s="4" t="s">
        <v>255</v>
      </c>
      <c r="BD678" s="4" t="s">
        <v>241</v>
      </c>
      <c r="BE678" s="4" t="s">
        <v>257</v>
      </c>
      <c r="BF678" s="4" t="s">
        <v>241</v>
      </c>
      <c r="BJ678" s="4" t="s">
        <v>259</v>
      </c>
      <c r="BK678" s="5" t="s">
        <v>260</v>
      </c>
      <c r="BL678" s="4" t="s">
        <v>261</v>
      </c>
      <c r="BM678" s="4" t="s">
        <v>262</v>
      </c>
      <c r="BN678" s="4" t="s">
        <v>241</v>
      </c>
      <c r="BO678" s="6">
        <f>0</f>
        <v>0</v>
      </c>
      <c r="BP678" s="6">
        <f>0</f>
        <v>0</v>
      </c>
      <c r="BQ678" s="4" t="s">
        <v>263</v>
      </c>
      <c r="BR678" s="4" t="s">
        <v>264</v>
      </c>
      <c r="CF678" s="4" t="s">
        <v>241</v>
      </c>
      <c r="CG678" s="4" t="s">
        <v>241</v>
      </c>
      <c r="CK678" s="4" t="s">
        <v>265</v>
      </c>
      <c r="CL678" s="4" t="s">
        <v>266</v>
      </c>
      <c r="CM678" s="4" t="s">
        <v>241</v>
      </c>
      <c r="CO678" s="4" t="s">
        <v>1021</v>
      </c>
      <c r="CP678" s="5" t="s">
        <v>268</v>
      </c>
      <c r="CQ678" s="4" t="s">
        <v>269</v>
      </c>
      <c r="CR678" s="4" t="s">
        <v>270</v>
      </c>
      <c r="CS678" s="4" t="s">
        <v>241</v>
      </c>
      <c r="CT678" s="4" t="s">
        <v>241</v>
      </c>
      <c r="CU678" s="4">
        <v>0</v>
      </c>
      <c r="CV678" s="4" t="s">
        <v>271</v>
      </c>
      <c r="CW678" s="4" t="s">
        <v>411</v>
      </c>
      <c r="CX678" s="4" t="s">
        <v>347</v>
      </c>
      <c r="CZ678" s="6">
        <f>3645000</f>
        <v>3645000</v>
      </c>
      <c r="DA678" s="6">
        <f>0</f>
        <v>0</v>
      </c>
      <c r="DC678" s="4" t="s">
        <v>241</v>
      </c>
      <c r="DD678" s="4" t="s">
        <v>241</v>
      </c>
      <c r="DF678" s="4" t="s">
        <v>241</v>
      </c>
      <c r="DI678" s="4" t="s">
        <v>241</v>
      </c>
      <c r="DJ678" s="4" t="s">
        <v>241</v>
      </c>
      <c r="DK678" s="4" t="s">
        <v>241</v>
      </c>
      <c r="DL678" s="4" t="s">
        <v>241</v>
      </c>
      <c r="DM678" s="4" t="s">
        <v>277</v>
      </c>
      <c r="DN678" s="4" t="s">
        <v>278</v>
      </c>
      <c r="DO678" s="6">
        <f>36.45</f>
        <v>36.450000000000003</v>
      </c>
      <c r="DP678" s="4" t="s">
        <v>241</v>
      </c>
      <c r="DQ678" s="4" t="s">
        <v>241</v>
      </c>
      <c r="DR678" s="4" t="s">
        <v>241</v>
      </c>
      <c r="DS678" s="4" t="s">
        <v>241</v>
      </c>
      <c r="DV678" s="4" t="s">
        <v>2166</v>
      </c>
      <c r="DW678" s="4" t="s">
        <v>343</v>
      </c>
      <c r="HO678" s="4" t="s">
        <v>277</v>
      </c>
      <c r="HR678" s="4" t="s">
        <v>278</v>
      </c>
      <c r="HS678" s="4" t="s">
        <v>278</v>
      </c>
    </row>
    <row r="679" spans="1:240" x14ac:dyDescent="0.4">
      <c r="A679" s="4">
        <v>2</v>
      </c>
      <c r="B679" s="4" t="s">
        <v>239</v>
      </c>
      <c r="C679" s="4">
        <v>739</v>
      </c>
      <c r="D679" s="4">
        <v>1</v>
      </c>
      <c r="E679" s="4">
        <v>1</v>
      </c>
      <c r="F679" s="4" t="s">
        <v>240</v>
      </c>
      <c r="G679" s="4" t="s">
        <v>241</v>
      </c>
      <c r="H679" s="4" t="s">
        <v>241</v>
      </c>
      <c r="I679" s="4" t="s">
        <v>2163</v>
      </c>
      <c r="J679" s="4" t="s">
        <v>344</v>
      </c>
      <c r="K679" s="4" t="s">
        <v>256</v>
      </c>
      <c r="L679" s="4" t="s">
        <v>2101</v>
      </c>
      <c r="M679" s="5" t="s">
        <v>2165</v>
      </c>
      <c r="N679" s="4" t="s">
        <v>2154</v>
      </c>
      <c r="O679" s="6">
        <f>36.45</f>
        <v>36.450000000000003</v>
      </c>
      <c r="P679" s="4" t="s">
        <v>276</v>
      </c>
      <c r="Q679" s="6">
        <f>1</f>
        <v>1</v>
      </c>
      <c r="R679" s="6">
        <f>3645000</f>
        <v>3645000</v>
      </c>
      <c r="S679" s="5" t="s">
        <v>2164</v>
      </c>
      <c r="T679" s="4" t="s">
        <v>314</v>
      </c>
      <c r="U679" s="4" t="s">
        <v>668</v>
      </c>
      <c r="W679" s="6">
        <f>3644999</f>
        <v>3644999</v>
      </c>
      <c r="X679" s="4" t="s">
        <v>243</v>
      </c>
      <c r="Y679" s="4" t="s">
        <v>244</v>
      </c>
      <c r="Z679" s="4" t="s">
        <v>338</v>
      </c>
      <c r="AA679" s="4" t="s">
        <v>241</v>
      </c>
      <c r="AD679" s="4" t="s">
        <v>241</v>
      </c>
      <c r="AF679" s="5" t="s">
        <v>241</v>
      </c>
      <c r="AI679" s="5" t="s">
        <v>249</v>
      </c>
      <c r="AJ679" s="4" t="s">
        <v>251</v>
      </c>
      <c r="AK679" s="4" t="s">
        <v>252</v>
      </c>
      <c r="BA679" s="4" t="s">
        <v>254</v>
      </c>
      <c r="BB679" s="4" t="s">
        <v>241</v>
      </c>
      <c r="BC679" s="4" t="s">
        <v>255</v>
      </c>
      <c r="BD679" s="4" t="s">
        <v>241</v>
      </c>
      <c r="BE679" s="4" t="s">
        <v>257</v>
      </c>
      <c r="BF679" s="4" t="s">
        <v>241</v>
      </c>
      <c r="BJ679" s="4" t="s">
        <v>367</v>
      </c>
      <c r="BK679" s="5" t="s">
        <v>249</v>
      </c>
      <c r="BL679" s="4" t="s">
        <v>261</v>
      </c>
      <c r="BM679" s="4" t="s">
        <v>262</v>
      </c>
      <c r="BN679" s="4" t="s">
        <v>241</v>
      </c>
      <c r="BO679" s="6">
        <f>0</f>
        <v>0</v>
      </c>
      <c r="BP679" s="6">
        <f>0</f>
        <v>0</v>
      </c>
      <c r="BQ679" s="4" t="s">
        <v>263</v>
      </c>
      <c r="BR679" s="4" t="s">
        <v>264</v>
      </c>
      <c r="CF679" s="4" t="s">
        <v>241</v>
      </c>
      <c r="CG679" s="4" t="s">
        <v>241</v>
      </c>
      <c r="CK679" s="4" t="s">
        <v>265</v>
      </c>
      <c r="CL679" s="4" t="s">
        <v>266</v>
      </c>
      <c r="CM679" s="4" t="s">
        <v>241</v>
      </c>
      <c r="CO679" s="4" t="s">
        <v>1021</v>
      </c>
      <c r="CP679" s="5" t="s">
        <v>268</v>
      </c>
      <c r="CQ679" s="4" t="s">
        <v>269</v>
      </c>
      <c r="CR679" s="4" t="s">
        <v>270</v>
      </c>
      <c r="CS679" s="4" t="s">
        <v>241</v>
      </c>
      <c r="CT679" s="4" t="s">
        <v>241</v>
      </c>
      <c r="CU679" s="4">
        <v>0</v>
      </c>
      <c r="CV679" s="4" t="s">
        <v>271</v>
      </c>
      <c r="CW679" s="4" t="s">
        <v>411</v>
      </c>
      <c r="CX679" s="4" t="s">
        <v>347</v>
      </c>
      <c r="CZ679" s="6">
        <f>3645000</f>
        <v>3645000</v>
      </c>
      <c r="DA679" s="6">
        <f>0</f>
        <v>0</v>
      </c>
      <c r="DC679" s="4" t="s">
        <v>241</v>
      </c>
      <c r="DD679" s="4" t="s">
        <v>241</v>
      </c>
      <c r="DF679" s="4" t="s">
        <v>241</v>
      </c>
      <c r="DI679" s="4" t="s">
        <v>241</v>
      </c>
      <c r="DJ679" s="4" t="s">
        <v>241</v>
      </c>
      <c r="DK679" s="4" t="s">
        <v>241</v>
      </c>
      <c r="DL679" s="4" t="s">
        <v>241</v>
      </c>
      <c r="DM679" s="4" t="s">
        <v>277</v>
      </c>
      <c r="DN679" s="4" t="s">
        <v>278</v>
      </c>
      <c r="DO679" s="6">
        <f>36.45</f>
        <v>36.450000000000003</v>
      </c>
      <c r="DP679" s="4" t="s">
        <v>241</v>
      </c>
      <c r="DQ679" s="4" t="s">
        <v>241</v>
      </c>
      <c r="DR679" s="4" t="s">
        <v>241</v>
      </c>
      <c r="DS679" s="4" t="s">
        <v>241</v>
      </c>
      <c r="DV679" s="4" t="s">
        <v>2166</v>
      </c>
      <c r="DW679" s="4" t="s">
        <v>417</v>
      </c>
      <c r="HO679" s="4" t="s">
        <v>277</v>
      </c>
      <c r="HR679" s="4" t="s">
        <v>278</v>
      </c>
      <c r="HS679" s="4" t="s">
        <v>278</v>
      </c>
    </row>
    <row r="680" spans="1:240" x14ac:dyDescent="0.4">
      <c r="A680" s="4">
        <v>2</v>
      </c>
      <c r="B680" s="4" t="s">
        <v>239</v>
      </c>
      <c r="C680" s="4">
        <v>740</v>
      </c>
      <c r="D680" s="4">
        <v>1</v>
      </c>
      <c r="E680" s="4">
        <v>1</v>
      </c>
      <c r="F680" s="4" t="s">
        <v>240</v>
      </c>
      <c r="G680" s="4" t="s">
        <v>241</v>
      </c>
      <c r="H680" s="4" t="s">
        <v>241</v>
      </c>
      <c r="I680" s="4" t="s">
        <v>2163</v>
      </c>
      <c r="J680" s="4" t="s">
        <v>344</v>
      </c>
      <c r="K680" s="4" t="s">
        <v>256</v>
      </c>
      <c r="L680" s="4" t="s">
        <v>2101</v>
      </c>
      <c r="M680" s="5" t="s">
        <v>2165</v>
      </c>
      <c r="N680" s="4" t="s">
        <v>2228</v>
      </c>
      <c r="O680" s="6">
        <f>63.18</f>
        <v>63.18</v>
      </c>
      <c r="P680" s="4" t="s">
        <v>276</v>
      </c>
      <c r="Q680" s="6">
        <f>1</f>
        <v>1</v>
      </c>
      <c r="R680" s="6">
        <f>6318000</f>
        <v>6318000</v>
      </c>
      <c r="S680" s="5" t="s">
        <v>2164</v>
      </c>
      <c r="T680" s="4" t="s">
        <v>314</v>
      </c>
      <c r="U680" s="4" t="s">
        <v>668</v>
      </c>
      <c r="W680" s="6">
        <f>6317999</f>
        <v>6317999</v>
      </c>
      <c r="X680" s="4" t="s">
        <v>243</v>
      </c>
      <c r="Y680" s="4" t="s">
        <v>244</v>
      </c>
      <c r="Z680" s="4" t="s">
        <v>338</v>
      </c>
      <c r="AA680" s="4" t="s">
        <v>241</v>
      </c>
      <c r="AD680" s="4" t="s">
        <v>241</v>
      </c>
      <c r="AF680" s="5" t="s">
        <v>241</v>
      </c>
      <c r="AI680" s="5" t="s">
        <v>249</v>
      </c>
      <c r="AJ680" s="4" t="s">
        <v>251</v>
      </c>
      <c r="AK680" s="4" t="s">
        <v>252</v>
      </c>
      <c r="BA680" s="4" t="s">
        <v>254</v>
      </c>
      <c r="BB680" s="4" t="s">
        <v>241</v>
      </c>
      <c r="BC680" s="4" t="s">
        <v>255</v>
      </c>
      <c r="BD680" s="4" t="s">
        <v>241</v>
      </c>
      <c r="BE680" s="4" t="s">
        <v>257</v>
      </c>
      <c r="BF680" s="4" t="s">
        <v>241</v>
      </c>
      <c r="BJ680" s="4" t="s">
        <v>374</v>
      </c>
      <c r="BK680" s="5" t="s">
        <v>375</v>
      </c>
      <c r="BL680" s="4" t="s">
        <v>261</v>
      </c>
      <c r="BM680" s="4" t="s">
        <v>262</v>
      </c>
      <c r="BN680" s="4" t="s">
        <v>241</v>
      </c>
      <c r="BO680" s="6">
        <f>0</f>
        <v>0</v>
      </c>
      <c r="BP680" s="6">
        <f>0</f>
        <v>0</v>
      </c>
      <c r="BQ680" s="4" t="s">
        <v>263</v>
      </c>
      <c r="BR680" s="4" t="s">
        <v>264</v>
      </c>
      <c r="CF680" s="4" t="s">
        <v>241</v>
      </c>
      <c r="CG680" s="4" t="s">
        <v>241</v>
      </c>
      <c r="CK680" s="4" t="s">
        <v>265</v>
      </c>
      <c r="CL680" s="4" t="s">
        <v>266</v>
      </c>
      <c r="CM680" s="4" t="s">
        <v>241</v>
      </c>
      <c r="CO680" s="4" t="s">
        <v>1021</v>
      </c>
      <c r="CP680" s="5" t="s">
        <v>268</v>
      </c>
      <c r="CQ680" s="4" t="s">
        <v>269</v>
      </c>
      <c r="CR680" s="4" t="s">
        <v>270</v>
      </c>
      <c r="CS680" s="4" t="s">
        <v>241</v>
      </c>
      <c r="CT680" s="4" t="s">
        <v>241</v>
      </c>
      <c r="CU680" s="4">
        <v>0</v>
      </c>
      <c r="CV680" s="4" t="s">
        <v>271</v>
      </c>
      <c r="CW680" s="4" t="s">
        <v>411</v>
      </c>
      <c r="CX680" s="4" t="s">
        <v>347</v>
      </c>
      <c r="CZ680" s="6">
        <f>6318000</f>
        <v>6318000</v>
      </c>
      <c r="DA680" s="6">
        <f>0</f>
        <v>0</v>
      </c>
      <c r="DC680" s="4" t="s">
        <v>241</v>
      </c>
      <c r="DD680" s="4" t="s">
        <v>241</v>
      </c>
      <c r="DF680" s="4" t="s">
        <v>241</v>
      </c>
      <c r="DI680" s="4" t="s">
        <v>241</v>
      </c>
      <c r="DJ680" s="4" t="s">
        <v>241</v>
      </c>
      <c r="DK680" s="4" t="s">
        <v>241</v>
      </c>
      <c r="DL680" s="4" t="s">
        <v>241</v>
      </c>
      <c r="DM680" s="4" t="s">
        <v>277</v>
      </c>
      <c r="DN680" s="4" t="s">
        <v>278</v>
      </c>
      <c r="DO680" s="6">
        <f>63.18</f>
        <v>63.18</v>
      </c>
      <c r="DP680" s="4" t="s">
        <v>241</v>
      </c>
      <c r="DQ680" s="4" t="s">
        <v>241</v>
      </c>
      <c r="DR680" s="4" t="s">
        <v>241</v>
      </c>
      <c r="DS680" s="4" t="s">
        <v>241</v>
      </c>
      <c r="DV680" s="4" t="s">
        <v>2166</v>
      </c>
      <c r="DW680" s="4" t="s">
        <v>427</v>
      </c>
      <c r="HO680" s="4" t="s">
        <v>277</v>
      </c>
      <c r="HR680" s="4" t="s">
        <v>278</v>
      </c>
      <c r="HS680" s="4" t="s">
        <v>278</v>
      </c>
    </row>
    <row r="681" spans="1:240" x14ac:dyDescent="0.4">
      <c r="A681" s="4">
        <v>2</v>
      </c>
      <c r="B681" s="4" t="s">
        <v>239</v>
      </c>
      <c r="C681" s="4">
        <v>743</v>
      </c>
      <c r="D681" s="4">
        <v>1</v>
      </c>
      <c r="E681" s="4">
        <v>1</v>
      </c>
      <c r="F681" s="4" t="s">
        <v>240</v>
      </c>
      <c r="G681" s="4" t="s">
        <v>241</v>
      </c>
      <c r="H681" s="4" t="s">
        <v>241</v>
      </c>
      <c r="I681" s="4" t="s">
        <v>2229</v>
      </c>
      <c r="J681" s="4" t="s">
        <v>344</v>
      </c>
      <c r="K681" s="4" t="s">
        <v>256</v>
      </c>
      <c r="L681" s="4" t="s">
        <v>2101</v>
      </c>
      <c r="M681" s="5" t="s">
        <v>2230</v>
      </c>
      <c r="N681" s="4" t="s">
        <v>2104</v>
      </c>
      <c r="O681" s="6">
        <f>332.82</f>
        <v>332.82</v>
      </c>
      <c r="P681" s="4" t="s">
        <v>276</v>
      </c>
      <c r="Q681" s="6">
        <f>1</f>
        <v>1</v>
      </c>
      <c r="R681" s="6">
        <f>34946100</f>
        <v>34946100</v>
      </c>
      <c r="S681" s="5" t="s">
        <v>2133</v>
      </c>
      <c r="T681" s="4" t="s">
        <v>333</v>
      </c>
      <c r="U681" s="4" t="s">
        <v>412</v>
      </c>
      <c r="W681" s="6">
        <f>34946099</f>
        <v>34946099</v>
      </c>
      <c r="X681" s="4" t="s">
        <v>243</v>
      </c>
      <c r="Y681" s="4" t="s">
        <v>244</v>
      </c>
      <c r="Z681" s="4" t="s">
        <v>338</v>
      </c>
      <c r="AA681" s="4" t="s">
        <v>241</v>
      </c>
      <c r="AD681" s="4" t="s">
        <v>241</v>
      </c>
      <c r="AF681" s="5" t="s">
        <v>241</v>
      </c>
      <c r="AI681" s="5" t="s">
        <v>249</v>
      </c>
      <c r="AJ681" s="4" t="s">
        <v>251</v>
      </c>
      <c r="AK681" s="4" t="s">
        <v>252</v>
      </c>
      <c r="BA681" s="4" t="s">
        <v>254</v>
      </c>
      <c r="BB681" s="4" t="s">
        <v>241</v>
      </c>
      <c r="BC681" s="4" t="s">
        <v>255</v>
      </c>
      <c r="BD681" s="4" t="s">
        <v>241</v>
      </c>
      <c r="BE681" s="4" t="s">
        <v>257</v>
      </c>
      <c r="BF681" s="4" t="s">
        <v>241</v>
      </c>
      <c r="BJ681" s="4" t="s">
        <v>367</v>
      </c>
      <c r="BK681" s="5" t="s">
        <v>249</v>
      </c>
      <c r="BL681" s="4" t="s">
        <v>261</v>
      </c>
      <c r="BM681" s="4" t="s">
        <v>262</v>
      </c>
      <c r="BN681" s="4" t="s">
        <v>241</v>
      </c>
      <c r="BO681" s="6">
        <f>0</f>
        <v>0</v>
      </c>
      <c r="BP681" s="6">
        <f>0</f>
        <v>0</v>
      </c>
      <c r="BQ681" s="4" t="s">
        <v>263</v>
      </c>
      <c r="BR681" s="4" t="s">
        <v>264</v>
      </c>
      <c r="CF681" s="4" t="s">
        <v>241</v>
      </c>
      <c r="CG681" s="4" t="s">
        <v>241</v>
      </c>
      <c r="CK681" s="4" t="s">
        <v>265</v>
      </c>
      <c r="CL681" s="4" t="s">
        <v>266</v>
      </c>
      <c r="CM681" s="4" t="s">
        <v>241</v>
      </c>
      <c r="CO681" s="4" t="s">
        <v>1670</v>
      </c>
      <c r="CP681" s="5" t="s">
        <v>268</v>
      </c>
      <c r="CQ681" s="4" t="s">
        <v>269</v>
      </c>
      <c r="CR681" s="4" t="s">
        <v>270</v>
      </c>
      <c r="CS681" s="4" t="s">
        <v>241</v>
      </c>
      <c r="CT681" s="4" t="s">
        <v>241</v>
      </c>
      <c r="CU681" s="4">
        <v>0</v>
      </c>
      <c r="CV681" s="4" t="s">
        <v>271</v>
      </c>
      <c r="CW681" s="4" t="s">
        <v>411</v>
      </c>
      <c r="CX681" s="4" t="s">
        <v>2130</v>
      </c>
      <c r="CZ681" s="6">
        <f>34946100</f>
        <v>34946100</v>
      </c>
      <c r="DA681" s="6">
        <f>0</f>
        <v>0</v>
      </c>
      <c r="DC681" s="4" t="s">
        <v>241</v>
      </c>
      <c r="DD681" s="4" t="s">
        <v>241</v>
      </c>
      <c r="DF681" s="4" t="s">
        <v>241</v>
      </c>
      <c r="DI681" s="4" t="s">
        <v>241</v>
      </c>
      <c r="DJ681" s="4" t="s">
        <v>241</v>
      </c>
      <c r="DK681" s="4" t="s">
        <v>241</v>
      </c>
      <c r="DL681" s="4" t="s">
        <v>241</v>
      </c>
      <c r="DM681" s="4" t="s">
        <v>323</v>
      </c>
      <c r="DN681" s="4" t="s">
        <v>278</v>
      </c>
      <c r="DO681" s="6">
        <f>332.82</f>
        <v>332.82</v>
      </c>
      <c r="DP681" s="4" t="s">
        <v>241</v>
      </c>
      <c r="DQ681" s="4" t="s">
        <v>241</v>
      </c>
      <c r="DR681" s="4" t="s">
        <v>241</v>
      </c>
      <c r="DS681" s="4" t="s">
        <v>241</v>
      </c>
      <c r="DV681" s="4" t="s">
        <v>2231</v>
      </c>
      <c r="DW681" s="4" t="s">
        <v>277</v>
      </c>
      <c r="HO681" s="4" t="s">
        <v>277</v>
      </c>
      <c r="HR681" s="4" t="s">
        <v>278</v>
      </c>
      <c r="HS681" s="4" t="s">
        <v>278</v>
      </c>
    </row>
    <row r="682" spans="1:240" x14ac:dyDescent="0.4">
      <c r="A682" s="4">
        <v>2</v>
      </c>
      <c r="B682" s="4" t="s">
        <v>239</v>
      </c>
      <c r="C682" s="4">
        <v>744</v>
      </c>
      <c r="D682" s="4">
        <v>1</v>
      </c>
      <c r="E682" s="4">
        <v>1</v>
      </c>
      <c r="F682" s="4" t="s">
        <v>240</v>
      </c>
      <c r="G682" s="4" t="s">
        <v>241</v>
      </c>
      <c r="H682" s="4" t="s">
        <v>241</v>
      </c>
      <c r="I682" s="4" t="s">
        <v>2229</v>
      </c>
      <c r="J682" s="4" t="s">
        <v>344</v>
      </c>
      <c r="K682" s="4" t="s">
        <v>256</v>
      </c>
      <c r="L682" s="4" t="s">
        <v>2101</v>
      </c>
      <c r="M682" s="5" t="s">
        <v>2230</v>
      </c>
      <c r="N682" s="4" t="s">
        <v>2109</v>
      </c>
      <c r="O682" s="6">
        <f>297.66</f>
        <v>297.66000000000003</v>
      </c>
      <c r="P682" s="4" t="s">
        <v>276</v>
      </c>
      <c r="Q682" s="6">
        <f>1</f>
        <v>1</v>
      </c>
      <c r="R682" s="6">
        <f>31254300</f>
        <v>31254300</v>
      </c>
      <c r="S682" s="5" t="s">
        <v>2133</v>
      </c>
      <c r="T682" s="4" t="s">
        <v>333</v>
      </c>
      <c r="U682" s="4" t="s">
        <v>412</v>
      </c>
      <c r="W682" s="6">
        <f>31254299</f>
        <v>31254299</v>
      </c>
      <c r="X682" s="4" t="s">
        <v>243</v>
      </c>
      <c r="Y682" s="4" t="s">
        <v>244</v>
      </c>
      <c r="Z682" s="4" t="s">
        <v>338</v>
      </c>
      <c r="AA682" s="4" t="s">
        <v>241</v>
      </c>
      <c r="AD682" s="4" t="s">
        <v>241</v>
      </c>
      <c r="AF682" s="5" t="s">
        <v>241</v>
      </c>
      <c r="AI682" s="5" t="s">
        <v>249</v>
      </c>
      <c r="AJ682" s="4" t="s">
        <v>251</v>
      </c>
      <c r="AK682" s="4" t="s">
        <v>252</v>
      </c>
      <c r="BA682" s="4" t="s">
        <v>254</v>
      </c>
      <c r="BB682" s="4" t="s">
        <v>241</v>
      </c>
      <c r="BC682" s="4" t="s">
        <v>255</v>
      </c>
      <c r="BD682" s="4" t="s">
        <v>241</v>
      </c>
      <c r="BE682" s="4" t="s">
        <v>257</v>
      </c>
      <c r="BF682" s="4" t="s">
        <v>241</v>
      </c>
      <c r="BJ682" s="4" t="s">
        <v>374</v>
      </c>
      <c r="BK682" s="5" t="s">
        <v>375</v>
      </c>
      <c r="BL682" s="4" t="s">
        <v>261</v>
      </c>
      <c r="BM682" s="4" t="s">
        <v>262</v>
      </c>
      <c r="BN682" s="4" t="s">
        <v>241</v>
      </c>
      <c r="BO682" s="6">
        <f>0</f>
        <v>0</v>
      </c>
      <c r="BP682" s="6">
        <f>0</f>
        <v>0</v>
      </c>
      <c r="BQ682" s="4" t="s">
        <v>263</v>
      </c>
      <c r="BR682" s="4" t="s">
        <v>264</v>
      </c>
      <c r="CF682" s="4" t="s">
        <v>241</v>
      </c>
      <c r="CG682" s="4" t="s">
        <v>241</v>
      </c>
      <c r="CK682" s="4" t="s">
        <v>265</v>
      </c>
      <c r="CL682" s="4" t="s">
        <v>266</v>
      </c>
      <c r="CM682" s="4" t="s">
        <v>241</v>
      </c>
      <c r="CO682" s="4" t="s">
        <v>1670</v>
      </c>
      <c r="CP682" s="5" t="s">
        <v>268</v>
      </c>
      <c r="CQ682" s="4" t="s">
        <v>269</v>
      </c>
      <c r="CR682" s="4" t="s">
        <v>270</v>
      </c>
      <c r="CS682" s="4" t="s">
        <v>241</v>
      </c>
      <c r="CT682" s="4" t="s">
        <v>241</v>
      </c>
      <c r="CU682" s="4">
        <v>0</v>
      </c>
      <c r="CV682" s="4" t="s">
        <v>271</v>
      </c>
      <c r="CW682" s="4" t="s">
        <v>411</v>
      </c>
      <c r="CX682" s="4" t="s">
        <v>2130</v>
      </c>
      <c r="CZ682" s="6">
        <f>31254300</f>
        <v>31254300</v>
      </c>
      <c r="DA682" s="6">
        <f>0</f>
        <v>0</v>
      </c>
      <c r="DC682" s="4" t="s">
        <v>241</v>
      </c>
      <c r="DD682" s="4" t="s">
        <v>241</v>
      </c>
      <c r="DF682" s="4" t="s">
        <v>241</v>
      </c>
      <c r="DI682" s="4" t="s">
        <v>241</v>
      </c>
      <c r="DJ682" s="4" t="s">
        <v>241</v>
      </c>
      <c r="DK682" s="4" t="s">
        <v>241</v>
      </c>
      <c r="DL682" s="4" t="s">
        <v>241</v>
      </c>
      <c r="DM682" s="4" t="s">
        <v>323</v>
      </c>
      <c r="DN682" s="4" t="s">
        <v>278</v>
      </c>
      <c r="DO682" s="6">
        <f>297.66</f>
        <v>297.66000000000003</v>
      </c>
      <c r="DP682" s="4" t="s">
        <v>241</v>
      </c>
      <c r="DQ682" s="4" t="s">
        <v>241</v>
      </c>
      <c r="DR682" s="4" t="s">
        <v>241</v>
      </c>
      <c r="DS682" s="4" t="s">
        <v>241</v>
      </c>
      <c r="DV682" s="4" t="s">
        <v>2231</v>
      </c>
      <c r="DW682" s="4" t="s">
        <v>323</v>
      </c>
      <c r="HO682" s="4" t="s">
        <v>277</v>
      </c>
      <c r="HR682" s="4" t="s">
        <v>278</v>
      </c>
      <c r="HS682" s="4" t="s">
        <v>278</v>
      </c>
    </row>
    <row r="683" spans="1:240" x14ac:dyDescent="0.4">
      <c r="A683" s="4">
        <v>2</v>
      </c>
      <c r="B683" s="4" t="s">
        <v>239</v>
      </c>
      <c r="C683" s="4">
        <v>745</v>
      </c>
      <c r="D683" s="4">
        <v>1</v>
      </c>
      <c r="E683" s="4">
        <v>1</v>
      </c>
      <c r="F683" s="4" t="s">
        <v>240</v>
      </c>
      <c r="G683" s="4" t="s">
        <v>241</v>
      </c>
      <c r="H683" s="4" t="s">
        <v>241</v>
      </c>
      <c r="I683" s="4" t="s">
        <v>2234</v>
      </c>
      <c r="J683" s="4" t="s">
        <v>344</v>
      </c>
      <c r="K683" s="4" t="s">
        <v>256</v>
      </c>
      <c r="L683" s="4" t="s">
        <v>2101</v>
      </c>
      <c r="M683" s="5" t="s">
        <v>2236</v>
      </c>
      <c r="N683" s="4" t="s">
        <v>2104</v>
      </c>
      <c r="O683" s="6">
        <f>332.82</f>
        <v>332.82</v>
      </c>
      <c r="P683" s="4" t="s">
        <v>276</v>
      </c>
      <c r="Q683" s="6">
        <f>1</f>
        <v>1</v>
      </c>
      <c r="R683" s="6">
        <f>34946100</f>
        <v>34946100</v>
      </c>
      <c r="S683" s="5" t="s">
        <v>2235</v>
      </c>
      <c r="T683" s="4" t="s">
        <v>333</v>
      </c>
      <c r="U683" s="4" t="s">
        <v>393</v>
      </c>
      <c r="W683" s="6">
        <f>34946099</f>
        <v>34946099</v>
      </c>
      <c r="X683" s="4" t="s">
        <v>243</v>
      </c>
      <c r="Y683" s="4" t="s">
        <v>244</v>
      </c>
      <c r="Z683" s="4" t="s">
        <v>338</v>
      </c>
      <c r="AA683" s="4" t="s">
        <v>241</v>
      </c>
      <c r="AD683" s="4" t="s">
        <v>241</v>
      </c>
      <c r="AF683" s="5" t="s">
        <v>241</v>
      </c>
      <c r="AI683" s="5" t="s">
        <v>249</v>
      </c>
      <c r="AJ683" s="4" t="s">
        <v>251</v>
      </c>
      <c r="AK683" s="4" t="s">
        <v>252</v>
      </c>
      <c r="BA683" s="4" t="s">
        <v>254</v>
      </c>
      <c r="BB683" s="4" t="s">
        <v>241</v>
      </c>
      <c r="BC683" s="4" t="s">
        <v>255</v>
      </c>
      <c r="BD683" s="4" t="s">
        <v>241</v>
      </c>
      <c r="BE683" s="4" t="s">
        <v>257</v>
      </c>
      <c r="BF683" s="4" t="s">
        <v>241</v>
      </c>
      <c r="BJ683" s="4" t="s">
        <v>367</v>
      </c>
      <c r="BK683" s="5" t="s">
        <v>249</v>
      </c>
      <c r="BL683" s="4" t="s">
        <v>261</v>
      </c>
      <c r="BM683" s="4" t="s">
        <v>262</v>
      </c>
      <c r="BN683" s="4" t="s">
        <v>241</v>
      </c>
      <c r="BO683" s="6">
        <f>0</f>
        <v>0</v>
      </c>
      <c r="BP683" s="6">
        <f>0</f>
        <v>0</v>
      </c>
      <c r="BQ683" s="4" t="s">
        <v>263</v>
      </c>
      <c r="BR683" s="4" t="s">
        <v>264</v>
      </c>
      <c r="CF683" s="4" t="s">
        <v>241</v>
      </c>
      <c r="CG683" s="4" t="s">
        <v>241</v>
      </c>
      <c r="CK683" s="4" t="s">
        <v>265</v>
      </c>
      <c r="CL683" s="4" t="s">
        <v>266</v>
      </c>
      <c r="CM683" s="4" t="s">
        <v>241</v>
      </c>
      <c r="CO683" s="4" t="s">
        <v>392</v>
      </c>
      <c r="CP683" s="5" t="s">
        <v>268</v>
      </c>
      <c r="CQ683" s="4" t="s">
        <v>269</v>
      </c>
      <c r="CR683" s="4" t="s">
        <v>270</v>
      </c>
      <c r="CS683" s="4" t="s">
        <v>241</v>
      </c>
      <c r="CT683" s="4" t="s">
        <v>241</v>
      </c>
      <c r="CU683" s="4">
        <v>0</v>
      </c>
      <c r="CV683" s="4" t="s">
        <v>271</v>
      </c>
      <c r="CW683" s="4" t="s">
        <v>411</v>
      </c>
      <c r="CX683" s="4" t="s">
        <v>2130</v>
      </c>
      <c r="CZ683" s="6">
        <f>34946100</f>
        <v>34946100</v>
      </c>
      <c r="DA683" s="6">
        <f>0</f>
        <v>0</v>
      </c>
      <c r="DC683" s="4" t="s">
        <v>241</v>
      </c>
      <c r="DD683" s="4" t="s">
        <v>241</v>
      </c>
      <c r="DF683" s="4" t="s">
        <v>241</v>
      </c>
      <c r="DI683" s="4" t="s">
        <v>241</v>
      </c>
      <c r="DJ683" s="4" t="s">
        <v>241</v>
      </c>
      <c r="DK683" s="4" t="s">
        <v>241</v>
      </c>
      <c r="DL683" s="4" t="s">
        <v>241</v>
      </c>
      <c r="DM683" s="4" t="s">
        <v>323</v>
      </c>
      <c r="DN683" s="4" t="s">
        <v>278</v>
      </c>
      <c r="DO683" s="6">
        <f>332.82</f>
        <v>332.82</v>
      </c>
      <c r="DP683" s="4" t="s">
        <v>241</v>
      </c>
      <c r="DQ683" s="4" t="s">
        <v>241</v>
      </c>
      <c r="DR683" s="4" t="s">
        <v>241</v>
      </c>
      <c r="DS683" s="4" t="s">
        <v>241</v>
      </c>
      <c r="DV683" s="4" t="s">
        <v>2237</v>
      </c>
      <c r="DW683" s="4" t="s">
        <v>277</v>
      </c>
      <c r="HO683" s="4" t="s">
        <v>277</v>
      </c>
      <c r="HR683" s="4" t="s">
        <v>278</v>
      </c>
      <c r="HS683" s="4" t="s">
        <v>278</v>
      </c>
    </row>
    <row r="684" spans="1:240" x14ac:dyDescent="0.4">
      <c r="A684" s="4">
        <v>2</v>
      </c>
      <c r="B684" s="4" t="s">
        <v>239</v>
      </c>
      <c r="C684" s="4">
        <v>746</v>
      </c>
      <c r="D684" s="4">
        <v>1</v>
      </c>
      <c r="E684" s="4">
        <v>1</v>
      </c>
      <c r="F684" s="4" t="s">
        <v>240</v>
      </c>
      <c r="G684" s="4" t="s">
        <v>241</v>
      </c>
      <c r="H684" s="4" t="s">
        <v>241</v>
      </c>
      <c r="I684" s="4" t="s">
        <v>2234</v>
      </c>
      <c r="J684" s="4" t="s">
        <v>344</v>
      </c>
      <c r="K684" s="4" t="s">
        <v>256</v>
      </c>
      <c r="L684" s="4" t="s">
        <v>2101</v>
      </c>
      <c r="M684" s="5" t="s">
        <v>2236</v>
      </c>
      <c r="N684" s="4" t="s">
        <v>2109</v>
      </c>
      <c r="O684" s="6">
        <f>297.66</f>
        <v>297.66000000000003</v>
      </c>
      <c r="P684" s="4" t="s">
        <v>276</v>
      </c>
      <c r="Q684" s="6">
        <f>1</f>
        <v>1</v>
      </c>
      <c r="R684" s="6">
        <f>31254300</f>
        <v>31254300</v>
      </c>
      <c r="S684" s="5" t="s">
        <v>2235</v>
      </c>
      <c r="T684" s="4" t="s">
        <v>333</v>
      </c>
      <c r="U684" s="4" t="s">
        <v>393</v>
      </c>
      <c r="W684" s="6">
        <f>31254299</f>
        <v>31254299</v>
      </c>
      <c r="X684" s="4" t="s">
        <v>243</v>
      </c>
      <c r="Y684" s="4" t="s">
        <v>244</v>
      </c>
      <c r="Z684" s="4" t="s">
        <v>338</v>
      </c>
      <c r="AA684" s="4" t="s">
        <v>241</v>
      </c>
      <c r="AD684" s="4" t="s">
        <v>241</v>
      </c>
      <c r="AF684" s="5" t="s">
        <v>241</v>
      </c>
      <c r="AI684" s="5" t="s">
        <v>249</v>
      </c>
      <c r="AJ684" s="4" t="s">
        <v>251</v>
      </c>
      <c r="AK684" s="4" t="s">
        <v>252</v>
      </c>
      <c r="BA684" s="4" t="s">
        <v>254</v>
      </c>
      <c r="BB684" s="4" t="s">
        <v>241</v>
      </c>
      <c r="BC684" s="4" t="s">
        <v>255</v>
      </c>
      <c r="BD684" s="4" t="s">
        <v>241</v>
      </c>
      <c r="BE684" s="4" t="s">
        <v>257</v>
      </c>
      <c r="BF684" s="4" t="s">
        <v>241</v>
      </c>
      <c r="BJ684" s="4" t="s">
        <v>367</v>
      </c>
      <c r="BK684" s="5" t="s">
        <v>249</v>
      </c>
      <c r="BL684" s="4" t="s">
        <v>261</v>
      </c>
      <c r="BM684" s="4" t="s">
        <v>262</v>
      </c>
      <c r="BN684" s="4" t="s">
        <v>241</v>
      </c>
      <c r="BO684" s="6">
        <f>0</f>
        <v>0</v>
      </c>
      <c r="BP684" s="6">
        <f>0</f>
        <v>0</v>
      </c>
      <c r="BQ684" s="4" t="s">
        <v>263</v>
      </c>
      <c r="BR684" s="4" t="s">
        <v>264</v>
      </c>
      <c r="CF684" s="4" t="s">
        <v>241</v>
      </c>
      <c r="CG684" s="4" t="s">
        <v>241</v>
      </c>
      <c r="CK684" s="4" t="s">
        <v>265</v>
      </c>
      <c r="CL684" s="4" t="s">
        <v>266</v>
      </c>
      <c r="CM684" s="4" t="s">
        <v>241</v>
      </c>
      <c r="CO684" s="4" t="s">
        <v>392</v>
      </c>
      <c r="CP684" s="5" t="s">
        <v>268</v>
      </c>
      <c r="CQ684" s="4" t="s">
        <v>269</v>
      </c>
      <c r="CR684" s="4" t="s">
        <v>270</v>
      </c>
      <c r="CS684" s="4" t="s">
        <v>241</v>
      </c>
      <c r="CT684" s="4" t="s">
        <v>241</v>
      </c>
      <c r="CU684" s="4">
        <v>0</v>
      </c>
      <c r="CV684" s="4" t="s">
        <v>271</v>
      </c>
      <c r="CW684" s="4" t="s">
        <v>411</v>
      </c>
      <c r="CX684" s="4" t="s">
        <v>2130</v>
      </c>
      <c r="CZ684" s="6">
        <f>31254300</f>
        <v>31254300</v>
      </c>
      <c r="DA684" s="6">
        <f>0</f>
        <v>0</v>
      </c>
      <c r="DC684" s="4" t="s">
        <v>241</v>
      </c>
      <c r="DD684" s="4" t="s">
        <v>241</v>
      </c>
      <c r="DF684" s="4" t="s">
        <v>241</v>
      </c>
      <c r="DI684" s="4" t="s">
        <v>241</v>
      </c>
      <c r="DJ684" s="4" t="s">
        <v>241</v>
      </c>
      <c r="DK684" s="4" t="s">
        <v>241</v>
      </c>
      <c r="DL684" s="4" t="s">
        <v>241</v>
      </c>
      <c r="DM684" s="4" t="s">
        <v>323</v>
      </c>
      <c r="DN684" s="4" t="s">
        <v>278</v>
      </c>
      <c r="DO684" s="6">
        <f>297.66</f>
        <v>297.66000000000003</v>
      </c>
      <c r="DP684" s="4" t="s">
        <v>241</v>
      </c>
      <c r="DQ684" s="4" t="s">
        <v>241</v>
      </c>
      <c r="DR684" s="4" t="s">
        <v>241</v>
      </c>
      <c r="DS684" s="4" t="s">
        <v>241</v>
      </c>
      <c r="DV684" s="4" t="s">
        <v>2237</v>
      </c>
      <c r="DW684" s="4" t="s">
        <v>323</v>
      </c>
      <c r="HO684" s="4" t="s">
        <v>277</v>
      </c>
      <c r="HR684" s="4" t="s">
        <v>278</v>
      </c>
      <c r="HS684" s="4" t="s">
        <v>278</v>
      </c>
    </row>
    <row r="685" spans="1:240" x14ac:dyDescent="0.4">
      <c r="A685" s="4">
        <v>2</v>
      </c>
      <c r="B685" s="4" t="s">
        <v>239</v>
      </c>
      <c r="C685" s="4">
        <v>747</v>
      </c>
      <c r="D685" s="4">
        <v>1</v>
      </c>
      <c r="E685" s="4">
        <v>3</v>
      </c>
      <c r="F685" s="4" t="s">
        <v>240</v>
      </c>
      <c r="G685" s="4" t="s">
        <v>241</v>
      </c>
      <c r="H685" s="4" t="s">
        <v>241</v>
      </c>
      <c r="I685" s="4" t="s">
        <v>2484</v>
      </c>
      <c r="J685" s="4" t="s">
        <v>344</v>
      </c>
      <c r="K685" s="4" t="s">
        <v>256</v>
      </c>
      <c r="L685" s="4" t="s">
        <v>2101</v>
      </c>
      <c r="M685" s="5" t="s">
        <v>2485</v>
      </c>
      <c r="N685" s="4" t="s">
        <v>2104</v>
      </c>
      <c r="O685" s="6">
        <f>131.98</f>
        <v>131.97999999999999</v>
      </c>
      <c r="P685" s="4" t="s">
        <v>276</v>
      </c>
      <c r="Q685" s="6">
        <f>1</f>
        <v>1</v>
      </c>
      <c r="R685" s="6">
        <f>13857900</f>
        <v>13857900</v>
      </c>
      <c r="S685" s="5" t="s">
        <v>774</v>
      </c>
      <c r="T685" s="4" t="s">
        <v>333</v>
      </c>
      <c r="U685" s="4" t="s">
        <v>777</v>
      </c>
      <c r="V685" s="6">
        <f>13868</f>
        <v>13868</v>
      </c>
      <c r="W685" s="6">
        <f>13857899</f>
        <v>13857899</v>
      </c>
      <c r="X685" s="4" t="s">
        <v>243</v>
      </c>
      <c r="Y685" s="4" t="s">
        <v>244</v>
      </c>
      <c r="Z685" s="4" t="s">
        <v>338</v>
      </c>
      <c r="AA685" s="4" t="s">
        <v>241</v>
      </c>
      <c r="AD685" s="4" t="s">
        <v>241</v>
      </c>
      <c r="AE685" s="5" t="s">
        <v>241</v>
      </c>
      <c r="AF685" s="5" t="s">
        <v>241</v>
      </c>
      <c r="AH685" s="5" t="s">
        <v>241</v>
      </c>
      <c r="AI685" s="5" t="s">
        <v>249</v>
      </c>
      <c r="AJ685" s="4" t="s">
        <v>251</v>
      </c>
      <c r="AK685" s="4" t="s">
        <v>252</v>
      </c>
      <c r="AQ685" s="4" t="s">
        <v>241</v>
      </c>
      <c r="AR685" s="4" t="s">
        <v>241</v>
      </c>
      <c r="AS685" s="4" t="s">
        <v>241</v>
      </c>
      <c r="AT685" s="5" t="s">
        <v>241</v>
      </c>
      <c r="AU685" s="5" t="s">
        <v>241</v>
      </c>
      <c r="AV685" s="5" t="s">
        <v>241</v>
      </c>
      <c r="AY685" s="4" t="s">
        <v>286</v>
      </c>
      <c r="AZ685" s="4" t="s">
        <v>286</v>
      </c>
      <c r="BA685" s="4" t="s">
        <v>254</v>
      </c>
      <c r="BB685" s="4" t="s">
        <v>287</v>
      </c>
      <c r="BC685" s="4" t="s">
        <v>255</v>
      </c>
      <c r="BD685" s="4" t="s">
        <v>241</v>
      </c>
      <c r="BE685" s="4" t="s">
        <v>257</v>
      </c>
      <c r="BF685" s="4" t="s">
        <v>241</v>
      </c>
      <c r="BJ685" s="4" t="s">
        <v>288</v>
      </c>
      <c r="BK685" s="5" t="s">
        <v>289</v>
      </c>
      <c r="BL685" s="4" t="s">
        <v>290</v>
      </c>
      <c r="BM685" s="4" t="s">
        <v>290</v>
      </c>
      <c r="BN685" s="4" t="s">
        <v>241</v>
      </c>
      <c r="BO685" s="6">
        <f>0</f>
        <v>0</v>
      </c>
      <c r="BP685" s="6">
        <f>-13868</f>
        <v>-13868</v>
      </c>
      <c r="BQ685" s="4" t="s">
        <v>263</v>
      </c>
      <c r="BR685" s="4" t="s">
        <v>264</v>
      </c>
      <c r="BS685" s="4" t="s">
        <v>241</v>
      </c>
      <c r="BT685" s="4" t="s">
        <v>241</v>
      </c>
      <c r="BU685" s="4" t="s">
        <v>241</v>
      </c>
      <c r="BV685" s="4" t="s">
        <v>241</v>
      </c>
      <c r="CE685" s="4" t="s">
        <v>264</v>
      </c>
      <c r="CF685" s="4" t="s">
        <v>241</v>
      </c>
      <c r="CG685" s="4" t="s">
        <v>241</v>
      </c>
      <c r="CK685" s="4" t="s">
        <v>265</v>
      </c>
      <c r="CL685" s="4" t="s">
        <v>266</v>
      </c>
      <c r="CM685" s="4" t="s">
        <v>241</v>
      </c>
      <c r="CO685" s="4" t="s">
        <v>662</v>
      </c>
      <c r="CP685" s="5" t="s">
        <v>268</v>
      </c>
      <c r="CQ685" s="4" t="s">
        <v>269</v>
      </c>
      <c r="CR685" s="4" t="s">
        <v>270</v>
      </c>
      <c r="CS685" s="4" t="s">
        <v>293</v>
      </c>
      <c r="CT685" s="4" t="s">
        <v>241</v>
      </c>
      <c r="CU685" s="4">
        <v>2.7E-2</v>
      </c>
      <c r="CV685" s="4" t="s">
        <v>271</v>
      </c>
      <c r="CW685" s="4" t="s">
        <v>411</v>
      </c>
      <c r="CX685" s="4" t="s">
        <v>2130</v>
      </c>
      <c r="CY685" s="6">
        <f>0</f>
        <v>0</v>
      </c>
      <c r="CZ685" s="6">
        <f>13857900</f>
        <v>13857900</v>
      </c>
      <c r="DA685" s="6">
        <f>1</f>
        <v>1</v>
      </c>
      <c r="DC685" s="4" t="s">
        <v>241</v>
      </c>
      <c r="DD685" s="4" t="s">
        <v>241</v>
      </c>
      <c r="DF685" s="4" t="s">
        <v>241</v>
      </c>
      <c r="DG685" s="6">
        <f>0</f>
        <v>0</v>
      </c>
      <c r="DI685" s="4" t="s">
        <v>241</v>
      </c>
      <c r="DJ685" s="4" t="s">
        <v>241</v>
      </c>
      <c r="DK685" s="4" t="s">
        <v>241</v>
      </c>
      <c r="DL685" s="4" t="s">
        <v>241</v>
      </c>
      <c r="DM685" s="4" t="s">
        <v>323</v>
      </c>
      <c r="DN685" s="4" t="s">
        <v>278</v>
      </c>
      <c r="DO685" s="6">
        <f>131.98</f>
        <v>131.97999999999999</v>
      </c>
      <c r="DP685" s="4" t="s">
        <v>241</v>
      </c>
      <c r="DQ685" s="4" t="s">
        <v>241</v>
      </c>
      <c r="DR685" s="4" t="s">
        <v>241</v>
      </c>
      <c r="DS685" s="4" t="s">
        <v>241</v>
      </c>
      <c r="DV685" s="4" t="s">
        <v>2486</v>
      </c>
      <c r="DW685" s="4" t="s">
        <v>277</v>
      </c>
      <c r="GN685" s="4" t="s">
        <v>2491</v>
      </c>
      <c r="HO685" s="4" t="s">
        <v>300</v>
      </c>
      <c r="HR685" s="4" t="s">
        <v>278</v>
      </c>
      <c r="HS685" s="4" t="s">
        <v>278</v>
      </c>
      <c r="HT685" s="4" t="s">
        <v>241</v>
      </c>
      <c r="HU685" s="4" t="s">
        <v>241</v>
      </c>
      <c r="HV685" s="4" t="s">
        <v>241</v>
      </c>
      <c r="HW685" s="4" t="s">
        <v>241</v>
      </c>
      <c r="HX685" s="4" t="s">
        <v>241</v>
      </c>
      <c r="HY685" s="4" t="s">
        <v>241</v>
      </c>
      <c r="HZ685" s="4" t="s">
        <v>241</v>
      </c>
      <c r="IA685" s="4" t="s">
        <v>241</v>
      </c>
      <c r="IB685" s="4" t="s">
        <v>241</v>
      </c>
      <c r="IC685" s="4" t="s">
        <v>241</v>
      </c>
      <c r="ID685" s="4" t="s">
        <v>241</v>
      </c>
      <c r="IE685" s="4" t="s">
        <v>241</v>
      </c>
      <c r="IF685" s="4" t="s">
        <v>241</v>
      </c>
    </row>
    <row r="686" spans="1:240" x14ac:dyDescent="0.4">
      <c r="A686" s="4">
        <v>2</v>
      </c>
      <c r="B686" s="4" t="s">
        <v>239</v>
      </c>
      <c r="C686" s="4">
        <v>748</v>
      </c>
      <c r="D686" s="4">
        <v>1</v>
      </c>
      <c r="E686" s="4">
        <v>3</v>
      </c>
      <c r="F686" s="4" t="s">
        <v>240</v>
      </c>
      <c r="G686" s="4" t="s">
        <v>241</v>
      </c>
      <c r="H686" s="4" t="s">
        <v>241</v>
      </c>
      <c r="I686" s="4" t="s">
        <v>2484</v>
      </c>
      <c r="J686" s="4" t="s">
        <v>344</v>
      </c>
      <c r="K686" s="4" t="s">
        <v>256</v>
      </c>
      <c r="L686" s="4" t="s">
        <v>2101</v>
      </c>
      <c r="M686" s="5" t="s">
        <v>2485</v>
      </c>
      <c r="N686" s="4" t="s">
        <v>2109</v>
      </c>
      <c r="O686" s="6">
        <f>124.58</f>
        <v>124.58</v>
      </c>
      <c r="P686" s="4" t="s">
        <v>276</v>
      </c>
      <c r="Q686" s="6">
        <f>1</f>
        <v>1</v>
      </c>
      <c r="R686" s="6">
        <f>13080900</f>
        <v>13080900</v>
      </c>
      <c r="S686" s="5" t="s">
        <v>774</v>
      </c>
      <c r="T686" s="4" t="s">
        <v>333</v>
      </c>
      <c r="U686" s="4" t="s">
        <v>777</v>
      </c>
      <c r="V686" s="6">
        <f>13091</f>
        <v>13091</v>
      </c>
      <c r="W686" s="6">
        <f>13080899</f>
        <v>13080899</v>
      </c>
      <c r="X686" s="4" t="s">
        <v>243</v>
      </c>
      <c r="Y686" s="4" t="s">
        <v>244</v>
      </c>
      <c r="Z686" s="4" t="s">
        <v>338</v>
      </c>
      <c r="AA686" s="4" t="s">
        <v>241</v>
      </c>
      <c r="AD686" s="4" t="s">
        <v>241</v>
      </c>
      <c r="AE686" s="5" t="s">
        <v>241</v>
      </c>
      <c r="AF686" s="5" t="s">
        <v>241</v>
      </c>
      <c r="AH686" s="5" t="s">
        <v>241</v>
      </c>
      <c r="AI686" s="5" t="s">
        <v>249</v>
      </c>
      <c r="AJ686" s="4" t="s">
        <v>251</v>
      </c>
      <c r="AK686" s="4" t="s">
        <v>252</v>
      </c>
      <c r="AQ686" s="4" t="s">
        <v>241</v>
      </c>
      <c r="AR686" s="4" t="s">
        <v>241</v>
      </c>
      <c r="AS686" s="4" t="s">
        <v>241</v>
      </c>
      <c r="AT686" s="5" t="s">
        <v>241</v>
      </c>
      <c r="AU686" s="5" t="s">
        <v>241</v>
      </c>
      <c r="AV686" s="5" t="s">
        <v>241</v>
      </c>
      <c r="AY686" s="4" t="s">
        <v>286</v>
      </c>
      <c r="AZ686" s="4" t="s">
        <v>286</v>
      </c>
      <c r="BA686" s="4" t="s">
        <v>254</v>
      </c>
      <c r="BB686" s="4" t="s">
        <v>287</v>
      </c>
      <c r="BC686" s="4" t="s">
        <v>255</v>
      </c>
      <c r="BD686" s="4" t="s">
        <v>241</v>
      </c>
      <c r="BE686" s="4" t="s">
        <v>257</v>
      </c>
      <c r="BF686" s="4" t="s">
        <v>241</v>
      </c>
      <c r="BJ686" s="4" t="s">
        <v>288</v>
      </c>
      <c r="BK686" s="5" t="s">
        <v>289</v>
      </c>
      <c r="BL686" s="4" t="s">
        <v>290</v>
      </c>
      <c r="BM686" s="4" t="s">
        <v>290</v>
      </c>
      <c r="BN686" s="4" t="s">
        <v>241</v>
      </c>
      <c r="BO686" s="6">
        <f>0</f>
        <v>0</v>
      </c>
      <c r="BP686" s="6">
        <f>-13091</f>
        <v>-13091</v>
      </c>
      <c r="BQ686" s="4" t="s">
        <v>263</v>
      </c>
      <c r="BR686" s="4" t="s">
        <v>264</v>
      </c>
      <c r="BS686" s="4" t="s">
        <v>241</v>
      </c>
      <c r="BT686" s="4" t="s">
        <v>241</v>
      </c>
      <c r="BU686" s="4" t="s">
        <v>241</v>
      </c>
      <c r="BV686" s="4" t="s">
        <v>241</v>
      </c>
      <c r="CE686" s="4" t="s">
        <v>264</v>
      </c>
      <c r="CF686" s="4" t="s">
        <v>241</v>
      </c>
      <c r="CG686" s="4" t="s">
        <v>241</v>
      </c>
      <c r="CK686" s="4" t="s">
        <v>265</v>
      </c>
      <c r="CL686" s="4" t="s">
        <v>266</v>
      </c>
      <c r="CM686" s="4" t="s">
        <v>241</v>
      </c>
      <c r="CO686" s="4" t="s">
        <v>662</v>
      </c>
      <c r="CP686" s="5" t="s">
        <v>268</v>
      </c>
      <c r="CQ686" s="4" t="s">
        <v>269</v>
      </c>
      <c r="CR686" s="4" t="s">
        <v>270</v>
      </c>
      <c r="CS686" s="4" t="s">
        <v>293</v>
      </c>
      <c r="CT686" s="4" t="s">
        <v>241</v>
      </c>
      <c r="CU686" s="4">
        <v>2.7E-2</v>
      </c>
      <c r="CV686" s="4" t="s">
        <v>271</v>
      </c>
      <c r="CW686" s="4" t="s">
        <v>411</v>
      </c>
      <c r="CX686" s="4" t="s">
        <v>2130</v>
      </c>
      <c r="CY686" s="6">
        <f>0</f>
        <v>0</v>
      </c>
      <c r="CZ686" s="6">
        <f>13080900</f>
        <v>13080900</v>
      </c>
      <c r="DA686" s="6">
        <f>1</f>
        <v>1</v>
      </c>
      <c r="DC686" s="4" t="s">
        <v>241</v>
      </c>
      <c r="DD686" s="4" t="s">
        <v>241</v>
      </c>
      <c r="DF686" s="4" t="s">
        <v>241</v>
      </c>
      <c r="DG686" s="6">
        <f>0</f>
        <v>0</v>
      </c>
      <c r="DI686" s="4" t="s">
        <v>241</v>
      </c>
      <c r="DJ686" s="4" t="s">
        <v>241</v>
      </c>
      <c r="DK686" s="4" t="s">
        <v>241</v>
      </c>
      <c r="DL686" s="4" t="s">
        <v>241</v>
      </c>
      <c r="DM686" s="4" t="s">
        <v>323</v>
      </c>
      <c r="DN686" s="4" t="s">
        <v>278</v>
      </c>
      <c r="DO686" s="6">
        <f>124.58</f>
        <v>124.58</v>
      </c>
      <c r="DP686" s="4" t="s">
        <v>241</v>
      </c>
      <c r="DQ686" s="4" t="s">
        <v>241</v>
      </c>
      <c r="DR686" s="4" t="s">
        <v>241</v>
      </c>
      <c r="DS686" s="4" t="s">
        <v>241</v>
      </c>
      <c r="DV686" s="4" t="s">
        <v>2486</v>
      </c>
      <c r="DW686" s="4" t="s">
        <v>323</v>
      </c>
      <c r="GN686" s="4" t="s">
        <v>2490</v>
      </c>
      <c r="HO686" s="4" t="s">
        <v>300</v>
      </c>
      <c r="HR686" s="4" t="s">
        <v>278</v>
      </c>
      <c r="HS686" s="4" t="s">
        <v>278</v>
      </c>
      <c r="HT686" s="4" t="s">
        <v>241</v>
      </c>
      <c r="HU686" s="4" t="s">
        <v>241</v>
      </c>
      <c r="HV686" s="4" t="s">
        <v>241</v>
      </c>
      <c r="HW686" s="4" t="s">
        <v>241</v>
      </c>
      <c r="HX686" s="4" t="s">
        <v>241</v>
      </c>
      <c r="HY686" s="4" t="s">
        <v>241</v>
      </c>
      <c r="HZ686" s="4" t="s">
        <v>241</v>
      </c>
      <c r="IA686" s="4" t="s">
        <v>241</v>
      </c>
      <c r="IB686" s="4" t="s">
        <v>241</v>
      </c>
      <c r="IC686" s="4" t="s">
        <v>241</v>
      </c>
      <c r="ID686" s="4" t="s">
        <v>241</v>
      </c>
      <c r="IE686" s="4" t="s">
        <v>241</v>
      </c>
      <c r="IF686" s="4" t="s">
        <v>241</v>
      </c>
    </row>
    <row r="687" spans="1:240" x14ac:dyDescent="0.4">
      <c r="A687" s="4">
        <v>2</v>
      </c>
      <c r="B687" s="4" t="s">
        <v>239</v>
      </c>
      <c r="C687" s="4">
        <v>749</v>
      </c>
      <c r="D687" s="4">
        <v>1</v>
      </c>
      <c r="E687" s="4">
        <v>3</v>
      </c>
      <c r="F687" s="4" t="s">
        <v>240</v>
      </c>
      <c r="G687" s="4" t="s">
        <v>241</v>
      </c>
      <c r="H687" s="4" t="s">
        <v>241</v>
      </c>
      <c r="I687" s="4" t="s">
        <v>2484</v>
      </c>
      <c r="J687" s="4" t="s">
        <v>344</v>
      </c>
      <c r="K687" s="4" t="s">
        <v>256</v>
      </c>
      <c r="L687" s="4" t="s">
        <v>2101</v>
      </c>
      <c r="M687" s="5" t="s">
        <v>2485</v>
      </c>
      <c r="N687" s="4" t="s">
        <v>2110</v>
      </c>
      <c r="O687" s="6">
        <f>131.98</f>
        <v>131.97999999999999</v>
      </c>
      <c r="P687" s="4" t="s">
        <v>276</v>
      </c>
      <c r="Q687" s="6">
        <f>1</f>
        <v>1</v>
      </c>
      <c r="R687" s="6">
        <f>13857900</f>
        <v>13857900</v>
      </c>
      <c r="S687" s="5" t="s">
        <v>774</v>
      </c>
      <c r="T687" s="4" t="s">
        <v>333</v>
      </c>
      <c r="U687" s="4" t="s">
        <v>777</v>
      </c>
      <c r="V687" s="6">
        <f>13868</f>
        <v>13868</v>
      </c>
      <c r="W687" s="6">
        <f>13857899</f>
        <v>13857899</v>
      </c>
      <c r="X687" s="4" t="s">
        <v>243</v>
      </c>
      <c r="Y687" s="4" t="s">
        <v>244</v>
      </c>
      <c r="Z687" s="4" t="s">
        <v>338</v>
      </c>
      <c r="AA687" s="4" t="s">
        <v>241</v>
      </c>
      <c r="AD687" s="4" t="s">
        <v>241</v>
      </c>
      <c r="AE687" s="5" t="s">
        <v>241</v>
      </c>
      <c r="AF687" s="5" t="s">
        <v>241</v>
      </c>
      <c r="AH687" s="5" t="s">
        <v>241</v>
      </c>
      <c r="AI687" s="5" t="s">
        <v>249</v>
      </c>
      <c r="AJ687" s="4" t="s">
        <v>251</v>
      </c>
      <c r="AK687" s="4" t="s">
        <v>252</v>
      </c>
      <c r="AQ687" s="4" t="s">
        <v>241</v>
      </c>
      <c r="AR687" s="4" t="s">
        <v>241</v>
      </c>
      <c r="AS687" s="4" t="s">
        <v>241</v>
      </c>
      <c r="AT687" s="5" t="s">
        <v>241</v>
      </c>
      <c r="AU687" s="5" t="s">
        <v>241</v>
      </c>
      <c r="AV687" s="5" t="s">
        <v>241</v>
      </c>
      <c r="AY687" s="4" t="s">
        <v>286</v>
      </c>
      <c r="AZ687" s="4" t="s">
        <v>286</v>
      </c>
      <c r="BA687" s="4" t="s">
        <v>254</v>
      </c>
      <c r="BB687" s="4" t="s">
        <v>287</v>
      </c>
      <c r="BC687" s="4" t="s">
        <v>255</v>
      </c>
      <c r="BD687" s="4" t="s">
        <v>241</v>
      </c>
      <c r="BE687" s="4" t="s">
        <v>257</v>
      </c>
      <c r="BF687" s="4" t="s">
        <v>241</v>
      </c>
      <c r="BJ687" s="4" t="s">
        <v>288</v>
      </c>
      <c r="BK687" s="5" t="s">
        <v>289</v>
      </c>
      <c r="BL687" s="4" t="s">
        <v>290</v>
      </c>
      <c r="BM687" s="4" t="s">
        <v>290</v>
      </c>
      <c r="BN687" s="4" t="s">
        <v>241</v>
      </c>
      <c r="BO687" s="6">
        <f>0</f>
        <v>0</v>
      </c>
      <c r="BP687" s="6">
        <f>-13868</f>
        <v>-13868</v>
      </c>
      <c r="BQ687" s="4" t="s">
        <v>263</v>
      </c>
      <c r="BR687" s="4" t="s">
        <v>264</v>
      </c>
      <c r="BS687" s="4" t="s">
        <v>241</v>
      </c>
      <c r="BT687" s="4" t="s">
        <v>241</v>
      </c>
      <c r="BU687" s="4" t="s">
        <v>241</v>
      </c>
      <c r="BV687" s="4" t="s">
        <v>241</v>
      </c>
      <c r="CE687" s="4" t="s">
        <v>264</v>
      </c>
      <c r="CF687" s="4" t="s">
        <v>241</v>
      </c>
      <c r="CG687" s="4" t="s">
        <v>241</v>
      </c>
      <c r="CK687" s="4" t="s">
        <v>265</v>
      </c>
      <c r="CL687" s="4" t="s">
        <v>266</v>
      </c>
      <c r="CM687" s="4" t="s">
        <v>241</v>
      </c>
      <c r="CO687" s="4" t="s">
        <v>662</v>
      </c>
      <c r="CP687" s="5" t="s">
        <v>268</v>
      </c>
      <c r="CQ687" s="4" t="s">
        <v>269</v>
      </c>
      <c r="CR687" s="4" t="s">
        <v>270</v>
      </c>
      <c r="CS687" s="4" t="s">
        <v>293</v>
      </c>
      <c r="CT687" s="4" t="s">
        <v>241</v>
      </c>
      <c r="CU687" s="4">
        <v>2.7E-2</v>
      </c>
      <c r="CV687" s="4" t="s">
        <v>271</v>
      </c>
      <c r="CW687" s="4" t="s">
        <v>411</v>
      </c>
      <c r="CX687" s="4" t="s">
        <v>2130</v>
      </c>
      <c r="CY687" s="6">
        <f>0</f>
        <v>0</v>
      </c>
      <c r="CZ687" s="6">
        <f>13857900</f>
        <v>13857900</v>
      </c>
      <c r="DA687" s="6">
        <f>1</f>
        <v>1</v>
      </c>
      <c r="DC687" s="4" t="s">
        <v>241</v>
      </c>
      <c r="DD687" s="4" t="s">
        <v>241</v>
      </c>
      <c r="DF687" s="4" t="s">
        <v>241</v>
      </c>
      <c r="DG687" s="6">
        <f>0</f>
        <v>0</v>
      </c>
      <c r="DI687" s="4" t="s">
        <v>241</v>
      </c>
      <c r="DJ687" s="4" t="s">
        <v>241</v>
      </c>
      <c r="DK687" s="4" t="s">
        <v>241</v>
      </c>
      <c r="DL687" s="4" t="s">
        <v>241</v>
      </c>
      <c r="DM687" s="4" t="s">
        <v>323</v>
      </c>
      <c r="DN687" s="4" t="s">
        <v>278</v>
      </c>
      <c r="DO687" s="6">
        <f>131.98</f>
        <v>131.97999999999999</v>
      </c>
      <c r="DP687" s="4" t="s">
        <v>241</v>
      </c>
      <c r="DQ687" s="4" t="s">
        <v>241</v>
      </c>
      <c r="DR687" s="4" t="s">
        <v>241</v>
      </c>
      <c r="DS687" s="4" t="s">
        <v>241</v>
      </c>
      <c r="DV687" s="4" t="s">
        <v>2486</v>
      </c>
      <c r="DW687" s="4" t="s">
        <v>297</v>
      </c>
      <c r="GN687" s="4" t="s">
        <v>2489</v>
      </c>
      <c r="HO687" s="4" t="s">
        <v>300</v>
      </c>
      <c r="HR687" s="4" t="s">
        <v>278</v>
      </c>
      <c r="HS687" s="4" t="s">
        <v>278</v>
      </c>
      <c r="HT687" s="4" t="s">
        <v>241</v>
      </c>
      <c r="HU687" s="4" t="s">
        <v>241</v>
      </c>
      <c r="HV687" s="4" t="s">
        <v>241</v>
      </c>
      <c r="HW687" s="4" t="s">
        <v>241</v>
      </c>
      <c r="HX687" s="4" t="s">
        <v>241</v>
      </c>
      <c r="HY687" s="4" t="s">
        <v>241</v>
      </c>
      <c r="HZ687" s="4" t="s">
        <v>241</v>
      </c>
      <c r="IA687" s="4" t="s">
        <v>241</v>
      </c>
      <c r="IB687" s="4" t="s">
        <v>241</v>
      </c>
      <c r="IC687" s="4" t="s">
        <v>241</v>
      </c>
      <c r="ID687" s="4" t="s">
        <v>241</v>
      </c>
      <c r="IE687" s="4" t="s">
        <v>241</v>
      </c>
      <c r="IF687" s="4" t="s">
        <v>241</v>
      </c>
    </row>
    <row r="688" spans="1:240" x14ac:dyDescent="0.4">
      <c r="A688" s="4">
        <v>2</v>
      </c>
      <c r="B688" s="4" t="s">
        <v>239</v>
      </c>
      <c r="C688" s="4">
        <v>750</v>
      </c>
      <c r="D688" s="4">
        <v>1</v>
      </c>
      <c r="E688" s="4">
        <v>3</v>
      </c>
      <c r="F688" s="4" t="s">
        <v>240</v>
      </c>
      <c r="G688" s="4" t="s">
        <v>241</v>
      </c>
      <c r="H688" s="4" t="s">
        <v>241</v>
      </c>
      <c r="I688" s="4" t="s">
        <v>2484</v>
      </c>
      <c r="J688" s="4" t="s">
        <v>344</v>
      </c>
      <c r="K688" s="4" t="s">
        <v>256</v>
      </c>
      <c r="L688" s="4" t="s">
        <v>2101</v>
      </c>
      <c r="M688" s="5" t="s">
        <v>2485</v>
      </c>
      <c r="N688" s="4" t="s">
        <v>2122</v>
      </c>
      <c r="O688" s="6">
        <f>124.58</f>
        <v>124.58</v>
      </c>
      <c r="P688" s="4" t="s">
        <v>276</v>
      </c>
      <c r="Q688" s="6">
        <f>1</f>
        <v>1</v>
      </c>
      <c r="R688" s="6">
        <f>13080900</f>
        <v>13080900</v>
      </c>
      <c r="S688" s="5" t="s">
        <v>774</v>
      </c>
      <c r="T688" s="4" t="s">
        <v>333</v>
      </c>
      <c r="U688" s="4" t="s">
        <v>777</v>
      </c>
      <c r="V688" s="6">
        <f>13091</f>
        <v>13091</v>
      </c>
      <c r="W688" s="6">
        <f>13080899</f>
        <v>13080899</v>
      </c>
      <c r="X688" s="4" t="s">
        <v>243</v>
      </c>
      <c r="Y688" s="4" t="s">
        <v>244</v>
      </c>
      <c r="Z688" s="4" t="s">
        <v>338</v>
      </c>
      <c r="AA688" s="4" t="s">
        <v>241</v>
      </c>
      <c r="AD688" s="4" t="s">
        <v>241</v>
      </c>
      <c r="AE688" s="5" t="s">
        <v>241</v>
      </c>
      <c r="AF688" s="5" t="s">
        <v>241</v>
      </c>
      <c r="AH688" s="5" t="s">
        <v>241</v>
      </c>
      <c r="AI688" s="5" t="s">
        <v>249</v>
      </c>
      <c r="AJ688" s="4" t="s">
        <v>251</v>
      </c>
      <c r="AK688" s="4" t="s">
        <v>252</v>
      </c>
      <c r="AQ688" s="4" t="s">
        <v>241</v>
      </c>
      <c r="AR688" s="4" t="s">
        <v>241</v>
      </c>
      <c r="AS688" s="4" t="s">
        <v>241</v>
      </c>
      <c r="AT688" s="5" t="s">
        <v>241</v>
      </c>
      <c r="AU688" s="5" t="s">
        <v>241</v>
      </c>
      <c r="AV688" s="5" t="s">
        <v>241</v>
      </c>
      <c r="AY688" s="4" t="s">
        <v>286</v>
      </c>
      <c r="AZ688" s="4" t="s">
        <v>286</v>
      </c>
      <c r="BA688" s="4" t="s">
        <v>254</v>
      </c>
      <c r="BB688" s="4" t="s">
        <v>287</v>
      </c>
      <c r="BC688" s="4" t="s">
        <v>255</v>
      </c>
      <c r="BD688" s="4" t="s">
        <v>241</v>
      </c>
      <c r="BE688" s="4" t="s">
        <v>257</v>
      </c>
      <c r="BF688" s="4" t="s">
        <v>241</v>
      </c>
      <c r="BJ688" s="4" t="s">
        <v>288</v>
      </c>
      <c r="BK688" s="5" t="s">
        <v>289</v>
      </c>
      <c r="BL688" s="4" t="s">
        <v>290</v>
      </c>
      <c r="BM688" s="4" t="s">
        <v>290</v>
      </c>
      <c r="BN688" s="4" t="s">
        <v>241</v>
      </c>
      <c r="BO688" s="6">
        <f>0</f>
        <v>0</v>
      </c>
      <c r="BP688" s="6">
        <f>-13091</f>
        <v>-13091</v>
      </c>
      <c r="BQ688" s="4" t="s">
        <v>263</v>
      </c>
      <c r="BR688" s="4" t="s">
        <v>264</v>
      </c>
      <c r="BS688" s="4" t="s">
        <v>241</v>
      </c>
      <c r="BT688" s="4" t="s">
        <v>241</v>
      </c>
      <c r="BU688" s="4" t="s">
        <v>241</v>
      </c>
      <c r="BV688" s="4" t="s">
        <v>241</v>
      </c>
      <c r="CE688" s="4" t="s">
        <v>264</v>
      </c>
      <c r="CF688" s="4" t="s">
        <v>241</v>
      </c>
      <c r="CG688" s="4" t="s">
        <v>241</v>
      </c>
      <c r="CK688" s="4" t="s">
        <v>265</v>
      </c>
      <c r="CL688" s="4" t="s">
        <v>266</v>
      </c>
      <c r="CM688" s="4" t="s">
        <v>241</v>
      </c>
      <c r="CO688" s="4" t="s">
        <v>662</v>
      </c>
      <c r="CP688" s="5" t="s">
        <v>268</v>
      </c>
      <c r="CQ688" s="4" t="s">
        <v>269</v>
      </c>
      <c r="CR688" s="4" t="s">
        <v>270</v>
      </c>
      <c r="CS688" s="4" t="s">
        <v>293</v>
      </c>
      <c r="CT688" s="4" t="s">
        <v>241</v>
      </c>
      <c r="CU688" s="4">
        <v>2.7E-2</v>
      </c>
      <c r="CV688" s="4" t="s">
        <v>271</v>
      </c>
      <c r="CW688" s="4" t="s">
        <v>411</v>
      </c>
      <c r="CX688" s="4" t="s">
        <v>2130</v>
      </c>
      <c r="CY688" s="6">
        <f>0</f>
        <v>0</v>
      </c>
      <c r="CZ688" s="6">
        <f>13080900</f>
        <v>13080900</v>
      </c>
      <c r="DA688" s="6">
        <f>1</f>
        <v>1</v>
      </c>
      <c r="DC688" s="4" t="s">
        <v>241</v>
      </c>
      <c r="DD688" s="4" t="s">
        <v>241</v>
      </c>
      <c r="DF688" s="4" t="s">
        <v>241</v>
      </c>
      <c r="DG688" s="6">
        <f>0</f>
        <v>0</v>
      </c>
      <c r="DI688" s="4" t="s">
        <v>241</v>
      </c>
      <c r="DJ688" s="4" t="s">
        <v>241</v>
      </c>
      <c r="DK688" s="4" t="s">
        <v>241</v>
      </c>
      <c r="DL688" s="4" t="s">
        <v>241</v>
      </c>
      <c r="DM688" s="4" t="s">
        <v>323</v>
      </c>
      <c r="DN688" s="4" t="s">
        <v>278</v>
      </c>
      <c r="DO688" s="6">
        <f>124.58</f>
        <v>124.58</v>
      </c>
      <c r="DP688" s="4" t="s">
        <v>241</v>
      </c>
      <c r="DQ688" s="4" t="s">
        <v>241</v>
      </c>
      <c r="DR688" s="4" t="s">
        <v>241</v>
      </c>
      <c r="DS688" s="4" t="s">
        <v>241</v>
      </c>
      <c r="DV688" s="4" t="s">
        <v>2486</v>
      </c>
      <c r="DW688" s="4" t="s">
        <v>336</v>
      </c>
      <c r="GN688" s="4" t="s">
        <v>2488</v>
      </c>
      <c r="HO688" s="4" t="s">
        <v>300</v>
      </c>
      <c r="HR688" s="4" t="s">
        <v>278</v>
      </c>
      <c r="HS688" s="4" t="s">
        <v>278</v>
      </c>
      <c r="HT688" s="4" t="s">
        <v>241</v>
      </c>
      <c r="HU688" s="4" t="s">
        <v>241</v>
      </c>
      <c r="HV688" s="4" t="s">
        <v>241</v>
      </c>
      <c r="HW688" s="4" t="s">
        <v>241</v>
      </c>
      <c r="HX688" s="4" t="s">
        <v>241</v>
      </c>
      <c r="HY688" s="4" t="s">
        <v>241</v>
      </c>
      <c r="HZ688" s="4" t="s">
        <v>241</v>
      </c>
      <c r="IA688" s="4" t="s">
        <v>241</v>
      </c>
      <c r="IB688" s="4" t="s">
        <v>241</v>
      </c>
      <c r="IC688" s="4" t="s">
        <v>241</v>
      </c>
      <c r="ID688" s="4" t="s">
        <v>241</v>
      </c>
      <c r="IE688" s="4" t="s">
        <v>241</v>
      </c>
      <c r="IF688" s="4" t="s">
        <v>241</v>
      </c>
    </row>
    <row r="689" spans="1:240" x14ac:dyDescent="0.4">
      <c r="A689" s="4">
        <v>2</v>
      </c>
      <c r="B689" s="4" t="s">
        <v>239</v>
      </c>
      <c r="C689" s="4">
        <v>751</v>
      </c>
      <c r="D689" s="4">
        <v>1</v>
      </c>
      <c r="E689" s="4">
        <v>3</v>
      </c>
      <c r="F689" s="4" t="s">
        <v>240</v>
      </c>
      <c r="G689" s="4" t="s">
        <v>241</v>
      </c>
      <c r="H689" s="4" t="s">
        <v>241</v>
      </c>
      <c r="I689" s="4" t="s">
        <v>2484</v>
      </c>
      <c r="J689" s="4" t="s">
        <v>344</v>
      </c>
      <c r="K689" s="4" t="s">
        <v>256</v>
      </c>
      <c r="L689" s="4" t="s">
        <v>2101</v>
      </c>
      <c r="M689" s="5" t="s">
        <v>2485</v>
      </c>
      <c r="N689" s="4" t="s">
        <v>2098</v>
      </c>
      <c r="O689" s="6">
        <f>124.58</f>
        <v>124.58</v>
      </c>
      <c r="P689" s="4" t="s">
        <v>276</v>
      </c>
      <c r="Q689" s="6">
        <f>1</f>
        <v>1</v>
      </c>
      <c r="R689" s="6">
        <f>13080900</f>
        <v>13080900</v>
      </c>
      <c r="S689" s="5" t="s">
        <v>774</v>
      </c>
      <c r="T689" s="4" t="s">
        <v>333</v>
      </c>
      <c r="U689" s="4" t="s">
        <v>777</v>
      </c>
      <c r="V689" s="6">
        <f>13091</f>
        <v>13091</v>
      </c>
      <c r="W689" s="6">
        <f>13080899</f>
        <v>13080899</v>
      </c>
      <c r="X689" s="4" t="s">
        <v>243</v>
      </c>
      <c r="Y689" s="4" t="s">
        <v>244</v>
      </c>
      <c r="Z689" s="4" t="s">
        <v>338</v>
      </c>
      <c r="AA689" s="4" t="s">
        <v>241</v>
      </c>
      <c r="AD689" s="4" t="s">
        <v>241</v>
      </c>
      <c r="AE689" s="5" t="s">
        <v>241</v>
      </c>
      <c r="AF689" s="5" t="s">
        <v>241</v>
      </c>
      <c r="AH689" s="5" t="s">
        <v>241</v>
      </c>
      <c r="AI689" s="5" t="s">
        <v>249</v>
      </c>
      <c r="AJ689" s="4" t="s">
        <v>251</v>
      </c>
      <c r="AK689" s="4" t="s">
        <v>252</v>
      </c>
      <c r="AQ689" s="4" t="s">
        <v>241</v>
      </c>
      <c r="AR689" s="4" t="s">
        <v>241</v>
      </c>
      <c r="AS689" s="4" t="s">
        <v>241</v>
      </c>
      <c r="AT689" s="5" t="s">
        <v>241</v>
      </c>
      <c r="AU689" s="5" t="s">
        <v>241</v>
      </c>
      <c r="AV689" s="5" t="s">
        <v>241</v>
      </c>
      <c r="AY689" s="4" t="s">
        <v>286</v>
      </c>
      <c r="AZ689" s="4" t="s">
        <v>286</v>
      </c>
      <c r="BA689" s="4" t="s">
        <v>254</v>
      </c>
      <c r="BB689" s="4" t="s">
        <v>287</v>
      </c>
      <c r="BC689" s="4" t="s">
        <v>255</v>
      </c>
      <c r="BD689" s="4" t="s">
        <v>241</v>
      </c>
      <c r="BE689" s="4" t="s">
        <v>257</v>
      </c>
      <c r="BF689" s="4" t="s">
        <v>241</v>
      </c>
      <c r="BJ689" s="4" t="s">
        <v>288</v>
      </c>
      <c r="BK689" s="5" t="s">
        <v>289</v>
      </c>
      <c r="BL689" s="4" t="s">
        <v>290</v>
      </c>
      <c r="BM689" s="4" t="s">
        <v>290</v>
      </c>
      <c r="BN689" s="4" t="s">
        <v>241</v>
      </c>
      <c r="BO689" s="6">
        <f>0</f>
        <v>0</v>
      </c>
      <c r="BP689" s="6">
        <f>-13091</f>
        <v>-13091</v>
      </c>
      <c r="BQ689" s="4" t="s">
        <v>263</v>
      </c>
      <c r="BR689" s="4" t="s">
        <v>264</v>
      </c>
      <c r="BS689" s="4" t="s">
        <v>241</v>
      </c>
      <c r="BT689" s="4" t="s">
        <v>241</v>
      </c>
      <c r="BU689" s="4" t="s">
        <v>241</v>
      </c>
      <c r="BV689" s="4" t="s">
        <v>241</v>
      </c>
      <c r="CE689" s="4" t="s">
        <v>264</v>
      </c>
      <c r="CF689" s="4" t="s">
        <v>241</v>
      </c>
      <c r="CG689" s="4" t="s">
        <v>241</v>
      </c>
      <c r="CK689" s="4" t="s">
        <v>265</v>
      </c>
      <c r="CL689" s="4" t="s">
        <v>266</v>
      </c>
      <c r="CM689" s="4" t="s">
        <v>241</v>
      </c>
      <c r="CO689" s="4" t="s">
        <v>662</v>
      </c>
      <c r="CP689" s="5" t="s">
        <v>268</v>
      </c>
      <c r="CQ689" s="4" t="s">
        <v>269</v>
      </c>
      <c r="CR689" s="4" t="s">
        <v>270</v>
      </c>
      <c r="CS689" s="4" t="s">
        <v>293</v>
      </c>
      <c r="CT689" s="4" t="s">
        <v>241</v>
      </c>
      <c r="CU689" s="4">
        <v>2.7E-2</v>
      </c>
      <c r="CV689" s="4" t="s">
        <v>271</v>
      </c>
      <c r="CW689" s="4" t="s">
        <v>411</v>
      </c>
      <c r="CX689" s="4" t="s">
        <v>2130</v>
      </c>
      <c r="CY689" s="6">
        <f>0</f>
        <v>0</v>
      </c>
      <c r="CZ689" s="6">
        <f>13080900</f>
        <v>13080900</v>
      </c>
      <c r="DA689" s="6">
        <f>1</f>
        <v>1</v>
      </c>
      <c r="DC689" s="4" t="s">
        <v>241</v>
      </c>
      <c r="DD689" s="4" t="s">
        <v>241</v>
      </c>
      <c r="DF689" s="4" t="s">
        <v>241</v>
      </c>
      <c r="DG689" s="6">
        <f>0</f>
        <v>0</v>
      </c>
      <c r="DI689" s="4" t="s">
        <v>241</v>
      </c>
      <c r="DJ689" s="4" t="s">
        <v>241</v>
      </c>
      <c r="DK689" s="4" t="s">
        <v>241</v>
      </c>
      <c r="DL689" s="4" t="s">
        <v>241</v>
      </c>
      <c r="DM689" s="4" t="s">
        <v>323</v>
      </c>
      <c r="DN689" s="4" t="s">
        <v>278</v>
      </c>
      <c r="DO689" s="6">
        <f>124.58</f>
        <v>124.58</v>
      </c>
      <c r="DP689" s="4" t="s">
        <v>241</v>
      </c>
      <c r="DQ689" s="4" t="s">
        <v>241</v>
      </c>
      <c r="DR689" s="4" t="s">
        <v>241</v>
      </c>
      <c r="DS689" s="4" t="s">
        <v>241</v>
      </c>
      <c r="DV689" s="4" t="s">
        <v>2486</v>
      </c>
      <c r="DW689" s="4" t="s">
        <v>351</v>
      </c>
      <c r="GN689" s="4" t="s">
        <v>2487</v>
      </c>
      <c r="HO689" s="4" t="s">
        <v>300</v>
      </c>
      <c r="HR689" s="4" t="s">
        <v>278</v>
      </c>
      <c r="HS689" s="4" t="s">
        <v>278</v>
      </c>
      <c r="HT689" s="4" t="s">
        <v>241</v>
      </c>
      <c r="HU689" s="4" t="s">
        <v>241</v>
      </c>
      <c r="HV689" s="4" t="s">
        <v>241</v>
      </c>
      <c r="HW689" s="4" t="s">
        <v>241</v>
      </c>
      <c r="HX689" s="4" t="s">
        <v>241</v>
      </c>
      <c r="HY689" s="4" t="s">
        <v>241</v>
      </c>
      <c r="HZ689" s="4" t="s">
        <v>241</v>
      </c>
      <c r="IA689" s="4" t="s">
        <v>241</v>
      </c>
      <c r="IB689" s="4" t="s">
        <v>241</v>
      </c>
      <c r="IC689" s="4" t="s">
        <v>241</v>
      </c>
      <c r="ID689" s="4" t="s">
        <v>241</v>
      </c>
      <c r="IE689" s="4" t="s">
        <v>241</v>
      </c>
      <c r="IF689" s="4" t="s">
        <v>241</v>
      </c>
    </row>
    <row r="690" spans="1:240" x14ac:dyDescent="0.4">
      <c r="A690" s="4">
        <v>2</v>
      </c>
      <c r="B690" s="4" t="s">
        <v>239</v>
      </c>
      <c r="C690" s="4">
        <v>752</v>
      </c>
      <c r="D690" s="4">
        <v>1</v>
      </c>
      <c r="E690" s="4">
        <v>1</v>
      </c>
      <c r="F690" s="4" t="s">
        <v>240</v>
      </c>
      <c r="G690" s="4" t="s">
        <v>241</v>
      </c>
      <c r="H690" s="4" t="s">
        <v>241</v>
      </c>
      <c r="I690" s="4" t="s">
        <v>2182</v>
      </c>
      <c r="J690" s="4" t="s">
        <v>344</v>
      </c>
      <c r="K690" s="4" t="s">
        <v>256</v>
      </c>
      <c r="L690" s="4" t="s">
        <v>2101</v>
      </c>
      <c r="M690" s="5" t="s">
        <v>2183</v>
      </c>
      <c r="N690" s="4" t="s">
        <v>2104</v>
      </c>
      <c r="O690" s="6">
        <f>142.98</f>
        <v>142.97999999999999</v>
      </c>
      <c r="P690" s="4" t="s">
        <v>276</v>
      </c>
      <c r="Q690" s="6">
        <f>1</f>
        <v>1</v>
      </c>
      <c r="R690" s="6">
        <f>14726940</f>
        <v>14726940</v>
      </c>
      <c r="S690" s="5" t="s">
        <v>900</v>
      </c>
      <c r="T690" s="4" t="s">
        <v>314</v>
      </c>
      <c r="U690" s="4" t="s">
        <v>391</v>
      </c>
      <c r="W690" s="6">
        <f>14726939</f>
        <v>14726939</v>
      </c>
      <c r="X690" s="4" t="s">
        <v>243</v>
      </c>
      <c r="Y690" s="4" t="s">
        <v>244</v>
      </c>
      <c r="Z690" s="4" t="s">
        <v>338</v>
      </c>
      <c r="AA690" s="4" t="s">
        <v>241</v>
      </c>
      <c r="AD690" s="4" t="s">
        <v>241</v>
      </c>
      <c r="AF690" s="5" t="s">
        <v>241</v>
      </c>
      <c r="AI690" s="5" t="s">
        <v>249</v>
      </c>
      <c r="AJ690" s="4" t="s">
        <v>251</v>
      </c>
      <c r="AK690" s="4" t="s">
        <v>252</v>
      </c>
      <c r="BA690" s="4" t="s">
        <v>254</v>
      </c>
      <c r="BB690" s="4" t="s">
        <v>241</v>
      </c>
      <c r="BC690" s="4" t="s">
        <v>255</v>
      </c>
      <c r="BD690" s="4" t="s">
        <v>241</v>
      </c>
      <c r="BE690" s="4" t="s">
        <v>257</v>
      </c>
      <c r="BF690" s="4" t="s">
        <v>241</v>
      </c>
      <c r="BJ690" s="4" t="s">
        <v>377</v>
      </c>
      <c r="BK690" s="5" t="s">
        <v>378</v>
      </c>
      <c r="BL690" s="4" t="s">
        <v>261</v>
      </c>
      <c r="BM690" s="4" t="s">
        <v>262</v>
      </c>
      <c r="BN690" s="4" t="s">
        <v>241</v>
      </c>
      <c r="BO690" s="6">
        <f>0</f>
        <v>0</v>
      </c>
      <c r="BP690" s="6">
        <f>0</f>
        <v>0</v>
      </c>
      <c r="BQ690" s="4" t="s">
        <v>263</v>
      </c>
      <c r="BR690" s="4" t="s">
        <v>264</v>
      </c>
      <c r="CF690" s="4" t="s">
        <v>241</v>
      </c>
      <c r="CG690" s="4" t="s">
        <v>241</v>
      </c>
      <c r="CK690" s="4" t="s">
        <v>291</v>
      </c>
      <c r="CL690" s="4" t="s">
        <v>266</v>
      </c>
      <c r="CM690" s="4" t="s">
        <v>241</v>
      </c>
      <c r="CO690" s="4" t="s">
        <v>390</v>
      </c>
      <c r="CP690" s="5" t="s">
        <v>268</v>
      </c>
      <c r="CQ690" s="4" t="s">
        <v>269</v>
      </c>
      <c r="CR690" s="4" t="s">
        <v>270</v>
      </c>
      <c r="CS690" s="4" t="s">
        <v>241</v>
      </c>
      <c r="CT690" s="4" t="s">
        <v>241</v>
      </c>
      <c r="CU690" s="4">
        <v>0</v>
      </c>
      <c r="CV690" s="4" t="s">
        <v>271</v>
      </c>
      <c r="CW690" s="4" t="s">
        <v>411</v>
      </c>
      <c r="CX690" s="4" t="s">
        <v>347</v>
      </c>
      <c r="CZ690" s="6">
        <f>14726940</f>
        <v>14726940</v>
      </c>
      <c r="DA690" s="6">
        <f>0</f>
        <v>0</v>
      </c>
      <c r="DC690" s="4" t="s">
        <v>241</v>
      </c>
      <c r="DD690" s="4" t="s">
        <v>241</v>
      </c>
      <c r="DF690" s="4" t="s">
        <v>241</v>
      </c>
      <c r="DI690" s="4" t="s">
        <v>241</v>
      </c>
      <c r="DJ690" s="4" t="s">
        <v>241</v>
      </c>
      <c r="DK690" s="4" t="s">
        <v>241</v>
      </c>
      <c r="DL690" s="4" t="s">
        <v>241</v>
      </c>
      <c r="DM690" s="4" t="s">
        <v>323</v>
      </c>
      <c r="DN690" s="4" t="s">
        <v>278</v>
      </c>
      <c r="DO690" s="6">
        <f>142.98</f>
        <v>142.97999999999999</v>
      </c>
      <c r="DP690" s="4" t="s">
        <v>241</v>
      </c>
      <c r="DQ690" s="4" t="s">
        <v>241</v>
      </c>
      <c r="DR690" s="4" t="s">
        <v>241</v>
      </c>
      <c r="DS690" s="4" t="s">
        <v>241</v>
      </c>
      <c r="DV690" s="4" t="s">
        <v>2184</v>
      </c>
      <c r="DW690" s="4" t="s">
        <v>277</v>
      </c>
      <c r="HO690" s="4" t="s">
        <v>277</v>
      </c>
      <c r="HR690" s="4" t="s">
        <v>278</v>
      </c>
      <c r="HS690" s="4" t="s">
        <v>278</v>
      </c>
    </row>
    <row r="691" spans="1:240" x14ac:dyDescent="0.4">
      <c r="A691" s="4">
        <v>2</v>
      </c>
      <c r="B691" s="4" t="s">
        <v>239</v>
      </c>
      <c r="C691" s="4">
        <v>753</v>
      </c>
      <c r="D691" s="4">
        <v>1</v>
      </c>
      <c r="E691" s="4">
        <v>1</v>
      </c>
      <c r="F691" s="4" t="s">
        <v>240</v>
      </c>
      <c r="G691" s="4" t="s">
        <v>241</v>
      </c>
      <c r="H691" s="4" t="s">
        <v>241</v>
      </c>
      <c r="I691" s="4" t="s">
        <v>2182</v>
      </c>
      <c r="J691" s="4" t="s">
        <v>344</v>
      </c>
      <c r="K691" s="4" t="s">
        <v>256</v>
      </c>
      <c r="L691" s="4" t="s">
        <v>2101</v>
      </c>
      <c r="M691" s="5" t="s">
        <v>2183</v>
      </c>
      <c r="N691" s="4" t="s">
        <v>2109</v>
      </c>
      <c r="O691" s="6">
        <f>142.98</f>
        <v>142.97999999999999</v>
      </c>
      <c r="P691" s="4" t="s">
        <v>276</v>
      </c>
      <c r="Q691" s="6">
        <f>1</f>
        <v>1</v>
      </c>
      <c r="R691" s="6">
        <f>14726940</f>
        <v>14726940</v>
      </c>
      <c r="S691" s="5" t="s">
        <v>900</v>
      </c>
      <c r="T691" s="4" t="s">
        <v>314</v>
      </c>
      <c r="U691" s="4" t="s">
        <v>391</v>
      </c>
      <c r="W691" s="6">
        <f>14726939</f>
        <v>14726939</v>
      </c>
      <c r="X691" s="4" t="s">
        <v>243</v>
      </c>
      <c r="Y691" s="4" t="s">
        <v>244</v>
      </c>
      <c r="Z691" s="4" t="s">
        <v>338</v>
      </c>
      <c r="AA691" s="4" t="s">
        <v>241</v>
      </c>
      <c r="AD691" s="4" t="s">
        <v>241</v>
      </c>
      <c r="AF691" s="5" t="s">
        <v>241</v>
      </c>
      <c r="AI691" s="5" t="s">
        <v>249</v>
      </c>
      <c r="AJ691" s="4" t="s">
        <v>251</v>
      </c>
      <c r="AK691" s="4" t="s">
        <v>252</v>
      </c>
      <c r="BA691" s="4" t="s">
        <v>254</v>
      </c>
      <c r="BB691" s="4" t="s">
        <v>241</v>
      </c>
      <c r="BC691" s="4" t="s">
        <v>255</v>
      </c>
      <c r="BD691" s="4" t="s">
        <v>241</v>
      </c>
      <c r="BE691" s="4" t="s">
        <v>257</v>
      </c>
      <c r="BF691" s="4" t="s">
        <v>241</v>
      </c>
      <c r="BJ691" s="4" t="s">
        <v>259</v>
      </c>
      <c r="BK691" s="5" t="s">
        <v>260</v>
      </c>
      <c r="BL691" s="4" t="s">
        <v>261</v>
      </c>
      <c r="BM691" s="4" t="s">
        <v>262</v>
      </c>
      <c r="BN691" s="4" t="s">
        <v>241</v>
      </c>
      <c r="BO691" s="6">
        <f>0</f>
        <v>0</v>
      </c>
      <c r="BP691" s="6">
        <f>0</f>
        <v>0</v>
      </c>
      <c r="BQ691" s="4" t="s">
        <v>263</v>
      </c>
      <c r="BR691" s="4" t="s">
        <v>264</v>
      </c>
      <c r="CF691" s="4" t="s">
        <v>241</v>
      </c>
      <c r="CG691" s="4" t="s">
        <v>241</v>
      </c>
      <c r="CK691" s="4" t="s">
        <v>291</v>
      </c>
      <c r="CL691" s="4" t="s">
        <v>266</v>
      </c>
      <c r="CM691" s="4" t="s">
        <v>241</v>
      </c>
      <c r="CO691" s="4" t="s">
        <v>390</v>
      </c>
      <c r="CP691" s="5" t="s">
        <v>268</v>
      </c>
      <c r="CQ691" s="4" t="s">
        <v>269</v>
      </c>
      <c r="CR691" s="4" t="s">
        <v>270</v>
      </c>
      <c r="CS691" s="4" t="s">
        <v>241</v>
      </c>
      <c r="CT691" s="4" t="s">
        <v>241</v>
      </c>
      <c r="CU691" s="4">
        <v>0</v>
      </c>
      <c r="CV691" s="4" t="s">
        <v>271</v>
      </c>
      <c r="CW691" s="4" t="s">
        <v>411</v>
      </c>
      <c r="CX691" s="4" t="s">
        <v>347</v>
      </c>
      <c r="CZ691" s="6">
        <f>14726940</f>
        <v>14726940</v>
      </c>
      <c r="DA691" s="6">
        <f>0</f>
        <v>0</v>
      </c>
      <c r="DC691" s="4" t="s">
        <v>241</v>
      </c>
      <c r="DD691" s="4" t="s">
        <v>241</v>
      </c>
      <c r="DF691" s="4" t="s">
        <v>241</v>
      </c>
      <c r="DI691" s="4" t="s">
        <v>241</v>
      </c>
      <c r="DJ691" s="4" t="s">
        <v>241</v>
      </c>
      <c r="DK691" s="4" t="s">
        <v>241</v>
      </c>
      <c r="DL691" s="4" t="s">
        <v>241</v>
      </c>
      <c r="DM691" s="4" t="s">
        <v>323</v>
      </c>
      <c r="DN691" s="4" t="s">
        <v>278</v>
      </c>
      <c r="DO691" s="6">
        <f>142.98</f>
        <v>142.97999999999999</v>
      </c>
      <c r="DP691" s="4" t="s">
        <v>241</v>
      </c>
      <c r="DQ691" s="4" t="s">
        <v>241</v>
      </c>
      <c r="DR691" s="4" t="s">
        <v>241</v>
      </c>
      <c r="DS691" s="4" t="s">
        <v>241</v>
      </c>
      <c r="DV691" s="4" t="s">
        <v>2184</v>
      </c>
      <c r="DW691" s="4" t="s">
        <v>323</v>
      </c>
      <c r="HO691" s="4" t="s">
        <v>277</v>
      </c>
      <c r="HR691" s="4" t="s">
        <v>278</v>
      </c>
      <c r="HS691" s="4" t="s">
        <v>278</v>
      </c>
    </row>
    <row r="692" spans="1:240" x14ac:dyDescent="0.4">
      <c r="A692" s="4">
        <v>2</v>
      </c>
      <c r="B692" s="4" t="s">
        <v>239</v>
      </c>
      <c r="C692" s="4">
        <v>754</v>
      </c>
      <c r="D692" s="4">
        <v>1</v>
      </c>
      <c r="E692" s="4">
        <v>1</v>
      </c>
      <c r="F692" s="4" t="s">
        <v>240</v>
      </c>
      <c r="G692" s="4" t="s">
        <v>241</v>
      </c>
      <c r="H692" s="4" t="s">
        <v>241</v>
      </c>
      <c r="I692" s="4" t="s">
        <v>2182</v>
      </c>
      <c r="J692" s="4" t="s">
        <v>344</v>
      </c>
      <c r="K692" s="4" t="s">
        <v>256</v>
      </c>
      <c r="L692" s="4" t="s">
        <v>2101</v>
      </c>
      <c r="M692" s="5" t="s">
        <v>2183</v>
      </c>
      <c r="N692" s="4" t="s">
        <v>2110</v>
      </c>
      <c r="O692" s="6">
        <f>142.98</f>
        <v>142.97999999999999</v>
      </c>
      <c r="P692" s="4" t="s">
        <v>276</v>
      </c>
      <c r="Q692" s="6">
        <f>1</f>
        <v>1</v>
      </c>
      <c r="R692" s="6">
        <f>14726940</f>
        <v>14726940</v>
      </c>
      <c r="S692" s="5" t="s">
        <v>900</v>
      </c>
      <c r="T692" s="4" t="s">
        <v>314</v>
      </c>
      <c r="U692" s="4" t="s">
        <v>391</v>
      </c>
      <c r="W692" s="6">
        <f>14726939</f>
        <v>14726939</v>
      </c>
      <c r="X692" s="4" t="s">
        <v>243</v>
      </c>
      <c r="Y692" s="4" t="s">
        <v>244</v>
      </c>
      <c r="Z692" s="4" t="s">
        <v>338</v>
      </c>
      <c r="AA692" s="4" t="s">
        <v>241</v>
      </c>
      <c r="AD692" s="4" t="s">
        <v>241</v>
      </c>
      <c r="AF692" s="5" t="s">
        <v>241</v>
      </c>
      <c r="AI692" s="5" t="s">
        <v>249</v>
      </c>
      <c r="AJ692" s="4" t="s">
        <v>251</v>
      </c>
      <c r="AK692" s="4" t="s">
        <v>252</v>
      </c>
      <c r="BA692" s="4" t="s">
        <v>254</v>
      </c>
      <c r="BB692" s="4" t="s">
        <v>241</v>
      </c>
      <c r="BC692" s="4" t="s">
        <v>255</v>
      </c>
      <c r="BD692" s="4" t="s">
        <v>241</v>
      </c>
      <c r="BE692" s="4" t="s">
        <v>257</v>
      </c>
      <c r="BF692" s="4" t="s">
        <v>241</v>
      </c>
      <c r="BJ692" s="4" t="s">
        <v>367</v>
      </c>
      <c r="BK692" s="5" t="s">
        <v>249</v>
      </c>
      <c r="BL692" s="4" t="s">
        <v>261</v>
      </c>
      <c r="BM692" s="4" t="s">
        <v>262</v>
      </c>
      <c r="BN692" s="4" t="s">
        <v>241</v>
      </c>
      <c r="BO692" s="6">
        <f>0</f>
        <v>0</v>
      </c>
      <c r="BP692" s="6">
        <f>0</f>
        <v>0</v>
      </c>
      <c r="BQ692" s="4" t="s">
        <v>263</v>
      </c>
      <c r="BR692" s="4" t="s">
        <v>264</v>
      </c>
      <c r="CF692" s="4" t="s">
        <v>241</v>
      </c>
      <c r="CG692" s="4" t="s">
        <v>241</v>
      </c>
      <c r="CK692" s="4" t="s">
        <v>291</v>
      </c>
      <c r="CL692" s="4" t="s">
        <v>266</v>
      </c>
      <c r="CM692" s="4" t="s">
        <v>241</v>
      </c>
      <c r="CO692" s="4" t="s">
        <v>390</v>
      </c>
      <c r="CP692" s="5" t="s">
        <v>268</v>
      </c>
      <c r="CQ692" s="4" t="s">
        <v>269</v>
      </c>
      <c r="CR692" s="4" t="s">
        <v>270</v>
      </c>
      <c r="CS692" s="4" t="s">
        <v>241</v>
      </c>
      <c r="CT692" s="4" t="s">
        <v>241</v>
      </c>
      <c r="CU692" s="4">
        <v>0</v>
      </c>
      <c r="CV692" s="4" t="s">
        <v>271</v>
      </c>
      <c r="CW692" s="4" t="s">
        <v>411</v>
      </c>
      <c r="CX692" s="4" t="s">
        <v>347</v>
      </c>
      <c r="CZ692" s="6">
        <f>14726940</f>
        <v>14726940</v>
      </c>
      <c r="DA692" s="6">
        <f>0</f>
        <v>0</v>
      </c>
      <c r="DC692" s="4" t="s">
        <v>241</v>
      </c>
      <c r="DD692" s="4" t="s">
        <v>241</v>
      </c>
      <c r="DF692" s="4" t="s">
        <v>241</v>
      </c>
      <c r="DI692" s="4" t="s">
        <v>241</v>
      </c>
      <c r="DJ692" s="4" t="s">
        <v>241</v>
      </c>
      <c r="DK692" s="4" t="s">
        <v>241</v>
      </c>
      <c r="DL692" s="4" t="s">
        <v>241</v>
      </c>
      <c r="DM692" s="4" t="s">
        <v>323</v>
      </c>
      <c r="DN692" s="4" t="s">
        <v>278</v>
      </c>
      <c r="DO692" s="6">
        <f>142.98</f>
        <v>142.97999999999999</v>
      </c>
      <c r="DP692" s="4" t="s">
        <v>241</v>
      </c>
      <c r="DQ692" s="4" t="s">
        <v>241</v>
      </c>
      <c r="DR692" s="4" t="s">
        <v>241</v>
      </c>
      <c r="DS692" s="4" t="s">
        <v>241</v>
      </c>
      <c r="DV692" s="4" t="s">
        <v>2184</v>
      </c>
      <c r="DW692" s="4" t="s">
        <v>297</v>
      </c>
      <c r="HO692" s="4" t="s">
        <v>277</v>
      </c>
      <c r="HR692" s="4" t="s">
        <v>278</v>
      </c>
      <c r="HS692" s="4" t="s">
        <v>278</v>
      </c>
    </row>
    <row r="693" spans="1:240" x14ac:dyDescent="0.4">
      <c r="A693" s="4">
        <v>2</v>
      </c>
      <c r="B693" s="4" t="s">
        <v>239</v>
      </c>
      <c r="C693" s="4">
        <v>755</v>
      </c>
      <c r="D693" s="4">
        <v>1</v>
      </c>
      <c r="E693" s="4">
        <v>1</v>
      </c>
      <c r="F693" s="4" t="s">
        <v>240</v>
      </c>
      <c r="G693" s="4" t="s">
        <v>241</v>
      </c>
      <c r="H693" s="4" t="s">
        <v>241</v>
      </c>
      <c r="I693" s="4" t="s">
        <v>2203</v>
      </c>
      <c r="J693" s="4" t="s">
        <v>344</v>
      </c>
      <c r="K693" s="4" t="s">
        <v>256</v>
      </c>
      <c r="L693" s="4" t="s">
        <v>2101</v>
      </c>
      <c r="M693" s="5" t="s">
        <v>2204</v>
      </c>
      <c r="N693" s="4" t="s">
        <v>2114</v>
      </c>
      <c r="O693" s="6">
        <f>36.3</f>
        <v>36.299999999999997</v>
      </c>
      <c r="P693" s="4" t="s">
        <v>276</v>
      </c>
      <c r="Q693" s="6">
        <f>1</f>
        <v>1</v>
      </c>
      <c r="R693" s="6">
        <f>3630000</f>
        <v>3630000</v>
      </c>
      <c r="S693" s="5" t="s">
        <v>2160</v>
      </c>
      <c r="T693" s="4" t="s">
        <v>314</v>
      </c>
      <c r="U693" s="4" t="s">
        <v>791</v>
      </c>
      <c r="W693" s="6">
        <f>3629999</f>
        <v>3629999</v>
      </c>
      <c r="X693" s="4" t="s">
        <v>243</v>
      </c>
      <c r="Y693" s="4" t="s">
        <v>244</v>
      </c>
      <c r="Z693" s="4" t="s">
        <v>338</v>
      </c>
      <c r="AA693" s="4" t="s">
        <v>241</v>
      </c>
      <c r="AD693" s="4" t="s">
        <v>241</v>
      </c>
      <c r="AF693" s="5" t="s">
        <v>241</v>
      </c>
      <c r="AI693" s="5" t="s">
        <v>249</v>
      </c>
      <c r="AJ693" s="4" t="s">
        <v>251</v>
      </c>
      <c r="AK693" s="4" t="s">
        <v>252</v>
      </c>
      <c r="BA693" s="4" t="s">
        <v>254</v>
      </c>
      <c r="BB693" s="4" t="s">
        <v>241</v>
      </c>
      <c r="BC693" s="4" t="s">
        <v>255</v>
      </c>
      <c r="BD693" s="4" t="s">
        <v>241</v>
      </c>
      <c r="BE693" s="4" t="s">
        <v>257</v>
      </c>
      <c r="BF693" s="4" t="s">
        <v>241</v>
      </c>
      <c r="BJ693" s="4" t="s">
        <v>374</v>
      </c>
      <c r="BK693" s="5" t="s">
        <v>375</v>
      </c>
      <c r="BL693" s="4" t="s">
        <v>261</v>
      </c>
      <c r="BM693" s="4" t="s">
        <v>262</v>
      </c>
      <c r="BN693" s="4" t="s">
        <v>241</v>
      </c>
      <c r="BO693" s="6">
        <f>0</f>
        <v>0</v>
      </c>
      <c r="BP693" s="6">
        <f>0</f>
        <v>0</v>
      </c>
      <c r="BQ693" s="4" t="s">
        <v>263</v>
      </c>
      <c r="BR693" s="4" t="s">
        <v>264</v>
      </c>
      <c r="CF693" s="4" t="s">
        <v>241</v>
      </c>
      <c r="CG693" s="4" t="s">
        <v>241</v>
      </c>
      <c r="CK693" s="4" t="s">
        <v>265</v>
      </c>
      <c r="CL693" s="4" t="s">
        <v>266</v>
      </c>
      <c r="CM693" s="4" t="s">
        <v>241</v>
      </c>
      <c r="CO693" s="4" t="s">
        <v>790</v>
      </c>
      <c r="CP693" s="5" t="s">
        <v>268</v>
      </c>
      <c r="CQ693" s="4" t="s">
        <v>269</v>
      </c>
      <c r="CR693" s="4" t="s">
        <v>270</v>
      </c>
      <c r="CS693" s="4" t="s">
        <v>241</v>
      </c>
      <c r="CT693" s="4" t="s">
        <v>241</v>
      </c>
      <c r="CU693" s="4">
        <v>0</v>
      </c>
      <c r="CV693" s="4" t="s">
        <v>271</v>
      </c>
      <c r="CW693" s="4" t="s">
        <v>411</v>
      </c>
      <c r="CX693" s="4" t="s">
        <v>347</v>
      </c>
      <c r="CZ693" s="6">
        <f>3630000</f>
        <v>3630000</v>
      </c>
      <c r="DA693" s="6">
        <f>0</f>
        <v>0</v>
      </c>
      <c r="DC693" s="4" t="s">
        <v>241</v>
      </c>
      <c r="DD693" s="4" t="s">
        <v>241</v>
      </c>
      <c r="DF693" s="4" t="s">
        <v>241</v>
      </c>
      <c r="DI693" s="4" t="s">
        <v>241</v>
      </c>
      <c r="DJ693" s="4" t="s">
        <v>241</v>
      </c>
      <c r="DK693" s="4" t="s">
        <v>241</v>
      </c>
      <c r="DL693" s="4" t="s">
        <v>241</v>
      </c>
      <c r="DM693" s="4" t="s">
        <v>277</v>
      </c>
      <c r="DN693" s="4" t="s">
        <v>278</v>
      </c>
      <c r="DO693" s="6">
        <f>36.3</f>
        <v>36.299999999999997</v>
      </c>
      <c r="DP693" s="4" t="s">
        <v>241</v>
      </c>
      <c r="DQ693" s="4" t="s">
        <v>241</v>
      </c>
      <c r="DR693" s="4" t="s">
        <v>241</v>
      </c>
      <c r="DS693" s="4" t="s">
        <v>241</v>
      </c>
      <c r="DV693" s="4" t="s">
        <v>2205</v>
      </c>
      <c r="DW693" s="4" t="s">
        <v>277</v>
      </c>
      <c r="HO693" s="4" t="s">
        <v>277</v>
      </c>
      <c r="HR693" s="4" t="s">
        <v>278</v>
      </c>
      <c r="HS693" s="4" t="s">
        <v>278</v>
      </c>
    </row>
    <row r="694" spans="1:240" x14ac:dyDescent="0.4">
      <c r="A694" s="4">
        <v>2</v>
      </c>
      <c r="B694" s="4" t="s">
        <v>239</v>
      </c>
      <c r="C694" s="4">
        <v>756</v>
      </c>
      <c r="D694" s="4">
        <v>1</v>
      </c>
      <c r="E694" s="4">
        <v>1</v>
      </c>
      <c r="F694" s="4" t="s">
        <v>240</v>
      </c>
      <c r="G694" s="4" t="s">
        <v>241</v>
      </c>
      <c r="H694" s="4" t="s">
        <v>241</v>
      </c>
      <c r="I694" s="4" t="s">
        <v>2203</v>
      </c>
      <c r="J694" s="4" t="s">
        <v>344</v>
      </c>
      <c r="K694" s="4" t="s">
        <v>256</v>
      </c>
      <c r="L694" s="4" t="s">
        <v>2101</v>
      </c>
      <c r="M694" s="5" t="s">
        <v>2204</v>
      </c>
      <c r="N694" s="4" t="s">
        <v>2114</v>
      </c>
      <c r="O694" s="6">
        <f>36.3</f>
        <v>36.299999999999997</v>
      </c>
      <c r="P694" s="4" t="s">
        <v>276</v>
      </c>
      <c r="Q694" s="6">
        <f>1</f>
        <v>1</v>
      </c>
      <c r="R694" s="6">
        <f>3630000</f>
        <v>3630000</v>
      </c>
      <c r="S694" s="5" t="s">
        <v>2160</v>
      </c>
      <c r="T694" s="4" t="s">
        <v>314</v>
      </c>
      <c r="U694" s="4" t="s">
        <v>791</v>
      </c>
      <c r="W694" s="6">
        <f>3629999</f>
        <v>3629999</v>
      </c>
      <c r="X694" s="4" t="s">
        <v>243</v>
      </c>
      <c r="Y694" s="4" t="s">
        <v>244</v>
      </c>
      <c r="Z694" s="4" t="s">
        <v>338</v>
      </c>
      <c r="AA694" s="4" t="s">
        <v>241</v>
      </c>
      <c r="AD694" s="4" t="s">
        <v>241</v>
      </c>
      <c r="AF694" s="5" t="s">
        <v>241</v>
      </c>
      <c r="AI694" s="5" t="s">
        <v>249</v>
      </c>
      <c r="AJ694" s="4" t="s">
        <v>251</v>
      </c>
      <c r="AK694" s="4" t="s">
        <v>252</v>
      </c>
      <c r="BA694" s="4" t="s">
        <v>254</v>
      </c>
      <c r="BB694" s="4" t="s">
        <v>241</v>
      </c>
      <c r="BC694" s="4" t="s">
        <v>255</v>
      </c>
      <c r="BD694" s="4" t="s">
        <v>241</v>
      </c>
      <c r="BE694" s="4" t="s">
        <v>257</v>
      </c>
      <c r="BF694" s="4" t="s">
        <v>241</v>
      </c>
      <c r="BJ694" s="4" t="s">
        <v>377</v>
      </c>
      <c r="BK694" s="5" t="s">
        <v>378</v>
      </c>
      <c r="BL694" s="4" t="s">
        <v>261</v>
      </c>
      <c r="BM694" s="4" t="s">
        <v>262</v>
      </c>
      <c r="BN694" s="4" t="s">
        <v>241</v>
      </c>
      <c r="BO694" s="6">
        <f>0</f>
        <v>0</v>
      </c>
      <c r="BP694" s="6">
        <f>0</f>
        <v>0</v>
      </c>
      <c r="BQ694" s="4" t="s">
        <v>263</v>
      </c>
      <c r="BR694" s="4" t="s">
        <v>264</v>
      </c>
      <c r="CF694" s="4" t="s">
        <v>241</v>
      </c>
      <c r="CG694" s="4" t="s">
        <v>241</v>
      </c>
      <c r="CK694" s="4" t="s">
        <v>265</v>
      </c>
      <c r="CL694" s="4" t="s">
        <v>266</v>
      </c>
      <c r="CM694" s="4" t="s">
        <v>241</v>
      </c>
      <c r="CO694" s="4" t="s">
        <v>790</v>
      </c>
      <c r="CP694" s="5" t="s">
        <v>268</v>
      </c>
      <c r="CQ694" s="4" t="s">
        <v>269</v>
      </c>
      <c r="CR694" s="4" t="s">
        <v>270</v>
      </c>
      <c r="CS694" s="4" t="s">
        <v>241</v>
      </c>
      <c r="CT694" s="4" t="s">
        <v>241</v>
      </c>
      <c r="CU694" s="4">
        <v>0</v>
      </c>
      <c r="CV694" s="4" t="s">
        <v>271</v>
      </c>
      <c r="CW694" s="4" t="s">
        <v>411</v>
      </c>
      <c r="CX694" s="4" t="s">
        <v>347</v>
      </c>
      <c r="CZ694" s="6">
        <f>3630000</f>
        <v>3630000</v>
      </c>
      <c r="DA694" s="6">
        <f>0</f>
        <v>0</v>
      </c>
      <c r="DC694" s="4" t="s">
        <v>241</v>
      </c>
      <c r="DD694" s="4" t="s">
        <v>241</v>
      </c>
      <c r="DF694" s="4" t="s">
        <v>241</v>
      </c>
      <c r="DI694" s="4" t="s">
        <v>241</v>
      </c>
      <c r="DJ694" s="4" t="s">
        <v>241</v>
      </c>
      <c r="DK694" s="4" t="s">
        <v>241</v>
      </c>
      <c r="DL694" s="4" t="s">
        <v>241</v>
      </c>
      <c r="DM694" s="4" t="s">
        <v>277</v>
      </c>
      <c r="DN694" s="4" t="s">
        <v>278</v>
      </c>
      <c r="DO694" s="6">
        <f>36.3</f>
        <v>36.299999999999997</v>
      </c>
      <c r="DP694" s="4" t="s">
        <v>241</v>
      </c>
      <c r="DQ694" s="4" t="s">
        <v>241</v>
      </c>
      <c r="DR694" s="4" t="s">
        <v>241</v>
      </c>
      <c r="DS694" s="4" t="s">
        <v>241</v>
      </c>
      <c r="DV694" s="4" t="s">
        <v>2205</v>
      </c>
      <c r="DW694" s="4" t="s">
        <v>323</v>
      </c>
      <c r="HO694" s="4" t="s">
        <v>277</v>
      </c>
      <c r="HR694" s="4" t="s">
        <v>278</v>
      </c>
      <c r="HS694" s="4" t="s">
        <v>278</v>
      </c>
    </row>
    <row r="695" spans="1:240" x14ac:dyDescent="0.4">
      <c r="A695" s="4">
        <v>2</v>
      </c>
      <c r="B695" s="4" t="s">
        <v>239</v>
      </c>
      <c r="C695" s="4">
        <v>757</v>
      </c>
      <c r="D695" s="4">
        <v>1</v>
      </c>
      <c r="E695" s="4">
        <v>1</v>
      </c>
      <c r="F695" s="4" t="s">
        <v>240</v>
      </c>
      <c r="G695" s="4" t="s">
        <v>241</v>
      </c>
      <c r="H695" s="4" t="s">
        <v>241</v>
      </c>
      <c r="I695" s="4" t="s">
        <v>2203</v>
      </c>
      <c r="J695" s="4" t="s">
        <v>344</v>
      </c>
      <c r="K695" s="4" t="s">
        <v>256</v>
      </c>
      <c r="L695" s="4" t="s">
        <v>2101</v>
      </c>
      <c r="M695" s="5" t="s">
        <v>2204</v>
      </c>
      <c r="N695" s="4" t="s">
        <v>2114</v>
      </c>
      <c r="O695" s="6">
        <f>36.3</f>
        <v>36.299999999999997</v>
      </c>
      <c r="P695" s="4" t="s">
        <v>276</v>
      </c>
      <c r="Q695" s="6">
        <f>1</f>
        <v>1</v>
      </c>
      <c r="R695" s="6">
        <f>3630000</f>
        <v>3630000</v>
      </c>
      <c r="S695" s="5" t="s">
        <v>2160</v>
      </c>
      <c r="T695" s="4" t="s">
        <v>314</v>
      </c>
      <c r="U695" s="4" t="s">
        <v>791</v>
      </c>
      <c r="W695" s="6">
        <f>3629999</f>
        <v>3629999</v>
      </c>
      <c r="X695" s="4" t="s">
        <v>243</v>
      </c>
      <c r="Y695" s="4" t="s">
        <v>244</v>
      </c>
      <c r="Z695" s="4" t="s">
        <v>338</v>
      </c>
      <c r="AA695" s="4" t="s">
        <v>241</v>
      </c>
      <c r="AD695" s="4" t="s">
        <v>241</v>
      </c>
      <c r="AF695" s="5" t="s">
        <v>241</v>
      </c>
      <c r="AI695" s="5" t="s">
        <v>249</v>
      </c>
      <c r="AJ695" s="4" t="s">
        <v>251</v>
      </c>
      <c r="AK695" s="4" t="s">
        <v>252</v>
      </c>
      <c r="BA695" s="4" t="s">
        <v>254</v>
      </c>
      <c r="BB695" s="4" t="s">
        <v>241</v>
      </c>
      <c r="BC695" s="4" t="s">
        <v>255</v>
      </c>
      <c r="BD695" s="4" t="s">
        <v>241</v>
      </c>
      <c r="BE695" s="4" t="s">
        <v>257</v>
      </c>
      <c r="BF695" s="4" t="s">
        <v>241</v>
      </c>
      <c r="BJ695" s="4" t="s">
        <v>259</v>
      </c>
      <c r="BK695" s="5" t="s">
        <v>260</v>
      </c>
      <c r="BL695" s="4" t="s">
        <v>261</v>
      </c>
      <c r="BM695" s="4" t="s">
        <v>262</v>
      </c>
      <c r="BN695" s="4" t="s">
        <v>241</v>
      </c>
      <c r="BO695" s="6">
        <f>0</f>
        <v>0</v>
      </c>
      <c r="BP695" s="6">
        <f>0</f>
        <v>0</v>
      </c>
      <c r="BQ695" s="4" t="s">
        <v>263</v>
      </c>
      <c r="BR695" s="4" t="s">
        <v>264</v>
      </c>
      <c r="CF695" s="4" t="s">
        <v>241</v>
      </c>
      <c r="CG695" s="4" t="s">
        <v>241</v>
      </c>
      <c r="CK695" s="4" t="s">
        <v>265</v>
      </c>
      <c r="CL695" s="4" t="s">
        <v>266</v>
      </c>
      <c r="CM695" s="4" t="s">
        <v>241</v>
      </c>
      <c r="CO695" s="4" t="s">
        <v>790</v>
      </c>
      <c r="CP695" s="5" t="s">
        <v>268</v>
      </c>
      <c r="CQ695" s="4" t="s">
        <v>269</v>
      </c>
      <c r="CR695" s="4" t="s">
        <v>270</v>
      </c>
      <c r="CS695" s="4" t="s">
        <v>241</v>
      </c>
      <c r="CT695" s="4" t="s">
        <v>241</v>
      </c>
      <c r="CU695" s="4">
        <v>0</v>
      </c>
      <c r="CV695" s="4" t="s">
        <v>271</v>
      </c>
      <c r="CW695" s="4" t="s">
        <v>411</v>
      </c>
      <c r="CX695" s="4" t="s">
        <v>347</v>
      </c>
      <c r="CZ695" s="6">
        <f>3630000</f>
        <v>3630000</v>
      </c>
      <c r="DA695" s="6">
        <f>0</f>
        <v>0</v>
      </c>
      <c r="DC695" s="4" t="s">
        <v>241</v>
      </c>
      <c r="DD695" s="4" t="s">
        <v>241</v>
      </c>
      <c r="DF695" s="4" t="s">
        <v>241</v>
      </c>
      <c r="DI695" s="4" t="s">
        <v>241</v>
      </c>
      <c r="DJ695" s="4" t="s">
        <v>241</v>
      </c>
      <c r="DK695" s="4" t="s">
        <v>241</v>
      </c>
      <c r="DL695" s="4" t="s">
        <v>241</v>
      </c>
      <c r="DM695" s="4" t="s">
        <v>277</v>
      </c>
      <c r="DN695" s="4" t="s">
        <v>278</v>
      </c>
      <c r="DO695" s="6">
        <f>36.3</f>
        <v>36.299999999999997</v>
      </c>
      <c r="DP695" s="4" t="s">
        <v>241</v>
      </c>
      <c r="DQ695" s="4" t="s">
        <v>241</v>
      </c>
      <c r="DR695" s="4" t="s">
        <v>241</v>
      </c>
      <c r="DS695" s="4" t="s">
        <v>241</v>
      </c>
      <c r="DV695" s="4" t="s">
        <v>2205</v>
      </c>
      <c r="DW695" s="4" t="s">
        <v>297</v>
      </c>
      <c r="HO695" s="4" t="s">
        <v>277</v>
      </c>
      <c r="HR695" s="4" t="s">
        <v>278</v>
      </c>
      <c r="HS695" s="4" t="s">
        <v>278</v>
      </c>
    </row>
    <row r="696" spans="1:240" x14ac:dyDescent="0.4">
      <c r="A696" s="4">
        <v>2</v>
      </c>
      <c r="B696" s="4" t="s">
        <v>239</v>
      </c>
      <c r="C696" s="4">
        <v>760</v>
      </c>
      <c r="D696" s="4">
        <v>1</v>
      </c>
      <c r="E696" s="4">
        <v>1</v>
      </c>
      <c r="F696" s="4" t="s">
        <v>240</v>
      </c>
      <c r="G696" s="4" t="s">
        <v>241</v>
      </c>
      <c r="H696" s="4" t="s">
        <v>241</v>
      </c>
      <c r="I696" s="4" t="s">
        <v>2206</v>
      </c>
      <c r="J696" s="4" t="s">
        <v>344</v>
      </c>
      <c r="K696" s="4" t="s">
        <v>256</v>
      </c>
      <c r="L696" s="4" t="s">
        <v>2101</v>
      </c>
      <c r="M696" s="5" t="s">
        <v>2120</v>
      </c>
      <c r="N696" s="4" t="s">
        <v>2114</v>
      </c>
      <c r="O696" s="6">
        <f>64.8</f>
        <v>64.8</v>
      </c>
      <c r="P696" s="4" t="s">
        <v>276</v>
      </c>
      <c r="Q696" s="6">
        <f>1</f>
        <v>1</v>
      </c>
      <c r="R696" s="6">
        <f>6480000</f>
        <v>6480000</v>
      </c>
      <c r="S696" s="5" t="s">
        <v>2207</v>
      </c>
      <c r="T696" s="4" t="s">
        <v>314</v>
      </c>
      <c r="U696" s="4" t="s">
        <v>1110</v>
      </c>
      <c r="W696" s="6">
        <f>6479999</f>
        <v>6479999</v>
      </c>
      <c r="X696" s="4" t="s">
        <v>243</v>
      </c>
      <c r="Y696" s="4" t="s">
        <v>244</v>
      </c>
      <c r="Z696" s="4" t="s">
        <v>338</v>
      </c>
      <c r="AA696" s="4" t="s">
        <v>241</v>
      </c>
      <c r="AD696" s="4" t="s">
        <v>241</v>
      </c>
      <c r="AF696" s="5" t="s">
        <v>241</v>
      </c>
      <c r="AI696" s="5" t="s">
        <v>249</v>
      </c>
      <c r="AJ696" s="4" t="s">
        <v>251</v>
      </c>
      <c r="AK696" s="4" t="s">
        <v>252</v>
      </c>
      <c r="BA696" s="4" t="s">
        <v>254</v>
      </c>
      <c r="BB696" s="4" t="s">
        <v>241</v>
      </c>
      <c r="BC696" s="4" t="s">
        <v>255</v>
      </c>
      <c r="BD696" s="4" t="s">
        <v>241</v>
      </c>
      <c r="BE696" s="4" t="s">
        <v>257</v>
      </c>
      <c r="BF696" s="4" t="s">
        <v>241</v>
      </c>
      <c r="BJ696" s="4" t="s">
        <v>374</v>
      </c>
      <c r="BK696" s="5" t="s">
        <v>375</v>
      </c>
      <c r="BL696" s="4" t="s">
        <v>261</v>
      </c>
      <c r="BM696" s="4" t="s">
        <v>262</v>
      </c>
      <c r="BN696" s="4" t="s">
        <v>241</v>
      </c>
      <c r="BO696" s="6">
        <f>0</f>
        <v>0</v>
      </c>
      <c r="BP696" s="6">
        <f>0</f>
        <v>0</v>
      </c>
      <c r="BQ696" s="4" t="s">
        <v>263</v>
      </c>
      <c r="BR696" s="4" t="s">
        <v>264</v>
      </c>
      <c r="CF696" s="4" t="s">
        <v>241</v>
      </c>
      <c r="CG696" s="4" t="s">
        <v>241</v>
      </c>
      <c r="CK696" s="4" t="s">
        <v>265</v>
      </c>
      <c r="CL696" s="4" t="s">
        <v>266</v>
      </c>
      <c r="CM696" s="4" t="s">
        <v>241</v>
      </c>
      <c r="CO696" s="4" t="s">
        <v>1109</v>
      </c>
      <c r="CP696" s="5" t="s">
        <v>268</v>
      </c>
      <c r="CQ696" s="4" t="s">
        <v>269</v>
      </c>
      <c r="CR696" s="4" t="s">
        <v>270</v>
      </c>
      <c r="CS696" s="4" t="s">
        <v>241</v>
      </c>
      <c r="CT696" s="4" t="s">
        <v>241</v>
      </c>
      <c r="CU696" s="4">
        <v>0</v>
      </c>
      <c r="CV696" s="4" t="s">
        <v>271</v>
      </c>
      <c r="CW696" s="4" t="s">
        <v>411</v>
      </c>
      <c r="CX696" s="4" t="s">
        <v>347</v>
      </c>
      <c r="CZ696" s="6">
        <f>6480000</f>
        <v>6480000</v>
      </c>
      <c r="DA696" s="6">
        <f>0</f>
        <v>0</v>
      </c>
      <c r="DC696" s="4" t="s">
        <v>241</v>
      </c>
      <c r="DD696" s="4" t="s">
        <v>241</v>
      </c>
      <c r="DF696" s="4" t="s">
        <v>241</v>
      </c>
      <c r="DI696" s="4" t="s">
        <v>241</v>
      </c>
      <c r="DJ696" s="4" t="s">
        <v>241</v>
      </c>
      <c r="DK696" s="4" t="s">
        <v>241</v>
      </c>
      <c r="DL696" s="4" t="s">
        <v>241</v>
      </c>
      <c r="DM696" s="4" t="s">
        <v>277</v>
      </c>
      <c r="DN696" s="4" t="s">
        <v>278</v>
      </c>
      <c r="DO696" s="6">
        <f>64.8</f>
        <v>64.8</v>
      </c>
      <c r="DP696" s="4" t="s">
        <v>241</v>
      </c>
      <c r="DQ696" s="4" t="s">
        <v>241</v>
      </c>
      <c r="DR696" s="4" t="s">
        <v>241</v>
      </c>
      <c r="DS696" s="4" t="s">
        <v>241</v>
      </c>
      <c r="DV696" s="4" t="s">
        <v>2208</v>
      </c>
      <c r="DW696" s="4" t="s">
        <v>323</v>
      </c>
      <c r="HO696" s="4" t="s">
        <v>277</v>
      </c>
      <c r="HR696" s="4" t="s">
        <v>278</v>
      </c>
      <c r="HS696" s="4" t="s">
        <v>278</v>
      </c>
    </row>
    <row r="697" spans="1:240" x14ac:dyDescent="0.4">
      <c r="A697" s="4">
        <v>2</v>
      </c>
      <c r="B697" s="4" t="s">
        <v>239</v>
      </c>
      <c r="C697" s="4">
        <v>761</v>
      </c>
      <c r="D697" s="4">
        <v>1</v>
      </c>
      <c r="E697" s="4">
        <v>1</v>
      </c>
      <c r="F697" s="4" t="s">
        <v>240</v>
      </c>
      <c r="G697" s="4" t="s">
        <v>241</v>
      </c>
      <c r="H697" s="4" t="s">
        <v>241</v>
      </c>
      <c r="I697" s="4" t="s">
        <v>2206</v>
      </c>
      <c r="J697" s="4" t="s">
        <v>344</v>
      </c>
      <c r="K697" s="4" t="s">
        <v>256</v>
      </c>
      <c r="L697" s="4" t="s">
        <v>2101</v>
      </c>
      <c r="M697" s="5" t="s">
        <v>2120</v>
      </c>
      <c r="N697" s="4" t="s">
        <v>2114</v>
      </c>
      <c r="O697" s="6">
        <f>32.4</f>
        <v>32.4</v>
      </c>
      <c r="P697" s="4" t="s">
        <v>276</v>
      </c>
      <c r="Q697" s="6">
        <f>1</f>
        <v>1</v>
      </c>
      <c r="R697" s="6">
        <f>3240000</f>
        <v>3240000</v>
      </c>
      <c r="S697" s="5" t="s">
        <v>2207</v>
      </c>
      <c r="T697" s="4" t="s">
        <v>314</v>
      </c>
      <c r="U697" s="4" t="s">
        <v>1110</v>
      </c>
      <c r="W697" s="6">
        <f>3239999</f>
        <v>3239999</v>
      </c>
      <c r="X697" s="4" t="s">
        <v>243</v>
      </c>
      <c r="Y697" s="4" t="s">
        <v>244</v>
      </c>
      <c r="Z697" s="4" t="s">
        <v>338</v>
      </c>
      <c r="AA697" s="4" t="s">
        <v>241</v>
      </c>
      <c r="AD697" s="4" t="s">
        <v>241</v>
      </c>
      <c r="AF697" s="5" t="s">
        <v>241</v>
      </c>
      <c r="AI697" s="5" t="s">
        <v>249</v>
      </c>
      <c r="AJ697" s="4" t="s">
        <v>251</v>
      </c>
      <c r="AK697" s="4" t="s">
        <v>252</v>
      </c>
      <c r="BA697" s="4" t="s">
        <v>254</v>
      </c>
      <c r="BB697" s="4" t="s">
        <v>241</v>
      </c>
      <c r="BC697" s="4" t="s">
        <v>255</v>
      </c>
      <c r="BD697" s="4" t="s">
        <v>241</v>
      </c>
      <c r="BE697" s="4" t="s">
        <v>257</v>
      </c>
      <c r="BF697" s="4" t="s">
        <v>241</v>
      </c>
      <c r="BJ697" s="4" t="s">
        <v>377</v>
      </c>
      <c r="BK697" s="5" t="s">
        <v>378</v>
      </c>
      <c r="BL697" s="4" t="s">
        <v>261</v>
      </c>
      <c r="BM697" s="4" t="s">
        <v>262</v>
      </c>
      <c r="BN697" s="4" t="s">
        <v>241</v>
      </c>
      <c r="BO697" s="6">
        <f>0</f>
        <v>0</v>
      </c>
      <c r="BP697" s="6">
        <f>0</f>
        <v>0</v>
      </c>
      <c r="BQ697" s="4" t="s">
        <v>263</v>
      </c>
      <c r="BR697" s="4" t="s">
        <v>264</v>
      </c>
      <c r="CF697" s="4" t="s">
        <v>241</v>
      </c>
      <c r="CG697" s="4" t="s">
        <v>241</v>
      </c>
      <c r="CK697" s="4" t="s">
        <v>265</v>
      </c>
      <c r="CL697" s="4" t="s">
        <v>266</v>
      </c>
      <c r="CM697" s="4" t="s">
        <v>241</v>
      </c>
      <c r="CO697" s="4" t="s">
        <v>1109</v>
      </c>
      <c r="CP697" s="5" t="s">
        <v>268</v>
      </c>
      <c r="CQ697" s="4" t="s">
        <v>269</v>
      </c>
      <c r="CR697" s="4" t="s">
        <v>270</v>
      </c>
      <c r="CS697" s="4" t="s">
        <v>241</v>
      </c>
      <c r="CT697" s="4" t="s">
        <v>241</v>
      </c>
      <c r="CU697" s="4">
        <v>0</v>
      </c>
      <c r="CV697" s="4" t="s">
        <v>271</v>
      </c>
      <c r="CW697" s="4" t="s">
        <v>411</v>
      </c>
      <c r="CX697" s="4" t="s">
        <v>347</v>
      </c>
      <c r="CZ697" s="6">
        <f>3240000</f>
        <v>3240000</v>
      </c>
      <c r="DA697" s="6">
        <f>0</f>
        <v>0</v>
      </c>
      <c r="DC697" s="4" t="s">
        <v>241</v>
      </c>
      <c r="DD697" s="4" t="s">
        <v>241</v>
      </c>
      <c r="DF697" s="4" t="s">
        <v>241</v>
      </c>
      <c r="DI697" s="4" t="s">
        <v>241</v>
      </c>
      <c r="DJ697" s="4" t="s">
        <v>241</v>
      </c>
      <c r="DK697" s="4" t="s">
        <v>241</v>
      </c>
      <c r="DL697" s="4" t="s">
        <v>241</v>
      </c>
      <c r="DM697" s="4" t="s">
        <v>277</v>
      </c>
      <c r="DN697" s="4" t="s">
        <v>278</v>
      </c>
      <c r="DO697" s="6">
        <f>32.4</f>
        <v>32.4</v>
      </c>
      <c r="DP697" s="4" t="s">
        <v>241</v>
      </c>
      <c r="DQ697" s="4" t="s">
        <v>241</v>
      </c>
      <c r="DR697" s="4" t="s">
        <v>241</v>
      </c>
      <c r="DS697" s="4" t="s">
        <v>241</v>
      </c>
      <c r="DV697" s="4" t="s">
        <v>2208</v>
      </c>
      <c r="DW697" s="4" t="s">
        <v>297</v>
      </c>
      <c r="HO697" s="4" t="s">
        <v>277</v>
      </c>
      <c r="HR697" s="4" t="s">
        <v>278</v>
      </c>
      <c r="HS697" s="4" t="s">
        <v>278</v>
      </c>
    </row>
    <row r="698" spans="1:240" x14ac:dyDescent="0.4">
      <c r="A698" s="4">
        <v>2</v>
      </c>
      <c r="B698" s="4" t="s">
        <v>239</v>
      </c>
      <c r="C698" s="4">
        <v>762</v>
      </c>
      <c r="D698" s="4">
        <v>1</v>
      </c>
      <c r="E698" s="4">
        <v>1</v>
      </c>
      <c r="F698" s="4" t="s">
        <v>240</v>
      </c>
      <c r="G698" s="4" t="s">
        <v>241</v>
      </c>
      <c r="H698" s="4" t="s">
        <v>241</v>
      </c>
      <c r="I698" s="4" t="s">
        <v>2217</v>
      </c>
      <c r="J698" s="4" t="s">
        <v>344</v>
      </c>
      <c r="K698" s="4" t="s">
        <v>256</v>
      </c>
      <c r="L698" s="4" t="s">
        <v>2101</v>
      </c>
      <c r="M698" s="5" t="s">
        <v>2218</v>
      </c>
      <c r="N698" s="4" t="s">
        <v>2114</v>
      </c>
      <c r="O698" s="6">
        <f>32.4</f>
        <v>32.4</v>
      </c>
      <c r="P698" s="4" t="s">
        <v>276</v>
      </c>
      <c r="Q698" s="6">
        <f>1</f>
        <v>1</v>
      </c>
      <c r="R698" s="6">
        <f>3240000</f>
        <v>3240000</v>
      </c>
      <c r="S698" s="5" t="s">
        <v>2207</v>
      </c>
      <c r="T698" s="4" t="s">
        <v>314</v>
      </c>
      <c r="U698" s="4" t="s">
        <v>1110</v>
      </c>
      <c r="W698" s="6">
        <f>3239999</f>
        <v>3239999</v>
      </c>
      <c r="X698" s="4" t="s">
        <v>243</v>
      </c>
      <c r="Y698" s="4" t="s">
        <v>244</v>
      </c>
      <c r="Z698" s="4" t="s">
        <v>338</v>
      </c>
      <c r="AA698" s="4" t="s">
        <v>241</v>
      </c>
      <c r="AD698" s="4" t="s">
        <v>241</v>
      </c>
      <c r="AF698" s="5" t="s">
        <v>241</v>
      </c>
      <c r="AI698" s="5" t="s">
        <v>249</v>
      </c>
      <c r="AJ698" s="4" t="s">
        <v>251</v>
      </c>
      <c r="AK698" s="4" t="s">
        <v>252</v>
      </c>
      <c r="BA698" s="4" t="s">
        <v>254</v>
      </c>
      <c r="BB698" s="4" t="s">
        <v>241</v>
      </c>
      <c r="BC698" s="4" t="s">
        <v>255</v>
      </c>
      <c r="BD698" s="4" t="s">
        <v>241</v>
      </c>
      <c r="BE698" s="4" t="s">
        <v>257</v>
      </c>
      <c r="BF698" s="4" t="s">
        <v>241</v>
      </c>
      <c r="BJ698" s="4" t="s">
        <v>259</v>
      </c>
      <c r="BK698" s="5" t="s">
        <v>260</v>
      </c>
      <c r="BL698" s="4" t="s">
        <v>261</v>
      </c>
      <c r="BM698" s="4" t="s">
        <v>262</v>
      </c>
      <c r="BN698" s="4" t="s">
        <v>241</v>
      </c>
      <c r="BO698" s="6">
        <f>0</f>
        <v>0</v>
      </c>
      <c r="BP698" s="6">
        <f>0</f>
        <v>0</v>
      </c>
      <c r="BQ698" s="4" t="s">
        <v>263</v>
      </c>
      <c r="BR698" s="4" t="s">
        <v>264</v>
      </c>
      <c r="CF698" s="4" t="s">
        <v>241</v>
      </c>
      <c r="CG698" s="4" t="s">
        <v>241</v>
      </c>
      <c r="CK698" s="4" t="s">
        <v>265</v>
      </c>
      <c r="CL698" s="4" t="s">
        <v>266</v>
      </c>
      <c r="CM698" s="4" t="s">
        <v>241</v>
      </c>
      <c r="CO698" s="4" t="s">
        <v>1109</v>
      </c>
      <c r="CP698" s="5" t="s">
        <v>268</v>
      </c>
      <c r="CQ698" s="4" t="s">
        <v>269</v>
      </c>
      <c r="CR698" s="4" t="s">
        <v>270</v>
      </c>
      <c r="CS698" s="4" t="s">
        <v>241</v>
      </c>
      <c r="CT698" s="4" t="s">
        <v>241</v>
      </c>
      <c r="CU698" s="4">
        <v>0</v>
      </c>
      <c r="CV698" s="4" t="s">
        <v>271</v>
      </c>
      <c r="CW698" s="4" t="s">
        <v>411</v>
      </c>
      <c r="CX698" s="4" t="s">
        <v>347</v>
      </c>
      <c r="CZ698" s="6">
        <f>3240000</f>
        <v>3240000</v>
      </c>
      <c r="DA698" s="6">
        <f>0</f>
        <v>0</v>
      </c>
      <c r="DC698" s="4" t="s">
        <v>241</v>
      </c>
      <c r="DD698" s="4" t="s">
        <v>241</v>
      </c>
      <c r="DF698" s="4" t="s">
        <v>241</v>
      </c>
      <c r="DI698" s="4" t="s">
        <v>241</v>
      </c>
      <c r="DJ698" s="4" t="s">
        <v>241</v>
      </c>
      <c r="DK698" s="4" t="s">
        <v>241</v>
      </c>
      <c r="DL698" s="4" t="s">
        <v>241</v>
      </c>
      <c r="DM698" s="4" t="s">
        <v>277</v>
      </c>
      <c r="DN698" s="4" t="s">
        <v>278</v>
      </c>
      <c r="DO698" s="6">
        <f>32.4</f>
        <v>32.4</v>
      </c>
      <c r="DP698" s="4" t="s">
        <v>241</v>
      </c>
      <c r="DQ698" s="4" t="s">
        <v>241</v>
      </c>
      <c r="DR698" s="4" t="s">
        <v>241</v>
      </c>
      <c r="DS698" s="4" t="s">
        <v>241</v>
      </c>
      <c r="DV698" s="4" t="s">
        <v>2219</v>
      </c>
      <c r="DW698" s="4" t="s">
        <v>277</v>
      </c>
      <c r="HO698" s="4" t="s">
        <v>277</v>
      </c>
      <c r="HR698" s="4" t="s">
        <v>278</v>
      </c>
      <c r="HS698" s="4" t="s">
        <v>278</v>
      </c>
    </row>
    <row r="699" spans="1:240" x14ac:dyDescent="0.4">
      <c r="A699" s="4">
        <v>2</v>
      </c>
      <c r="B699" s="4" t="s">
        <v>239</v>
      </c>
      <c r="C699" s="4">
        <v>763</v>
      </c>
      <c r="D699" s="4">
        <v>1</v>
      </c>
      <c r="E699" s="4">
        <v>1</v>
      </c>
      <c r="F699" s="4" t="s">
        <v>240</v>
      </c>
      <c r="G699" s="4" t="s">
        <v>241</v>
      </c>
      <c r="H699" s="4" t="s">
        <v>241</v>
      </c>
      <c r="I699" s="4" t="s">
        <v>2217</v>
      </c>
      <c r="J699" s="4" t="s">
        <v>344</v>
      </c>
      <c r="K699" s="4" t="s">
        <v>256</v>
      </c>
      <c r="L699" s="4" t="s">
        <v>2101</v>
      </c>
      <c r="M699" s="5" t="s">
        <v>2218</v>
      </c>
      <c r="N699" s="4" t="s">
        <v>2114</v>
      </c>
      <c r="O699" s="6">
        <f>32.4</f>
        <v>32.4</v>
      </c>
      <c r="P699" s="4" t="s">
        <v>276</v>
      </c>
      <c r="Q699" s="6">
        <f>1</f>
        <v>1</v>
      </c>
      <c r="R699" s="6">
        <f>3240000</f>
        <v>3240000</v>
      </c>
      <c r="S699" s="5" t="s">
        <v>2207</v>
      </c>
      <c r="T699" s="4" t="s">
        <v>314</v>
      </c>
      <c r="U699" s="4" t="s">
        <v>1110</v>
      </c>
      <c r="W699" s="6">
        <f>3239999</f>
        <v>3239999</v>
      </c>
      <c r="X699" s="4" t="s">
        <v>243</v>
      </c>
      <c r="Y699" s="4" t="s">
        <v>244</v>
      </c>
      <c r="Z699" s="4" t="s">
        <v>338</v>
      </c>
      <c r="AA699" s="4" t="s">
        <v>241</v>
      </c>
      <c r="AD699" s="4" t="s">
        <v>241</v>
      </c>
      <c r="AF699" s="5" t="s">
        <v>241</v>
      </c>
      <c r="AI699" s="5" t="s">
        <v>249</v>
      </c>
      <c r="AJ699" s="4" t="s">
        <v>251</v>
      </c>
      <c r="AK699" s="4" t="s">
        <v>252</v>
      </c>
      <c r="BA699" s="4" t="s">
        <v>254</v>
      </c>
      <c r="BB699" s="4" t="s">
        <v>241</v>
      </c>
      <c r="BC699" s="4" t="s">
        <v>255</v>
      </c>
      <c r="BD699" s="4" t="s">
        <v>241</v>
      </c>
      <c r="BE699" s="4" t="s">
        <v>257</v>
      </c>
      <c r="BF699" s="4" t="s">
        <v>241</v>
      </c>
      <c r="BJ699" s="4" t="s">
        <v>367</v>
      </c>
      <c r="BK699" s="5" t="s">
        <v>249</v>
      </c>
      <c r="BL699" s="4" t="s">
        <v>261</v>
      </c>
      <c r="BM699" s="4" t="s">
        <v>262</v>
      </c>
      <c r="BN699" s="4" t="s">
        <v>241</v>
      </c>
      <c r="BO699" s="6">
        <f>0</f>
        <v>0</v>
      </c>
      <c r="BP699" s="6">
        <f>0</f>
        <v>0</v>
      </c>
      <c r="BQ699" s="4" t="s">
        <v>263</v>
      </c>
      <c r="BR699" s="4" t="s">
        <v>264</v>
      </c>
      <c r="CF699" s="4" t="s">
        <v>241</v>
      </c>
      <c r="CG699" s="4" t="s">
        <v>241</v>
      </c>
      <c r="CK699" s="4" t="s">
        <v>265</v>
      </c>
      <c r="CL699" s="4" t="s">
        <v>266</v>
      </c>
      <c r="CM699" s="4" t="s">
        <v>241</v>
      </c>
      <c r="CO699" s="4" t="s">
        <v>1109</v>
      </c>
      <c r="CP699" s="5" t="s">
        <v>268</v>
      </c>
      <c r="CQ699" s="4" t="s">
        <v>269</v>
      </c>
      <c r="CR699" s="4" t="s">
        <v>270</v>
      </c>
      <c r="CS699" s="4" t="s">
        <v>241</v>
      </c>
      <c r="CT699" s="4" t="s">
        <v>241</v>
      </c>
      <c r="CU699" s="4">
        <v>0</v>
      </c>
      <c r="CV699" s="4" t="s">
        <v>271</v>
      </c>
      <c r="CW699" s="4" t="s">
        <v>411</v>
      </c>
      <c r="CX699" s="4" t="s">
        <v>347</v>
      </c>
      <c r="CZ699" s="6">
        <f>3240000</f>
        <v>3240000</v>
      </c>
      <c r="DA699" s="6">
        <f>0</f>
        <v>0</v>
      </c>
      <c r="DC699" s="4" t="s">
        <v>241</v>
      </c>
      <c r="DD699" s="4" t="s">
        <v>241</v>
      </c>
      <c r="DF699" s="4" t="s">
        <v>241</v>
      </c>
      <c r="DI699" s="4" t="s">
        <v>241</v>
      </c>
      <c r="DJ699" s="4" t="s">
        <v>241</v>
      </c>
      <c r="DK699" s="4" t="s">
        <v>241</v>
      </c>
      <c r="DL699" s="4" t="s">
        <v>241</v>
      </c>
      <c r="DM699" s="4" t="s">
        <v>277</v>
      </c>
      <c r="DN699" s="4" t="s">
        <v>278</v>
      </c>
      <c r="DO699" s="6">
        <f>32.4</f>
        <v>32.4</v>
      </c>
      <c r="DP699" s="4" t="s">
        <v>241</v>
      </c>
      <c r="DQ699" s="4" t="s">
        <v>241</v>
      </c>
      <c r="DR699" s="4" t="s">
        <v>241</v>
      </c>
      <c r="DS699" s="4" t="s">
        <v>241</v>
      </c>
      <c r="DV699" s="4" t="s">
        <v>2219</v>
      </c>
      <c r="DW699" s="4" t="s">
        <v>323</v>
      </c>
      <c r="HO699" s="4" t="s">
        <v>277</v>
      </c>
      <c r="HR699" s="4" t="s">
        <v>278</v>
      </c>
      <c r="HS699" s="4" t="s">
        <v>278</v>
      </c>
    </row>
    <row r="700" spans="1:240" x14ac:dyDescent="0.4">
      <c r="A700" s="4">
        <v>2</v>
      </c>
      <c r="B700" s="4" t="s">
        <v>239</v>
      </c>
      <c r="C700" s="4">
        <v>764</v>
      </c>
      <c r="D700" s="4">
        <v>1</v>
      </c>
      <c r="E700" s="4">
        <v>1</v>
      </c>
      <c r="F700" s="4" t="s">
        <v>240</v>
      </c>
      <c r="G700" s="4" t="s">
        <v>241</v>
      </c>
      <c r="H700" s="4" t="s">
        <v>241</v>
      </c>
      <c r="I700" s="4" t="s">
        <v>2217</v>
      </c>
      <c r="J700" s="4" t="s">
        <v>344</v>
      </c>
      <c r="K700" s="4" t="s">
        <v>256</v>
      </c>
      <c r="L700" s="4" t="s">
        <v>2101</v>
      </c>
      <c r="M700" s="5" t="s">
        <v>2218</v>
      </c>
      <c r="N700" s="4" t="s">
        <v>2114</v>
      </c>
      <c r="O700" s="6">
        <f>32.4</f>
        <v>32.4</v>
      </c>
      <c r="P700" s="4" t="s">
        <v>276</v>
      </c>
      <c r="Q700" s="6">
        <f>1</f>
        <v>1</v>
      </c>
      <c r="R700" s="6">
        <f>3240000</f>
        <v>3240000</v>
      </c>
      <c r="S700" s="5" t="s">
        <v>2207</v>
      </c>
      <c r="T700" s="4" t="s">
        <v>314</v>
      </c>
      <c r="U700" s="4" t="s">
        <v>1110</v>
      </c>
      <c r="W700" s="6">
        <f>3239999</f>
        <v>3239999</v>
      </c>
      <c r="X700" s="4" t="s">
        <v>243</v>
      </c>
      <c r="Y700" s="4" t="s">
        <v>244</v>
      </c>
      <c r="Z700" s="4" t="s">
        <v>338</v>
      </c>
      <c r="AA700" s="4" t="s">
        <v>241</v>
      </c>
      <c r="AD700" s="4" t="s">
        <v>241</v>
      </c>
      <c r="AF700" s="5" t="s">
        <v>241</v>
      </c>
      <c r="AI700" s="5" t="s">
        <v>249</v>
      </c>
      <c r="AJ700" s="4" t="s">
        <v>251</v>
      </c>
      <c r="AK700" s="4" t="s">
        <v>252</v>
      </c>
      <c r="BA700" s="4" t="s">
        <v>254</v>
      </c>
      <c r="BB700" s="4" t="s">
        <v>241</v>
      </c>
      <c r="BC700" s="4" t="s">
        <v>255</v>
      </c>
      <c r="BD700" s="4" t="s">
        <v>241</v>
      </c>
      <c r="BE700" s="4" t="s">
        <v>257</v>
      </c>
      <c r="BF700" s="4" t="s">
        <v>241</v>
      </c>
      <c r="BJ700" s="4" t="s">
        <v>367</v>
      </c>
      <c r="BK700" s="5" t="s">
        <v>249</v>
      </c>
      <c r="BL700" s="4" t="s">
        <v>261</v>
      </c>
      <c r="BM700" s="4" t="s">
        <v>262</v>
      </c>
      <c r="BN700" s="4" t="s">
        <v>241</v>
      </c>
      <c r="BO700" s="6">
        <f>0</f>
        <v>0</v>
      </c>
      <c r="BP700" s="6">
        <f>0</f>
        <v>0</v>
      </c>
      <c r="BQ700" s="4" t="s">
        <v>263</v>
      </c>
      <c r="BR700" s="4" t="s">
        <v>264</v>
      </c>
      <c r="CF700" s="4" t="s">
        <v>241</v>
      </c>
      <c r="CG700" s="4" t="s">
        <v>241</v>
      </c>
      <c r="CK700" s="4" t="s">
        <v>265</v>
      </c>
      <c r="CL700" s="4" t="s">
        <v>266</v>
      </c>
      <c r="CM700" s="4" t="s">
        <v>241</v>
      </c>
      <c r="CO700" s="4" t="s">
        <v>1109</v>
      </c>
      <c r="CP700" s="5" t="s">
        <v>268</v>
      </c>
      <c r="CQ700" s="4" t="s">
        <v>269</v>
      </c>
      <c r="CR700" s="4" t="s">
        <v>270</v>
      </c>
      <c r="CS700" s="4" t="s">
        <v>241</v>
      </c>
      <c r="CT700" s="4" t="s">
        <v>241</v>
      </c>
      <c r="CU700" s="4">
        <v>0</v>
      </c>
      <c r="CV700" s="4" t="s">
        <v>271</v>
      </c>
      <c r="CW700" s="4" t="s">
        <v>411</v>
      </c>
      <c r="CX700" s="4" t="s">
        <v>347</v>
      </c>
      <c r="CZ700" s="6">
        <f>3240000</f>
        <v>3240000</v>
      </c>
      <c r="DA700" s="6">
        <f>0</f>
        <v>0</v>
      </c>
      <c r="DC700" s="4" t="s">
        <v>241</v>
      </c>
      <c r="DD700" s="4" t="s">
        <v>241</v>
      </c>
      <c r="DF700" s="4" t="s">
        <v>241</v>
      </c>
      <c r="DI700" s="4" t="s">
        <v>241</v>
      </c>
      <c r="DJ700" s="4" t="s">
        <v>241</v>
      </c>
      <c r="DK700" s="4" t="s">
        <v>241</v>
      </c>
      <c r="DL700" s="4" t="s">
        <v>241</v>
      </c>
      <c r="DM700" s="4" t="s">
        <v>277</v>
      </c>
      <c r="DN700" s="4" t="s">
        <v>278</v>
      </c>
      <c r="DO700" s="6">
        <f>32.4</f>
        <v>32.4</v>
      </c>
      <c r="DP700" s="4" t="s">
        <v>241</v>
      </c>
      <c r="DQ700" s="4" t="s">
        <v>241</v>
      </c>
      <c r="DR700" s="4" t="s">
        <v>241</v>
      </c>
      <c r="DS700" s="4" t="s">
        <v>241</v>
      </c>
      <c r="DV700" s="4" t="s">
        <v>2219</v>
      </c>
      <c r="DW700" s="4" t="s">
        <v>297</v>
      </c>
      <c r="HO700" s="4" t="s">
        <v>277</v>
      </c>
      <c r="HR700" s="4" t="s">
        <v>278</v>
      </c>
      <c r="HS700" s="4" t="s">
        <v>278</v>
      </c>
    </row>
    <row r="701" spans="1:240" x14ac:dyDescent="0.4">
      <c r="A701" s="4">
        <v>2</v>
      </c>
      <c r="B701" s="4" t="s">
        <v>239</v>
      </c>
      <c r="C701" s="4">
        <v>765</v>
      </c>
      <c r="D701" s="4">
        <v>1</v>
      </c>
      <c r="E701" s="4">
        <v>1</v>
      </c>
      <c r="F701" s="4" t="s">
        <v>240</v>
      </c>
      <c r="G701" s="4" t="s">
        <v>241</v>
      </c>
      <c r="H701" s="4" t="s">
        <v>241</v>
      </c>
      <c r="I701" s="4" t="s">
        <v>2217</v>
      </c>
      <c r="J701" s="4" t="s">
        <v>344</v>
      </c>
      <c r="K701" s="4" t="s">
        <v>256</v>
      </c>
      <c r="L701" s="4" t="s">
        <v>2101</v>
      </c>
      <c r="M701" s="5" t="s">
        <v>2218</v>
      </c>
      <c r="N701" s="4" t="s">
        <v>2114</v>
      </c>
      <c r="O701" s="6">
        <f>32.4</f>
        <v>32.4</v>
      </c>
      <c r="P701" s="4" t="s">
        <v>276</v>
      </c>
      <c r="Q701" s="6">
        <f>1</f>
        <v>1</v>
      </c>
      <c r="R701" s="6">
        <f>3240000</f>
        <v>3240000</v>
      </c>
      <c r="S701" s="5" t="s">
        <v>2207</v>
      </c>
      <c r="T701" s="4" t="s">
        <v>314</v>
      </c>
      <c r="U701" s="4" t="s">
        <v>1110</v>
      </c>
      <c r="W701" s="6">
        <f>3239999</f>
        <v>3239999</v>
      </c>
      <c r="X701" s="4" t="s">
        <v>243</v>
      </c>
      <c r="Y701" s="4" t="s">
        <v>244</v>
      </c>
      <c r="Z701" s="4" t="s">
        <v>338</v>
      </c>
      <c r="AA701" s="4" t="s">
        <v>241</v>
      </c>
      <c r="AD701" s="4" t="s">
        <v>241</v>
      </c>
      <c r="AF701" s="5" t="s">
        <v>241</v>
      </c>
      <c r="AI701" s="5" t="s">
        <v>249</v>
      </c>
      <c r="AJ701" s="4" t="s">
        <v>251</v>
      </c>
      <c r="AK701" s="4" t="s">
        <v>252</v>
      </c>
      <c r="BA701" s="4" t="s">
        <v>254</v>
      </c>
      <c r="BB701" s="4" t="s">
        <v>241</v>
      </c>
      <c r="BC701" s="4" t="s">
        <v>255</v>
      </c>
      <c r="BD701" s="4" t="s">
        <v>241</v>
      </c>
      <c r="BE701" s="4" t="s">
        <v>257</v>
      </c>
      <c r="BF701" s="4" t="s">
        <v>241</v>
      </c>
      <c r="BJ701" s="4" t="s">
        <v>367</v>
      </c>
      <c r="BK701" s="5" t="s">
        <v>249</v>
      </c>
      <c r="BL701" s="4" t="s">
        <v>261</v>
      </c>
      <c r="BM701" s="4" t="s">
        <v>262</v>
      </c>
      <c r="BN701" s="4" t="s">
        <v>241</v>
      </c>
      <c r="BO701" s="6">
        <f>0</f>
        <v>0</v>
      </c>
      <c r="BP701" s="6">
        <f>0</f>
        <v>0</v>
      </c>
      <c r="BQ701" s="4" t="s">
        <v>263</v>
      </c>
      <c r="BR701" s="4" t="s">
        <v>264</v>
      </c>
      <c r="CF701" s="4" t="s">
        <v>241</v>
      </c>
      <c r="CG701" s="4" t="s">
        <v>241</v>
      </c>
      <c r="CK701" s="4" t="s">
        <v>265</v>
      </c>
      <c r="CL701" s="4" t="s">
        <v>266</v>
      </c>
      <c r="CM701" s="4" t="s">
        <v>241</v>
      </c>
      <c r="CO701" s="4" t="s">
        <v>1109</v>
      </c>
      <c r="CP701" s="5" t="s">
        <v>268</v>
      </c>
      <c r="CQ701" s="4" t="s">
        <v>269</v>
      </c>
      <c r="CR701" s="4" t="s">
        <v>270</v>
      </c>
      <c r="CS701" s="4" t="s">
        <v>241</v>
      </c>
      <c r="CT701" s="4" t="s">
        <v>241</v>
      </c>
      <c r="CU701" s="4">
        <v>0</v>
      </c>
      <c r="CV701" s="4" t="s">
        <v>271</v>
      </c>
      <c r="CW701" s="4" t="s">
        <v>411</v>
      </c>
      <c r="CX701" s="4" t="s">
        <v>347</v>
      </c>
      <c r="CZ701" s="6">
        <f>3240000</f>
        <v>3240000</v>
      </c>
      <c r="DA701" s="6">
        <f>0</f>
        <v>0</v>
      </c>
      <c r="DC701" s="4" t="s">
        <v>241</v>
      </c>
      <c r="DD701" s="4" t="s">
        <v>241</v>
      </c>
      <c r="DF701" s="4" t="s">
        <v>241</v>
      </c>
      <c r="DI701" s="4" t="s">
        <v>241</v>
      </c>
      <c r="DJ701" s="4" t="s">
        <v>241</v>
      </c>
      <c r="DK701" s="4" t="s">
        <v>241</v>
      </c>
      <c r="DL701" s="4" t="s">
        <v>241</v>
      </c>
      <c r="DM701" s="4" t="s">
        <v>277</v>
      </c>
      <c r="DN701" s="4" t="s">
        <v>278</v>
      </c>
      <c r="DO701" s="6">
        <f>32.4</f>
        <v>32.4</v>
      </c>
      <c r="DP701" s="4" t="s">
        <v>241</v>
      </c>
      <c r="DQ701" s="4" t="s">
        <v>241</v>
      </c>
      <c r="DR701" s="4" t="s">
        <v>241</v>
      </c>
      <c r="DS701" s="4" t="s">
        <v>241</v>
      </c>
      <c r="DV701" s="4" t="s">
        <v>2219</v>
      </c>
      <c r="DW701" s="4" t="s">
        <v>336</v>
      </c>
      <c r="HO701" s="4" t="s">
        <v>277</v>
      </c>
      <c r="HR701" s="4" t="s">
        <v>278</v>
      </c>
      <c r="HS701" s="4" t="s">
        <v>278</v>
      </c>
    </row>
    <row r="702" spans="1:240" x14ac:dyDescent="0.4">
      <c r="A702" s="4">
        <v>2</v>
      </c>
      <c r="B702" s="4" t="s">
        <v>239</v>
      </c>
      <c r="C702" s="4">
        <v>766</v>
      </c>
      <c r="D702" s="4">
        <v>1</v>
      </c>
      <c r="E702" s="4">
        <v>1</v>
      </c>
      <c r="F702" s="4" t="s">
        <v>240</v>
      </c>
      <c r="G702" s="4" t="s">
        <v>241</v>
      </c>
      <c r="H702" s="4" t="s">
        <v>241</v>
      </c>
      <c r="I702" s="4" t="s">
        <v>2220</v>
      </c>
      <c r="J702" s="4" t="s">
        <v>344</v>
      </c>
      <c r="K702" s="4" t="s">
        <v>256</v>
      </c>
      <c r="L702" s="4" t="s">
        <v>2101</v>
      </c>
      <c r="M702" s="5" t="s">
        <v>2222</v>
      </c>
      <c r="N702" s="4" t="s">
        <v>2104</v>
      </c>
      <c r="O702" s="6">
        <f>83.14</f>
        <v>83.14</v>
      </c>
      <c r="P702" s="4" t="s">
        <v>276</v>
      </c>
      <c r="Q702" s="6">
        <f>1</f>
        <v>1</v>
      </c>
      <c r="R702" s="6">
        <f>7482600</f>
        <v>7482600</v>
      </c>
      <c r="S702" s="5" t="s">
        <v>2221</v>
      </c>
      <c r="T702" s="4" t="s">
        <v>358</v>
      </c>
      <c r="U702" s="4" t="s">
        <v>1071</v>
      </c>
      <c r="W702" s="6">
        <f>7482599</f>
        <v>7482599</v>
      </c>
      <c r="X702" s="4" t="s">
        <v>243</v>
      </c>
      <c r="Y702" s="4" t="s">
        <v>244</v>
      </c>
      <c r="Z702" s="4" t="s">
        <v>338</v>
      </c>
      <c r="AA702" s="4" t="s">
        <v>241</v>
      </c>
      <c r="AD702" s="4" t="s">
        <v>241</v>
      </c>
      <c r="AF702" s="5" t="s">
        <v>241</v>
      </c>
      <c r="AI702" s="5" t="s">
        <v>249</v>
      </c>
      <c r="AJ702" s="4" t="s">
        <v>251</v>
      </c>
      <c r="AK702" s="4" t="s">
        <v>252</v>
      </c>
      <c r="BA702" s="4" t="s">
        <v>254</v>
      </c>
      <c r="BB702" s="4" t="s">
        <v>241</v>
      </c>
      <c r="BC702" s="4" t="s">
        <v>255</v>
      </c>
      <c r="BD702" s="4" t="s">
        <v>241</v>
      </c>
      <c r="BE702" s="4" t="s">
        <v>257</v>
      </c>
      <c r="BF702" s="4" t="s">
        <v>241</v>
      </c>
      <c r="BJ702" s="4" t="s">
        <v>367</v>
      </c>
      <c r="BK702" s="5" t="s">
        <v>249</v>
      </c>
      <c r="BL702" s="4" t="s">
        <v>261</v>
      </c>
      <c r="BM702" s="4" t="s">
        <v>262</v>
      </c>
      <c r="BN702" s="4" t="s">
        <v>241</v>
      </c>
      <c r="BO702" s="6">
        <f>0</f>
        <v>0</v>
      </c>
      <c r="BP702" s="6">
        <f>0</f>
        <v>0</v>
      </c>
      <c r="BQ702" s="4" t="s">
        <v>263</v>
      </c>
      <c r="BR702" s="4" t="s">
        <v>264</v>
      </c>
      <c r="CF702" s="4" t="s">
        <v>241</v>
      </c>
      <c r="CG702" s="4" t="s">
        <v>241</v>
      </c>
      <c r="CK702" s="4" t="s">
        <v>265</v>
      </c>
      <c r="CL702" s="4" t="s">
        <v>266</v>
      </c>
      <c r="CM702" s="4" t="s">
        <v>241</v>
      </c>
      <c r="CO702" s="4" t="s">
        <v>741</v>
      </c>
      <c r="CP702" s="5" t="s">
        <v>268</v>
      </c>
      <c r="CQ702" s="4" t="s">
        <v>269</v>
      </c>
      <c r="CR702" s="4" t="s">
        <v>270</v>
      </c>
      <c r="CS702" s="4" t="s">
        <v>241</v>
      </c>
      <c r="CT702" s="4" t="s">
        <v>241</v>
      </c>
      <c r="CU702" s="4">
        <v>0</v>
      </c>
      <c r="CV702" s="4" t="s">
        <v>271</v>
      </c>
      <c r="CW702" s="4" t="s">
        <v>411</v>
      </c>
      <c r="CX702" s="4" t="s">
        <v>273</v>
      </c>
      <c r="CZ702" s="6">
        <f>7482600</f>
        <v>7482600</v>
      </c>
      <c r="DA702" s="6">
        <f>0</f>
        <v>0</v>
      </c>
      <c r="DC702" s="4" t="s">
        <v>241</v>
      </c>
      <c r="DD702" s="4" t="s">
        <v>241</v>
      </c>
      <c r="DF702" s="4" t="s">
        <v>241</v>
      </c>
      <c r="DI702" s="4" t="s">
        <v>241</v>
      </c>
      <c r="DJ702" s="4" t="s">
        <v>241</v>
      </c>
      <c r="DK702" s="4" t="s">
        <v>241</v>
      </c>
      <c r="DL702" s="4" t="s">
        <v>241</v>
      </c>
      <c r="DM702" s="4" t="s">
        <v>277</v>
      </c>
      <c r="DN702" s="4" t="s">
        <v>278</v>
      </c>
      <c r="DO702" s="6">
        <f>83.14</f>
        <v>83.14</v>
      </c>
      <c r="DP702" s="4" t="s">
        <v>241</v>
      </c>
      <c r="DQ702" s="4" t="s">
        <v>241</v>
      </c>
      <c r="DR702" s="4" t="s">
        <v>241</v>
      </c>
      <c r="DS702" s="4" t="s">
        <v>241</v>
      </c>
      <c r="DV702" s="4" t="s">
        <v>2223</v>
      </c>
      <c r="DW702" s="4" t="s">
        <v>277</v>
      </c>
      <c r="HO702" s="4" t="s">
        <v>277</v>
      </c>
      <c r="HR702" s="4" t="s">
        <v>278</v>
      </c>
      <c r="HS702" s="4" t="s">
        <v>278</v>
      </c>
    </row>
    <row r="703" spans="1:240" x14ac:dyDescent="0.4">
      <c r="A703" s="4">
        <v>2</v>
      </c>
      <c r="B703" s="4" t="s">
        <v>239</v>
      </c>
      <c r="C703" s="4">
        <v>767</v>
      </c>
      <c r="D703" s="4">
        <v>1</v>
      </c>
      <c r="E703" s="4">
        <v>1</v>
      </c>
      <c r="F703" s="4" t="s">
        <v>240</v>
      </c>
      <c r="G703" s="4" t="s">
        <v>241</v>
      </c>
      <c r="H703" s="4" t="s">
        <v>241</v>
      </c>
      <c r="I703" s="4" t="s">
        <v>2220</v>
      </c>
      <c r="J703" s="4" t="s">
        <v>344</v>
      </c>
      <c r="K703" s="4" t="s">
        <v>256</v>
      </c>
      <c r="L703" s="4" t="s">
        <v>2101</v>
      </c>
      <c r="M703" s="5" t="s">
        <v>2222</v>
      </c>
      <c r="N703" s="4" t="s">
        <v>2109</v>
      </c>
      <c r="O703" s="6">
        <f>166.28</f>
        <v>166.28</v>
      </c>
      <c r="P703" s="4" t="s">
        <v>276</v>
      </c>
      <c r="Q703" s="6">
        <f>1</f>
        <v>1</v>
      </c>
      <c r="R703" s="6">
        <f>14965200</f>
        <v>14965200</v>
      </c>
      <c r="S703" s="5" t="s">
        <v>2221</v>
      </c>
      <c r="T703" s="4" t="s">
        <v>358</v>
      </c>
      <c r="U703" s="4" t="s">
        <v>1071</v>
      </c>
      <c r="W703" s="6">
        <f>14965199</f>
        <v>14965199</v>
      </c>
      <c r="X703" s="4" t="s">
        <v>243</v>
      </c>
      <c r="Y703" s="4" t="s">
        <v>244</v>
      </c>
      <c r="Z703" s="4" t="s">
        <v>338</v>
      </c>
      <c r="AA703" s="4" t="s">
        <v>241</v>
      </c>
      <c r="AD703" s="4" t="s">
        <v>241</v>
      </c>
      <c r="AF703" s="5" t="s">
        <v>241</v>
      </c>
      <c r="AI703" s="5" t="s">
        <v>249</v>
      </c>
      <c r="AJ703" s="4" t="s">
        <v>251</v>
      </c>
      <c r="AK703" s="4" t="s">
        <v>252</v>
      </c>
      <c r="BA703" s="4" t="s">
        <v>254</v>
      </c>
      <c r="BB703" s="4" t="s">
        <v>241</v>
      </c>
      <c r="BC703" s="4" t="s">
        <v>255</v>
      </c>
      <c r="BD703" s="4" t="s">
        <v>241</v>
      </c>
      <c r="BE703" s="4" t="s">
        <v>257</v>
      </c>
      <c r="BF703" s="4" t="s">
        <v>241</v>
      </c>
      <c r="BJ703" s="4" t="s">
        <v>374</v>
      </c>
      <c r="BK703" s="5" t="s">
        <v>375</v>
      </c>
      <c r="BL703" s="4" t="s">
        <v>261</v>
      </c>
      <c r="BM703" s="4" t="s">
        <v>262</v>
      </c>
      <c r="BN703" s="4" t="s">
        <v>241</v>
      </c>
      <c r="BO703" s="6">
        <f>0</f>
        <v>0</v>
      </c>
      <c r="BP703" s="6">
        <f>0</f>
        <v>0</v>
      </c>
      <c r="BQ703" s="4" t="s">
        <v>263</v>
      </c>
      <c r="BR703" s="4" t="s">
        <v>264</v>
      </c>
      <c r="CF703" s="4" t="s">
        <v>241</v>
      </c>
      <c r="CG703" s="4" t="s">
        <v>241</v>
      </c>
      <c r="CK703" s="4" t="s">
        <v>265</v>
      </c>
      <c r="CL703" s="4" t="s">
        <v>266</v>
      </c>
      <c r="CM703" s="4" t="s">
        <v>241</v>
      </c>
      <c r="CO703" s="4" t="s">
        <v>741</v>
      </c>
      <c r="CP703" s="5" t="s">
        <v>268</v>
      </c>
      <c r="CQ703" s="4" t="s">
        <v>269</v>
      </c>
      <c r="CR703" s="4" t="s">
        <v>270</v>
      </c>
      <c r="CS703" s="4" t="s">
        <v>241</v>
      </c>
      <c r="CT703" s="4" t="s">
        <v>241</v>
      </c>
      <c r="CU703" s="4">
        <v>0</v>
      </c>
      <c r="CV703" s="4" t="s">
        <v>271</v>
      </c>
      <c r="CW703" s="4" t="s">
        <v>411</v>
      </c>
      <c r="CX703" s="4" t="s">
        <v>273</v>
      </c>
      <c r="CZ703" s="6">
        <f>14965200</f>
        <v>14965200</v>
      </c>
      <c r="DA703" s="6">
        <f>0</f>
        <v>0</v>
      </c>
      <c r="DC703" s="4" t="s">
        <v>241</v>
      </c>
      <c r="DD703" s="4" t="s">
        <v>241</v>
      </c>
      <c r="DF703" s="4" t="s">
        <v>241</v>
      </c>
      <c r="DI703" s="4" t="s">
        <v>241</v>
      </c>
      <c r="DJ703" s="4" t="s">
        <v>241</v>
      </c>
      <c r="DK703" s="4" t="s">
        <v>241</v>
      </c>
      <c r="DL703" s="4" t="s">
        <v>241</v>
      </c>
      <c r="DM703" s="4" t="s">
        <v>277</v>
      </c>
      <c r="DN703" s="4" t="s">
        <v>278</v>
      </c>
      <c r="DO703" s="6">
        <f>166.28</f>
        <v>166.28</v>
      </c>
      <c r="DP703" s="4" t="s">
        <v>241</v>
      </c>
      <c r="DQ703" s="4" t="s">
        <v>241</v>
      </c>
      <c r="DR703" s="4" t="s">
        <v>241</v>
      </c>
      <c r="DS703" s="4" t="s">
        <v>241</v>
      </c>
      <c r="DV703" s="4" t="s">
        <v>2223</v>
      </c>
      <c r="DW703" s="4" t="s">
        <v>323</v>
      </c>
      <c r="HO703" s="4" t="s">
        <v>277</v>
      </c>
      <c r="HR703" s="4" t="s">
        <v>278</v>
      </c>
      <c r="HS703" s="4" t="s">
        <v>278</v>
      </c>
    </row>
    <row r="704" spans="1:240" x14ac:dyDescent="0.4">
      <c r="A704" s="4">
        <v>2</v>
      </c>
      <c r="B704" s="4" t="s">
        <v>239</v>
      </c>
      <c r="C704" s="4">
        <v>768</v>
      </c>
      <c r="D704" s="4">
        <v>1</v>
      </c>
      <c r="E704" s="4">
        <v>1</v>
      </c>
      <c r="F704" s="4" t="s">
        <v>240</v>
      </c>
      <c r="G704" s="4" t="s">
        <v>241</v>
      </c>
      <c r="H704" s="4" t="s">
        <v>241</v>
      </c>
      <c r="I704" s="4" t="s">
        <v>2220</v>
      </c>
      <c r="J704" s="4" t="s">
        <v>344</v>
      </c>
      <c r="K704" s="4" t="s">
        <v>256</v>
      </c>
      <c r="L704" s="4" t="s">
        <v>2101</v>
      </c>
      <c r="M704" s="5" t="s">
        <v>2222</v>
      </c>
      <c r="N704" s="4" t="s">
        <v>2110</v>
      </c>
      <c r="O704" s="6">
        <f>166.28</f>
        <v>166.28</v>
      </c>
      <c r="P704" s="4" t="s">
        <v>276</v>
      </c>
      <c r="Q704" s="6">
        <f>1</f>
        <v>1</v>
      </c>
      <c r="R704" s="6">
        <f>14965200</f>
        <v>14965200</v>
      </c>
      <c r="S704" s="5" t="s">
        <v>2221</v>
      </c>
      <c r="T704" s="4" t="s">
        <v>358</v>
      </c>
      <c r="U704" s="4" t="s">
        <v>1071</v>
      </c>
      <c r="W704" s="6">
        <f>14965199</f>
        <v>14965199</v>
      </c>
      <c r="X704" s="4" t="s">
        <v>243</v>
      </c>
      <c r="Y704" s="4" t="s">
        <v>244</v>
      </c>
      <c r="Z704" s="4" t="s">
        <v>338</v>
      </c>
      <c r="AA704" s="4" t="s">
        <v>241</v>
      </c>
      <c r="AD704" s="4" t="s">
        <v>241</v>
      </c>
      <c r="AF704" s="5" t="s">
        <v>241</v>
      </c>
      <c r="AI704" s="5" t="s">
        <v>249</v>
      </c>
      <c r="AJ704" s="4" t="s">
        <v>251</v>
      </c>
      <c r="AK704" s="4" t="s">
        <v>252</v>
      </c>
      <c r="BA704" s="4" t="s">
        <v>254</v>
      </c>
      <c r="BB704" s="4" t="s">
        <v>241</v>
      </c>
      <c r="BC704" s="4" t="s">
        <v>255</v>
      </c>
      <c r="BD704" s="4" t="s">
        <v>241</v>
      </c>
      <c r="BE704" s="4" t="s">
        <v>257</v>
      </c>
      <c r="BF704" s="4" t="s">
        <v>241</v>
      </c>
      <c r="BJ704" s="4" t="s">
        <v>377</v>
      </c>
      <c r="BK704" s="5" t="s">
        <v>378</v>
      </c>
      <c r="BL704" s="4" t="s">
        <v>261</v>
      </c>
      <c r="BM704" s="4" t="s">
        <v>262</v>
      </c>
      <c r="BN704" s="4" t="s">
        <v>241</v>
      </c>
      <c r="BO704" s="6">
        <f>0</f>
        <v>0</v>
      </c>
      <c r="BP704" s="6">
        <f>0</f>
        <v>0</v>
      </c>
      <c r="BQ704" s="4" t="s">
        <v>263</v>
      </c>
      <c r="BR704" s="4" t="s">
        <v>264</v>
      </c>
      <c r="CF704" s="4" t="s">
        <v>241</v>
      </c>
      <c r="CG704" s="4" t="s">
        <v>241</v>
      </c>
      <c r="CK704" s="4" t="s">
        <v>265</v>
      </c>
      <c r="CL704" s="4" t="s">
        <v>266</v>
      </c>
      <c r="CM704" s="4" t="s">
        <v>241</v>
      </c>
      <c r="CO704" s="4" t="s">
        <v>741</v>
      </c>
      <c r="CP704" s="5" t="s">
        <v>268</v>
      </c>
      <c r="CQ704" s="4" t="s">
        <v>269</v>
      </c>
      <c r="CR704" s="4" t="s">
        <v>270</v>
      </c>
      <c r="CS704" s="4" t="s">
        <v>241</v>
      </c>
      <c r="CT704" s="4" t="s">
        <v>241</v>
      </c>
      <c r="CU704" s="4">
        <v>0</v>
      </c>
      <c r="CV704" s="4" t="s">
        <v>271</v>
      </c>
      <c r="CW704" s="4" t="s">
        <v>411</v>
      </c>
      <c r="CX704" s="4" t="s">
        <v>273</v>
      </c>
      <c r="CZ704" s="6">
        <f>14965200</f>
        <v>14965200</v>
      </c>
      <c r="DA704" s="6">
        <f>0</f>
        <v>0</v>
      </c>
      <c r="DC704" s="4" t="s">
        <v>241</v>
      </c>
      <c r="DD704" s="4" t="s">
        <v>241</v>
      </c>
      <c r="DF704" s="4" t="s">
        <v>241</v>
      </c>
      <c r="DI704" s="4" t="s">
        <v>241</v>
      </c>
      <c r="DJ704" s="4" t="s">
        <v>241</v>
      </c>
      <c r="DK704" s="4" t="s">
        <v>241</v>
      </c>
      <c r="DL704" s="4" t="s">
        <v>241</v>
      </c>
      <c r="DM704" s="4" t="s">
        <v>277</v>
      </c>
      <c r="DN704" s="4" t="s">
        <v>278</v>
      </c>
      <c r="DO704" s="6">
        <f>166.28</f>
        <v>166.28</v>
      </c>
      <c r="DP704" s="4" t="s">
        <v>241</v>
      </c>
      <c r="DQ704" s="4" t="s">
        <v>241</v>
      </c>
      <c r="DR704" s="4" t="s">
        <v>241</v>
      </c>
      <c r="DS704" s="4" t="s">
        <v>241</v>
      </c>
      <c r="DV704" s="4" t="s">
        <v>2223</v>
      </c>
      <c r="DW704" s="4" t="s">
        <v>297</v>
      </c>
      <c r="HO704" s="4" t="s">
        <v>277</v>
      </c>
      <c r="HR704" s="4" t="s">
        <v>278</v>
      </c>
      <c r="HS704" s="4" t="s">
        <v>278</v>
      </c>
    </row>
    <row r="705" spans="1:227" x14ac:dyDescent="0.4">
      <c r="A705" s="4">
        <v>2</v>
      </c>
      <c r="B705" s="4" t="s">
        <v>239</v>
      </c>
      <c r="C705" s="4">
        <v>769</v>
      </c>
      <c r="D705" s="4">
        <v>1</v>
      </c>
      <c r="E705" s="4">
        <v>1</v>
      </c>
      <c r="F705" s="4" t="s">
        <v>240</v>
      </c>
      <c r="G705" s="4" t="s">
        <v>241</v>
      </c>
      <c r="H705" s="4" t="s">
        <v>241</v>
      </c>
      <c r="I705" s="4" t="s">
        <v>2127</v>
      </c>
      <c r="J705" s="4" t="s">
        <v>344</v>
      </c>
      <c r="K705" s="4" t="s">
        <v>256</v>
      </c>
      <c r="L705" s="4" t="s">
        <v>2101</v>
      </c>
      <c r="M705" s="5" t="s">
        <v>2129</v>
      </c>
      <c r="N705" s="4" t="s">
        <v>2104</v>
      </c>
      <c r="O705" s="6">
        <f>311.45</f>
        <v>311.45</v>
      </c>
      <c r="P705" s="4" t="s">
        <v>276</v>
      </c>
      <c r="Q705" s="6">
        <f>1</f>
        <v>1</v>
      </c>
      <c r="R705" s="6">
        <f>32702250</f>
        <v>32702250</v>
      </c>
      <c r="S705" s="5" t="s">
        <v>2128</v>
      </c>
      <c r="T705" s="4" t="s">
        <v>333</v>
      </c>
      <c r="U705" s="4" t="s">
        <v>333</v>
      </c>
      <c r="W705" s="6">
        <f>32702249</f>
        <v>32702249</v>
      </c>
      <c r="X705" s="4" t="s">
        <v>243</v>
      </c>
      <c r="Y705" s="4" t="s">
        <v>244</v>
      </c>
      <c r="Z705" s="4" t="s">
        <v>338</v>
      </c>
      <c r="AA705" s="4" t="s">
        <v>241</v>
      </c>
      <c r="AD705" s="4" t="s">
        <v>241</v>
      </c>
      <c r="AF705" s="5" t="s">
        <v>241</v>
      </c>
      <c r="AI705" s="5" t="s">
        <v>249</v>
      </c>
      <c r="AJ705" s="4" t="s">
        <v>251</v>
      </c>
      <c r="AK705" s="4" t="s">
        <v>252</v>
      </c>
      <c r="BA705" s="4" t="s">
        <v>254</v>
      </c>
      <c r="BB705" s="4" t="s">
        <v>241</v>
      </c>
      <c r="BC705" s="4" t="s">
        <v>255</v>
      </c>
      <c r="BD705" s="4" t="s">
        <v>241</v>
      </c>
      <c r="BE705" s="4" t="s">
        <v>257</v>
      </c>
      <c r="BF705" s="4" t="s">
        <v>241</v>
      </c>
      <c r="BJ705" s="4" t="s">
        <v>259</v>
      </c>
      <c r="BK705" s="5" t="s">
        <v>260</v>
      </c>
      <c r="BL705" s="4" t="s">
        <v>261</v>
      </c>
      <c r="BM705" s="4" t="s">
        <v>290</v>
      </c>
      <c r="BN705" s="4" t="s">
        <v>241</v>
      </c>
      <c r="BO705" s="6">
        <f>0</f>
        <v>0</v>
      </c>
      <c r="BP705" s="6">
        <f>0</f>
        <v>0</v>
      </c>
      <c r="BQ705" s="4" t="s">
        <v>263</v>
      </c>
      <c r="BR705" s="4" t="s">
        <v>264</v>
      </c>
      <c r="CF705" s="4" t="s">
        <v>241</v>
      </c>
      <c r="CG705" s="4" t="s">
        <v>241</v>
      </c>
      <c r="CK705" s="4" t="s">
        <v>265</v>
      </c>
      <c r="CL705" s="4" t="s">
        <v>266</v>
      </c>
      <c r="CM705" s="4" t="s">
        <v>241</v>
      </c>
      <c r="CO705" s="4" t="s">
        <v>382</v>
      </c>
      <c r="CP705" s="5" t="s">
        <v>268</v>
      </c>
      <c r="CQ705" s="4" t="s">
        <v>269</v>
      </c>
      <c r="CR705" s="4" t="s">
        <v>270</v>
      </c>
      <c r="CS705" s="4" t="s">
        <v>241</v>
      </c>
      <c r="CT705" s="4" t="s">
        <v>241</v>
      </c>
      <c r="CU705" s="4">
        <v>0</v>
      </c>
      <c r="CV705" s="4" t="s">
        <v>271</v>
      </c>
      <c r="CW705" s="4" t="s">
        <v>411</v>
      </c>
      <c r="CX705" s="4" t="s">
        <v>2130</v>
      </c>
      <c r="CZ705" s="6">
        <f>32702250</f>
        <v>32702250</v>
      </c>
      <c r="DA705" s="6">
        <f>0</f>
        <v>0</v>
      </c>
      <c r="DC705" s="4" t="s">
        <v>241</v>
      </c>
      <c r="DD705" s="4" t="s">
        <v>241</v>
      </c>
      <c r="DF705" s="4" t="s">
        <v>241</v>
      </c>
      <c r="DI705" s="4" t="s">
        <v>241</v>
      </c>
      <c r="DJ705" s="4" t="s">
        <v>241</v>
      </c>
      <c r="DK705" s="4" t="s">
        <v>241</v>
      </c>
      <c r="DL705" s="4" t="s">
        <v>241</v>
      </c>
      <c r="DM705" s="4" t="s">
        <v>323</v>
      </c>
      <c r="DN705" s="4" t="s">
        <v>278</v>
      </c>
      <c r="DO705" s="6">
        <f>311.45</f>
        <v>311.45</v>
      </c>
      <c r="DP705" s="4" t="s">
        <v>241</v>
      </c>
      <c r="DQ705" s="4" t="s">
        <v>241</v>
      </c>
      <c r="DR705" s="4" t="s">
        <v>241</v>
      </c>
      <c r="DS705" s="4" t="s">
        <v>241</v>
      </c>
      <c r="DV705" s="4" t="s">
        <v>2131</v>
      </c>
      <c r="DW705" s="4" t="s">
        <v>277</v>
      </c>
      <c r="HO705" s="4" t="s">
        <v>351</v>
      </c>
      <c r="HR705" s="4" t="s">
        <v>278</v>
      </c>
      <c r="HS705" s="4" t="s">
        <v>278</v>
      </c>
    </row>
    <row r="706" spans="1:227" x14ac:dyDescent="0.4">
      <c r="A706" s="4">
        <v>2</v>
      </c>
      <c r="B706" s="4" t="s">
        <v>239</v>
      </c>
      <c r="C706" s="4">
        <v>770</v>
      </c>
      <c r="D706" s="4">
        <v>1</v>
      </c>
      <c r="E706" s="4">
        <v>1</v>
      </c>
      <c r="F706" s="4" t="s">
        <v>240</v>
      </c>
      <c r="G706" s="4" t="s">
        <v>241</v>
      </c>
      <c r="H706" s="4" t="s">
        <v>241</v>
      </c>
      <c r="I706" s="4" t="s">
        <v>2127</v>
      </c>
      <c r="J706" s="4" t="s">
        <v>344</v>
      </c>
      <c r="K706" s="4" t="s">
        <v>256</v>
      </c>
      <c r="L706" s="4" t="s">
        <v>2101</v>
      </c>
      <c r="M706" s="5" t="s">
        <v>2129</v>
      </c>
      <c r="N706" s="4" t="s">
        <v>2109</v>
      </c>
      <c r="O706" s="6">
        <f>311.45</f>
        <v>311.45</v>
      </c>
      <c r="P706" s="4" t="s">
        <v>276</v>
      </c>
      <c r="Q706" s="6">
        <f>1</f>
        <v>1</v>
      </c>
      <c r="R706" s="6">
        <f>32702250</f>
        <v>32702250</v>
      </c>
      <c r="S706" s="5" t="s">
        <v>2128</v>
      </c>
      <c r="T706" s="4" t="s">
        <v>333</v>
      </c>
      <c r="U706" s="4" t="s">
        <v>333</v>
      </c>
      <c r="W706" s="6">
        <f>32702249</f>
        <v>32702249</v>
      </c>
      <c r="X706" s="4" t="s">
        <v>243</v>
      </c>
      <c r="Y706" s="4" t="s">
        <v>244</v>
      </c>
      <c r="Z706" s="4" t="s">
        <v>338</v>
      </c>
      <c r="AA706" s="4" t="s">
        <v>241</v>
      </c>
      <c r="AD706" s="4" t="s">
        <v>241</v>
      </c>
      <c r="AF706" s="5" t="s">
        <v>241</v>
      </c>
      <c r="AI706" s="5" t="s">
        <v>249</v>
      </c>
      <c r="AJ706" s="4" t="s">
        <v>251</v>
      </c>
      <c r="AK706" s="4" t="s">
        <v>252</v>
      </c>
      <c r="BA706" s="4" t="s">
        <v>254</v>
      </c>
      <c r="BB706" s="4" t="s">
        <v>241</v>
      </c>
      <c r="BC706" s="4" t="s">
        <v>255</v>
      </c>
      <c r="BD706" s="4" t="s">
        <v>241</v>
      </c>
      <c r="BE706" s="4" t="s">
        <v>257</v>
      </c>
      <c r="BF706" s="4" t="s">
        <v>241</v>
      </c>
      <c r="BJ706" s="4" t="s">
        <v>367</v>
      </c>
      <c r="BK706" s="5" t="s">
        <v>249</v>
      </c>
      <c r="BL706" s="4" t="s">
        <v>261</v>
      </c>
      <c r="BM706" s="4" t="s">
        <v>290</v>
      </c>
      <c r="BN706" s="4" t="s">
        <v>241</v>
      </c>
      <c r="BO706" s="6">
        <f>0</f>
        <v>0</v>
      </c>
      <c r="BP706" s="6">
        <f>0</f>
        <v>0</v>
      </c>
      <c r="BQ706" s="4" t="s">
        <v>263</v>
      </c>
      <c r="BR706" s="4" t="s">
        <v>264</v>
      </c>
      <c r="CF706" s="4" t="s">
        <v>241</v>
      </c>
      <c r="CG706" s="4" t="s">
        <v>241</v>
      </c>
      <c r="CK706" s="4" t="s">
        <v>265</v>
      </c>
      <c r="CL706" s="4" t="s">
        <v>266</v>
      </c>
      <c r="CM706" s="4" t="s">
        <v>241</v>
      </c>
      <c r="CO706" s="4" t="s">
        <v>382</v>
      </c>
      <c r="CP706" s="5" t="s">
        <v>268</v>
      </c>
      <c r="CQ706" s="4" t="s">
        <v>269</v>
      </c>
      <c r="CR706" s="4" t="s">
        <v>270</v>
      </c>
      <c r="CS706" s="4" t="s">
        <v>241</v>
      </c>
      <c r="CT706" s="4" t="s">
        <v>241</v>
      </c>
      <c r="CU706" s="4">
        <v>0</v>
      </c>
      <c r="CV706" s="4" t="s">
        <v>271</v>
      </c>
      <c r="CW706" s="4" t="s">
        <v>411</v>
      </c>
      <c r="CX706" s="4" t="s">
        <v>2130</v>
      </c>
      <c r="CZ706" s="6">
        <f>32702250</f>
        <v>32702250</v>
      </c>
      <c r="DA706" s="6">
        <f>0</f>
        <v>0</v>
      </c>
      <c r="DC706" s="4" t="s">
        <v>241</v>
      </c>
      <c r="DD706" s="4" t="s">
        <v>241</v>
      </c>
      <c r="DF706" s="4" t="s">
        <v>241</v>
      </c>
      <c r="DI706" s="4" t="s">
        <v>241</v>
      </c>
      <c r="DJ706" s="4" t="s">
        <v>241</v>
      </c>
      <c r="DK706" s="4" t="s">
        <v>241</v>
      </c>
      <c r="DL706" s="4" t="s">
        <v>241</v>
      </c>
      <c r="DM706" s="4" t="s">
        <v>323</v>
      </c>
      <c r="DN706" s="4" t="s">
        <v>278</v>
      </c>
      <c r="DO706" s="6">
        <f>311.45</f>
        <v>311.45</v>
      </c>
      <c r="DP706" s="4" t="s">
        <v>241</v>
      </c>
      <c r="DQ706" s="4" t="s">
        <v>241</v>
      </c>
      <c r="DR706" s="4" t="s">
        <v>241</v>
      </c>
      <c r="DS706" s="4" t="s">
        <v>241</v>
      </c>
      <c r="DV706" s="4" t="s">
        <v>2131</v>
      </c>
      <c r="DW706" s="4" t="s">
        <v>323</v>
      </c>
      <c r="HO706" s="4" t="s">
        <v>351</v>
      </c>
      <c r="HR706" s="4" t="s">
        <v>278</v>
      </c>
      <c r="HS706" s="4" t="s">
        <v>278</v>
      </c>
    </row>
    <row r="707" spans="1:227" x14ac:dyDescent="0.4">
      <c r="A707" s="4">
        <v>2</v>
      </c>
      <c r="B707" s="4" t="s">
        <v>239</v>
      </c>
      <c r="C707" s="4">
        <v>771</v>
      </c>
      <c r="D707" s="4">
        <v>1</v>
      </c>
      <c r="E707" s="4">
        <v>1</v>
      </c>
      <c r="F707" s="4" t="s">
        <v>240</v>
      </c>
      <c r="G707" s="4" t="s">
        <v>241</v>
      </c>
      <c r="H707" s="4" t="s">
        <v>241</v>
      </c>
      <c r="I707" s="4" t="s">
        <v>2127</v>
      </c>
      <c r="J707" s="4" t="s">
        <v>344</v>
      </c>
      <c r="K707" s="4" t="s">
        <v>256</v>
      </c>
      <c r="L707" s="4" t="s">
        <v>2101</v>
      </c>
      <c r="M707" s="5" t="s">
        <v>2129</v>
      </c>
      <c r="N707" s="4" t="s">
        <v>2110</v>
      </c>
      <c r="O707" s="6">
        <f>249.16</f>
        <v>249.16</v>
      </c>
      <c r="P707" s="4" t="s">
        <v>276</v>
      </c>
      <c r="Q707" s="6">
        <f>1</f>
        <v>1</v>
      </c>
      <c r="R707" s="6">
        <f>26161800</f>
        <v>26161800</v>
      </c>
      <c r="S707" s="5" t="s">
        <v>2128</v>
      </c>
      <c r="T707" s="4" t="s">
        <v>333</v>
      </c>
      <c r="U707" s="4" t="s">
        <v>333</v>
      </c>
      <c r="W707" s="6">
        <f>26161799</f>
        <v>26161799</v>
      </c>
      <c r="X707" s="4" t="s">
        <v>243</v>
      </c>
      <c r="Y707" s="4" t="s">
        <v>244</v>
      </c>
      <c r="Z707" s="4" t="s">
        <v>338</v>
      </c>
      <c r="AA707" s="4" t="s">
        <v>241</v>
      </c>
      <c r="AD707" s="4" t="s">
        <v>241</v>
      </c>
      <c r="AF707" s="5" t="s">
        <v>241</v>
      </c>
      <c r="AI707" s="5" t="s">
        <v>249</v>
      </c>
      <c r="AJ707" s="4" t="s">
        <v>251</v>
      </c>
      <c r="AK707" s="4" t="s">
        <v>252</v>
      </c>
      <c r="BA707" s="4" t="s">
        <v>254</v>
      </c>
      <c r="BB707" s="4" t="s">
        <v>241</v>
      </c>
      <c r="BC707" s="4" t="s">
        <v>255</v>
      </c>
      <c r="BD707" s="4" t="s">
        <v>241</v>
      </c>
      <c r="BE707" s="4" t="s">
        <v>257</v>
      </c>
      <c r="BF707" s="4" t="s">
        <v>241</v>
      </c>
      <c r="BJ707" s="4" t="s">
        <v>367</v>
      </c>
      <c r="BK707" s="5" t="s">
        <v>249</v>
      </c>
      <c r="BL707" s="4" t="s">
        <v>261</v>
      </c>
      <c r="BM707" s="4" t="s">
        <v>290</v>
      </c>
      <c r="BN707" s="4" t="s">
        <v>241</v>
      </c>
      <c r="BO707" s="6">
        <f>0</f>
        <v>0</v>
      </c>
      <c r="BP707" s="6">
        <f>0</f>
        <v>0</v>
      </c>
      <c r="BQ707" s="4" t="s">
        <v>263</v>
      </c>
      <c r="BR707" s="4" t="s">
        <v>264</v>
      </c>
      <c r="CF707" s="4" t="s">
        <v>241</v>
      </c>
      <c r="CG707" s="4" t="s">
        <v>241</v>
      </c>
      <c r="CK707" s="4" t="s">
        <v>265</v>
      </c>
      <c r="CL707" s="4" t="s">
        <v>266</v>
      </c>
      <c r="CM707" s="4" t="s">
        <v>241</v>
      </c>
      <c r="CO707" s="4" t="s">
        <v>382</v>
      </c>
      <c r="CP707" s="5" t="s">
        <v>268</v>
      </c>
      <c r="CQ707" s="4" t="s">
        <v>269</v>
      </c>
      <c r="CR707" s="4" t="s">
        <v>270</v>
      </c>
      <c r="CS707" s="4" t="s">
        <v>241</v>
      </c>
      <c r="CT707" s="4" t="s">
        <v>241</v>
      </c>
      <c r="CU707" s="4">
        <v>0</v>
      </c>
      <c r="CV707" s="4" t="s">
        <v>271</v>
      </c>
      <c r="CW707" s="4" t="s">
        <v>411</v>
      </c>
      <c r="CX707" s="4" t="s">
        <v>2130</v>
      </c>
      <c r="CZ707" s="6">
        <f>26161800</f>
        <v>26161800</v>
      </c>
      <c r="DA707" s="6">
        <f>0</f>
        <v>0</v>
      </c>
      <c r="DC707" s="4" t="s">
        <v>241</v>
      </c>
      <c r="DD707" s="4" t="s">
        <v>241</v>
      </c>
      <c r="DF707" s="4" t="s">
        <v>241</v>
      </c>
      <c r="DI707" s="4" t="s">
        <v>241</v>
      </c>
      <c r="DJ707" s="4" t="s">
        <v>241</v>
      </c>
      <c r="DK707" s="4" t="s">
        <v>241</v>
      </c>
      <c r="DL707" s="4" t="s">
        <v>241</v>
      </c>
      <c r="DM707" s="4" t="s">
        <v>323</v>
      </c>
      <c r="DN707" s="4" t="s">
        <v>278</v>
      </c>
      <c r="DO707" s="6">
        <f>249.16</f>
        <v>249.16</v>
      </c>
      <c r="DP707" s="4" t="s">
        <v>241</v>
      </c>
      <c r="DQ707" s="4" t="s">
        <v>241</v>
      </c>
      <c r="DR707" s="4" t="s">
        <v>241</v>
      </c>
      <c r="DS707" s="4" t="s">
        <v>241</v>
      </c>
      <c r="DV707" s="4" t="s">
        <v>2131</v>
      </c>
      <c r="DW707" s="4" t="s">
        <v>297</v>
      </c>
      <c r="HO707" s="4" t="s">
        <v>351</v>
      </c>
      <c r="HR707" s="4" t="s">
        <v>278</v>
      </c>
      <c r="HS707" s="4" t="s">
        <v>278</v>
      </c>
    </row>
    <row r="708" spans="1:227" x14ac:dyDescent="0.4">
      <c r="A708" s="4">
        <v>2</v>
      </c>
      <c r="B708" s="4" t="s">
        <v>239</v>
      </c>
      <c r="C708" s="4">
        <v>773</v>
      </c>
      <c r="D708" s="4">
        <v>1</v>
      </c>
      <c r="E708" s="4">
        <v>1</v>
      </c>
      <c r="F708" s="4" t="s">
        <v>240</v>
      </c>
      <c r="G708" s="4" t="s">
        <v>241</v>
      </c>
      <c r="H708" s="4" t="s">
        <v>241</v>
      </c>
      <c r="I708" s="4" t="s">
        <v>2224</v>
      </c>
      <c r="J708" s="4" t="s">
        <v>344</v>
      </c>
      <c r="K708" s="4" t="s">
        <v>256</v>
      </c>
      <c r="L708" s="4" t="s">
        <v>2101</v>
      </c>
      <c r="M708" s="5" t="s">
        <v>2226</v>
      </c>
      <c r="N708" s="4" t="s">
        <v>2104</v>
      </c>
      <c r="O708" s="6">
        <f t="shared" ref="O708:O713" si="22">122.82</f>
        <v>122.82</v>
      </c>
      <c r="P708" s="4" t="s">
        <v>276</v>
      </c>
      <c r="Q708" s="6">
        <f>1</f>
        <v>1</v>
      </c>
      <c r="R708" s="6">
        <f t="shared" ref="R708:R713" si="23">18791460</f>
        <v>18791460</v>
      </c>
      <c r="S708" s="5" t="s">
        <v>2225</v>
      </c>
      <c r="T708" s="4" t="s">
        <v>314</v>
      </c>
      <c r="U708" s="4" t="s">
        <v>408</v>
      </c>
      <c r="W708" s="6">
        <f t="shared" ref="W708:W713" si="24">18791459</f>
        <v>18791459</v>
      </c>
      <c r="X708" s="4" t="s">
        <v>243</v>
      </c>
      <c r="Y708" s="4" t="s">
        <v>244</v>
      </c>
      <c r="Z708" s="4" t="s">
        <v>338</v>
      </c>
      <c r="AA708" s="4" t="s">
        <v>241</v>
      </c>
      <c r="AD708" s="4" t="s">
        <v>241</v>
      </c>
      <c r="AF708" s="5" t="s">
        <v>241</v>
      </c>
      <c r="AI708" s="5" t="s">
        <v>249</v>
      </c>
      <c r="AJ708" s="4" t="s">
        <v>251</v>
      </c>
      <c r="AK708" s="4" t="s">
        <v>252</v>
      </c>
      <c r="BA708" s="4" t="s">
        <v>254</v>
      </c>
      <c r="BB708" s="4" t="s">
        <v>241</v>
      </c>
      <c r="BC708" s="4" t="s">
        <v>255</v>
      </c>
      <c r="BD708" s="4" t="s">
        <v>241</v>
      </c>
      <c r="BE708" s="4" t="s">
        <v>257</v>
      </c>
      <c r="BF708" s="4" t="s">
        <v>241</v>
      </c>
      <c r="BJ708" s="4" t="s">
        <v>367</v>
      </c>
      <c r="BK708" s="5" t="s">
        <v>249</v>
      </c>
      <c r="BL708" s="4" t="s">
        <v>261</v>
      </c>
      <c r="BM708" s="4" t="s">
        <v>262</v>
      </c>
      <c r="BN708" s="4" t="s">
        <v>241</v>
      </c>
      <c r="BO708" s="6">
        <f>0</f>
        <v>0</v>
      </c>
      <c r="BP708" s="6">
        <f>0</f>
        <v>0</v>
      </c>
      <c r="BQ708" s="4" t="s">
        <v>263</v>
      </c>
      <c r="BR708" s="4" t="s">
        <v>264</v>
      </c>
      <c r="CF708" s="4" t="s">
        <v>241</v>
      </c>
      <c r="CG708" s="4" t="s">
        <v>241</v>
      </c>
      <c r="CK708" s="4" t="s">
        <v>291</v>
      </c>
      <c r="CL708" s="4" t="s">
        <v>266</v>
      </c>
      <c r="CM708" s="4" t="s">
        <v>241</v>
      </c>
      <c r="CO708" s="4" t="s">
        <v>667</v>
      </c>
      <c r="CP708" s="5" t="s">
        <v>268</v>
      </c>
      <c r="CQ708" s="4" t="s">
        <v>269</v>
      </c>
      <c r="CR708" s="4" t="s">
        <v>270</v>
      </c>
      <c r="CS708" s="4" t="s">
        <v>241</v>
      </c>
      <c r="CT708" s="4" t="s">
        <v>241</v>
      </c>
      <c r="CU708" s="4">
        <v>0</v>
      </c>
      <c r="CV708" s="4" t="s">
        <v>271</v>
      </c>
      <c r="CW708" s="4" t="s">
        <v>411</v>
      </c>
      <c r="CX708" s="4" t="s">
        <v>347</v>
      </c>
      <c r="CZ708" s="6">
        <f t="shared" ref="CZ708:CZ713" si="25">18791460</f>
        <v>18791460</v>
      </c>
      <c r="DA708" s="6">
        <f>0</f>
        <v>0</v>
      </c>
      <c r="DC708" s="4" t="s">
        <v>241</v>
      </c>
      <c r="DD708" s="4" t="s">
        <v>241</v>
      </c>
      <c r="DF708" s="4" t="s">
        <v>241</v>
      </c>
      <c r="DI708" s="4" t="s">
        <v>241</v>
      </c>
      <c r="DJ708" s="4" t="s">
        <v>241</v>
      </c>
      <c r="DK708" s="4" t="s">
        <v>241</v>
      </c>
      <c r="DL708" s="4" t="s">
        <v>241</v>
      </c>
      <c r="DM708" s="4" t="s">
        <v>277</v>
      </c>
      <c r="DN708" s="4" t="s">
        <v>278</v>
      </c>
      <c r="DO708" s="6">
        <f t="shared" ref="DO708:DO713" si="26">122.82</f>
        <v>122.82</v>
      </c>
      <c r="DP708" s="4" t="s">
        <v>241</v>
      </c>
      <c r="DQ708" s="4" t="s">
        <v>241</v>
      </c>
      <c r="DR708" s="4" t="s">
        <v>241</v>
      </c>
      <c r="DS708" s="4" t="s">
        <v>241</v>
      </c>
      <c r="DV708" s="4" t="s">
        <v>2227</v>
      </c>
      <c r="DW708" s="4" t="s">
        <v>277</v>
      </c>
      <c r="HO708" s="4" t="s">
        <v>277</v>
      </c>
      <c r="HR708" s="4" t="s">
        <v>278</v>
      </c>
      <c r="HS708" s="4" t="s">
        <v>278</v>
      </c>
    </row>
    <row r="709" spans="1:227" x14ac:dyDescent="0.4">
      <c r="A709" s="4">
        <v>2</v>
      </c>
      <c r="B709" s="4" t="s">
        <v>239</v>
      </c>
      <c r="C709" s="4">
        <v>774</v>
      </c>
      <c r="D709" s="4">
        <v>1</v>
      </c>
      <c r="E709" s="4">
        <v>1</v>
      </c>
      <c r="F709" s="4" t="s">
        <v>240</v>
      </c>
      <c r="G709" s="4" t="s">
        <v>241</v>
      </c>
      <c r="H709" s="4" t="s">
        <v>241</v>
      </c>
      <c r="I709" s="4" t="s">
        <v>2224</v>
      </c>
      <c r="J709" s="4" t="s">
        <v>344</v>
      </c>
      <c r="K709" s="4" t="s">
        <v>256</v>
      </c>
      <c r="L709" s="4" t="s">
        <v>2101</v>
      </c>
      <c r="M709" s="5" t="s">
        <v>2226</v>
      </c>
      <c r="N709" s="4" t="s">
        <v>2109</v>
      </c>
      <c r="O709" s="6">
        <f t="shared" si="22"/>
        <v>122.82</v>
      </c>
      <c r="P709" s="4" t="s">
        <v>276</v>
      </c>
      <c r="Q709" s="6">
        <f>1</f>
        <v>1</v>
      </c>
      <c r="R709" s="6">
        <f t="shared" si="23"/>
        <v>18791460</v>
      </c>
      <c r="S709" s="5" t="s">
        <v>2225</v>
      </c>
      <c r="T709" s="4" t="s">
        <v>314</v>
      </c>
      <c r="U709" s="4" t="s">
        <v>408</v>
      </c>
      <c r="W709" s="6">
        <f t="shared" si="24"/>
        <v>18791459</v>
      </c>
      <c r="X709" s="4" t="s">
        <v>243</v>
      </c>
      <c r="Y709" s="4" t="s">
        <v>244</v>
      </c>
      <c r="Z709" s="4" t="s">
        <v>338</v>
      </c>
      <c r="AA709" s="4" t="s">
        <v>241</v>
      </c>
      <c r="AD709" s="4" t="s">
        <v>241</v>
      </c>
      <c r="AF709" s="5" t="s">
        <v>241</v>
      </c>
      <c r="AI709" s="5" t="s">
        <v>249</v>
      </c>
      <c r="AJ709" s="4" t="s">
        <v>251</v>
      </c>
      <c r="AK709" s="4" t="s">
        <v>252</v>
      </c>
      <c r="BA709" s="4" t="s">
        <v>254</v>
      </c>
      <c r="BB709" s="4" t="s">
        <v>241</v>
      </c>
      <c r="BC709" s="4" t="s">
        <v>255</v>
      </c>
      <c r="BD709" s="4" t="s">
        <v>241</v>
      </c>
      <c r="BE709" s="4" t="s">
        <v>257</v>
      </c>
      <c r="BF709" s="4" t="s">
        <v>241</v>
      </c>
      <c r="BJ709" s="4" t="s">
        <v>374</v>
      </c>
      <c r="BK709" s="5" t="s">
        <v>375</v>
      </c>
      <c r="BL709" s="4" t="s">
        <v>261</v>
      </c>
      <c r="BM709" s="4" t="s">
        <v>262</v>
      </c>
      <c r="BN709" s="4" t="s">
        <v>241</v>
      </c>
      <c r="BO709" s="6">
        <f>0</f>
        <v>0</v>
      </c>
      <c r="BP709" s="6">
        <f>0</f>
        <v>0</v>
      </c>
      <c r="BQ709" s="4" t="s">
        <v>263</v>
      </c>
      <c r="BR709" s="4" t="s">
        <v>264</v>
      </c>
      <c r="CF709" s="4" t="s">
        <v>241</v>
      </c>
      <c r="CG709" s="4" t="s">
        <v>241</v>
      </c>
      <c r="CK709" s="4" t="s">
        <v>291</v>
      </c>
      <c r="CL709" s="4" t="s">
        <v>266</v>
      </c>
      <c r="CM709" s="4" t="s">
        <v>241</v>
      </c>
      <c r="CO709" s="4" t="s">
        <v>667</v>
      </c>
      <c r="CP709" s="5" t="s">
        <v>268</v>
      </c>
      <c r="CQ709" s="4" t="s">
        <v>269</v>
      </c>
      <c r="CR709" s="4" t="s">
        <v>270</v>
      </c>
      <c r="CS709" s="4" t="s">
        <v>241</v>
      </c>
      <c r="CT709" s="4" t="s">
        <v>241</v>
      </c>
      <c r="CU709" s="4">
        <v>0</v>
      </c>
      <c r="CV709" s="4" t="s">
        <v>271</v>
      </c>
      <c r="CW709" s="4" t="s">
        <v>411</v>
      </c>
      <c r="CX709" s="4" t="s">
        <v>347</v>
      </c>
      <c r="CZ709" s="6">
        <f t="shared" si="25"/>
        <v>18791460</v>
      </c>
      <c r="DA709" s="6">
        <f>0</f>
        <v>0</v>
      </c>
      <c r="DC709" s="4" t="s">
        <v>241</v>
      </c>
      <c r="DD709" s="4" t="s">
        <v>241</v>
      </c>
      <c r="DF709" s="4" t="s">
        <v>241</v>
      </c>
      <c r="DI709" s="4" t="s">
        <v>241</v>
      </c>
      <c r="DJ709" s="4" t="s">
        <v>241</v>
      </c>
      <c r="DK709" s="4" t="s">
        <v>241</v>
      </c>
      <c r="DL709" s="4" t="s">
        <v>241</v>
      </c>
      <c r="DM709" s="4" t="s">
        <v>277</v>
      </c>
      <c r="DN709" s="4" t="s">
        <v>278</v>
      </c>
      <c r="DO709" s="6">
        <f t="shared" si="26"/>
        <v>122.82</v>
      </c>
      <c r="DP709" s="4" t="s">
        <v>241</v>
      </c>
      <c r="DQ709" s="4" t="s">
        <v>241</v>
      </c>
      <c r="DR709" s="4" t="s">
        <v>241</v>
      </c>
      <c r="DS709" s="4" t="s">
        <v>241</v>
      </c>
      <c r="DV709" s="4" t="s">
        <v>2227</v>
      </c>
      <c r="DW709" s="4" t="s">
        <v>323</v>
      </c>
      <c r="HO709" s="4" t="s">
        <v>277</v>
      </c>
      <c r="HR709" s="4" t="s">
        <v>278</v>
      </c>
      <c r="HS709" s="4" t="s">
        <v>278</v>
      </c>
    </row>
    <row r="710" spans="1:227" x14ac:dyDescent="0.4">
      <c r="A710" s="4">
        <v>2</v>
      </c>
      <c r="B710" s="4" t="s">
        <v>239</v>
      </c>
      <c r="C710" s="4">
        <v>775</v>
      </c>
      <c r="D710" s="4">
        <v>1</v>
      </c>
      <c r="E710" s="4">
        <v>1</v>
      </c>
      <c r="F710" s="4" t="s">
        <v>240</v>
      </c>
      <c r="G710" s="4" t="s">
        <v>241</v>
      </c>
      <c r="H710" s="4" t="s">
        <v>241</v>
      </c>
      <c r="I710" s="4" t="s">
        <v>2224</v>
      </c>
      <c r="J710" s="4" t="s">
        <v>344</v>
      </c>
      <c r="K710" s="4" t="s">
        <v>256</v>
      </c>
      <c r="L710" s="4" t="s">
        <v>2101</v>
      </c>
      <c r="M710" s="5" t="s">
        <v>2226</v>
      </c>
      <c r="N710" s="4" t="s">
        <v>2110</v>
      </c>
      <c r="O710" s="6">
        <f t="shared" si="22"/>
        <v>122.82</v>
      </c>
      <c r="P710" s="4" t="s">
        <v>276</v>
      </c>
      <c r="Q710" s="6">
        <f>1</f>
        <v>1</v>
      </c>
      <c r="R710" s="6">
        <f t="shared" si="23"/>
        <v>18791460</v>
      </c>
      <c r="S710" s="5" t="s">
        <v>2225</v>
      </c>
      <c r="T710" s="4" t="s">
        <v>314</v>
      </c>
      <c r="U710" s="4" t="s">
        <v>408</v>
      </c>
      <c r="W710" s="6">
        <f t="shared" si="24"/>
        <v>18791459</v>
      </c>
      <c r="X710" s="4" t="s">
        <v>243</v>
      </c>
      <c r="Y710" s="4" t="s">
        <v>244</v>
      </c>
      <c r="Z710" s="4" t="s">
        <v>338</v>
      </c>
      <c r="AA710" s="4" t="s">
        <v>241</v>
      </c>
      <c r="AD710" s="4" t="s">
        <v>241</v>
      </c>
      <c r="AF710" s="5" t="s">
        <v>241</v>
      </c>
      <c r="AI710" s="5" t="s">
        <v>249</v>
      </c>
      <c r="AJ710" s="4" t="s">
        <v>251</v>
      </c>
      <c r="AK710" s="4" t="s">
        <v>252</v>
      </c>
      <c r="BA710" s="4" t="s">
        <v>254</v>
      </c>
      <c r="BB710" s="4" t="s">
        <v>241</v>
      </c>
      <c r="BC710" s="4" t="s">
        <v>255</v>
      </c>
      <c r="BD710" s="4" t="s">
        <v>241</v>
      </c>
      <c r="BE710" s="4" t="s">
        <v>257</v>
      </c>
      <c r="BF710" s="4" t="s">
        <v>241</v>
      </c>
      <c r="BJ710" s="4" t="s">
        <v>377</v>
      </c>
      <c r="BK710" s="5" t="s">
        <v>378</v>
      </c>
      <c r="BL710" s="4" t="s">
        <v>261</v>
      </c>
      <c r="BM710" s="4" t="s">
        <v>262</v>
      </c>
      <c r="BN710" s="4" t="s">
        <v>241</v>
      </c>
      <c r="BO710" s="6">
        <f>0</f>
        <v>0</v>
      </c>
      <c r="BP710" s="6">
        <f>0</f>
        <v>0</v>
      </c>
      <c r="BQ710" s="4" t="s">
        <v>263</v>
      </c>
      <c r="BR710" s="4" t="s">
        <v>264</v>
      </c>
      <c r="CF710" s="4" t="s">
        <v>241</v>
      </c>
      <c r="CG710" s="4" t="s">
        <v>241</v>
      </c>
      <c r="CK710" s="4" t="s">
        <v>291</v>
      </c>
      <c r="CL710" s="4" t="s">
        <v>266</v>
      </c>
      <c r="CM710" s="4" t="s">
        <v>241</v>
      </c>
      <c r="CO710" s="4" t="s">
        <v>667</v>
      </c>
      <c r="CP710" s="5" t="s">
        <v>268</v>
      </c>
      <c r="CQ710" s="4" t="s">
        <v>269</v>
      </c>
      <c r="CR710" s="4" t="s">
        <v>270</v>
      </c>
      <c r="CS710" s="4" t="s">
        <v>241</v>
      </c>
      <c r="CT710" s="4" t="s">
        <v>241</v>
      </c>
      <c r="CU710" s="4">
        <v>0</v>
      </c>
      <c r="CV710" s="4" t="s">
        <v>271</v>
      </c>
      <c r="CW710" s="4" t="s">
        <v>411</v>
      </c>
      <c r="CX710" s="4" t="s">
        <v>347</v>
      </c>
      <c r="CZ710" s="6">
        <f t="shared" si="25"/>
        <v>18791460</v>
      </c>
      <c r="DA710" s="6">
        <f>0</f>
        <v>0</v>
      </c>
      <c r="DC710" s="4" t="s">
        <v>241</v>
      </c>
      <c r="DD710" s="4" t="s">
        <v>241</v>
      </c>
      <c r="DF710" s="4" t="s">
        <v>241</v>
      </c>
      <c r="DI710" s="4" t="s">
        <v>241</v>
      </c>
      <c r="DJ710" s="4" t="s">
        <v>241</v>
      </c>
      <c r="DK710" s="4" t="s">
        <v>241</v>
      </c>
      <c r="DL710" s="4" t="s">
        <v>241</v>
      </c>
      <c r="DM710" s="4" t="s">
        <v>277</v>
      </c>
      <c r="DN710" s="4" t="s">
        <v>278</v>
      </c>
      <c r="DO710" s="6">
        <f t="shared" si="26"/>
        <v>122.82</v>
      </c>
      <c r="DP710" s="4" t="s">
        <v>241</v>
      </c>
      <c r="DQ710" s="4" t="s">
        <v>241</v>
      </c>
      <c r="DR710" s="4" t="s">
        <v>241</v>
      </c>
      <c r="DS710" s="4" t="s">
        <v>241</v>
      </c>
      <c r="DV710" s="4" t="s">
        <v>2227</v>
      </c>
      <c r="DW710" s="4" t="s">
        <v>297</v>
      </c>
      <c r="HO710" s="4" t="s">
        <v>277</v>
      </c>
      <c r="HR710" s="4" t="s">
        <v>278</v>
      </c>
      <c r="HS710" s="4" t="s">
        <v>278</v>
      </c>
    </row>
    <row r="711" spans="1:227" x14ac:dyDescent="0.4">
      <c r="A711" s="4">
        <v>2</v>
      </c>
      <c r="B711" s="4" t="s">
        <v>239</v>
      </c>
      <c r="C711" s="4">
        <v>776</v>
      </c>
      <c r="D711" s="4">
        <v>1</v>
      </c>
      <c r="E711" s="4">
        <v>1</v>
      </c>
      <c r="F711" s="4" t="s">
        <v>240</v>
      </c>
      <c r="G711" s="4" t="s">
        <v>241</v>
      </c>
      <c r="H711" s="4" t="s">
        <v>241</v>
      </c>
      <c r="I711" s="4" t="s">
        <v>2224</v>
      </c>
      <c r="J711" s="4" t="s">
        <v>344</v>
      </c>
      <c r="K711" s="4" t="s">
        <v>256</v>
      </c>
      <c r="L711" s="4" t="s">
        <v>2101</v>
      </c>
      <c r="M711" s="5" t="s">
        <v>2226</v>
      </c>
      <c r="N711" s="4" t="s">
        <v>2122</v>
      </c>
      <c r="O711" s="6">
        <f t="shared" si="22"/>
        <v>122.82</v>
      </c>
      <c r="P711" s="4" t="s">
        <v>276</v>
      </c>
      <c r="Q711" s="6">
        <f>1</f>
        <v>1</v>
      </c>
      <c r="R711" s="6">
        <f t="shared" si="23"/>
        <v>18791460</v>
      </c>
      <c r="S711" s="5" t="s">
        <v>2225</v>
      </c>
      <c r="T711" s="4" t="s">
        <v>314</v>
      </c>
      <c r="U711" s="4" t="s">
        <v>408</v>
      </c>
      <c r="W711" s="6">
        <f t="shared" si="24"/>
        <v>18791459</v>
      </c>
      <c r="X711" s="4" t="s">
        <v>243</v>
      </c>
      <c r="Y711" s="4" t="s">
        <v>244</v>
      </c>
      <c r="Z711" s="4" t="s">
        <v>338</v>
      </c>
      <c r="AA711" s="4" t="s">
        <v>241</v>
      </c>
      <c r="AD711" s="4" t="s">
        <v>241</v>
      </c>
      <c r="AF711" s="5" t="s">
        <v>241</v>
      </c>
      <c r="AI711" s="5" t="s">
        <v>249</v>
      </c>
      <c r="AJ711" s="4" t="s">
        <v>251</v>
      </c>
      <c r="AK711" s="4" t="s">
        <v>252</v>
      </c>
      <c r="BA711" s="4" t="s">
        <v>254</v>
      </c>
      <c r="BB711" s="4" t="s">
        <v>241</v>
      </c>
      <c r="BC711" s="4" t="s">
        <v>255</v>
      </c>
      <c r="BD711" s="4" t="s">
        <v>241</v>
      </c>
      <c r="BE711" s="4" t="s">
        <v>257</v>
      </c>
      <c r="BF711" s="4" t="s">
        <v>241</v>
      </c>
      <c r="BJ711" s="4" t="s">
        <v>259</v>
      </c>
      <c r="BK711" s="5" t="s">
        <v>260</v>
      </c>
      <c r="BL711" s="4" t="s">
        <v>261</v>
      </c>
      <c r="BM711" s="4" t="s">
        <v>262</v>
      </c>
      <c r="BN711" s="4" t="s">
        <v>241</v>
      </c>
      <c r="BO711" s="6">
        <f>0</f>
        <v>0</v>
      </c>
      <c r="BP711" s="6">
        <f>0</f>
        <v>0</v>
      </c>
      <c r="BQ711" s="4" t="s">
        <v>263</v>
      </c>
      <c r="BR711" s="4" t="s">
        <v>264</v>
      </c>
      <c r="CF711" s="4" t="s">
        <v>241</v>
      </c>
      <c r="CG711" s="4" t="s">
        <v>241</v>
      </c>
      <c r="CK711" s="4" t="s">
        <v>291</v>
      </c>
      <c r="CL711" s="4" t="s">
        <v>266</v>
      </c>
      <c r="CM711" s="4" t="s">
        <v>241</v>
      </c>
      <c r="CO711" s="4" t="s">
        <v>667</v>
      </c>
      <c r="CP711" s="5" t="s">
        <v>268</v>
      </c>
      <c r="CQ711" s="4" t="s">
        <v>269</v>
      </c>
      <c r="CR711" s="4" t="s">
        <v>270</v>
      </c>
      <c r="CS711" s="4" t="s">
        <v>241</v>
      </c>
      <c r="CT711" s="4" t="s">
        <v>241</v>
      </c>
      <c r="CU711" s="4">
        <v>0</v>
      </c>
      <c r="CV711" s="4" t="s">
        <v>271</v>
      </c>
      <c r="CW711" s="4" t="s">
        <v>411</v>
      </c>
      <c r="CX711" s="4" t="s">
        <v>347</v>
      </c>
      <c r="CZ711" s="6">
        <f t="shared" si="25"/>
        <v>18791460</v>
      </c>
      <c r="DA711" s="6">
        <f>0</f>
        <v>0</v>
      </c>
      <c r="DC711" s="4" t="s">
        <v>241</v>
      </c>
      <c r="DD711" s="4" t="s">
        <v>241</v>
      </c>
      <c r="DF711" s="4" t="s">
        <v>241</v>
      </c>
      <c r="DI711" s="4" t="s">
        <v>241</v>
      </c>
      <c r="DJ711" s="4" t="s">
        <v>241</v>
      </c>
      <c r="DK711" s="4" t="s">
        <v>241</v>
      </c>
      <c r="DL711" s="4" t="s">
        <v>241</v>
      </c>
      <c r="DM711" s="4" t="s">
        <v>277</v>
      </c>
      <c r="DN711" s="4" t="s">
        <v>278</v>
      </c>
      <c r="DO711" s="6">
        <f t="shared" si="26"/>
        <v>122.82</v>
      </c>
      <c r="DP711" s="4" t="s">
        <v>241</v>
      </c>
      <c r="DQ711" s="4" t="s">
        <v>241</v>
      </c>
      <c r="DR711" s="4" t="s">
        <v>241</v>
      </c>
      <c r="DS711" s="4" t="s">
        <v>241</v>
      </c>
      <c r="DV711" s="4" t="s">
        <v>2227</v>
      </c>
      <c r="DW711" s="4" t="s">
        <v>336</v>
      </c>
      <c r="HO711" s="4" t="s">
        <v>277</v>
      </c>
      <c r="HR711" s="4" t="s">
        <v>278</v>
      </c>
      <c r="HS711" s="4" t="s">
        <v>278</v>
      </c>
    </row>
    <row r="712" spans="1:227" x14ac:dyDescent="0.4">
      <c r="A712" s="4">
        <v>2</v>
      </c>
      <c r="B712" s="4" t="s">
        <v>239</v>
      </c>
      <c r="C712" s="4">
        <v>777</v>
      </c>
      <c r="D712" s="4">
        <v>1</v>
      </c>
      <c r="E712" s="4">
        <v>1</v>
      </c>
      <c r="F712" s="4" t="s">
        <v>240</v>
      </c>
      <c r="G712" s="4" t="s">
        <v>241</v>
      </c>
      <c r="H712" s="4" t="s">
        <v>241</v>
      </c>
      <c r="I712" s="4" t="s">
        <v>2224</v>
      </c>
      <c r="J712" s="4" t="s">
        <v>344</v>
      </c>
      <c r="K712" s="4" t="s">
        <v>256</v>
      </c>
      <c r="L712" s="4" t="s">
        <v>2101</v>
      </c>
      <c r="M712" s="5" t="s">
        <v>2226</v>
      </c>
      <c r="N712" s="4" t="s">
        <v>2098</v>
      </c>
      <c r="O712" s="6">
        <f t="shared" si="22"/>
        <v>122.82</v>
      </c>
      <c r="P712" s="4" t="s">
        <v>276</v>
      </c>
      <c r="Q712" s="6">
        <f>1</f>
        <v>1</v>
      </c>
      <c r="R712" s="6">
        <f t="shared" si="23"/>
        <v>18791460</v>
      </c>
      <c r="S712" s="5" t="s">
        <v>2225</v>
      </c>
      <c r="T712" s="4" t="s">
        <v>314</v>
      </c>
      <c r="U712" s="4" t="s">
        <v>408</v>
      </c>
      <c r="W712" s="6">
        <f t="shared" si="24"/>
        <v>18791459</v>
      </c>
      <c r="X712" s="4" t="s">
        <v>243</v>
      </c>
      <c r="Y712" s="4" t="s">
        <v>244</v>
      </c>
      <c r="Z712" s="4" t="s">
        <v>338</v>
      </c>
      <c r="AA712" s="4" t="s">
        <v>241</v>
      </c>
      <c r="AD712" s="4" t="s">
        <v>241</v>
      </c>
      <c r="AF712" s="5" t="s">
        <v>241</v>
      </c>
      <c r="AI712" s="5" t="s">
        <v>249</v>
      </c>
      <c r="AJ712" s="4" t="s">
        <v>251</v>
      </c>
      <c r="AK712" s="4" t="s">
        <v>252</v>
      </c>
      <c r="BA712" s="4" t="s">
        <v>254</v>
      </c>
      <c r="BB712" s="4" t="s">
        <v>241</v>
      </c>
      <c r="BC712" s="4" t="s">
        <v>255</v>
      </c>
      <c r="BD712" s="4" t="s">
        <v>241</v>
      </c>
      <c r="BE712" s="4" t="s">
        <v>257</v>
      </c>
      <c r="BF712" s="4" t="s">
        <v>241</v>
      </c>
      <c r="BJ712" s="4" t="s">
        <v>367</v>
      </c>
      <c r="BK712" s="5" t="s">
        <v>249</v>
      </c>
      <c r="BL712" s="4" t="s">
        <v>261</v>
      </c>
      <c r="BM712" s="4" t="s">
        <v>262</v>
      </c>
      <c r="BN712" s="4" t="s">
        <v>241</v>
      </c>
      <c r="BO712" s="6">
        <f>0</f>
        <v>0</v>
      </c>
      <c r="BP712" s="6">
        <f>0</f>
        <v>0</v>
      </c>
      <c r="BQ712" s="4" t="s">
        <v>263</v>
      </c>
      <c r="BR712" s="4" t="s">
        <v>264</v>
      </c>
      <c r="CF712" s="4" t="s">
        <v>241</v>
      </c>
      <c r="CG712" s="4" t="s">
        <v>241</v>
      </c>
      <c r="CK712" s="4" t="s">
        <v>291</v>
      </c>
      <c r="CL712" s="4" t="s">
        <v>266</v>
      </c>
      <c r="CM712" s="4" t="s">
        <v>241</v>
      </c>
      <c r="CO712" s="4" t="s">
        <v>667</v>
      </c>
      <c r="CP712" s="5" t="s">
        <v>268</v>
      </c>
      <c r="CQ712" s="4" t="s">
        <v>269</v>
      </c>
      <c r="CR712" s="4" t="s">
        <v>270</v>
      </c>
      <c r="CS712" s="4" t="s">
        <v>241</v>
      </c>
      <c r="CT712" s="4" t="s">
        <v>241</v>
      </c>
      <c r="CU712" s="4">
        <v>0</v>
      </c>
      <c r="CV712" s="4" t="s">
        <v>271</v>
      </c>
      <c r="CW712" s="4" t="s">
        <v>411</v>
      </c>
      <c r="CX712" s="4" t="s">
        <v>347</v>
      </c>
      <c r="CZ712" s="6">
        <f t="shared" si="25"/>
        <v>18791460</v>
      </c>
      <c r="DA712" s="6">
        <f>0</f>
        <v>0</v>
      </c>
      <c r="DC712" s="4" t="s">
        <v>241</v>
      </c>
      <c r="DD712" s="4" t="s">
        <v>241</v>
      </c>
      <c r="DF712" s="4" t="s">
        <v>241</v>
      </c>
      <c r="DI712" s="4" t="s">
        <v>241</v>
      </c>
      <c r="DJ712" s="4" t="s">
        <v>241</v>
      </c>
      <c r="DK712" s="4" t="s">
        <v>241</v>
      </c>
      <c r="DL712" s="4" t="s">
        <v>241</v>
      </c>
      <c r="DM712" s="4" t="s">
        <v>277</v>
      </c>
      <c r="DN712" s="4" t="s">
        <v>278</v>
      </c>
      <c r="DO712" s="6">
        <f t="shared" si="26"/>
        <v>122.82</v>
      </c>
      <c r="DP712" s="4" t="s">
        <v>241</v>
      </c>
      <c r="DQ712" s="4" t="s">
        <v>241</v>
      </c>
      <c r="DR712" s="4" t="s">
        <v>241</v>
      </c>
      <c r="DS712" s="4" t="s">
        <v>241</v>
      </c>
      <c r="DV712" s="4" t="s">
        <v>2227</v>
      </c>
      <c r="DW712" s="4" t="s">
        <v>351</v>
      </c>
      <c r="HO712" s="4" t="s">
        <v>277</v>
      </c>
      <c r="HR712" s="4" t="s">
        <v>278</v>
      </c>
      <c r="HS712" s="4" t="s">
        <v>278</v>
      </c>
    </row>
    <row r="713" spans="1:227" x14ac:dyDescent="0.4">
      <c r="A713" s="4">
        <v>2</v>
      </c>
      <c r="B713" s="4" t="s">
        <v>239</v>
      </c>
      <c r="C713" s="4">
        <v>778</v>
      </c>
      <c r="D713" s="4">
        <v>1</v>
      </c>
      <c r="E713" s="4">
        <v>1</v>
      </c>
      <c r="F713" s="4" t="s">
        <v>240</v>
      </c>
      <c r="G713" s="4" t="s">
        <v>241</v>
      </c>
      <c r="H713" s="4" t="s">
        <v>241</v>
      </c>
      <c r="I713" s="4" t="s">
        <v>2224</v>
      </c>
      <c r="J713" s="4" t="s">
        <v>344</v>
      </c>
      <c r="K713" s="4" t="s">
        <v>256</v>
      </c>
      <c r="L713" s="4" t="s">
        <v>2101</v>
      </c>
      <c r="M713" s="5" t="s">
        <v>2226</v>
      </c>
      <c r="N713" s="4" t="s">
        <v>2191</v>
      </c>
      <c r="O713" s="6">
        <f t="shared" si="22"/>
        <v>122.82</v>
      </c>
      <c r="P713" s="4" t="s">
        <v>276</v>
      </c>
      <c r="Q713" s="6">
        <f>1</f>
        <v>1</v>
      </c>
      <c r="R713" s="6">
        <f t="shared" si="23"/>
        <v>18791460</v>
      </c>
      <c r="S713" s="5" t="s">
        <v>2225</v>
      </c>
      <c r="T713" s="4" t="s">
        <v>314</v>
      </c>
      <c r="U713" s="4" t="s">
        <v>408</v>
      </c>
      <c r="W713" s="6">
        <f t="shared" si="24"/>
        <v>18791459</v>
      </c>
      <c r="X713" s="4" t="s">
        <v>243</v>
      </c>
      <c r="Y713" s="4" t="s">
        <v>244</v>
      </c>
      <c r="Z713" s="4" t="s">
        <v>338</v>
      </c>
      <c r="AA713" s="4" t="s">
        <v>241</v>
      </c>
      <c r="AD713" s="4" t="s">
        <v>241</v>
      </c>
      <c r="AF713" s="5" t="s">
        <v>241</v>
      </c>
      <c r="AI713" s="5" t="s">
        <v>249</v>
      </c>
      <c r="AJ713" s="4" t="s">
        <v>251</v>
      </c>
      <c r="AK713" s="4" t="s">
        <v>252</v>
      </c>
      <c r="BA713" s="4" t="s">
        <v>254</v>
      </c>
      <c r="BB713" s="4" t="s">
        <v>241</v>
      </c>
      <c r="BC713" s="4" t="s">
        <v>255</v>
      </c>
      <c r="BD713" s="4" t="s">
        <v>241</v>
      </c>
      <c r="BE713" s="4" t="s">
        <v>257</v>
      </c>
      <c r="BF713" s="4" t="s">
        <v>241</v>
      </c>
      <c r="BJ713" s="4" t="s">
        <v>374</v>
      </c>
      <c r="BK713" s="5" t="s">
        <v>375</v>
      </c>
      <c r="BL713" s="4" t="s">
        <v>261</v>
      </c>
      <c r="BM713" s="4" t="s">
        <v>262</v>
      </c>
      <c r="BN713" s="4" t="s">
        <v>241</v>
      </c>
      <c r="BO713" s="6">
        <f>0</f>
        <v>0</v>
      </c>
      <c r="BP713" s="6">
        <f>0</f>
        <v>0</v>
      </c>
      <c r="BQ713" s="4" t="s">
        <v>263</v>
      </c>
      <c r="BR713" s="4" t="s">
        <v>264</v>
      </c>
      <c r="CF713" s="4" t="s">
        <v>241</v>
      </c>
      <c r="CG713" s="4" t="s">
        <v>241</v>
      </c>
      <c r="CK713" s="4" t="s">
        <v>291</v>
      </c>
      <c r="CL713" s="4" t="s">
        <v>266</v>
      </c>
      <c r="CM713" s="4" t="s">
        <v>241</v>
      </c>
      <c r="CO713" s="4" t="s">
        <v>667</v>
      </c>
      <c r="CP713" s="5" t="s">
        <v>268</v>
      </c>
      <c r="CQ713" s="4" t="s">
        <v>269</v>
      </c>
      <c r="CR713" s="4" t="s">
        <v>270</v>
      </c>
      <c r="CS713" s="4" t="s">
        <v>241</v>
      </c>
      <c r="CT713" s="4" t="s">
        <v>241</v>
      </c>
      <c r="CU713" s="4">
        <v>0</v>
      </c>
      <c r="CV713" s="4" t="s">
        <v>271</v>
      </c>
      <c r="CW713" s="4" t="s">
        <v>411</v>
      </c>
      <c r="CX713" s="4" t="s">
        <v>347</v>
      </c>
      <c r="CZ713" s="6">
        <f t="shared" si="25"/>
        <v>18791460</v>
      </c>
      <c r="DA713" s="6">
        <f>0</f>
        <v>0</v>
      </c>
      <c r="DC713" s="4" t="s">
        <v>241</v>
      </c>
      <c r="DD713" s="4" t="s">
        <v>241</v>
      </c>
      <c r="DF713" s="4" t="s">
        <v>241</v>
      </c>
      <c r="DI713" s="4" t="s">
        <v>241</v>
      </c>
      <c r="DJ713" s="4" t="s">
        <v>241</v>
      </c>
      <c r="DK713" s="4" t="s">
        <v>241</v>
      </c>
      <c r="DL713" s="4" t="s">
        <v>241</v>
      </c>
      <c r="DM713" s="4" t="s">
        <v>277</v>
      </c>
      <c r="DN713" s="4" t="s">
        <v>278</v>
      </c>
      <c r="DO713" s="6">
        <f t="shared" si="26"/>
        <v>122.82</v>
      </c>
      <c r="DP713" s="4" t="s">
        <v>241</v>
      </c>
      <c r="DQ713" s="4" t="s">
        <v>241</v>
      </c>
      <c r="DR713" s="4" t="s">
        <v>241</v>
      </c>
      <c r="DS713" s="4" t="s">
        <v>241</v>
      </c>
      <c r="DV713" s="4" t="s">
        <v>2227</v>
      </c>
      <c r="DW713" s="4" t="s">
        <v>300</v>
      </c>
      <c r="HO713" s="4" t="s">
        <v>277</v>
      </c>
      <c r="HR713" s="4" t="s">
        <v>278</v>
      </c>
      <c r="HS713" s="4" t="s">
        <v>278</v>
      </c>
    </row>
    <row r="714" spans="1:227" x14ac:dyDescent="0.4">
      <c r="A714" s="4">
        <v>2</v>
      </c>
      <c r="B714" s="4" t="s">
        <v>239</v>
      </c>
      <c r="C714" s="4">
        <v>779</v>
      </c>
      <c r="D714" s="4">
        <v>1</v>
      </c>
      <c r="E714" s="4">
        <v>1</v>
      </c>
      <c r="F714" s="4" t="s">
        <v>240</v>
      </c>
      <c r="G714" s="4" t="s">
        <v>241</v>
      </c>
      <c r="H714" s="4" t="s">
        <v>241</v>
      </c>
      <c r="I714" s="4" t="s">
        <v>2224</v>
      </c>
      <c r="J714" s="4" t="s">
        <v>344</v>
      </c>
      <c r="K714" s="4" t="s">
        <v>256</v>
      </c>
      <c r="L714" s="4" t="s">
        <v>2101</v>
      </c>
      <c r="M714" s="5" t="s">
        <v>2226</v>
      </c>
      <c r="N714" s="4" t="s">
        <v>2192</v>
      </c>
      <c r="O714" s="6">
        <f t="shared" ref="O714:O727" si="27">117.86</f>
        <v>117.86</v>
      </c>
      <c r="P714" s="4" t="s">
        <v>276</v>
      </c>
      <c r="Q714" s="6">
        <f>1</f>
        <v>1</v>
      </c>
      <c r="R714" s="6">
        <f t="shared" ref="R714:R727" si="28">18032580</f>
        <v>18032580</v>
      </c>
      <c r="S714" s="5" t="s">
        <v>2225</v>
      </c>
      <c r="T714" s="4" t="s">
        <v>314</v>
      </c>
      <c r="U714" s="4" t="s">
        <v>408</v>
      </c>
      <c r="W714" s="6">
        <f t="shared" ref="W714:W727" si="29">18032579</f>
        <v>18032579</v>
      </c>
      <c r="X714" s="4" t="s">
        <v>243</v>
      </c>
      <c r="Y714" s="4" t="s">
        <v>244</v>
      </c>
      <c r="Z714" s="4" t="s">
        <v>338</v>
      </c>
      <c r="AA714" s="4" t="s">
        <v>241</v>
      </c>
      <c r="AD714" s="4" t="s">
        <v>241</v>
      </c>
      <c r="AF714" s="5" t="s">
        <v>241</v>
      </c>
      <c r="AI714" s="5" t="s">
        <v>249</v>
      </c>
      <c r="AJ714" s="4" t="s">
        <v>251</v>
      </c>
      <c r="AK714" s="4" t="s">
        <v>252</v>
      </c>
      <c r="BA714" s="4" t="s">
        <v>254</v>
      </c>
      <c r="BB714" s="4" t="s">
        <v>241</v>
      </c>
      <c r="BC714" s="4" t="s">
        <v>255</v>
      </c>
      <c r="BD714" s="4" t="s">
        <v>241</v>
      </c>
      <c r="BE714" s="4" t="s">
        <v>257</v>
      </c>
      <c r="BF714" s="4" t="s">
        <v>241</v>
      </c>
      <c r="BJ714" s="4" t="s">
        <v>377</v>
      </c>
      <c r="BK714" s="5" t="s">
        <v>378</v>
      </c>
      <c r="BL714" s="4" t="s">
        <v>261</v>
      </c>
      <c r="BM714" s="4" t="s">
        <v>262</v>
      </c>
      <c r="BN714" s="4" t="s">
        <v>241</v>
      </c>
      <c r="BO714" s="6">
        <f>0</f>
        <v>0</v>
      </c>
      <c r="BP714" s="6">
        <f>0</f>
        <v>0</v>
      </c>
      <c r="BQ714" s="4" t="s">
        <v>263</v>
      </c>
      <c r="BR714" s="4" t="s">
        <v>264</v>
      </c>
      <c r="CF714" s="4" t="s">
        <v>241</v>
      </c>
      <c r="CG714" s="4" t="s">
        <v>241</v>
      </c>
      <c r="CK714" s="4" t="s">
        <v>291</v>
      </c>
      <c r="CL714" s="4" t="s">
        <v>266</v>
      </c>
      <c r="CM714" s="4" t="s">
        <v>241</v>
      </c>
      <c r="CO714" s="4" t="s">
        <v>667</v>
      </c>
      <c r="CP714" s="5" t="s">
        <v>268</v>
      </c>
      <c r="CQ714" s="4" t="s">
        <v>269</v>
      </c>
      <c r="CR714" s="4" t="s">
        <v>270</v>
      </c>
      <c r="CS714" s="4" t="s">
        <v>241</v>
      </c>
      <c r="CT714" s="4" t="s">
        <v>241</v>
      </c>
      <c r="CU714" s="4">
        <v>0</v>
      </c>
      <c r="CV714" s="4" t="s">
        <v>271</v>
      </c>
      <c r="CW714" s="4" t="s">
        <v>411</v>
      </c>
      <c r="CX714" s="4" t="s">
        <v>347</v>
      </c>
      <c r="CZ714" s="6">
        <f t="shared" ref="CZ714:CZ727" si="30">18032580</f>
        <v>18032580</v>
      </c>
      <c r="DA714" s="6">
        <f>0</f>
        <v>0</v>
      </c>
      <c r="DC714" s="4" t="s">
        <v>241</v>
      </c>
      <c r="DD714" s="4" t="s">
        <v>241</v>
      </c>
      <c r="DF714" s="4" t="s">
        <v>241</v>
      </c>
      <c r="DI714" s="4" t="s">
        <v>241</v>
      </c>
      <c r="DJ714" s="4" t="s">
        <v>241</v>
      </c>
      <c r="DK714" s="4" t="s">
        <v>241</v>
      </c>
      <c r="DL714" s="4" t="s">
        <v>241</v>
      </c>
      <c r="DM714" s="4" t="s">
        <v>277</v>
      </c>
      <c r="DN714" s="4" t="s">
        <v>278</v>
      </c>
      <c r="DO714" s="6">
        <f t="shared" ref="DO714:DO727" si="31">117.86</f>
        <v>117.86</v>
      </c>
      <c r="DP714" s="4" t="s">
        <v>241</v>
      </c>
      <c r="DQ714" s="4" t="s">
        <v>241</v>
      </c>
      <c r="DR714" s="4" t="s">
        <v>241</v>
      </c>
      <c r="DS714" s="4" t="s">
        <v>241</v>
      </c>
      <c r="DV714" s="4" t="s">
        <v>2227</v>
      </c>
      <c r="DW714" s="4" t="s">
        <v>341</v>
      </c>
      <c r="HO714" s="4" t="s">
        <v>277</v>
      </c>
      <c r="HR714" s="4" t="s">
        <v>278</v>
      </c>
      <c r="HS714" s="4" t="s">
        <v>278</v>
      </c>
    </row>
    <row r="715" spans="1:227" x14ac:dyDescent="0.4">
      <c r="A715" s="4">
        <v>2</v>
      </c>
      <c r="B715" s="4" t="s">
        <v>239</v>
      </c>
      <c r="C715" s="4">
        <v>780</v>
      </c>
      <c r="D715" s="4">
        <v>1</v>
      </c>
      <c r="E715" s="4">
        <v>1</v>
      </c>
      <c r="F715" s="4" t="s">
        <v>240</v>
      </c>
      <c r="G715" s="4" t="s">
        <v>241</v>
      </c>
      <c r="H715" s="4" t="s">
        <v>241</v>
      </c>
      <c r="I715" s="4" t="s">
        <v>2224</v>
      </c>
      <c r="J715" s="4" t="s">
        <v>344</v>
      </c>
      <c r="K715" s="4" t="s">
        <v>256</v>
      </c>
      <c r="L715" s="4" t="s">
        <v>2101</v>
      </c>
      <c r="M715" s="5" t="s">
        <v>2226</v>
      </c>
      <c r="N715" s="4" t="s">
        <v>2173</v>
      </c>
      <c r="O715" s="6">
        <f t="shared" si="27"/>
        <v>117.86</v>
      </c>
      <c r="P715" s="4" t="s">
        <v>276</v>
      </c>
      <c r="Q715" s="6">
        <f>1</f>
        <v>1</v>
      </c>
      <c r="R715" s="6">
        <f t="shared" si="28"/>
        <v>18032580</v>
      </c>
      <c r="S715" s="5" t="s">
        <v>2225</v>
      </c>
      <c r="T715" s="4" t="s">
        <v>314</v>
      </c>
      <c r="U715" s="4" t="s">
        <v>408</v>
      </c>
      <c r="W715" s="6">
        <f t="shared" si="29"/>
        <v>18032579</v>
      </c>
      <c r="X715" s="4" t="s">
        <v>243</v>
      </c>
      <c r="Y715" s="4" t="s">
        <v>244</v>
      </c>
      <c r="Z715" s="4" t="s">
        <v>338</v>
      </c>
      <c r="AA715" s="4" t="s">
        <v>241</v>
      </c>
      <c r="AD715" s="4" t="s">
        <v>241</v>
      </c>
      <c r="AF715" s="5" t="s">
        <v>241</v>
      </c>
      <c r="AI715" s="5" t="s">
        <v>249</v>
      </c>
      <c r="AJ715" s="4" t="s">
        <v>251</v>
      </c>
      <c r="AK715" s="4" t="s">
        <v>252</v>
      </c>
      <c r="BA715" s="4" t="s">
        <v>254</v>
      </c>
      <c r="BB715" s="4" t="s">
        <v>241</v>
      </c>
      <c r="BC715" s="4" t="s">
        <v>255</v>
      </c>
      <c r="BD715" s="4" t="s">
        <v>241</v>
      </c>
      <c r="BE715" s="4" t="s">
        <v>257</v>
      </c>
      <c r="BF715" s="4" t="s">
        <v>241</v>
      </c>
      <c r="BJ715" s="4" t="s">
        <v>259</v>
      </c>
      <c r="BK715" s="5" t="s">
        <v>260</v>
      </c>
      <c r="BL715" s="4" t="s">
        <v>261</v>
      </c>
      <c r="BM715" s="4" t="s">
        <v>262</v>
      </c>
      <c r="BN715" s="4" t="s">
        <v>241</v>
      </c>
      <c r="BO715" s="6">
        <f>0</f>
        <v>0</v>
      </c>
      <c r="BP715" s="6">
        <f>0</f>
        <v>0</v>
      </c>
      <c r="BQ715" s="4" t="s">
        <v>263</v>
      </c>
      <c r="BR715" s="4" t="s">
        <v>264</v>
      </c>
      <c r="CF715" s="4" t="s">
        <v>241</v>
      </c>
      <c r="CG715" s="4" t="s">
        <v>241</v>
      </c>
      <c r="CK715" s="4" t="s">
        <v>291</v>
      </c>
      <c r="CL715" s="4" t="s">
        <v>266</v>
      </c>
      <c r="CM715" s="4" t="s">
        <v>241</v>
      </c>
      <c r="CO715" s="4" t="s">
        <v>667</v>
      </c>
      <c r="CP715" s="5" t="s">
        <v>268</v>
      </c>
      <c r="CQ715" s="4" t="s">
        <v>269</v>
      </c>
      <c r="CR715" s="4" t="s">
        <v>270</v>
      </c>
      <c r="CS715" s="4" t="s">
        <v>241</v>
      </c>
      <c r="CT715" s="4" t="s">
        <v>241</v>
      </c>
      <c r="CU715" s="4">
        <v>0</v>
      </c>
      <c r="CV715" s="4" t="s">
        <v>271</v>
      </c>
      <c r="CW715" s="4" t="s">
        <v>411</v>
      </c>
      <c r="CX715" s="4" t="s">
        <v>347</v>
      </c>
      <c r="CZ715" s="6">
        <f t="shared" si="30"/>
        <v>18032580</v>
      </c>
      <c r="DA715" s="6">
        <f>0</f>
        <v>0</v>
      </c>
      <c r="DC715" s="4" t="s">
        <v>241</v>
      </c>
      <c r="DD715" s="4" t="s">
        <v>241</v>
      </c>
      <c r="DF715" s="4" t="s">
        <v>241</v>
      </c>
      <c r="DI715" s="4" t="s">
        <v>241</v>
      </c>
      <c r="DJ715" s="4" t="s">
        <v>241</v>
      </c>
      <c r="DK715" s="4" t="s">
        <v>241</v>
      </c>
      <c r="DL715" s="4" t="s">
        <v>241</v>
      </c>
      <c r="DM715" s="4" t="s">
        <v>277</v>
      </c>
      <c r="DN715" s="4" t="s">
        <v>278</v>
      </c>
      <c r="DO715" s="6">
        <f t="shared" si="31"/>
        <v>117.86</v>
      </c>
      <c r="DP715" s="4" t="s">
        <v>241</v>
      </c>
      <c r="DQ715" s="4" t="s">
        <v>241</v>
      </c>
      <c r="DR715" s="4" t="s">
        <v>241</v>
      </c>
      <c r="DS715" s="4" t="s">
        <v>241</v>
      </c>
      <c r="DV715" s="4" t="s">
        <v>2227</v>
      </c>
      <c r="DW715" s="4" t="s">
        <v>343</v>
      </c>
      <c r="HO715" s="4" t="s">
        <v>277</v>
      </c>
      <c r="HR715" s="4" t="s">
        <v>278</v>
      </c>
      <c r="HS715" s="4" t="s">
        <v>278</v>
      </c>
    </row>
    <row r="716" spans="1:227" x14ac:dyDescent="0.4">
      <c r="A716" s="4">
        <v>2</v>
      </c>
      <c r="B716" s="4" t="s">
        <v>239</v>
      </c>
      <c r="C716" s="4">
        <v>781</v>
      </c>
      <c r="D716" s="4">
        <v>1</v>
      </c>
      <c r="E716" s="4">
        <v>1</v>
      </c>
      <c r="F716" s="4" t="s">
        <v>240</v>
      </c>
      <c r="G716" s="4" t="s">
        <v>241</v>
      </c>
      <c r="H716" s="4" t="s">
        <v>241</v>
      </c>
      <c r="I716" s="4" t="s">
        <v>2224</v>
      </c>
      <c r="J716" s="4" t="s">
        <v>344</v>
      </c>
      <c r="K716" s="4" t="s">
        <v>256</v>
      </c>
      <c r="L716" s="4" t="s">
        <v>2101</v>
      </c>
      <c r="M716" s="5" t="s">
        <v>2226</v>
      </c>
      <c r="N716" s="4" t="s">
        <v>2174</v>
      </c>
      <c r="O716" s="6">
        <f t="shared" si="27"/>
        <v>117.86</v>
      </c>
      <c r="P716" s="4" t="s">
        <v>276</v>
      </c>
      <c r="Q716" s="6">
        <f>1</f>
        <v>1</v>
      </c>
      <c r="R716" s="6">
        <f t="shared" si="28"/>
        <v>18032580</v>
      </c>
      <c r="S716" s="5" t="s">
        <v>2225</v>
      </c>
      <c r="T716" s="4" t="s">
        <v>314</v>
      </c>
      <c r="U716" s="4" t="s">
        <v>408</v>
      </c>
      <c r="W716" s="6">
        <f t="shared" si="29"/>
        <v>18032579</v>
      </c>
      <c r="X716" s="4" t="s">
        <v>243</v>
      </c>
      <c r="Y716" s="4" t="s">
        <v>244</v>
      </c>
      <c r="Z716" s="4" t="s">
        <v>338</v>
      </c>
      <c r="AA716" s="4" t="s">
        <v>241</v>
      </c>
      <c r="AD716" s="4" t="s">
        <v>241</v>
      </c>
      <c r="AF716" s="5" t="s">
        <v>241</v>
      </c>
      <c r="AI716" s="5" t="s">
        <v>249</v>
      </c>
      <c r="AJ716" s="4" t="s">
        <v>251</v>
      </c>
      <c r="AK716" s="4" t="s">
        <v>252</v>
      </c>
      <c r="BA716" s="4" t="s">
        <v>254</v>
      </c>
      <c r="BB716" s="4" t="s">
        <v>241</v>
      </c>
      <c r="BC716" s="4" t="s">
        <v>255</v>
      </c>
      <c r="BD716" s="4" t="s">
        <v>241</v>
      </c>
      <c r="BE716" s="4" t="s">
        <v>257</v>
      </c>
      <c r="BF716" s="4" t="s">
        <v>241</v>
      </c>
      <c r="BJ716" s="4" t="s">
        <v>367</v>
      </c>
      <c r="BK716" s="5" t="s">
        <v>249</v>
      </c>
      <c r="BL716" s="4" t="s">
        <v>261</v>
      </c>
      <c r="BM716" s="4" t="s">
        <v>262</v>
      </c>
      <c r="BN716" s="4" t="s">
        <v>241</v>
      </c>
      <c r="BO716" s="6">
        <f>0</f>
        <v>0</v>
      </c>
      <c r="BP716" s="6">
        <f>0</f>
        <v>0</v>
      </c>
      <c r="BQ716" s="4" t="s">
        <v>263</v>
      </c>
      <c r="BR716" s="4" t="s">
        <v>264</v>
      </c>
      <c r="CF716" s="4" t="s">
        <v>241</v>
      </c>
      <c r="CG716" s="4" t="s">
        <v>241</v>
      </c>
      <c r="CK716" s="4" t="s">
        <v>291</v>
      </c>
      <c r="CL716" s="4" t="s">
        <v>266</v>
      </c>
      <c r="CM716" s="4" t="s">
        <v>241</v>
      </c>
      <c r="CO716" s="4" t="s">
        <v>667</v>
      </c>
      <c r="CP716" s="5" t="s">
        <v>268</v>
      </c>
      <c r="CQ716" s="4" t="s">
        <v>269</v>
      </c>
      <c r="CR716" s="4" t="s">
        <v>270</v>
      </c>
      <c r="CS716" s="4" t="s">
        <v>241</v>
      </c>
      <c r="CT716" s="4" t="s">
        <v>241</v>
      </c>
      <c r="CU716" s="4">
        <v>0</v>
      </c>
      <c r="CV716" s="4" t="s">
        <v>271</v>
      </c>
      <c r="CW716" s="4" t="s">
        <v>411</v>
      </c>
      <c r="CX716" s="4" t="s">
        <v>347</v>
      </c>
      <c r="CZ716" s="6">
        <f t="shared" si="30"/>
        <v>18032580</v>
      </c>
      <c r="DA716" s="6">
        <f>0</f>
        <v>0</v>
      </c>
      <c r="DC716" s="4" t="s">
        <v>241</v>
      </c>
      <c r="DD716" s="4" t="s">
        <v>241</v>
      </c>
      <c r="DF716" s="4" t="s">
        <v>241</v>
      </c>
      <c r="DI716" s="4" t="s">
        <v>241</v>
      </c>
      <c r="DJ716" s="4" t="s">
        <v>241</v>
      </c>
      <c r="DK716" s="4" t="s">
        <v>241</v>
      </c>
      <c r="DL716" s="4" t="s">
        <v>241</v>
      </c>
      <c r="DM716" s="4" t="s">
        <v>277</v>
      </c>
      <c r="DN716" s="4" t="s">
        <v>278</v>
      </c>
      <c r="DO716" s="6">
        <f t="shared" si="31"/>
        <v>117.86</v>
      </c>
      <c r="DP716" s="4" t="s">
        <v>241</v>
      </c>
      <c r="DQ716" s="4" t="s">
        <v>241</v>
      </c>
      <c r="DR716" s="4" t="s">
        <v>241</v>
      </c>
      <c r="DS716" s="4" t="s">
        <v>241</v>
      </c>
      <c r="DV716" s="4" t="s">
        <v>2227</v>
      </c>
      <c r="DW716" s="4" t="s">
        <v>417</v>
      </c>
      <c r="HO716" s="4" t="s">
        <v>277</v>
      </c>
      <c r="HR716" s="4" t="s">
        <v>278</v>
      </c>
      <c r="HS716" s="4" t="s">
        <v>278</v>
      </c>
    </row>
    <row r="717" spans="1:227" x14ac:dyDescent="0.4">
      <c r="A717" s="4">
        <v>2</v>
      </c>
      <c r="B717" s="4" t="s">
        <v>239</v>
      </c>
      <c r="C717" s="4">
        <v>782</v>
      </c>
      <c r="D717" s="4">
        <v>1</v>
      </c>
      <c r="E717" s="4">
        <v>1</v>
      </c>
      <c r="F717" s="4" t="s">
        <v>240</v>
      </c>
      <c r="G717" s="4" t="s">
        <v>241</v>
      </c>
      <c r="H717" s="4" t="s">
        <v>241</v>
      </c>
      <c r="I717" s="4" t="s">
        <v>2224</v>
      </c>
      <c r="J717" s="4" t="s">
        <v>344</v>
      </c>
      <c r="K717" s="4" t="s">
        <v>256</v>
      </c>
      <c r="L717" s="4" t="s">
        <v>2101</v>
      </c>
      <c r="M717" s="5" t="s">
        <v>2226</v>
      </c>
      <c r="N717" s="4" t="s">
        <v>2154</v>
      </c>
      <c r="O717" s="6">
        <f t="shared" si="27"/>
        <v>117.86</v>
      </c>
      <c r="P717" s="4" t="s">
        <v>276</v>
      </c>
      <c r="Q717" s="6">
        <f>1</f>
        <v>1</v>
      </c>
      <c r="R717" s="6">
        <f t="shared" si="28"/>
        <v>18032580</v>
      </c>
      <c r="S717" s="5" t="s">
        <v>2225</v>
      </c>
      <c r="T717" s="4" t="s">
        <v>314</v>
      </c>
      <c r="U717" s="4" t="s">
        <v>408</v>
      </c>
      <c r="W717" s="6">
        <f t="shared" si="29"/>
        <v>18032579</v>
      </c>
      <c r="X717" s="4" t="s">
        <v>243</v>
      </c>
      <c r="Y717" s="4" t="s">
        <v>244</v>
      </c>
      <c r="Z717" s="4" t="s">
        <v>338</v>
      </c>
      <c r="AA717" s="4" t="s">
        <v>241</v>
      </c>
      <c r="AD717" s="4" t="s">
        <v>241</v>
      </c>
      <c r="AF717" s="5" t="s">
        <v>241</v>
      </c>
      <c r="AI717" s="5" t="s">
        <v>249</v>
      </c>
      <c r="AJ717" s="4" t="s">
        <v>251</v>
      </c>
      <c r="AK717" s="4" t="s">
        <v>252</v>
      </c>
      <c r="BA717" s="4" t="s">
        <v>254</v>
      </c>
      <c r="BB717" s="4" t="s">
        <v>241</v>
      </c>
      <c r="BC717" s="4" t="s">
        <v>255</v>
      </c>
      <c r="BD717" s="4" t="s">
        <v>241</v>
      </c>
      <c r="BE717" s="4" t="s">
        <v>257</v>
      </c>
      <c r="BF717" s="4" t="s">
        <v>241</v>
      </c>
      <c r="BJ717" s="4" t="s">
        <v>374</v>
      </c>
      <c r="BK717" s="5" t="s">
        <v>375</v>
      </c>
      <c r="BL717" s="4" t="s">
        <v>261</v>
      </c>
      <c r="BM717" s="4" t="s">
        <v>262</v>
      </c>
      <c r="BN717" s="4" t="s">
        <v>241</v>
      </c>
      <c r="BO717" s="6">
        <f>0</f>
        <v>0</v>
      </c>
      <c r="BP717" s="6">
        <f>0</f>
        <v>0</v>
      </c>
      <c r="BQ717" s="4" t="s">
        <v>263</v>
      </c>
      <c r="BR717" s="4" t="s">
        <v>264</v>
      </c>
      <c r="CF717" s="4" t="s">
        <v>241</v>
      </c>
      <c r="CG717" s="4" t="s">
        <v>241</v>
      </c>
      <c r="CK717" s="4" t="s">
        <v>291</v>
      </c>
      <c r="CL717" s="4" t="s">
        <v>266</v>
      </c>
      <c r="CM717" s="4" t="s">
        <v>241</v>
      </c>
      <c r="CO717" s="4" t="s">
        <v>667</v>
      </c>
      <c r="CP717" s="5" t="s">
        <v>268</v>
      </c>
      <c r="CQ717" s="4" t="s">
        <v>269</v>
      </c>
      <c r="CR717" s="4" t="s">
        <v>270</v>
      </c>
      <c r="CS717" s="4" t="s">
        <v>241</v>
      </c>
      <c r="CT717" s="4" t="s">
        <v>241</v>
      </c>
      <c r="CU717" s="4">
        <v>0</v>
      </c>
      <c r="CV717" s="4" t="s">
        <v>271</v>
      </c>
      <c r="CW717" s="4" t="s">
        <v>411</v>
      </c>
      <c r="CX717" s="4" t="s">
        <v>347</v>
      </c>
      <c r="CZ717" s="6">
        <f t="shared" si="30"/>
        <v>18032580</v>
      </c>
      <c r="DA717" s="6">
        <f>0</f>
        <v>0</v>
      </c>
      <c r="DC717" s="4" t="s">
        <v>241</v>
      </c>
      <c r="DD717" s="4" t="s">
        <v>241</v>
      </c>
      <c r="DF717" s="4" t="s">
        <v>241</v>
      </c>
      <c r="DI717" s="4" t="s">
        <v>241</v>
      </c>
      <c r="DJ717" s="4" t="s">
        <v>241</v>
      </c>
      <c r="DK717" s="4" t="s">
        <v>241</v>
      </c>
      <c r="DL717" s="4" t="s">
        <v>241</v>
      </c>
      <c r="DM717" s="4" t="s">
        <v>277</v>
      </c>
      <c r="DN717" s="4" t="s">
        <v>278</v>
      </c>
      <c r="DO717" s="6">
        <f t="shared" si="31"/>
        <v>117.86</v>
      </c>
      <c r="DP717" s="4" t="s">
        <v>241</v>
      </c>
      <c r="DQ717" s="4" t="s">
        <v>241</v>
      </c>
      <c r="DR717" s="4" t="s">
        <v>241</v>
      </c>
      <c r="DS717" s="4" t="s">
        <v>241</v>
      </c>
      <c r="DV717" s="4" t="s">
        <v>2227</v>
      </c>
      <c r="DW717" s="4" t="s">
        <v>427</v>
      </c>
      <c r="HO717" s="4" t="s">
        <v>277</v>
      </c>
      <c r="HR717" s="4" t="s">
        <v>278</v>
      </c>
      <c r="HS717" s="4" t="s">
        <v>278</v>
      </c>
    </row>
    <row r="718" spans="1:227" x14ac:dyDescent="0.4">
      <c r="A718" s="4">
        <v>2</v>
      </c>
      <c r="B718" s="4" t="s">
        <v>239</v>
      </c>
      <c r="C718" s="4">
        <v>783</v>
      </c>
      <c r="D718" s="4">
        <v>1</v>
      </c>
      <c r="E718" s="4">
        <v>1</v>
      </c>
      <c r="F718" s="4" t="s">
        <v>240</v>
      </c>
      <c r="G718" s="4" t="s">
        <v>241</v>
      </c>
      <c r="H718" s="4" t="s">
        <v>241</v>
      </c>
      <c r="I718" s="4" t="s">
        <v>2224</v>
      </c>
      <c r="J718" s="4" t="s">
        <v>344</v>
      </c>
      <c r="K718" s="4" t="s">
        <v>256</v>
      </c>
      <c r="L718" s="4" t="s">
        <v>2101</v>
      </c>
      <c r="M718" s="5" t="s">
        <v>2226</v>
      </c>
      <c r="N718" s="4" t="s">
        <v>2232</v>
      </c>
      <c r="O718" s="6">
        <f t="shared" si="27"/>
        <v>117.86</v>
      </c>
      <c r="P718" s="4" t="s">
        <v>276</v>
      </c>
      <c r="Q718" s="6">
        <f>1</f>
        <v>1</v>
      </c>
      <c r="R718" s="6">
        <f t="shared" si="28"/>
        <v>18032580</v>
      </c>
      <c r="S718" s="5" t="s">
        <v>2225</v>
      </c>
      <c r="T718" s="4" t="s">
        <v>314</v>
      </c>
      <c r="U718" s="4" t="s">
        <v>408</v>
      </c>
      <c r="W718" s="6">
        <f t="shared" si="29"/>
        <v>18032579</v>
      </c>
      <c r="X718" s="4" t="s">
        <v>243</v>
      </c>
      <c r="Y718" s="4" t="s">
        <v>244</v>
      </c>
      <c r="Z718" s="4" t="s">
        <v>338</v>
      </c>
      <c r="AA718" s="4" t="s">
        <v>241</v>
      </c>
      <c r="AD718" s="4" t="s">
        <v>241</v>
      </c>
      <c r="AF718" s="5" t="s">
        <v>241</v>
      </c>
      <c r="AI718" s="5" t="s">
        <v>249</v>
      </c>
      <c r="AJ718" s="4" t="s">
        <v>251</v>
      </c>
      <c r="AK718" s="4" t="s">
        <v>252</v>
      </c>
      <c r="BA718" s="4" t="s">
        <v>254</v>
      </c>
      <c r="BB718" s="4" t="s">
        <v>241</v>
      </c>
      <c r="BC718" s="4" t="s">
        <v>255</v>
      </c>
      <c r="BD718" s="4" t="s">
        <v>241</v>
      </c>
      <c r="BE718" s="4" t="s">
        <v>257</v>
      </c>
      <c r="BF718" s="4" t="s">
        <v>241</v>
      </c>
      <c r="BJ718" s="4" t="s">
        <v>377</v>
      </c>
      <c r="BK718" s="5" t="s">
        <v>378</v>
      </c>
      <c r="BL718" s="4" t="s">
        <v>261</v>
      </c>
      <c r="BM718" s="4" t="s">
        <v>262</v>
      </c>
      <c r="BN718" s="4" t="s">
        <v>241</v>
      </c>
      <c r="BO718" s="6">
        <f>0</f>
        <v>0</v>
      </c>
      <c r="BP718" s="6">
        <f>0</f>
        <v>0</v>
      </c>
      <c r="BQ718" s="4" t="s">
        <v>263</v>
      </c>
      <c r="BR718" s="4" t="s">
        <v>264</v>
      </c>
      <c r="CF718" s="4" t="s">
        <v>241</v>
      </c>
      <c r="CG718" s="4" t="s">
        <v>241</v>
      </c>
      <c r="CK718" s="4" t="s">
        <v>291</v>
      </c>
      <c r="CL718" s="4" t="s">
        <v>266</v>
      </c>
      <c r="CM718" s="4" t="s">
        <v>241</v>
      </c>
      <c r="CO718" s="4" t="s">
        <v>667</v>
      </c>
      <c r="CP718" s="5" t="s">
        <v>268</v>
      </c>
      <c r="CQ718" s="4" t="s">
        <v>269</v>
      </c>
      <c r="CR718" s="4" t="s">
        <v>270</v>
      </c>
      <c r="CS718" s="4" t="s">
        <v>241</v>
      </c>
      <c r="CT718" s="4" t="s">
        <v>241</v>
      </c>
      <c r="CU718" s="4">
        <v>0</v>
      </c>
      <c r="CV718" s="4" t="s">
        <v>271</v>
      </c>
      <c r="CW718" s="4" t="s">
        <v>411</v>
      </c>
      <c r="CX718" s="4" t="s">
        <v>347</v>
      </c>
      <c r="CZ718" s="6">
        <f t="shared" si="30"/>
        <v>18032580</v>
      </c>
      <c r="DA718" s="6">
        <f>0</f>
        <v>0</v>
      </c>
      <c r="DC718" s="4" t="s">
        <v>241</v>
      </c>
      <c r="DD718" s="4" t="s">
        <v>241</v>
      </c>
      <c r="DF718" s="4" t="s">
        <v>241</v>
      </c>
      <c r="DI718" s="4" t="s">
        <v>241</v>
      </c>
      <c r="DJ718" s="4" t="s">
        <v>241</v>
      </c>
      <c r="DK718" s="4" t="s">
        <v>241</v>
      </c>
      <c r="DL718" s="4" t="s">
        <v>241</v>
      </c>
      <c r="DM718" s="4" t="s">
        <v>277</v>
      </c>
      <c r="DN718" s="4" t="s">
        <v>278</v>
      </c>
      <c r="DO718" s="6">
        <f t="shared" si="31"/>
        <v>117.86</v>
      </c>
      <c r="DP718" s="4" t="s">
        <v>241</v>
      </c>
      <c r="DQ718" s="4" t="s">
        <v>241</v>
      </c>
      <c r="DR718" s="4" t="s">
        <v>241</v>
      </c>
      <c r="DS718" s="4" t="s">
        <v>241</v>
      </c>
      <c r="DV718" s="4" t="s">
        <v>2227</v>
      </c>
      <c r="DW718" s="4" t="s">
        <v>353</v>
      </c>
      <c r="HO718" s="4" t="s">
        <v>277</v>
      </c>
      <c r="HR718" s="4" t="s">
        <v>278</v>
      </c>
      <c r="HS718" s="4" t="s">
        <v>278</v>
      </c>
    </row>
    <row r="719" spans="1:227" x14ac:dyDescent="0.4">
      <c r="A719" s="4">
        <v>2</v>
      </c>
      <c r="B719" s="4" t="s">
        <v>239</v>
      </c>
      <c r="C719" s="4">
        <v>784</v>
      </c>
      <c r="D719" s="4">
        <v>1</v>
      </c>
      <c r="E719" s="4">
        <v>1</v>
      </c>
      <c r="F719" s="4" t="s">
        <v>240</v>
      </c>
      <c r="G719" s="4" t="s">
        <v>241</v>
      </c>
      <c r="H719" s="4" t="s">
        <v>241</v>
      </c>
      <c r="I719" s="4" t="s">
        <v>2224</v>
      </c>
      <c r="J719" s="4" t="s">
        <v>344</v>
      </c>
      <c r="K719" s="4" t="s">
        <v>256</v>
      </c>
      <c r="L719" s="4" t="s">
        <v>2101</v>
      </c>
      <c r="M719" s="5" t="s">
        <v>2226</v>
      </c>
      <c r="N719" s="4" t="s">
        <v>2233</v>
      </c>
      <c r="O719" s="6">
        <f t="shared" si="27"/>
        <v>117.86</v>
      </c>
      <c r="P719" s="4" t="s">
        <v>276</v>
      </c>
      <c r="Q719" s="6">
        <f>1</f>
        <v>1</v>
      </c>
      <c r="R719" s="6">
        <f t="shared" si="28"/>
        <v>18032580</v>
      </c>
      <c r="S719" s="5" t="s">
        <v>2225</v>
      </c>
      <c r="T719" s="4" t="s">
        <v>314</v>
      </c>
      <c r="U719" s="4" t="s">
        <v>408</v>
      </c>
      <c r="W719" s="6">
        <f t="shared" si="29"/>
        <v>18032579</v>
      </c>
      <c r="X719" s="4" t="s">
        <v>243</v>
      </c>
      <c r="Y719" s="4" t="s">
        <v>244</v>
      </c>
      <c r="Z719" s="4" t="s">
        <v>338</v>
      </c>
      <c r="AA719" s="4" t="s">
        <v>241</v>
      </c>
      <c r="AD719" s="4" t="s">
        <v>241</v>
      </c>
      <c r="AF719" s="5" t="s">
        <v>241</v>
      </c>
      <c r="AI719" s="5" t="s">
        <v>249</v>
      </c>
      <c r="AJ719" s="4" t="s">
        <v>251</v>
      </c>
      <c r="AK719" s="4" t="s">
        <v>252</v>
      </c>
      <c r="BA719" s="4" t="s">
        <v>254</v>
      </c>
      <c r="BB719" s="4" t="s">
        <v>241</v>
      </c>
      <c r="BC719" s="4" t="s">
        <v>255</v>
      </c>
      <c r="BD719" s="4" t="s">
        <v>241</v>
      </c>
      <c r="BE719" s="4" t="s">
        <v>257</v>
      </c>
      <c r="BF719" s="4" t="s">
        <v>241</v>
      </c>
      <c r="BJ719" s="4" t="s">
        <v>259</v>
      </c>
      <c r="BK719" s="5" t="s">
        <v>260</v>
      </c>
      <c r="BL719" s="4" t="s">
        <v>261</v>
      </c>
      <c r="BM719" s="4" t="s">
        <v>262</v>
      </c>
      <c r="BN719" s="4" t="s">
        <v>241</v>
      </c>
      <c r="BO719" s="6">
        <f>0</f>
        <v>0</v>
      </c>
      <c r="BP719" s="6">
        <f>0</f>
        <v>0</v>
      </c>
      <c r="BQ719" s="4" t="s">
        <v>263</v>
      </c>
      <c r="BR719" s="4" t="s">
        <v>264</v>
      </c>
      <c r="CF719" s="4" t="s">
        <v>241</v>
      </c>
      <c r="CG719" s="4" t="s">
        <v>241</v>
      </c>
      <c r="CK719" s="4" t="s">
        <v>291</v>
      </c>
      <c r="CL719" s="4" t="s">
        <v>266</v>
      </c>
      <c r="CM719" s="4" t="s">
        <v>241</v>
      </c>
      <c r="CO719" s="4" t="s">
        <v>667</v>
      </c>
      <c r="CP719" s="5" t="s">
        <v>268</v>
      </c>
      <c r="CQ719" s="4" t="s">
        <v>269</v>
      </c>
      <c r="CR719" s="4" t="s">
        <v>270</v>
      </c>
      <c r="CS719" s="4" t="s">
        <v>241</v>
      </c>
      <c r="CT719" s="4" t="s">
        <v>241</v>
      </c>
      <c r="CU719" s="4">
        <v>0</v>
      </c>
      <c r="CV719" s="4" t="s">
        <v>271</v>
      </c>
      <c r="CW719" s="4" t="s">
        <v>411</v>
      </c>
      <c r="CX719" s="4" t="s">
        <v>347</v>
      </c>
      <c r="CZ719" s="6">
        <f t="shared" si="30"/>
        <v>18032580</v>
      </c>
      <c r="DA719" s="6">
        <f>0</f>
        <v>0</v>
      </c>
      <c r="DC719" s="4" t="s">
        <v>241</v>
      </c>
      <c r="DD719" s="4" t="s">
        <v>241</v>
      </c>
      <c r="DF719" s="4" t="s">
        <v>241</v>
      </c>
      <c r="DI719" s="4" t="s">
        <v>241</v>
      </c>
      <c r="DJ719" s="4" t="s">
        <v>241</v>
      </c>
      <c r="DK719" s="4" t="s">
        <v>241</v>
      </c>
      <c r="DL719" s="4" t="s">
        <v>241</v>
      </c>
      <c r="DM719" s="4" t="s">
        <v>277</v>
      </c>
      <c r="DN719" s="4" t="s">
        <v>278</v>
      </c>
      <c r="DO719" s="6">
        <f t="shared" si="31"/>
        <v>117.86</v>
      </c>
      <c r="DP719" s="4" t="s">
        <v>241</v>
      </c>
      <c r="DQ719" s="4" t="s">
        <v>241</v>
      </c>
      <c r="DR719" s="4" t="s">
        <v>241</v>
      </c>
      <c r="DS719" s="4" t="s">
        <v>241</v>
      </c>
      <c r="DV719" s="4" t="s">
        <v>2227</v>
      </c>
      <c r="DW719" s="4" t="s">
        <v>409</v>
      </c>
      <c r="HO719" s="4" t="s">
        <v>277</v>
      </c>
      <c r="HR719" s="4" t="s">
        <v>278</v>
      </c>
      <c r="HS719" s="4" t="s">
        <v>278</v>
      </c>
    </row>
    <row r="720" spans="1:227" x14ac:dyDescent="0.4">
      <c r="A720" s="4">
        <v>2</v>
      </c>
      <c r="B720" s="4" t="s">
        <v>239</v>
      </c>
      <c r="C720" s="4">
        <v>785</v>
      </c>
      <c r="D720" s="4">
        <v>1</v>
      </c>
      <c r="E720" s="4">
        <v>1</v>
      </c>
      <c r="F720" s="4" t="s">
        <v>240</v>
      </c>
      <c r="G720" s="4" t="s">
        <v>241</v>
      </c>
      <c r="H720" s="4" t="s">
        <v>241</v>
      </c>
      <c r="I720" s="4" t="s">
        <v>2224</v>
      </c>
      <c r="J720" s="4" t="s">
        <v>344</v>
      </c>
      <c r="K720" s="4" t="s">
        <v>256</v>
      </c>
      <c r="L720" s="4" t="s">
        <v>2101</v>
      </c>
      <c r="M720" s="5" t="s">
        <v>2226</v>
      </c>
      <c r="N720" s="4" t="s">
        <v>2228</v>
      </c>
      <c r="O720" s="6">
        <f t="shared" si="27"/>
        <v>117.86</v>
      </c>
      <c r="P720" s="4" t="s">
        <v>276</v>
      </c>
      <c r="Q720" s="6">
        <f>1</f>
        <v>1</v>
      </c>
      <c r="R720" s="6">
        <f t="shared" si="28"/>
        <v>18032580</v>
      </c>
      <c r="S720" s="5" t="s">
        <v>2225</v>
      </c>
      <c r="T720" s="4" t="s">
        <v>314</v>
      </c>
      <c r="U720" s="4" t="s">
        <v>408</v>
      </c>
      <c r="W720" s="6">
        <f t="shared" si="29"/>
        <v>18032579</v>
      </c>
      <c r="X720" s="4" t="s">
        <v>243</v>
      </c>
      <c r="Y720" s="4" t="s">
        <v>244</v>
      </c>
      <c r="Z720" s="4" t="s">
        <v>338</v>
      </c>
      <c r="AA720" s="4" t="s">
        <v>241</v>
      </c>
      <c r="AD720" s="4" t="s">
        <v>241</v>
      </c>
      <c r="AF720" s="5" t="s">
        <v>241</v>
      </c>
      <c r="AI720" s="5" t="s">
        <v>249</v>
      </c>
      <c r="AJ720" s="4" t="s">
        <v>251</v>
      </c>
      <c r="AK720" s="4" t="s">
        <v>252</v>
      </c>
      <c r="BA720" s="4" t="s">
        <v>254</v>
      </c>
      <c r="BB720" s="4" t="s">
        <v>241</v>
      </c>
      <c r="BC720" s="4" t="s">
        <v>255</v>
      </c>
      <c r="BD720" s="4" t="s">
        <v>241</v>
      </c>
      <c r="BE720" s="4" t="s">
        <v>257</v>
      </c>
      <c r="BF720" s="4" t="s">
        <v>241</v>
      </c>
      <c r="BJ720" s="4" t="s">
        <v>367</v>
      </c>
      <c r="BK720" s="5" t="s">
        <v>249</v>
      </c>
      <c r="BL720" s="4" t="s">
        <v>261</v>
      </c>
      <c r="BM720" s="4" t="s">
        <v>262</v>
      </c>
      <c r="BN720" s="4" t="s">
        <v>241</v>
      </c>
      <c r="BO720" s="6">
        <f>0</f>
        <v>0</v>
      </c>
      <c r="BP720" s="6">
        <f>0</f>
        <v>0</v>
      </c>
      <c r="BQ720" s="4" t="s">
        <v>263</v>
      </c>
      <c r="BR720" s="4" t="s">
        <v>264</v>
      </c>
      <c r="CF720" s="4" t="s">
        <v>241</v>
      </c>
      <c r="CG720" s="4" t="s">
        <v>241</v>
      </c>
      <c r="CK720" s="4" t="s">
        <v>291</v>
      </c>
      <c r="CL720" s="4" t="s">
        <v>266</v>
      </c>
      <c r="CM720" s="4" t="s">
        <v>241</v>
      </c>
      <c r="CO720" s="4" t="s">
        <v>667</v>
      </c>
      <c r="CP720" s="5" t="s">
        <v>268</v>
      </c>
      <c r="CQ720" s="4" t="s">
        <v>269</v>
      </c>
      <c r="CR720" s="4" t="s">
        <v>270</v>
      </c>
      <c r="CS720" s="4" t="s">
        <v>241</v>
      </c>
      <c r="CT720" s="4" t="s">
        <v>241</v>
      </c>
      <c r="CU720" s="4">
        <v>0</v>
      </c>
      <c r="CV720" s="4" t="s">
        <v>271</v>
      </c>
      <c r="CW720" s="4" t="s">
        <v>411</v>
      </c>
      <c r="CX720" s="4" t="s">
        <v>347</v>
      </c>
      <c r="CZ720" s="6">
        <f t="shared" si="30"/>
        <v>18032580</v>
      </c>
      <c r="DA720" s="6">
        <f>0</f>
        <v>0</v>
      </c>
      <c r="DC720" s="4" t="s">
        <v>241</v>
      </c>
      <c r="DD720" s="4" t="s">
        <v>241</v>
      </c>
      <c r="DF720" s="4" t="s">
        <v>241</v>
      </c>
      <c r="DI720" s="4" t="s">
        <v>241</v>
      </c>
      <c r="DJ720" s="4" t="s">
        <v>241</v>
      </c>
      <c r="DK720" s="4" t="s">
        <v>241</v>
      </c>
      <c r="DL720" s="4" t="s">
        <v>241</v>
      </c>
      <c r="DM720" s="4" t="s">
        <v>277</v>
      </c>
      <c r="DN720" s="4" t="s">
        <v>278</v>
      </c>
      <c r="DO720" s="6">
        <f t="shared" si="31"/>
        <v>117.86</v>
      </c>
      <c r="DP720" s="4" t="s">
        <v>241</v>
      </c>
      <c r="DQ720" s="4" t="s">
        <v>241</v>
      </c>
      <c r="DR720" s="4" t="s">
        <v>241</v>
      </c>
      <c r="DS720" s="4" t="s">
        <v>241</v>
      </c>
      <c r="DV720" s="4" t="s">
        <v>2227</v>
      </c>
      <c r="DW720" s="4" t="s">
        <v>322</v>
      </c>
      <c r="HO720" s="4" t="s">
        <v>277</v>
      </c>
      <c r="HR720" s="4" t="s">
        <v>278</v>
      </c>
      <c r="HS720" s="4" t="s">
        <v>278</v>
      </c>
    </row>
    <row r="721" spans="1:227" x14ac:dyDescent="0.4">
      <c r="A721" s="4">
        <v>2</v>
      </c>
      <c r="B721" s="4" t="s">
        <v>239</v>
      </c>
      <c r="C721" s="4">
        <v>786</v>
      </c>
      <c r="D721" s="4">
        <v>1</v>
      </c>
      <c r="E721" s="4">
        <v>1</v>
      </c>
      <c r="F721" s="4" t="s">
        <v>240</v>
      </c>
      <c r="G721" s="4" t="s">
        <v>241</v>
      </c>
      <c r="H721" s="4" t="s">
        <v>241</v>
      </c>
      <c r="I721" s="4" t="s">
        <v>2224</v>
      </c>
      <c r="J721" s="4" t="s">
        <v>344</v>
      </c>
      <c r="K721" s="4" t="s">
        <v>256</v>
      </c>
      <c r="L721" s="4" t="s">
        <v>2101</v>
      </c>
      <c r="M721" s="5" t="s">
        <v>2226</v>
      </c>
      <c r="N721" s="4" t="s">
        <v>2238</v>
      </c>
      <c r="O721" s="6">
        <f t="shared" si="27"/>
        <v>117.86</v>
      </c>
      <c r="P721" s="4" t="s">
        <v>276</v>
      </c>
      <c r="Q721" s="6">
        <f>1</f>
        <v>1</v>
      </c>
      <c r="R721" s="6">
        <f t="shared" si="28"/>
        <v>18032580</v>
      </c>
      <c r="S721" s="5" t="s">
        <v>2225</v>
      </c>
      <c r="T721" s="4" t="s">
        <v>314</v>
      </c>
      <c r="U721" s="4" t="s">
        <v>408</v>
      </c>
      <c r="W721" s="6">
        <f t="shared" si="29"/>
        <v>18032579</v>
      </c>
      <c r="X721" s="4" t="s">
        <v>243</v>
      </c>
      <c r="Y721" s="4" t="s">
        <v>244</v>
      </c>
      <c r="Z721" s="4" t="s">
        <v>338</v>
      </c>
      <c r="AA721" s="4" t="s">
        <v>241</v>
      </c>
      <c r="AD721" s="4" t="s">
        <v>241</v>
      </c>
      <c r="AF721" s="5" t="s">
        <v>241</v>
      </c>
      <c r="AI721" s="5" t="s">
        <v>249</v>
      </c>
      <c r="AJ721" s="4" t="s">
        <v>251</v>
      </c>
      <c r="AK721" s="4" t="s">
        <v>252</v>
      </c>
      <c r="BA721" s="4" t="s">
        <v>254</v>
      </c>
      <c r="BB721" s="4" t="s">
        <v>241</v>
      </c>
      <c r="BC721" s="4" t="s">
        <v>255</v>
      </c>
      <c r="BD721" s="4" t="s">
        <v>241</v>
      </c>
      <c r="BE721" s="4" t="s">
        <v>257</v>
      </c>
      <c r="BF721" s="4" t="s">
        <v>241</v>
      </c>
      <c r="BJ721" s="4" t="s">
        <v>374</v>
      </c>
      <c r="BK721" s="5" t="s">
        <v>375</v>
      </c>
      <c r="BL721" s="4" t="s">
        <v>261</v>
      </c>
      <c r="BM721" s="4" t="s">
        <v>262</v>
      </c>
      <c r="BN721" s="4" t="s">
        <v>241</v>
      </c>
      <c r="BO721" s="6">
        <f>0</f>
        <v>0</v>
      </c>
      <c r="BP721" s="6">
        <f>0</f>
        <v>0</v>
      </c>
      <c r="BQ721" s="4" t="s">
        <v>263</v>
      </c>
      <c r="BR721" s="4" t="s">
        <v>264</v>
      </c>
      <c r="CF721" s="4" t="s">
        <v>241</v>
      </c>
      <c r="CG721" s="4" t="s">
        <v>241</v>
      </c>
      <c r="CK721" s="4" t="s">
        <v>291</v>
      </c>
      <c r="CL721" s="4" t="s">
        <v>266</v>
      </c>
      <c r="CM721" s="4" t="s">
        <v>241</v>
      </c>
      <c r="CO721" s="4" t="s">
        <v>667</v>
      </c>
      <c r="CP721" s="5" t="s">
        <v>268</v>
      </c>
      <c r="CQ721" s="4" t="s">
        <v>269</v>
      </c>
      <c r="CR721" s="4" t="s">
        <v>270</v>
      </c>
      <c r="CS721" s="4" t="s">
        <v>241</v>
      </c>
      <c r="CT721" s="4" t="s">
        <v>241</v>
      </c>
      <c r="CU721" s="4">
        <v>0</v>
      </c>
      <c r="CV721" s="4" t="s">
        <v>271</v>
      </c>
      <c r="CW721" s="4" t="s">
        <v>411</v>
      </c>
      <c r="CX721" s="4" t="s">
        <v>347</v>
      </c>
      <c r="CZ721" s="6">
        <f t="shared" si="30"/>
        <v>18032580</v>
      </c>
      <c r="DA721" s="6">
        <f>0</f>
        <v>0</v>
      </c>
      <c r="DC721" s="4" t="s">
        <v>241</v>
      </c>
      <c r="DD721" s="4" t="s">
        <v>241</v>
      </c>
      <c r="DF721" s="4" t="s">
        <v>241</v>
      </c>
      <c r="DI721" s="4" t="s">
        <v>241</v>
      </c>
      <c r="DJ721" s="4" t="s">
        <v>241</v>
      </c>
      <c r="DK721" s="4" t="s">
        <v>241</v>
      </c>
      <c r="DL721" s="4" t="s">
        <v>241</v>
      </c>
      <c r="DM721" s="4" t="s">
        <v>277</v>
      </c>
      <c r="DN721" s="4" t="s">
        <v>278</v>
      </c>
      <c r="DO721" s="6">
        <f t="shared" si="31"/>
        <v>117.86</v>
      </c>
      <c r="DP721" s="4" t="s">
        <v>241</v>
      </c>
      <c r="DQ721" s="4" t="s">
        <v>241</v>
      </c>
      <c r="DR721" s="4" t="s">
        <v>241</v>
      </c>
      <c r="DS721" s="4" t="s">
        <v>241</v>
      </c>
      <c r="DV721" s="4" t="s">
        <v>2227</v>
      </c>
      <c r="DW721" s="4" t="s">
        <v>349</v>
      </c>
      <c r="HO721" s="4" t="s">
        <v>277</v>
      </c>
      <c r="HR721" s="4" t="s">
        <v>278</v>
      </c>
      <c r="HS721" s="4" t="s">
        <v>278</v>
      </c>
    </row>
    <row r="722" spans="1:227" x14ac:dyDescent="0.4">
      <c r="A722" s="4">
        <v>2</v>
      </c>
      <c r="B722" s="4" t="s">
        <v>239</v>
      </c>
      <c r="C722" s="4">
        <v>787</v>
      </c>
      <c r="D722" s="4">
        <v>1</v>
      </c>
      <c r="E722" s="4">
        <v>1</v>
      </c>
      <c r="F722" s="4" t="s">
        <v>240</v>
      </c>
      <c r="G722" s="4" t="s">
        <v>241</v>
      </c>
      <c r="H722" s="4" t="s">
        <v>241</v>
      </c>
      <c r="I722" s="4" t="s">
        <v>2224</v>
      </c>
      <c r="J722" s="4" t="s">
        <v>344</v>
      </c>
      <c r="K722" s="4" t="s">
        <v>256</v>
      </c>
      <c r="L722" s="4" t="s">
        <v>2101</v>
      </c>
      <c r="M722" s="5" t="s">
        <v>2226</v>
      </c>
      <c r="N722" s="4" t="s">
        <v>2239</v>
      </c>
      <c r="O722" s="6">
        <f t="shared" si="27"/>
        <v>117.86</v>
      </c>
      <c r="P722" s="4" t="s">
        <v>276</v>
      </c>
      <c r="Q722" s="6">
        <f>1</f>
        <v>1</v>
      </c>
      <c r="R722" s="6">
        <f t="shared" si="28"/>
        <v>18032580</v>
      </c>
      <c r="S722" s="5" t="s">
        <v>2225</v>
      </c>
      <c r="T722" s="4" t="s">
        <v>314</v>
      </c>
      <c r="U722" s="4" t="s">
        <v>408</v>
      </c>
      <c r="W722" s="6">
        <f t="shared" si="29"/>
        <v>18032579</v>
      </c>
      <c r="X722" s="4" t="s">
        <v>243</v>
      </c>
      <c r="Y722" s="4" t="s">
        <v>244</v>
      </c>
      <c r="Z722" s="4" t="s">
        <v>338</v>
      </c>
      <c r="AA722" s="4" t="s">
        <v>241</v>
      </c>
      <c r="AD722" s="4" t="s">
        <v>241</v>
      </c>
      <c r="AF722" s="5" t="s">
        <v>241</v>
      </c>
      <c r="AI722" s="5" t="s">
        <v>249</v>
      </c>
      <c r="AJ722" s="4" t="s">
        <v>251</v>
      </c>
      <c r="AK722" s="4" t="s">
        <v>252</v>
      </c>
      <c r="BA722" s="4" t="s">
        <v>254</v>
      </c>
      <c r="BB722" s="4" t="s">
        <v>241</v>
      </c>
      <c r="BC722" s="4" t="s">
        <v>255</v>
      </c>
      <c r="BD722" s="4" t="s">
        <v>241</v>
      </c>
      <c r="BE722" s="4" t="s">
        <v>257</v>
      </c>
      <c r="BF722" s="4" t="s">
        <v>241</v>
      </c>
      <c r="BJ722" s="4" t="s">
        <v>377</v>
      </c>
      <c r="BK722" s="5" t="s">
        <v>378</v>
      </c>
      <c r="BL722" s="4" t="s">
        <v>261</v>
      </c>
      <c r="BM722" s="4" t="s">
        <v>262</v>
      </c>
      <c r="BN722" s="4" t="s">
        <v>241</v>
      </c>
      <c r="BO722" s="6">
        <f>0</f>
        <v>0</v>
      </c>
      <c r="BP722" s="6">
        <f>0</f>
        <v>0</v>
      </c>
      <c r="BQ722" s="4" t="s">
        <v>263</v>
      </c>
      <c r="BR722" s="4" t="s">
        <v>264</v>
      </c>
      <c r="CF722" s="4" t="s">
        <v>241</v>
      </c>
      <c r="CG722" s="4" t="s">
        <v>241</v>
      </c>
      <c r="CK722" s="4" t="s">
        <v>291</v>
      </c>
      <c r="CL722" s="4" t="s">
        <v>266</v>
      </c>
      <c r="CM722" s="4" t="s">
        <v>241</v>
      </c>
      <c r="CO722" s="4" t="s">
        <v>667</v>
      </c>
      <c r="CP722" s="5" t="s">
        <v>268</v>
      </c>
      <c r="CQ722" s="4" t="s">
        <v>269</v>
      </c>
      <c r="CR722" s="4" t="s">
        <v>270</v>
      </c>
      <c r="CS722" s="4" t="s">
        <v>241</v>
      </c>
      <c r="CT722" s="4" t="s">
        <v>241</v>
      </c>
      <c r="CU722" s="4">
        <v>0</v>
      </c>
      <c r="CV722" s="4" t="s">
        <v>271</v>
      </c>
      <c r="CW722" s="4" t="s">
        <v>411</v>
      </c>
      <c r="CX722" s="4" t="s">
        <v>347</v>
      </c>
      <c r="CZ722" s="6">
        <f t="shared" si="30"/>
        <v>18032580</v>
      </c>
      <c r="DA722" s="6">
        <f>0</f>
        <v>0</v>
      </c>
      <c r="DC722" s="4" t="s">
        <v>241</v>
      </c>
      <c r="DD722" s="4" t="s">
        <v>241</v>
      </c>
      <c r="DF722" s="4" t="s">
        <v>241</v>
      </c>
      <c r="DI722" s="4" t="s">
        <v>241</v>
      </c>
      <c r="DJ722" s="4" t="s">
        <v>241</v>
      </c>
      <c r="DK722" s="4" t="s">
        <v>241</v>
      </c>
      <c r="DL722" s="4" t="s">
        <v>241</v>
      </c>
      <c r="DM722" s="4" t="s">
        <v>277</v>
      </c>
      <c r="DN722" s="4" t="s">
        <v>278</v>
      </c>
      <c r="DO722" s="6">
        <f t="shared" si="31"/>
        <v>117.86</v>
      </c>
      <c r="DP722" s="4" t="s">
        <v>241</v>
      </c>
      <c r="DQ722" s="4" t="s">
        <v>241</v>
      </c>
      <c r="DR722" s="4" t="s">
        <v>241</v>
      </c>
      <c r="DS722" s="4" t="s">
        <v>241</v>
      </c>
      <c r="DV722" s="4" t="s">
        <v>2227</v>
      </c>
      <c r="DW722" s="4" t="s">
        <v>348</v>
      </c>
      <c r="HO722" s="4" t="s">
        <v>277</v>
      </c>
      <c r="HR722" s="4" t="s">
        <v>278</v>
      </c>
      <c r="HS722" s="4" t="s">
        <v>278</v>
      </c>
    </row>
    <row r="723" spans="1:227" x14ac:dyDescent="0.4">
      <c r="A723" s="4">
        <v>2</v>
      </c>
      <c r="B723" s="4" t="s">
        <v>239</v>
      </c>
      <c r="C723" s="4">
        <v>788</v>
      </c>
      <c r="D723" s="4">
        <v>1</v>
      </c>
      <c r="E723" s="4">
        <v>1</v>
      </c>
      <c r="F723" s="4" t="s">
        <v>240</v>
      </c>
      <c r="G723" s="4" t="s">
        <v>241</v>
      </c>
      <c r="H723" s="4" t="s">
        <v>241</v>
      </c>
      <c r="I723" s="4" t="s">
        <v>2224</v>
      </c>
      <c r="J723" s="4" t="s">
        <v>344</v>
      </c>
      <c r="K723" s="4" t="s">
        <v>256</v>
      </c>
      <c r="L723" s="4" t="s">
        <v>2101</v>
      </c>
      <c r="M723" s="5" t="s">
        <v>2226</v>
      </c>
      <c r="N723" s="4" t="s">
        <v>2240</v>
      </c>
      <c r="O723" s="6">
        <f t="shared" si="27"/>
        <v>117.86</v>
      </c>
      <c r="P723" s="4" t="s">
        <v>276</v>
      </c>
      <c r="Q723" s="6">
        <f>1</f>
        <v>1</v>
      </c>
      <c r="R723" s="6">
        <f t="shared" si="28"/>
        <v>18032580</v>
      </c>
      <c r="S723" s="5" t="s">
        <v>2225</v>
      </c>
      <c r="T723" s="4" t="s">
        <v>314</v>
      </c>
      <c r="U723" s="4" t="s">
        <v>408</v>
      </c>
      <c r="W723" s="6">
        <f t="shared" si="29"/>
        <v>18032579</v>
      </c>
      <c r="X723" s="4" t="s">
        <v>243</v>
      </c>
      <c r="Y723" s="4" t="s">
        <v>244</v>
      </c>
      <c r="Z723" s="4" t="s">
        <v>338</v>
      </c>
      <c r="AA723" s="4" t="s">
        <v>241</v>
      </c>
      <c r="AD723" s="4" t="s">
        <v>241</v>
      </c>
      <c r="AF723" s="5" t="s">
        <v>241</v>
      </c>
      <c r="AI723" s="5" t="s">
        <v>249</v>
      </c>
      <c r="AJ723" s="4" t="s">
        <v>251</v>
      </c>
      <c r="AK723" s="4" t="s">
        <v>252</v>
      </c>
      <c r="BA723" s="4" t="s">
        <v>254</v>
      </c>
      <c r="BB723" s="4" t="s">
        <v>241</v>
      </c>
      <c r="BC723" s="4" t="s">
        <v>255</v>
      </c>
      <c r="BD723" s="4" t="s">
        <v>241</v>
      </c>
      <c r="BE723" s="4" t="s">
        <v>257</v>
      </c>
      <c r="BF723" s="4" t="s">
        <v>241</v>
      </c>
      <c r="BJ723" s="4" t="s">
        <v>259</v>
      </c>
      <c r="BK723" s="5" t="s">
        <v>260</v>
      </c>
      <c r="BL723" s="4" t="s">
        <v>261</v>
      </c>
      <c r="BM723" s="4" t="s">
        <v>262</v>
      </c>
      <c r="BN723" s="4" t="s">
        <v>241</v>
      </c>
      <c r="BO723" s="6">
        <f>0</f>
        <v>0</v>
      </c>
      <c r="BP723" s="6">
        <f>0</f>
        <v>0</v>
      </c>
      <c r="BQ723" s="4" t="s">
        <v>263</v>
      </c>
      <c r="BR723" s="4" t="s">
        <v>264</v>
      </c>
      <c r="CF723" s="4" t="s">
        <v>241</v>
      </c>
      <c r="CG723" s="4" t="s">
        <v>241</v>
      </c>
      <c r="CK723" s="4" t="s">
        <v>291</v>
      </c>
      <c r="CL723" s="4" t="s">
        <v>266</v>
      </c>
      <c r="CM723" s="4" t="s">
        <v>241</v>
      </c>
      <c r="CO723" s="4" t="s">
        <v>667</v>
      </c>
      <c r="CP723" s="5" t="s">
        <v>268</v>
      </c>
      <c r="CQ723" s="4" t="s">
        <v>269</v>
      </c>
      <c r="CR723" s="4" t="s">
        <v>270</v>
      </c>
      <c r="CS723" s="4" t="s">
        <v>241</v>
      </c>
      <c r="CT723" s="4" t="s">
        <v>241</v>
      </c>
      <c r="CU723" s="4">
        <v>0</v>
      </c>
      <c r="CV723" s="4" t="s">
        <v>271</v>
      </c>
      <c r="CW723" s="4" t="s">
        <v>411</v>
      </c>
      <c r="CX723" s="4" t="s">
        <v>347</v>
      </c>
      <c r="CZ723" s="6">
        <f t="shared" si="30"/>
        <v>18032580</v>
      </c>
      <c r="DA723" s="6">
        <f>0</f>
        <v>0</v>
      </c>
      <c r="DC723" s="4" t="s">
        <v>241</v>
      </c>
      <c r="DD723" s="4" t="s">
        <v>241</v>
      </c>
      <c r="DF723" s="4" t="s">
        <v>241</v>
      </c>
      <c r="DI723" s="4" t="s">
        <v>241</v>
      </c>
      <c r="DJ723" s="4" t="s">
        <v>241</v>
      </c>
      <c r="DK723" s="4" t="s">
        <v>241</v>
      </c>
      <c r="DL723" s="4" t="s">
        <v>241</v>
      </c>
      <c r="DM723" s="4" t="s">
        <v>277</v>
      </c>
      <c r="DN723" s="4" t="s">
        <v>278</v>
      </c>
      <c r="DO723" s="6">
        <f t="shared" si="31"/>
        <v>117.86</v>
      </c>
      <c r="DP723" s="4" t="s">
        <v>241</v>
      </c>
      <c r="DQ723" s="4" t="s">
        <v>241</v>
      </c>
      <c r="DR723" s="4" t="s">
        <v>241</v>
      </c>
      <c r="DS723" s="4" t="s">
        <v>241</v>
      </c>
      <c r="DV723" s="4" t="s">
        <v>2227</v>
      </c>
      <c r="DW723" s="4" t="s">
        <v>371</v>
      </c>
      <c r="HO723" s="4" t="s">
        <v>277</v>
      </c>
      <c r="HR723" s="4" t="s">
        <v>278</v>
      </c>
      <c r="HS723" s="4" t="s">
        <v>278</v>
      </c>
    </row>
    <row r="724" spans="1:227" x14ac:dyDescent="0.4">
      <c r="A724" s="4">
        <v>2</v>
      </c>
      <c r="B724" s="4" t="s">
        <v>239</v>
      </c>
      <c r="C724" s="4">
        <v>789</v>
      </c>
      <c r="D724" s="4">
        <v>1</v>
      </c>
      <c r="E724" s="4">
        <v>1</v>
      </c>
      <c r="F724" s="4" t="s">
        <v>240</v>
      </c>
      <c r="G724" s="4" t="s">
        <v>241</v>
      </c>
      <c r="H724" s="4" t="s">
        <v>241</v>
      </c>
      <c r="I724" s="4" t="s">
        <v>2224</v>
      </c>
      <c r="J724" s="4" t="s">
        <v>344</v>
      </c>
      <c r="K724" s="4" t="s">
        <v>256</v>
      </c>
      <c r="L724" s="4" t="s">
        <v>2101</v>
      </c>
      <c r="M724" s="5" t="s">
        <v>2226</v>
      </c>
      <c r="N724" s="4" t="s">
        <v>2244</v>
      </c>
      <c r="O724" s="6">
        <f t="shared" si="27"/>
        <v>117.86</v>
      </c>
      <c r="P724" s="4" t="s">
        <v>276</v>
      </c>
      <c r="Q724" s="6">
        <f>1</f>
        <v>1</v>
      </c>
      <c r="R724" s="6">
        <f t="shared" si="28"/>
        <v>18032580</v>
      </c>
      <c r="S724" s="5" t="s">
        <v>2225</v>
      </c>
      <c r="T724" s="4" t="s">
        <v>314</v>
      </c>
      <c r="U724" s="4" t="s">
        <v>408</v>
      </c>
      <c r="W724" s="6">
        <f t="shared" si="29"/>
        <v>18032579</v>
      </c>
      <c r="X724" s="4" t="s">
        <v>243</v>
      </c>
      <c r="Y724" s="4" t="s">
        <v>244</v>
      </c>
      <c r="Z724" s="4" t="s">
        <v>338</v>
      </c>
      <c r="AA724" s="4" t="s">
        <v>241</v>
      </c>
      <c r="AD724" s="4" t="s">
        <v>241</v>
      </c>
      <c r="AF724" s="5" t="s">
        <v>241</v>
      </c>
      <c r="AI724" s="5" t="s">
        <v>249</v>
      </c>
      <c r="AJ724" s="4" t="s">
        <v>251</v>
      </c>
      <c r="AK724" s="4" t="s">
        <v>252</v>
      </c>
      <c r="BA724" s="4" t="s">
        <v>254</v>
      </c>
      <c r="BB724" s="4" t="s">
        <v>241</v>
      </c>
      <c r="BC724" s="4" t="s">
        <v>255</v>
      </c>
      <c r="BD724" s="4" t="s">
        <v>241</v>
      </c>
      <c r="BE724" s="4" t="s">
        <v>257</v>
      </c>
      <c r="BF724" s="4" t="s">
        <v>241</v>
      </c>
      <c r="BJ724" s="4" t="s">
        <v>367</v>
      </c>
      <c r="BK724" s="5" t="s">
        <v>249</v>
      </c>
      <c r="BL724" s="4" t="s">
        <v>261</v>
      </c>
      <c r="BM724" s="4" t="s">
        <v>262</v>
      </c>
      <c r="BN724" s="4" t="s">
        <v>241</v>
      </c>
      <c r="BO724" s="6">
        <f>0</f>
        <v>0</v>
      </c>
      <c r="BP724" s="6">
        <f>0</f>
        <v>0</v>
      </c>
      <c r="BQ724" s="4" t="s">
        <v>263</v>
      </c>
      <c r="BR724" s="4" t="s">
        <v>264</v>
      </c>
      <c r="CF724" s="4" t="s">
        <v>241</v>
      </c>
      <c r="CG724" s="4" t="s">
        <v>241</v>
      </c>
      <c r="CK724" s="4" t="s">
        <v>291</v>
      </c>
      <c r="CL724" s="4" t="s">
        <v>266</v>
      </c>
      <c r="CM724" s="4" t="s">
        <v>241</v>
      </c>
      <c r="CO724" s="4" t="s">
        <v>667</v>
      </c>
      <c r="CP724" s="5" t="s">
        <v>268</v>
      </c>
      <c r="CQ724" s="4" t="s">
        <v>269</v>
      </c>
      <c r="CR724" s="4" t="s">
        <v>270</v>
      </c>
      <c r="CS724" s="4" t="s">
        <v>241</v>
      </c>
      <c r="CT724" s="4" t="s">
        <v>241</v>
      </c>
      <c r="CU724" s="4">
        <v>0</v>
      </c>
      <c r="CV724" s="4" t="s">
        <v>271</v>
      </c>
      <c r="CW724" s="4" t="s">
        <v>411</v>
      </c>
      <c r="CX724" s="4" t="s">
        <v>347</v>
      </c>
      <c r="CZ724" s="6">
        <f t="shared" si="30"/>
        <v>18032580</v>
      </c>
      <c r="DA724" s="6">
        <f>0</f>
        <v>0</v>
      </c>
      <c r="DC724" s="4" t="s">
        <v>241</v>
      </c>
      <c r="DD724" s="4" t="s">
        <v>241</v>
      </c>
      <c r="DF724" s="4" t="s">
        <v>241</v>
      </c>
      <c r="DI724" s="4" t="s">
        <v>241</v>
      </c>
      <c r="DJ724" s="4" t="s">
        <v>241</v>
      </c>
      <c r="DK724" s="4" t="s">
        <v>241</v>
      </c>
      <c r="DL724" s="4" t="s">
        <v>241</v>
      </c>
      <c r="DM724" s="4" t="s">
        <v>277</v>
      </c>
      <c r="DN724" s="4" t="s">
        <v>278</v>
      </c>
      <c r="DO724" s="6">
        <f t="shared" si="31"/>
        <v>117.86</v>
      </c>
      <c r="DP724" s="4" t="s">
        <v>241</v>
      </c>
      <c r="DQ724" s="4" t="s">
        <v>241</v>
      </c>
      <c r="DR724" s="4" t="s">
        <v>241</v>
      </c>
      <c r="DS724" s="4" t="s">
        <v>241</v>
      </c>
      <c r="DV724" s="4" t="s">
        <v>2227</v>
      </c>
      <c r="DW724" s="4" t="s">
        <v>401</v>
      </c>
      <c r="HO724" s="4" t="s">
        <v>277</v>
      </c>
      <c r="HR724" s="4" t="s">
        <v>278</v>
      </c>
      <c r="HS724" s="4" t="s">
        <v>278</v>
      </c>
    </row>
    <row r="725" spans="1:227" x14ac:dyDescent="0.4">
      <c r="A725" s="4">
        <v>2</v>
      </c>
      <c r="B725" s="4" t="s">
        <v>239</v>
      </c>
      <c r="C725" s="4">
        <v>790</v>
      </c>
      <c r="D725" s="4">
        <v>1</v>
      </c>
      <c r="E725" s="4">
        <v>1</v>
      </c>
      <c r="F725" s="4" t="s">
        <v>240</v>
      </c>
      <c r="G725" s="4" t="s">
        <v>241</v>
      </c>
      <c r="H725" s="4" t="s">
        <v>241</v>
      </c>
      <c r="I725" s="4" t="s">
        <v>2224</v>
      </c>
      <c r="J725" s="4" t="s">
        <v>344</v>
      </c>
      <c r="K725" s="4" t="s">
        <v>256</v>
      </c>
      <c r="L725" s="4" t="s">
        <v>2101</v>
      </c>
      <c r="M725" s="5" t="s">
        <v>2226</v>
      </c>
      <c r="N725" s="4" t="s">
        <v>2245</v>
      </c>
      <c r="O725" s="6">
        <f t="shared" si="27"/>
        <v>117.86</v>
      </c>
      <c r="P725" s="4" t="s">
        <v>276</v>
      </c>
      <c r="Q725" s="6">
        <f>1</f>
        <v>1</v>
      </c>
      <c r="R725" s="6">
        <f t="shared" si="28"/>
        <v>18032580</v>
      </c>
      <c r="S725" s="5" t="s">
        <v>2225</v>
      </c>
      <c r="T725" s="4" t="s">
        <v>314</v>
      </c>
      <c r="U725" s="4" t="s">
        <v>408</v>
      </c>
      <c r="W725" s="6">
        <f t="shared" si="29"/>
        <v>18032579</v>
      </c>
      <c r="X725" s="4" t="s">
        <v>243</v>
      </c>
      <c r="Y725" s="4" t="s">
        <v>244</v>
      </c>
      <c r="Z725" s="4" t="s">
        <v>338</v>
      </c>
      <c r="AA725" s="4" t="s">
        <v>241</v>
      </c>
      <c r="AD725" s="4" t="s">
        <v>241</v>
      </c>
      <c r="AF725" s="5" t="s">
        <v>241</v>
      </c>
      <c r="AI725" s="5" t="s">
        <v>249</v>
      </c>
      <c r="AJ725" s="4" t="s">
        <v>251</v>
      </c>
      <c r="AK725" s="4" t="s">
        <v>252</v>
      </c>
      <c r="BA725" s="4" t="s">
        <v>254</v>
      </c>
      <c r="BB725" s="4" t="s">
        <v>241</v>
      </c>
      <c r="BC725" s="4" t="s">
        <v>255</v>
      </c>
      <c r="BD725" s="4" t="s">
        <v>241</v>
      </c>
      <c r="BE725" s="4" t="s">
        <v>257</v>
      </c>
      <c r="BF725" s="4" t="s">
        <v>241</v>
      </c>
      <c r="BJ725" s="4" t="s">
        <v>374</v>
      </c>
      <c r="BK725" s="5" t="s">
        <v>375</v>
      </c>
      <c r="BL725" s="4" t="s">
        <v>261</v>
      </c>
      <c r="BM725" s="4" t="s">
        <v>262</v>
      </c>
      <c r="BN725" s="4" t="s">
        <v>241</v>
      </c>
      <c r="BO725" s="6">
        <f>0</f>
        <v>0</v>
      </c>
      <c r="BP725" s="6">
        <f>0</f>
        <v>0</v>
      </c>
      <c r="BQ725" s="4" t="s">
        <v>263</v>
      </c>
      <c r="BR725" s="4" t="s">
        <v>264</v>
      </c>
      <c r="CF725" s="4" t="s">
        <v>241</v>
      </c>
      <c r="CG725" s="4" t="s">
        <v>241</v>
      </c>
      <c r="CK725" s="4" t="s">
        <v>291</v>
      </c>
      <c r="CL725" s="4" t="s">
        <v>266</v>
      </c>
      <c r="CM725" s="4" t="s">
        <v>241</v>
      </c>
      <c r="CO725" s="4" t="s">
        <v>667</v>
      </c>
      <c r="CP725" s="5" t="s">
        <v>268</v>
      </c>
      <c r="CQ725" s="4" t="s">
        <v>269</v>
      </c>
      <c r="CR725" s="4" t="s">
        <v>270</v>
      </c>
      <c r="CS725" s="4" t="s">
        <v>241</v>
      </c>
      <c r="CT725" s="4" t="s">
        <v>241</v>
      </c>
      <c r="CU725" s="4">
        <v>0</v>
      </c>
      <c r="CV725" s="4" t="s">
        <v>271</v>
      </c>
      <c r="CW725" s="4" t="s">
        <v>411</v>
      </c>
      <c r="CX725" s="4" t="s">
        <v>347</v>
      </c>
      <c r="CZ725" s="6">
        <f t="shared" si="30"/>
        <v>18032580</v>
      </c>
      <c r="DA725" s="6">
        <f>0</f>
        <v>0</v>
      </c>
      <c r="DC725" s="4" t="s">
        <v>241</v>
      </c>
      <c r="DD725" s="4" t="s">
        <v>241</v>
      </c>
      <c r="DF725" s="4" t="s">
        <v>241</v>
      </c>
      <c r="DI725" s="4" t="s">
        <v>241</v>
      </c>
      <c r="DJ725" s="4" t="s">
        <v>241</v>
      </c>
      <c r="DK725" s="4" t="s">
        <v>241</v>
      </c>
      <c r="DL725" s="4" t="s">
        <v>241</v>
      </c>
      <c r="DM725" s="4" t="s">
        <v>277</v>
      </c>
      <c r="DN725" s="4" t="s">
        <v>278</v>
      </c>
      <c r="DO725" s="6">
        <f t="shared" si="31"/>
        <v>117.86</v>
      </c>
      <c r="DP725" s="4" t="s">
        <v>241</v>
      </c>
      <c r="DQ725" s="4" t="s">
        <v>241</v>
      </c>
      <c r="DR725" s="4" t="s">
        <v>241</v>
      </c>
      <c r="DS725" s="4" t="s">
        <v>241</v>
      </c>
      <c r="DV725" s="4" t="s">
        <v>2227</v>
      </c>
      <c r="DW725" s="4" t="s">
        <v>365</v>
      </c>
      <c r="HO725" s="4" t="s">
        <v>277</v>
      </c>
      <c r="HR725" s="4" t="s">
        <v>278</v>
      </c>
      <c r="HS725" s="4" t="s">
        <v>278</v>
      </c>
    </row>
    <row r="726" spans="1:227" x14ac:dyDescent="0.4">
      <c r="A726" s="4">
        <v>2</v>
      </c>
      <c r="B726" s="4" t="s">
        <v>239</v>
      </c>
      <c r="C726" s="4">
        <v>791</v>
      </c>
      <c r="D726" s="4">
        <v>1</v>
      </c>
      <c r="E726" s="4">
        <v>1</v>
      </c>
      <c r="F726" s="4" t="s">
        <v>240</v>
      </c>
      <c r="G726" s="4" t="s">
        <v>241</v>
      </c>
      <c r="H726" s="4" t="s">
        <v>241</v>
      </c>
      <c r="I726" s="4" t="s">
        <v>2224</v>
      </c>
      <c r="J726" s="4" t="s">
        <v>344</v>
      </c>
      <c r="K726" s="4" t="s">
        <v>256</v>
      </c>
      <c r="L726" s="4" t="s">
        <v>2101</v>
      </c>
      <c r="M726" s="5" t="s">
        <v>2226</v>
      </c>
      <c r="N726" s="4" t="s">
        <v>2246</v>
      </c>
      <c r="O726" s="6">
        <f t="shared" si="27"/>
        <v>117.86</v>
      </c>
      <c r="P726" s="4" t="s">
        <v>276</v>
      </c>
      <c r="Q726" s="6">
        <f>1</f>
        <v>1</v>
      </c>
      <c r="R726" s="6">
        <f t="shared" si="28"/>
        <v>18032580</v>
      </c>
      <c r="S726" s="5" t="s">
        <v>2225</v>
      </c>
      <c r="T726" s="4" t="s">
        <v>314</v>
      </c>
      <c r="U726" s="4" t="s">
        <v>408</v>
      </c>
      <c r="W726" s="6">
        <f t="shared" si="29"/>
        <v>18032579</v>
      </c>
      <c r="X726" s="4" t="s">
        <v>243</v>
      </c>
      <c r="Y726" s="4" t="s">
        <v>244</v>
      </c>
      <c r="Z726" s="4" t="s">
        <v>338</v>
      </c>
      <c r="AA726" s="4" t="s">
        <v>241</v>
      </c>
      <c r="AD726" s="4" t="s">
        <v>241</v>
      </c>
      <c r="AF726" s="5" t="s">
        <v>241</v>
      </c>
      <c r="AI726" s="5" t="s">
        <v>249</v>
      </c>
      <c r="AJ726" s="4" t="s">
        <v>251</v>
      </c>
      <c r="AK726" s="4" t="s">
        <v>252</v>
      </c>
      <c r="BA726" s="4" t="s">
        <v>254</v>
      </c>
      <c r="BB726" s="4" t="s">
        <v>241</v>
      </c>
      <c r="BC726" s="4" t="s">
        <v>255</v>
      </c>
      <c r="BD726" s="4" t="s">
        <v>241</v>
      </c>
      <c r="BE726" s="4" t="s">
        <v>257</v>
      </c>
      <c r="BF726" s="4" t="s">
        <v>241</v>
      </c>
      <c r="BJ726" s="4" t="s">
        <v>377</v>
      </c>
      <c r="BK726" s="5" t="s">
        <v>378</v>
      </c>
      <c r="BL726" s="4" t="s">
        <v>261</v>
      </c>
      <c r="BM726" s="4" t="s">
        <v>262</v>
      </c>
      <c r="BN726" s="4" t="s">
        <v>241</v>
      </c>
      <c r="BO726" s="6">
        <f>0</f>
        <v>0</v>
      </c>
      <c r="BP726" s="6">
        <f>0</f>
        <v>0</v>
      </c>
      <c r="BQ726" s="4" t="s">
        <v>263</v>
      </c>
      <c r="BR726" s="4" t="s">
        <v>264</v>
      </c>
      <c r="CF726" s="4" t="s">
        <v>241</v>
      </c>
      <c r="CG726" s="4" t="s">
        <v>241</v>
      </c>
      <c r="CK726" s="4" t="s">
        <v>291</v>
      </c>
      <c r="CL726" s="4" t="s">
        <v>266</v>
      </c>
      <c r="CM726" s="4" t="s">
        <v>241</v>
      </c>
      <c r="CO726" s="4" t="s">
        <v>667</v>
      </c>
      <c r="CP726" s="5" t="s">
        <v>268</v>
      </c>
      <c r="CQ726" s="4" t="s">
        <v>269</v>
      </c>
      <c r="CR726" s="4" t="s">
        <v>270</v>
      </c>
      <c r="CS726" s="4" t="s">
        <v>241</v>
      </c>
      <c r="CT726" s="4" t="s">
        <v>241</v>
      </c>
      <c r="CU726" s="4">
        <v>0</v>
      </c>
      <c r="CV726" s="4" t="s">
        <v>271</v>
      </c>
      <c r="CW726" s="4" t="s">
        <v>411</v>
      </c>
      <c r="CX726" s="4" t="s">
        <v>347</v>
      </c>
      <c r="CZ726" s="6">
        <f t="shared" si="30"/>
        <v>18032580</v>
      </c>
      <c r="DA726" s="6">
        <f>0</f>
        <v>0</v>
      </c>
      <c r="DC726" s="4" t="s">
        <v>241</v>
      </c>
      <c r="DD726" s="4" t="s">
        <v>241</v>
      </c>
      <c r="DF726" s="4" t="s">
        <v>241</v>
      </c>
      <c r="DI726" s="4" t="s">
        <v>241</v>
      </c>
      <c r="DJ726" s="4" t="s">
        <v>241</v>
      </c>
      <c r="DK726" s="4" t="s">
        <v>241</v>
      </c>
      <c r="DL726" s="4" t="s">
        <v>241</v>
      </c>
      <c r="DM726" s="4" t="s">
        <v>277</v>
      </c>
      <c r="DN726" s="4" t="s">
        <v>278</v>
      </c>
      <c r="DO726" s="6">
        <f t="shared" si="31"/>
        <v>117.86</v>
      </c>
      <c r="DP726" s="4" t="s">
        <v>241</v>
      </c>
      <c r="DQ726" s="4" t="s">
        <v>241</v>
      </c>
      <c r="DR726" s="4" t="s">
        <v>241</v>
      </c>
      <c r="DS726" s="4" t="s">
        <v>241</v>
      </c>
      <c r="DV726" s="4" t="s">
        <v>2227</v>
      </c>
      <c r="DW726" s="4" t="s">
        <v>379</v>
      </c>
      <c r="HO726" s="4" t="s">
        <v>277</v>
      </c>
      <c r="HR726" s="4" t="s">
        <v>278</v>
      </c>
      <c r="HS726" s="4" t="s">
        <v>278</v>
      </c>
    </row>
    <row r="727" spans="1:227" x14ac:dyDescent="0.4">
      <c r="A727" s="4">
        <v>2</v>
      </c>
      <c r="B727" s="4" t="s">
        <v>239</v>
      </c>
      <c r="C727" s="4">
        <v>792</v>
      </c>
      <c r="D727" s="4">
        <v>1</v>
      </c>
      <c r="E727" s="4">
        <v>1</v>
      </c>
      <c r="F727" s="4" t="s">
        <v>240</v>
      </c>
      <c r="G727" s="4" t="s">
        <v>241</v>
      </c>
      <c r="H727" s="4" t="s">
        <v>241</v>
      </c>
      <c r="I727" s="4" t="s">
        <v>2224</v>
      </c>
      <c r="J727" s="4" t="s">
        <v>344</v>
      </c>
      <c r="K727" s="4" t="s">
        <v>256</v>
      </c>
      <c r="L727" s="4" t="s">
        <v>2101</v>
      </c>
      <c r="M727" s="5" t="s">
        <v>2226</v>
      </c>
      <c r="N727" s="4" t="s">
        <v>2247</v>
      </c>
      <c r="O727" s="6">
        <f t="shared" si="27"/>
        <v>117.86</v>
      </c>
      <c r="P727" s="4" t="s">
        <v>276</v>
      </c>
      <c r="Q727" s="6">
        <f>1</f>
        <v>1</v>
      </c>
      <c r="R727" s="6">
        <f t="shared" si="28"/>
        <v>18032580</v>
      </c>
      <c r="S727" s="5" t="s">
        <v>2225</v>
      </c>
      <c r="T727" s="4" t="s">
        <v>314</v>
      </c>
      <c r="U727" s="4" t="s">
        <v>408</v>
      </c>
      <c r="W727" s="6">
        <f t="shared" si="29"/>
        <v>18032579</v>
      </c>
      <c r="X727" s="4" t="s">
        <v>243</v>
      </c>
      <c r="Y727" s="4" t="s">
        <v>244</v>
      </c>
      <c r="Z727" s="4" t="s">
        <v>338</v>
      </c>
      <c r="AA727" s="4" t="s">
        <v>241</v>
      </c>
      <c r="AD727" s="4" t="s">
        <v>241</v>
      </c>
      <c r="AF727" s="5" t="s">
        <v>241</v>
      </c>
      <c r="AI727" s="5" t="s">
        <v>249</v>
      </c>
      <c r="AJ727" s="4" t="s">
        <v>251</v>
      </c>
      <c r="AK727" s="4" t="s">
        <v>252</v>
      </c>
      <c r="BA727" s="4" t="s">
        <v>254</v>
      </c>
      <c r="BB727" s="4" t="s">
        <v>241</v>
      </c>
      <c r="BC727" s="4" t="s">
        <v>255</v>
      </c>
      <c r="BD727" s="4" t="s">
        <v>241</v>
      </c>
      <c r="BE727" s="4" t="s">
        <v>257</v>
      </c>
      <c r="BF727" s="4" t="s">
        <v>241</v>
      </c>
      <c r="BJ727" s="4" t="s">
        <v>259</v>
      </c>
      <c r="BK727" s="5" t="s">
        <v>413</v>
      </c>
      <c r="BL727" s="4" t="s">
        <v>261</v>
      </c>
      <c r="BM727" s="4" t="s">
        <v>262</v>
      </c>
      <c r="BN727" s="4" t="s">
        <v>241</v>
      </c>
      <c r="BO727" s="6">
        <f>0</f>
        <v>0</v>
      </c>
      <c r="BP727" s="6">
        <f>0</f>
        <v>0</v>
      </c>
      <c r="BQ727" s="4" t="s">
        <v>263</v>
      </c>
      <c r="BR727" s="4" t="s">
        <v>264</v>
      </c>
      <c r="CF727" s="4" t="s">
        <v>241</v>
      </c>
      <c r="CG727" s="4" t="s">
        <v>241</v>
      </c>
      <c r="CK727" s="4" t="s">
        <v>291</v>
      </c>
      <c r="CL727" s="4" t="s">
        <v>266</v>
      </c>
      <c r="CM727" s="4" t="s">
        <v>241</v>
      </c>
      <c r="CO727" s="4" t="s">
        <v>667</v>
      </c>
      <c r="CP727" s="5" t="s">
        <v>268</v>
      </c>
      <c r="CQ727" s="4" t="s">
        <v>269</v>
      </c>
      <c r="CR727" s="4" t="s">
        <v>270</v>
      </c>
      <c r="CS727" s="4" t="s">
        <v>241</v>
      </c>
      <c r="CT727" s="4" t="s">
        <v>241</v>
      </c>
      <c r="CU727" s="4">
        <v>0</v>
      </c>
      <c r="CV727" s="4" t="s">
        <v>271</v>
      </c>
      <c r="CW727" s="4" t="s">
        <v>411</v>
      </c>
      <c r="CX727" s="4" t="s">
        <v>347</v>
      </c>
      <c r="CZ727" s="6">
        <f t="shared" si="30"/>
        <v>18032580</v>
      </c>
      <c r="DA727" s="6">
        <f>0</f>
        <v>0</v>
      </c>
      <c r="DC727" s="4" t="s">
        <v>241</v>
      </c>
      <c r="DD727" s="4" t="s">
        <v>241</v>
      </c>
      <c r="DF727" s="4" t="s">
        <v>241</v>
      </c>
      <c r="DI727" s="4" t="s">
        <v>241</v>
      </c>
      <c r="DJ727" s="4" t="s">
        <v>241</v>
      </c>
      <c r="DK727" s="4" t="s">
        <v>241</v>
      </c>
      <c r="DL727" s="4" t="s">
        <v>241</v>
      </c>
      <c r="DM727" s="4" t="s">
        <v>277</v>
      </c>
      <c r="DN727" s="4" t="s">
        <v>278</v>
      </c>
      <c r="DO727" s="6">
        <f t="shared" si="31"/>
        <v>117.86</v>
      </c>
      <c r="DP727" s="4" t="s">
        <v>241</v>
      </c>
      <c r="DQ727" s="4" t="s">
        <v>241</v>
      </c>
      <c r="DR727" s="4" t="s">
        <v>241</v>
      </c>
      <c r="DS727" s="4" t="s">
        <v>241</v>
      </c>
      <c r="DV727" s="4" t="s">
        <v>2227</v>
      </c>
      <c r="DW727" s="4" t="s">
        <v>335</v>
      </c>
      <c r="HO727" s="4" t="s">
        <v>277</v>
      </c>
      <c r="HR727" s="4" t="s">
        <v>278</v>
      </c>
      <c r="HS727" s="4" t="s">
        <v>278</v>
      </c>
    </row>
    <row r="728" spans="1:227" x14ac:dyDescent="0.4">
      <c r="A728" s="4">
        <v>2</v>
      </c>
      <c r="B728" s="4" t="s">
        <v>239</v>
      </c>
      <c r="C728" s="4">
        <v>793</v>
      </c>
      <c r="D728" s="4">
        <v>1</v>
      </c>
      <c r="E728" s="4">
        <v>1</v>
      </c>
      <c r="F728" s="4" t="s">
        <v>240</v>
      </c>
      <c r="G728" s="4" t="s">
        <v>241</v>
      </c>
      <c r="H728" s="4" t="s">
        <v>241</v>
      </c>
      <c r="I728" s="4" t="s">
        <v>2123</v>
      </c>
      <c r="J728" s="4" t="s">
        <v>344</v>
      </c>
      <c r="K728" s="4" t="s">
        <v>256</v>
      </c>
      <c r="L728" s="4" t="s">
        <v>2101</v>
      </c>
      <c r="M728" s="5" t="s">
        <v>2125</v>
      </c>
      <c r="N728" s="4" t="s">
        <v>2104</v>
      </c>
      <c r="O728" s="6">
        <f>143.24</f>
        <v>143.24</v>
      </c>
      <c r="P728" s="4" t="s">
        <v>276</v>
      </c>
      <c r="Q728" s="6">
        <f>1</f>
        <v>1</v>
      </c>
      <c r="R728" s="6">
        <f>26642640</f>
        <v>26642640</v>
      </c>
      <c r="S728" s="5" t="s">
        <v>354</v>
      </c>
      <c r="T728" s="4" t="s">
        <v>314</v>
      </c>
      <c r="U728" s="4" t="s">
        <v>314</v>
      </c>
      <c r="W728" s="6">
        <f>26642639</f>
        <v>26642639</v>
      </c>
      <c r="X728" s="4" t="s">
        <v>243</v>
      </c>
      <c r="Y728" s="4" t="s">
        <v>244</v>
      </c>
      <c r="Z728" s="4" t="s">
        <v>338</v>
      </c>
      <c r="AA728" s="4" t="s">
        <v>241</v>
      </c>
      <c r="AD728" s="4" t="s">
        <v>241</v>
      </c>
      <c r="AF728" s="5" t="s">
        <v>241</v>
      </c>
      <c r="AI728" s="5" t="s">
        <v>249</v>
      </c>
      <c r="AJ728" s="4" t="s">
        <v>251</v>
      </c>
      <c r="AK728" s="4" t="s">
        <v>252</v>
      </c>
      <c r="BA728" s="4" t="s">
        <v>254</v>
      </c>
      <c r="BB728" s="4" t="s">
        <v>241</v>
      </c>
      <c r="BC728" s="4" t="s">
        <v>255</v>
      </c>
      <c r="BD728" s="4" t="s">
        <v>241</v>
      </c>
      <c r="BE728" s="4" t="s">
        <v>257</v>
      </c>
      <c r="BF728" s="4" t="s">
        <v>241</v>
      </c>
      <c r="BH728" s="4" t="s">
        <v>2107</v>
      </c>
      <c r="BJ728" s="4" t="s">
        <v>367</v>
      </c>
      <c r="BK728" s="5" t="s">
        <v>249</v>
      </c>
      <c r="BL728" s="4" t="s">
        <v>261</v>
      </c>
      <c r="BM728" s="4" t="s">
        <v>262</v>
      </c>
      <c r="BN728" s="4" t="s">
        <v>241</v>
      </c>
      <c r="BO728" s="6">
        <f>0</f>
        <v>0</v>
      </c>
      <c r="BP728" s="6">
        <f>0</f>
        <v>0</v>
      </c>
      <c r="BQ728" s="4" t="s">
        <v>263</v>
      </c>
      <c r="BR728" s="4" t="s">
        <v>264</v>
      </c>
      <c r="CF728" s="4" t="s">
        <v>241</v>
      </c>
      <c r="CG728" s="4" t="s">
        <v>241</v>
      </c>
      <c r="CK728" s="4" t="s">
        <v>291</v>
      </c>
      <c r="CL728" s="4" t="s">
        <v>266</v>
      </c>
      <c r="CM728" s="4" t="s">
        <v>241</v>
      </c>
      <c r="CO728" s="4" t="s">
        <v>355</v>
      </c>
      <c r="CP728" s="5" t="s">
        <v>268</v>
      </c>
      <c r="CQ728" s="4" t="s">
        <v>269</v>
      </c>
      <c r="CR728" s="4" t="s">
        <v>270</v>
      </c>
      <c r="CS728" s="4" t="s">
        <v>241</v>
      </c>
      <c r="CT728" s="4" t="s">
        <v>241</v>
      </c>
      <c r="CU728" s="4">
        <v>0</v>
      </c>
      <c r="CV728" s="4" t="s">
        <v>271</v>
      </c>
      <c r="CW728" s="4" t="s">
        <v>411</v>
      </c>
      <c r="CX728" s="4" t="s">
        <v>347</v>
      </c>
      <c r="CZ728" s="6">
        <f>26642640</f>
        <v>26642640</v>
      </c>
      <c r="DA728" s="6">
        <f>0</f>
        <v>0</v>
      </c>
      <c r="DC728" s="4" t="s">
        <v>241</v>
      </c>
      <c r="DD728" s="4" t="s">
        <v>241</v>
      </c>
      <c r="DF728" s="4" t="s">
        <v>241</v>
      </c>
      <c r="DI728" s="4" t="s">
        <v>241</v>
      </c>
      <c r="DJ728" s="4" t="s">
        <v>241</v>
      </c>
      <c r="DK728" s="4" t="s">
        <v>241</v>
      </c>
      <c r="DL728" s="4" t="s">
        <v>241</v>
      </c>
      <c r="DM728" s="4" t="s">
        <v>323</v>
      </c>
      <c r="DN728" s="4" t="s">
        <v>278</v>
      </c>
      <c r="DO728" s="6">
        <f>143.24</f>
        <v>143.24</v>
      </c>
      <c r="DP728" s="4" t="s">
        <v>241</v>
      </c>
      <c r="DQ728" s="4" t="s">
        <v>241</v>
      </c>
      <c r="DR728" s="4" t="s">
        <v>241</v>
      </c>
      <c r="DS728" s="4" t="s">
        <v>241</v>
      </c>
      <c r="DV728" s="4" t="s">
        <v>2126</v>
      </c>
      <c r="DW728" s="4" t="s">
        <v>277</v>
      </c>
      <c r="HO728" s="4" t="s">
        <v>277</v>
      </c>
      <c r="HR728" s="4" t="s">
        <v>278</v>
      </c>
      <c r="HS728" s="4" t="s">
        <v>278</v>
      </c>
    </row>
    <row r="729" spans="1:227" x14ac:dyDescent="0.4">
      <c r="A729" s="4">
        <v>2</v>
      </c>
      <c r="B729" s="4" t="s">
        <v>239</v>
      </c>
      <c r="C729" s="4">
        <v>794</v>
      </c>
      <c r="D729" s="4">
        <v>1</v>
      </c>
      <c r="E729" s="4">
        <v>1</v>
      </c>
      <c r="F729" s="4" t="s">
        <v>240</v>
      </c>
      <c r="G729" s="4" t="s">
        <v>241</v>
      </c>
      <c r="H729" s="4" t="s">
        <v>241</v>
      </c>
      <c r="I729" s="4" t="s">
        <v>2123</v>
      </c>
      <c r="J729" s="4" t="s">
        <v>344</v>
      </c>
      <c r="K729" s="4" t="s">
        <v>256</v>
      </c>
      <c r="L729" s="4" t="s">
        <v>2101</v>
      </c>
      <c r="M729" s="5" t="s">
        <v>2125</v>
      </c>
      <c r="N729" s="4" t="s">
        <v>2109</v>
      </c>
      <c r="O729" s="6">
        <f>149.24</f>
        <v>149.24</v>
      </c>
      <c r="P729" s="4" t="s">
        <v>276</v>
      </c>
      <c r="Q729" s="6">
        <f>1</f>
        <v>1</v>
      </c>
      <c r="R729" s="6">
        <f>27758640</f>
        <v>27758640</v>
      </c>
      <c r="S729" s="5" t="s">
        <v>354</v>
      </c>
      <c r="T729" s="4" t="s">
        <v>314</v>
      </c>
      <c r="U729" s="4" t="s">
        <v>314</v>
      </c>
      <c r="W729" s="6">
        <f>27758639</f>
        <v>27758639</v>
      </c>
      <c r="X729" s="4" t="s">
        <v>243</v>
      </c>
      <c r="Y729" s="4" t="s">
        <v>244</v>
      </c>
      <c r="Z729" s="4" t="s">
        <v>338</v>
      </c>
      <c r="AA729" s="4" t="s">
        <v>241</v>
      </c>
      <c r="AD729" s="4" t="s">
        <v>241</v>
      </c>
      <c r="AF729" s="5" t="s">
        <v>241</v>
      </c>
      <c r="AI729" s="5" t="s">
        <v>249</v>
      </c>
      <c r="AJ729" s="4" t="s">
        <v>251</v>
      </c>
      <c r="AK729" s="4" t="s">
        <v>252</v>
      </c>
      <c r="BA729" s="4" t="s">
        <v>254</v>
      </c>
      <c r="BB729" s="4" t="s">
        <v>241</v>
      </c>
      <c r="BC729" s="4" t="s">
        <v>255</v>
      </c>
      <c r="BD729" s="4" t="s">
        <v>241</v>
      </c>
      <c r="BE729" s="4" t="s">
        <v>257</v>
      </c>
      <c r="BF729" s="4" t="s">
        <v>241</v>
      </c>
      <c r="BJ729" s="4" t="s">
        <v>367</v>
      </c>
      <c r="BK729" s="5" t="s">
        <v>249</v>
      </c>
      <c r="BL729" s="4" t="s">
        <v>261</v>
      </c>
      <c r="BM729" s="4" t="s">
        <v>262</v>
      </c>
      <c r="BN729" s="4" t="s">
        <v>241</v>
      </c>
      <c r="BO729" s="6">
        <f>0</f>
        <v>0</v>
      </c>
      <c r="BP729" s="6">
        <f>0</f>
        <v>0</v>
      </c>
      <c r="BQ729" s="4" t="s">
        <v>263</v>
      </c>
      <c r="BR729" s="4" t="s">
        <v>264</v>
      </c>
      <c r="CF729" s="4" t="s">
        <v>241</v>
      </c>
      <c r="CG729" s="4" t="s">
        <v>241</v>
      </c>
      <c r="CK729" s="4" t="s">
        <v>291</v>
      </c>
      <c r="CL729" s="4" t="s">
        <v>266</v>
      </c>
      <c r="CM729" s="4" t="s">
        <v>241</v>
      </c>
      <c r="CO729" s="4" t="s">
        <v>355</v>
      </c>
      <c r="CP729" s="5" t="s">
        <v>268</v>
      </c>
      <c r="CQ729" s="4" t="s">
        <v>269</v>
      </c>
      <c r="CR729" s="4" t="s">
        <v>270</v>
      </c>
      <c r="CS729" s="4" t="s">
        <v>241</v>
      </c>
      <c r="CT729" s="4" t="s">
        <v>241</v>
      </c>
      <c r="CU729" s="4">
        <v>0</v>
      </c>
      <c r="CV729" s="4" t="s">
        <v>271</v>
      </c>
      <c r="CW729" s="4" t="s">
        <v>411</v>
      </c>
      <c r="CX729" s="4" t="s">
        <v>347</v>
      </c>
      <c r="CZ729" s="6">
        <f>27758640</f>
        <v>27758640</v>
      </c>
      <c r="DA729" s="6">
        <f>0</f>
        <v>0</v>
      </c>
      <c r="DC729" s="4" t="s">
        <v>241</v>
      </c>
      <c r="DD729" s="4" t="s">
        <v>241</v>
      </c>
      <c r="DF729" s="4" t="s">
        <v>241</v>
      </c>
      <c r="DI729" s="4" t="s">
        <v>241</v>
      </c>
      <c r="DJ729" s="4" t="s">
        <v>241</v>
      </c>
      <c r="DK729" s="4" t="s">
        <v>241</v>
      </c>
      <c r="DL729" s="4" t="s">
        <v>241</v>
      </c>
      <c r="DM729" s="4" t="s">
        <v>323</v>
      </c>
      <c r="DN729" s="4" t="s">
        <v>278</v>
      </c>
      <c r="DO729" s="6">
        <f>149.24</f>
        <v>149.24</v>
      </c>
      <c r="DP729" s="4" t="s">
        <v>241</v>
      </c>
      <c r="DQ729" s="4" t="s">
        <v>241</v>
      </c>
      <c r="DR729" s="4" t="s">
        <v>241</v>
      </c>
      <c r="DS729" s="4" t="s">
        <v>241</v>
      </c>
      <c r="DV729" s="4" t="s">
        <v>2126</v>
      </c>
      <c r="DW729" s="4" t="s">
        <v>323</v>
      </c>
      <c r="HO729" s="4" t="s">
        <v>277</v>
      </c>
      <c r="HR729" s="4" t="s">
        <v>278</v>
      </c>
      <c r="HS729" s="4" t="s">
        <v>278</v>
      </c>
    </row>
    <row r="730" spans="1:227" x14ac:dyDescent="0.4">
      <c r="A730" s="4">
        <v>2</v>
      </c>
      <c r="B730" s="4" t="s">
        <v>239</v>
      </c>
      <c r="C730" s="4">
        <v>795</v>
      </c>
      <c r="D730" s="4">
        <v>1</v>
      </c>
      <c r="E730" s="4">
        <v>1</v>
      </c>
      <c r="F730" s="4" t="s">
        <v>240</v>
      </c>
      <c r="G730" s="4" t="s">
        <v>241</v>
      </c>
      <c r="H730" s="4" t="s">
        <v>241</v>
      </c>
      <c r="I730" s="4" t="s">
        <v>2123</v>
      </c>
      <c r="J730" s="4" t="s">
        <v>344</v>
      </c>
      <c r="K730" s="4" t="s">
        <v>256</v>
      </c>
      <c r="L730" s="4" t="s">
        <v>2101</v>
      </c>
      <c r="M730" s="5" t="s">
        <v>2125</v>
      </c>
      <c r="N730" s="4" t="s">
        <v>2110</v>
      </c>
      <c r="O730" s="6">
        <f>150.26</f>
        <v>150.26</v>
      </c>
      <c r="P730" s="4" t="s">
        <v>276</v>
      </c>
      <c r="Q730" s="6">
        <f>1</f>
        <v>1</v>
      </c>
      <c r="R730" s="6">
        <f>27948360</f>
        <v>27948360</v>
      </c>
      <c r="S730" s="5" t="s">
        <v>354</v>
      </c>
      <c r="T730" s="4" t="s">
        <v>314</v>
      </c>
      <c r="U730" s="4" t="s">
        <v>314</v>
      </c>
      <c r="W730" s="6">
        <f>27948359</f>
        <v>27948359</v>
      </c>
      <c r="X730" s="4" t="s">
        <v>243</v>
      </c>
      <c r="Y730" s="4" t="s">
        <v>244</v>
      </c>
      <c r="Z730" s="4" t="s">
        <v>338</v>
      </c>
      <c r="AA730" s="4" t="s">
        <v>241</v>
      </c>
      <c r="AD730" s="4" t="s">
        <v>241</v>
      </c>
      <c r="AF730" s="5" t="s">
        <v>241</v>
      </c>
      <c r="AI730" s="5" t="s">
        <v>249</v>
      </c>
      <c r="AJ730" s="4" t="s">
        <v>251</v>
      </c>
      <c r="AK730" s="4" t="s">
        <v>252</v>
      </c>
      <c r="BA730" s="4" t="s">
        <v>254</v>
      </c>
      <c r="BB730" s="4" t="s">
        <v>241</v>
      </c>
      <c r="BC730" s="4" t="s">
        <v>255</v>
      </c>
      <c r="BD730" s="4" t="s">
        <v>241</v>
      </c>
      <c r="BE730" s="4" t="s">
        <v>257</v>
      </c>
      <c r="BF730" s="4" t="s">
        <v>241</v>
      </c>
      <c r="BJ730" s="4" t="s">
        <v>374</v>
      </c>
      <c r="BK730" s="5" t="s">
        <v>375</v>
      </c>
      <c r="BL730" s="4" t="s">
        <v>261</v>
      </c>
      <c r="BM730" s="4" t="s">
        <v>262</v>
      </c>
      <c r="BN730" s="4" t="s">
        <v>241</v>
      </c>
      <c r="BO730" s="6">
        <f>0</f>
        <v>0</v>
      </c>
      <c r="BP730" s="6">
        <f>0</f>
        <v>0</v>
      </c>
      <c r="BQ730" s="4" t="s">
        <v>263</v>
      </c>
      <c r="BR730" s="4" t="s">
        <v>264</v>
      </c>
      <c r="CF730" s="4" t="s">
        <v>241</v>
      </c>
      <c r="CG730" s="4" t="s">
        <v>241</v>
      </c>
      <c r="CK730" s="4" t="s">
        <v>291</v>
      </c>
      <c r="CL730" s="4" t="s">
        <v>266</v>
      </c>
      <c r="CM730" s="4" t="s">
        <v>241</v>
      </c>
      <c r="CO730" s="4" t="s">
        <v>355</v>
      </c>
      <c r="CP730" s="5" t="s">
        <v>268</v>
      </c>
      <c r="CQ730" s="4" t="s">
        <v>269</v>
      </c>
      <c r="CR730" s="4" t="s">
        <v>270</v>
      </c>
      <c r="CS730" s="4" t="s">
        <v>241</v>
      </c>
      <c r="CT730" s="4" t="s">
        <v>241</v>
      </c>
      <c r="CU730" s="4">
        <v>0</v>
      </c>
      <c r="CV730" s="4" t="s">
        <v>271</v>
      </c>
      <c r="CW730" s="4" t="s">
        <v>411</v>
      </c>
      <c r="CX730" s="4" t="s">
        <v>347</v>
      </c>
      <c r="CZ730" s="6">
        <f>27948360</f>
        <v>27948360</v>
      </c>
      <c r="DA730" s="6">
        <f>0</f>
        <v>0</v>
      </c>
      <c r="DC730" s="4" t="s">
        <v>241</v>
      </c>
      <c r="DD730" s="4" t="s">
        <v>241</v>
      </c>
      <c r="DF730" s="4" t="s">
        <v>241</v>
      </c>
      <c r="DI730" s="4" t="s">
        <v>241</v>
      </c>
      <c r="DJ730" s="4" t="s">
        <v>241</v>
      </c>
      <c r="DK730" s="4" t="s">
        <v>241</v>
      </c>
      <c r="DL730" s="4" t="s">
        <v>241</v>
      </c>
      <c r="DM730" s="4" t="s">
        <v>323</v>
      </c>
      <c r="DN730" s="4" t="s">
        <v>278</v>
      </c>
      <c r="DO730" s="6">
        <f>150.26</f>
        <v>150.26</v>
      </c>
      <c r="DP730" s="4" t="s">
        <v>241</v>
      </c>
      <c r="DQ730" s="4" t="s">
        <v>241</v>
      </c>
      <c r="DR730" s="4" t="s">
        <v>241</v>
      </c>
      <c r="DS730" s="4" t="s">
        <v>241</v>
      </c>
      <c r="DV730" s="4" t="s">
        <v>2126</v>
      </c>
      <c r="DW730" s="4" t="s">
        <v>297</v>
      </c>
      <c r="HO730" s="4" t="s">
        <v>277</v>
      </c>
      <c r="HR730" s="4" t="s">
        <v>278</v>
      </c>
      <c r="HS730" s="4" t="s">
        <v>278</v>
      </c>
    </row>
    <row r="731" spans="1:227" x14ac:dyDescent="0.4">
      <c r="A731" s="4">
        <v>2</v>
      </c>
      <c r="B731" s="4" t="s">
        <v>239</v>
      </c>
      <c r="C731" s="4">
        <v>796</v>
      </c>
      <c r="D731" s="4">
        <v>1</v>
      </c>
      <c r="E731" s="4">
        <v>1</v>
      </c>
      <c r="F731" s="4" t="s">
        <v>240</v>
      </c>
      <c r="G731" s="4" t="s">
        <v>241</v>
      </c>
      <c r="H731" s="4" t="s">
        <v>241</v>
      </c>
      <c r="I731" s="4" t="s">
        <v>2123</v>
      </c>
      <c r="J731" s="4" t="s">
        <v>344</v>
      </c>
      <c r="K731" s="4" t="s">
        <v>256</v>
      </c>
      <c r="L731" s="4" t="s">
        <v>2101</v>
      </c>
      <c r="M731" s="5" t="s">
        <v>2125</v>
      </c>
      <c r="N731" s="4" t="s">
        <v>2122</v>
      </c>
      <c r="O731" s="6">
        <f>150.26</f>
        <v>150.26</v>
      </c>
      <c r="P731" s="4" t="s">
        <v>276</v>
      </c>
      <c r="Q731" s="6">
        <f>1</f>
        <v>1</v>
      </c>
      <c r="R731" s="6">
        <f>27948360</f>
        <v>27948360</v>
      </c>
      <c r="S731" s="5" t="s">
        <v>2124</v>
      </c>
      <c r="T731" s="4" t="s">
        <v>314</v>
      </c>
      <c r="U731" s="4" t="s">
        <v>314</v>
      </c>
      <c r="W731" s="6">
        <f>27948359</f>
        <v>27948359</v>
      </c>
      <c r="X731" s="4" t="s">
        <v>243</v>
      </c>
      <c r="Y731" s="4" t="s">
        <v>244</v>
      </c>
      <c r="Z731" s="4" t="s">
        <v>338</v>
      </c>
      <c r="AA731" s="4" t="s">
        <v>241</v>
      </c>
      <c r="AD731" s="4" t="s">
        <v>241</v>
      </c>
      <c r="AF731" s="5" t="s">
        <v>241</v>
      </c>
      <c r="AI731" s="5" t="s">
        <v>249</v>
      </c>
      <c r="AJ731" s="4" t="s">
        <v>251</v>
      </c>
      <c r="AK731" s="4" t="s">
        <v>252</v>
      </c>
      <c r="BA731" s="4" t="s">
        <v>254</v>
      </c>
      <c r="BB731" s="4" t="s">
        <v>241</v>
      </c>
      <c r="BC731" s="4" t="s">
        <v>255</v>
      </c>
      <c r="BD731" s="4" t="s">
        <v>241</v>
      </c>
      <c r="BE731" s="4" t="s">
        <v>257</v>
      </c>
      <c r="BF731" s="4" t="s">
        <v>241</v>
      </c>
      <c r="BJ731" s="4" t="s">
        <v>377</v>
      </c>
      <c r="BK731" s="5" t="s">
        <v>378</v>
      </c>
      <c r="BL731" s="4" t="s">
        <v>261</v>
      </c>
      <c r="BM731" s="4" t="s">
        <v>290</v>
      </c>
      <c r="BN731" s="4" t="s">
        <v>241</v>
      </c>
      <c r="BO731" s="6">
        <f>0</f>
        <v>0</v>
      </c>
      <c r="BP731" s="6">
        <f>0</f>
        <v>0</v>
      </c>
      <c r="BQ731" s="4" t="s">
        <v>263</v>
      </c>
      <c r="BR731" s="4" t="s">
        <v>264</v>
      </c>
      <c r="CF731" s="4" t="s">
        <v>241</v>
      </c>
      <c r="CG731" s="4" t="s">
        <v>241</v>
      </c>
      <c r="CK731" s="4" t="s">
        <v>291</v>
      </c>
      <c r="CL731" s="4" t="s">
        <v>266</v>
      </c>
      <c r="CM731" s="4" t="s">
        <v>241</v>
      </c>
      <c r="CO731" s="4" t="s">
        <v>376</v>
      </c>
      <c r="CP731" s="5" t="s">
        <v>268</v>
      </c>
      <c r="CQ731" s="4" t="s">
        <v>269</v>
      </c>
      <c r="CR731" s="4" t="s">
        <v>270</v>
      </c>
      <c r="CS731" s="4" t="s">
        <v>241</v>
      </c>
      <c r="CT731" s="4" t="s">
        <v>241</v>
      </c>
      <c r="CU731" s="4">
        <v>0</v>
      </c>
      <c r="CV731" s="4" t="s">
        <v>271</v>
      </c>
      <c r="CW731" s="4" t="s">
        <v>411</v>
      </c>
      <c r="CX731" s="4" t="s">
        <v>347</v>
      </c>
      <c r="CZ731" s="6">
        <f>27948360</f>
        <v>27948360</v>
      </c>
      <c r="DA731" s="6">
        <f>0</f>
        <v>0</v>
      </c>
      <c r="DC731" s="4" t="s">
        <v>241</v>
      </c>
      <c r="DD731" s="4" t="s">
        <v>241</v>
      </c>
      <c r="DF731" s="4" t="s">
        <v>241</v>
      </c>
      <c r="DI731" s="4" t="s">
        <v>241</v>
      </c>
      <c r="DJ731" s="4" t="s">
        <v>241</v>
      </c>
      <c r="DK731" s="4" t="s">
        <v>241</v>
      </c>
      <c r="DL731" s="4" t="s">
        <v>241</v>
      </c>
      <c r="DM731" s="4" t="s">
        <v>323</v>
      </c>
      <c r="DN731" s="4" t="s">
        <v>278</v>
      </c>
      <c r="DO731" s="6">
        <f>150.26</f>
        <v>150.26</v>
      </c>
      <c r="DP731" s="4" t="s">
        <v>241</v>
      </c>
      <c r="DQ731" s="4" t="s">
        <v>241</v>
      </c>
      <c r="DR731" s="4" t="s">
        <v>241</v>
      </c>
      <c r="DS731" s="4" t="s">
        <v>241</v>
      </c>
      <c r="DV731" s="4" t="s">
        <v>2126</v>
      </c>
      <c r="DW731" s="4" t="s">
        <v>336</v>
      </c>
      <c r="HO731" s="4" t="s">
        <v>323</v>
      </c>
      <c r="HR731" s="4" t="s">
        <v>278</v>
      </c>
      <c r="HS731" s="4" t="s">
        <v>278</v>
      </c>
    </row>
    <row r="732" spans="1:227" x14ac:dyDescent="0.4">
      <c r="A732" s="4">
        <v>2</v>
      </c>
      <c r="B732" s="4" t="s">
        <v>239</v>
      </c>
      <c r="C732" s="4">
        <v>797</v>
      </c>
      <c r="D732" s="4">
        <v>1</v>
      </c>
      <c r="E732" s="4">
        <v>1</v>
      </c>
      <c r="F732" s="4" t="s">
        <v>240</v>
      </c>
      <c r="G732" s="4" t="s">
        <v>241</v>
      </c>
      <c r="H732" s="4" t="s">
        <v>241</v>
      </c>
      <c r="I732" s="4" t="s">
        <v>2123</v>
      </c>
      <c r="J732" s="4" t="s">
        <v>344</v>
      </c>
      <c r="K732" s="4" t="s">
        <v>256</v>
      </c>
      <c r="L732" s="4" t="s">
        <v>2101</v>
      </c>
      <c r="M732" s="5" t="s">
        <v>2125</v>
      </c>
      <c r="N732" s="4" t="s">
        <v>2098</v>
      </c>
      <c r="O732" s="6">
        <f>140.34</f>
        <v>140.34</v>
      </c>
      <c r="P732" s="4" t="s">
        <v>276</v>
      </c>
      <c r="Q732" s="6">
        <f>1</f>
        <v>1</v>
      </c>
      <c r="R732" s="6">
        <f>26103240</f>
        <v>26103240</v>
      </c>
      <c r="S732" s="5" t="s">
        <v>2124</v>
      </c>
      <c r="T732" s="4" t="s">
        <v>314</v>
      </c>
      <c r="U732" s="4" t="s">
        <v>314</v>
      </c>
      <c r="W732" s="6">
        <f>26103239</f>
        <v>26103239</v>
      </c>
      <c r="X732" s="4" t="s">
        <v>243</v>
      </c>
      <c r="Y732" s="4" t="s">
        <v>244</v>
      </c>
      <c r="Z732" s="4" t="s">
        <v>338</v>
      </c>
      <c r="AA732" s="4" t="s">
        <v>241</v>
      </c>
      <c r="AD732" s="4" t="s">
        <v>241</v>
      </c>
      <c r="AF732" s="5" t="s">
        <v>241</v>
      </c>
      <c r="AI732" s="5" t="s">
        <v>249</v>
      </c>
      <c r="AJ732" s="4" t="s">
        <v>251</v>
      </c>
      <c r="AK732" s="4" t="s">
        <v>252</v>
      </c>
      <c r="BA732" s="4" t="s">
        <v>254</v>
      </c>
      <c r="BB732" s="4" t="s">
        <v>241</v>
      </c>
      <c r="BC732" s="4" t="s">
        <v>255</v>
      </c>
      <c r="BD732" s="4" t="s">
        <v>241</v>
      </c>
      <c r="BE732" s="4" t="s">
        <v>257</v>
      </c>
      <c r="BF732" s="4" t="s">
        <v>241</v>
      </c>
      <c r="BJ732" s="4" t="s">
        <v>259</v>
      </c>
      <c r="BK732" s="5" t="s">
        <v>260</v>
      </c>
      <c r="BL732" s="4" t="s">
        <v>261</v>
      </c>
      <c r="BM732" s="4" t="s">
        <v>290</v>
      </c>
      <c r="BN732" s="4" t="s">
        <v>241</v>
      </c>
      <c r="BO732" s="6">
        <f>0</f>
        <v>0</v>
      </c>
      <c r="BP732" s="6">
        <f>0</f>
        <v>0</v>
      </c>
      <c r="BQ732" s="4" t="s">
        <v>263</v>
      </c>
      <c r="BR732" s="4" t="s">
        <v>264</v>
      </c>
      <c r="CF732" s="4" t="s">
        <v>241</v>
      </c>
      <c r="CG732" s="4" t="s">
        <v>241</v>
      </c>
      <c r="CK732" s="4" t="s">
        <v>291</v>
      </c>
      <c r="CL732" s="4" t="s">
        <v>266</v>
      </c>
      <c r="CM732" s="4" t="s">
        <v>241</v>
      </c>
      <c r="CO732" s="4" t="s">
        <v>376</v>
      </c>
      <c r="CP732" s="5" t="s">
        <v>268</v>
      </c>
      <c r="CQ732" s="4" t="s">
        <v>269</v>
      </c>
      <c r="CR732" s="4" t="s">
        <v>270</v>
      </c>
      <c r="CS732" s="4" t="s">
        <v>241</v>
      </c>
      <c r="CT732" s="4" t="s">
        <v>241</v>
      </c>
      <c r="CU732" s="4">
        <v>0</v>
      </c>
      <c r="CV732" s="4" t="s">
        <v>271</v>
      </c>
      <c r="CW732" s="4" t="s">
        <v>411</v>
      </c>
      <c r="CX732" s="4" t="s">
        <v>347</v>
      </c>
      <c r="CZ732" s="6">
        <f>26103240</f>
        <v>26103240</v>
      </c>
      <c r="DA732" s="6">
        <f>0</f>
        <v>0</v>
      </c>
      <c r="DC732" s="4" t="s">
        <v>241</v>
      </c>
      <c r="DD732" s="4" t="s">
        <v>241</v>
      </c>
      <c r="DF732" s="4" t="s">
        <v>241</v>
      </c>
      <c r="DI732" s="4" t="s">
        <v>241</v>
      </c>
      <c r="DJ732" s="4" t="s">
        <v>241</v>
      </c>
      <c r="DK732" s="4" t="s">
        <v>241</v>
      </c>
      <c r="DL732" s="4" t="s">
        <v>241</v>
      </c>
      <c r="DM732" s="4" t="s">
        <v>323</v>
      </c>
      <c r="DN732" s="4" t="s">
        <v>278</v>
      </c>
      <c r="DO732" s="6">
        <f>140.34</f>
        <v>140.34</v>
      </c>
      <c r="DP732" s="4" t="s">
        <v>241</v>
      </c>
      <c r="DQ732" s="4" t="s">
        <v>241</v>
      </c>
      <c r="DR732" s="4" t="s">
        <v>241</v>
      </c>
      <c r="DS732" s="4" t="s">
        <v>241</v>
      </c>
      <c r="DV732" s="4" t="s">
        <v>2126</v>
      </c>
      <c r="DW732" s="4" t="s">
        <v>351</v>
      </c>
      <c r="HO732" s="4" t="s">
        <v>323</v>
      </c>
      <c r="HR732" s="4" t="s">
        <v>278</v>
      </c>
      <c r="HS732" s="4" t="s">
        <v>278</v>
      </c>
    </row>
    <row r="733" spans="1:227" x14ac:dyDescent="0.4">
      <c r="A733" s="4">
        <v>2</v>
      </c>
      <c r="B733" s="4" t="s">
        <v>239</v>
      </c>
      <c r="C733" s="4">
        <v>798</v>
      </c>
      <c r="D733" s="4">
        <v>1</v>
      </c>
      <c r="E733" s="4">
        <v>1</v>
      </c>
      <c r="F733" s="4" t="s">
        <v>240</v>
      </c>
      <c r="G733" s="4" t="s">
        <v>241</v>
      </c>
      <c r="H733" s="4" t="s">
        <v>241</v>
      </c>
      <c r="I733" s="4" t="s">
        <v>2123</v>
      </c>
      <c r="J733" s="4" t="s">
        <v>344</v>
      </c>
      <c r="K733" s="4" t="s">
        <v>256</v>
      </c>
      <c r="L733" s="4" t="s">
        <v>2101</v>
      </c>
      <c r="M733" s="5" t="s">
        <v>2125</v>
      </c>
      <c r="N733" s="4" t="s">
        <v>2191</v>
      </c>
      <c r="O733" s="6">
        <f>149.24</f>
        <v>149.24</v>
      </c>
      <c r="P733" s="4" t="s">
        <v>276</v>
      </c>
      <c r="Q733" s="6">
        <f>1</f>
        <v>1</v>
      </c>
      <c r="R733" s="6">
        <f>27758640</f>
        <v>27758640</v>
      </c>
      <c r="S733" s="5" t="s">
        <v>2124</v>
      </c>
      <c r="T733" s="4" t="s">
        <v>314</v>
      </c>
      <c r="U733" s="4" t="s">
        <v>314</v>
      </c>
      <c r="W733" s="6">
        <f>27758639</f>
        <v>27758639</v>
      </c>
      <c r="X733" s="4" t="s">
        <v>243</v>
      </c>
      <c r="Y733" s="4" t="s">
        <v>244</v>
      </c>
      <c r="Z733" s="4" t="s">
        <v>338</v>
      </c>
      <c r="AA733" s="4" t="s">
        <v>241</v>
      </c>
      <c r="AD733" s="4" t="s">
        <v>241</v>
      </c>
      <c r="AF733" s="5" t="s">
        <v>241</v>
      </c>
      <c r="AI733" s="5" t="s">
        <v>249</v>
      </c>
      <c r="AJ733" s="4" t="s">
        <v>251</v>
      </c>
      <c r="AK733" s="4" t="s">
        <v>252</v>
      </c>
      <c r="BA733" s="4" t="s">
        <v>254</v>
      </c>
      <c r="BB733" s="4" t="s">
        <v>241</v>
      </c>
      <c r="BC733" s="4" t="s">
        <v>255</v>
      </c>
      <c r="BD733" s="4" t="s">
        <v>241</v>
      </c>
      <c r="BE733" s="4" t="s">
        <v>257</v>
      </c>
      <c r="BF733" s="4" t="s">
        <v>241</v>
      </c>
      <c r="BJ733" s="4" t="s">
        <v>367</v>
      </c>
      <c r="BK733" s="5" t="s">
        <v>249</v>
      </c>
      <c r="BL733" s="4" t="s">
        <v>261</v>
      </c>
      <c r="BM733" s="4" t="s">
        <v>290</v>
      </c>
      <c r="BN733" s="4" t="s">
        <v>241</v>
      </c>
      <c r="BO733" s="6">
        <f>0</f>
        <v>0</v>
      </c>
      <c r="BP733" s="6">
        <f>0</f>
        <v>0</v>
      </c>
      <c r="BQ733" s="4" t="s">
        <v>263</v>
      </c>
      <c r="BR733" s="4" t="s">
        <v>264</v>
      </c>
      <c r="CF733" s="4" t="s">
        <v>241</v>
      </c>
      <c r="CG733" s="4" t="s">
        <v>241</v>
      </c>
      <c r="CK733" s="4" t="s">
        <v>291</v>
      </c>
      <c r="CL733" s="4" t="s">
        <v>266</v>
      </c>
      <c r="CM733" s="4" t="s">
        <v>241</v>
      </c>
      <c r="CO733" s="4" t="s">
        <v>376</v>
      </c>
      <c r="CP733" s="5" t="s">
        <v>268</v>
      </c>
      <c r="CQ733" s="4" t="s">
        <v>269</v>
      </c>
      <c r="CR733" s="4" t="s">
        <v>270</v>
      </c>
      <c r="CS733" s="4" t="s">
        <v>241</v>
      </c>
      <c r="CT733" s="4" t="s">
        <v>241</v>
      </c>
      <c r="CU733" s="4">
        <v>0</v>
      </c>
      <c r="CV733" s="4" t="s">
        <v>271</v>
      </c>
      <c r="CW733" s="4" t="s">
        <v>411</v>
      </c>
      <c r="CX733" s="4" t="s">
        <v>347</v>
      </c>
      <c r="CZ733" s="6">
        <f>27758640</f>
        <v>27758640</v>
      </c>
      <c r="DA733" s="6">
        <f>0</f>
        <v>0</v>
      </c>
      <c r="DC733" s="4" t="s">
        <v>241</v>
      </c>
      <c r="DD733" s="4" t="s">
        <v>241</v>
      </c>
      <c r="DF733" s="4" t="s">
        <v>241</v>
      </c>
      <c r="DI733" s="4" t="s">
        <v>241</v>
      </c>
      <c r="DJ733" s="4" t="s">
        <v>241</v>
      </c>
      <c r="DK733" s="4" t="s">
        <v>241</v>
      </c>
      <c r="DL733" s="4" t="s">
        <v>241</v>
      </c>
      <c r="DM733" s="4" t="s">
        <v>323</v>
      </c>
      <c r="DN733" s="4" t="s">
        <v>278</v>
      </c>
      <c r="DO733" s="6">
        <f>149.24</f>
        <v>149.24</v>
      </c>
      <c r="DP733" s="4" t="s">
        <v>241</v>
      </c>
      <c r="DQ733" s="4" t="s">
        <v>241</v>
      </c>
      <c r="DR733" s="4" t="s">
        <v>241</v>
      </c>
      <c r="DS733" s="4" t="s">
        <v>241</v>
      </c>
      <c r="DV733" s="4" t="s">
        <v>2126</v>
      </c>
      <c r="DW733" s="4" t="s">
        <v>300</v>
      </c>
      <c r="HO733" s="4" t="s">
        <v>323</v>
      </c>
      <c r="HR733" s="4" t="s">
        <v>278</v>
      </c>
      <c r="HS733" s="4" t="s">
        <v>278</v>
      </c>
    </row>
    <row r="734" spans="1:227" x14ac:dyDescent="0.4">
      <c r="A734" s="4">
        <v>2</v>
      </c>
      <c r="B734" s="4" t="s">
        <v>239</v>
      </c>
      <c r="C734" s="4">
        <v>799</v>
      </c>
      <c r="D734" s="4">
        <v>1</v>
      </c>
      <c r="E734" s="4">
        <v>1</v>
      </c>
      <c r="F734" s="4" t="s">
        <v>240</v>
      </c>
      <c r="G734" s="4" t="s">
        <v>241</v>
      </c>
      <c r="H734" s="4" t="s">
        <v>241</v>
      </c>
      <c r="I734" s="4" t="s">
        <v>2123</v>
      </c>
      <c r="J734" s="4" t="s">
        <v>344</v>
      </c>
      <c r="K734" s="4" t="s">
        <v>256</v>
      </c>
      <c r="L734" s="4" t="s">
        <v>2101</v>
      </c>
      <c r="M734" s="5" t="s">
        <v>2125</v>
      </c>
      <c r="N734" s="4" t="s">
        <v>2192</v>
      </c>
      <c r="O734" s="6">
        <f>140.34</f>
        <v>140.34</v>
      </c>
      <c r="P734" s="4" t="s">
        <v>276</v>
      </c>
      <c r="Q734" s="6">
        <f>1</f>
        <v>1</v>
      </c>
      <c r="R734" s="6">
        <f>26103240</f>
        <v>26103240</v>
      </c>
      <c r="S734" s="5" t="s">
        <v>1349</v>
      </c>
      <c r="T734" s="4" t="s">
        <v>314</v>
      </c>
      <c r="U734" s="4" t="s">
        <v>314</v>
      </c>
      <c r="W734" s="6">
        <f>26103239</f>
        <v>26103239</v>
      </c>
      <c r="X734" s="4" t="s">
        <v>243</v>
      </c>
      <c r="Y734" s="4" t="s">
        <v>244</v>
      </c>
      <c r="Z734" s="4" t="s">
        <v>338</v>
      </c>
      <c r="AA734" s="4" t="s">
        <v>241</v>
      </c>
      <c r="AD734" s="4" t="s">
        <v>241</v>
      </c>
      <c r="AF734" s="5" t="s">
        <v>241</v>
      </c>
      <c r="AI734" s="5" t="s">
        <v>249</v>
      </c>
      <c r="AJ734" s="4" t="s">
        <v>251</v>
      </c>
      <c r="AK734" s="4" t="s">
        <v>252</v>
      </c>
      <c r="BA734" s="4" t="s">
        <v>254</v>
      </c>
      <c r="BB734" s="4" t="s">
        <v>241</v>
      </c>
      <c r="BC734" s="4" t="s">
        <v>255</v>
      </c>
      <c r="BD734" s="4" t="s">
        <v>241</v>
      </c>
      <c r="BE734" s="4" t="s">
        <v>257</v>
      </c>
      <c r="BF734" s="4" t="s">
        <v>241</v>
      </c>
      <c r="BJ734" s="4" t="s">
        <v>374</v>
      </c>
      <c r="BK734" s="5" t="s">
        <v>375</v>
      </c>
      <c r="BL734" s="4" t="s">
        <v>261</v>
      </c>
      <c r="BM734" s="4" t="s">
        <v>290</v>
      </c>
      <c r="BN734" s="4" t="s">
        <v>241</v>
      </c>
      <c r="BO734" s="6">
        <f>0</f>
        <v>0</v>
      </c>
      <c r="BP734" s="6">
        <f>0</f>
        <v>0</v>
      </c>
      <c r="BQ734" s="4" t="s">
        <v>263</v>
      </c>
      <c r="BR734" s="4" t="s">
        <v>264</v>
      </c>
      <c r="CF734" s="4" t="s">
        <v>241</v>
      </c>
      <c r="CG734" s="4" t="s">
        <v>241</v>
      </c>
      <c r="CK734" s="4" t="s">
        <v>291</v>
      </c>
      <c r="CL734" s="4" t="s">
        <v>266</v>
      </c>
      <c r="CM734" s="4" t="s">
        <v>241</v>
      </c>
      <c r="CO734" s="4" t="s">
        <v>387</v>
      </c>
      <c r="CP734" s="5" t="s">
        <v>268</v>
      </c>
      <c r="CQ734" s="4" t="s">
        <v>269</v>
      </c>
      <c r="CR734" s="4" t="s">
        <v>270</v>
      </c>
      <c r="CS734" s="4" t="s">
        <v>241</v>
      </c>
      <c r="CT734" s="4" t="s">
        <v>241</v>
      </c>
      <c r="CU734" s="4">
        <v>0</v>
      </c>
      <c r="CV734" s="4" t="s">
        <v>271</v>
      </c>
      <c r="CW734" s="4" t="s">
        <v>411</v>
      </c>
      <c r="CX734" s="4" t="s">
        <v>347</v>
      </c>
      <c r="CZ734" s="6">
        <f>26103240</f>
        <v>26103240</v>
      </c>
      <c r="DA734" s="6">
        <f>0</f>
        <v>0</v>
      </c>
      <c r="DC734" s="4" t="s">
        <v>241</v>
      </c>
      <c r="DD734" s="4" t="s">
        <v>241</v>
      </c>
      <c r="DF734" s="4" t="s">
        <v>241</v>
      </c>
      <c r="DI734" s="4" t="s">
        <v>241</v>
      </c>
      <c r="DJ734" s="4" t="s">
        <v>241</v>
      </c>
      <c r="DK734" s="4" t="s">
        <v>241</v>
      </c>
      <c r="DL734" s="4" t="s">
        <v>241</v>
      </c>
      <c r="DM734" s="4" t="s">
        <v>323</v>
      </c>
      <c r="DN734" s="4" t="s">
        <v>278</v>
      </c>
      <c r="DO734" s="6">
        <f>140.34</f>
        <v>140.34</v>
      </c>
      <c r="DP734" s="4" t="s">
        <v>241</v>
      </c>
      <c r="DQ734" s="4" t="s">
        <v>241</v>
      </c>
      <c r="DR734" s="4" t="s">
        <v>241</v>
      </c>
      <c r="DS734" s="4" t="s">
        <v>241</v>
      </c>
      <c r="DV734" s="4" t="s">
        <v>2126</v>
      </c>
      <c r="DW734" s="4" t="s">
        <v>341</v>
      </c>
      <c r="HO734" s="4" t="s">
        <v>297</v>
      </c>
      <c r="HR734" s="4" t="s">
        <v>278</v>
      </c>
      <c r="HS734" s="4" t="s">
        <v>278</v>
      </c>
    </row>
    <row r="735" spans="1:227" x14ac:dyDescent="0.4">
      <c r="A735" s="4">
        <v>2</v>
      </c>
      <c r="B735" s="4" t="s">
        <v>239</v>
      </c>
      <c r="C735" s="4">
        <v>800</v>
      </c>
      <c r="D735" s="4">
        <v>1</v>
      </c>
      <c r="E735" s="4">
        <v>1</v>
      </c>
      <c r="F735" s="4" t="s">
        <v>240</v>
      </c>
      <c r="G735" s="4" t="s">
        <v>241</v>
      </c>
      <c r="H735" s="4" t="s">
        <v>241</v>
      </c>
      <c r="I735" s="4" t="s">
        <v>2123</v>
      </c>
      <c r="J735" s="4" t="s">
        <v>344</v>
      </c>
      <c r="K735" s="4" t="s">
        <v>256</v>
      </c>
      <c r="L735" s="4" t="s">
        <v>2101</v>
      </c>
      <c r="M735" s="5" t="s">
        <v>2125</v>
      </c>
      <c r="N735" s="4" t="s">
        <v>2173</v>
      </c>
      <c r="O735" s="6">
        <f>150.26</f>
        <v>150.26</v>
      </c>
      <c r="P735" s="4" t="s">
        <v>276</v>
      </c>
      <c r="Q735" s="6">
        <f>1</f>
        <v>1</v>
      </c>
      <c r="R735" s="6">
        <f>27948360</f>
        <v>27948360</v>
      </c>
      <c r="S735" s="5" t="s">
        <v>1349</v>
      </c>
      <c r="T735" s="4" t="s">
        <v>314</v>
      </c>
      <c r="U735" s="4" t="s">
        <v>314</v>
      </c>
      <c r="W735" s="6">
        <f>27948359</f>
        <v>27948359</v>
      </c>
      <c r="X735" s="4" t="s">
        <v>243</v>
      </c>
      <c r="Y735" s="4" t="s">
        <v>244</v>
      </c>
      <c r="Z735" s="4" t="s">
        <v>338</v>
      </c>
      <c r="AA735" s="4" t="s">
        <v>241</v>
      </c>
      <c r="AD735" s="4" t="s">
        <v>241</v>
      </c>
      <c r="AF735" s="5" t="s">
        <v>241</v>
      </c>
      <c r="AI735" s="5" t="s">
        <v>249</v>
      </c>
      <c r="AJ735" s="4" t="s">
        <v>251</v>
      </c>
      <c r="AK735" s="4" t="s">
        <v>252</v>
      </c>
      <c r="BA735" s="4" t="s">
        <v>254</v>
      </c>
      <c r="BB735" s="4" t="s">
        <v>241</v>
      </c>
      <c r="BC735" s="4" t="s">
        <v>255</v>
      </c>
      <c r="BD735" s="4" t="s">
        <v>241</v>
      </c>
      <c r="BE735" s="4" t="s">
        <v>257</v>
      </c>
      <c r="BF735" s="4" t="s">
        <v>241</v>
      </c>
      <c r="BJ735" s="4" t="s">
        <v>377</v>
      </c>
      <c r="BK735" s="5" t="s">
        <v>378</v>
      </c>
      <c r="BL735" s="4" t="s">
        <v>261</v>
      </c>
      <c r="BM735" s="4" t="s">
        <v>290</v>
      </c>
      <c r="BN735" s="4" t="s">
        <v>241</v>
      </c>
      <c r="BO735" s="6">
        <f>0</f>
        <v>0</v>
      </c>
      <c r="BP735" s="6">
        <f>0</f>
        <v>0</v>
      </c>
      <c r="BQ735" s="4" t="s">
        <v>263</v>
      </c>
      <c r="BR735" s="4" t="s">
        <v>264</v>
      </c>
      <c r="CF735" s="4" t="s">
        <v>241</v>
      </c>
      <c r="CG735" s="4" t="s">
        <v>241</v>
      </c>
      <c r="CK735" s="4" t="s">
        <v>291</v>
      </c>
      <c r="CL735" s="4" t="s">
        <v>266</v>
      </c>
      <c r="CM735" s="4" t="s">
        <v>241</v>
      </c>
      <c r="CO735" s="4" t="s">
        <v>387</v>
      </c>
      <c r="CP735" s="5" t="s">
        <v>268</v>
      </c>
      <c r="CQ735" s="4" t="s">
        <v>269</v>
      </c>
      <c r="CR735" s="4" t="s">
        <v>270</v>
      </c>
      <c r="CS735" s="4" t="s">
        <v>241</v>
      </c>
      <c r="CT735" s="4" t="s">
        <v>241</v>
      </c>
      <c r="CU735" s="4">
        <v>0</v>
      </c>
      <c r="CV735" s="4" t="s">
        <v>271</v>
      </c>
      <c r="CW735" s="4" t="s">
        <v>411</v>
      </c>
      <c r="CX735" s="4" t="s">
        <v>347</v>
      </c>
      <c r="CZ735" s="6">
        <f>27948360</f>
        <v>27948360</v>
      </c>
      <c r="DA735" s="6">
        <f>0</f>
        <v>0</v>
      </c>
      <c r="DC735" s="4" t="s">
        <v>241</v>
      </c>
      <c r="DD735" s="4" t="s">
        <v>241</v>
      </c>
      <c r="DF735" s="4" t="s">
        <v>241</v>
      </c>
      <c r="DI735" s="4" t="s">
        <v>241</v>
      </c>
      <c r="DJ735" s="4" t="s">
        <v>241</v>
      </c>
      <c r="DK735" s="4" t="s">
        <v>241</v>
      </c>
      <c r="DL735" s="4" t="s">
        <v>241</v>
      </c>
      <c r="DM735" s="4" t="s">
        <v>323</v>
      </c>
      <c r="DN735" s="4" t="s">
        <v>278</v>
      </c>
      <c r="DO735" s="6">
        <f>150.26</f>
        <v>150.26</v>
      </c>
      <c r="DP735" s="4" t="s">
        <v>241</v>
      </c>
      <c r="DQ735" s="4" t="s">
        <v>241</v>
      </c>
      <c r="DR735" s="4" t="s">
        <v>241</v>
      </c>
      <c r="DS735" s="4" t="s">
        <v>241</v>
      </c>
      <c r="DV735" s="4" t="s">
        <v>2126</v>
      </c>
      <c r="DW735" s="4" t="s">
        <v>343</v>
      </c>
      <c r="HO735" s="4" t="s">
        <v>297</v>
      </c>
      <c r="HR735" s="4" t="s">
        <v>278</v>
      </c>
      <c r="HS735" s="4" t="s">
        <v>278</v>
      </c>
    </row>
    <row r="736" spans="1:227" x14ac:dyDescent="0.4">
      <c r="A736" s="4">
        <v>2</v>
      </c>
      <c r="B736" s="4" t="s">
        <v>239</v>
      </c>
      <c r="C736" s="4">
        <v>801</v>
      </c>
      <c r="D736" s="4">
        <v>1</v>
      </c>
      <c r="E736" s="4">
        <v>1</v>
      </c>
      <c r="F736" s="4" t="s">
        <v>240</v>
      </c>
      <c r="G736" s="4" t="s">
        <v>241</v>
      </c>
      <c r="H736" s="4" t="s">
        <v>241</v>
      </c>
      <c r="I736" s="4" t="s">
        <v>2123</v>
      </c>
      <c r="J736" s="4" t="s">
        <v>344</v>
      </c>
      <c r="K736" s="4" t="s">
        <v>256</v>
      </c>
      <c r="L736" s="4" t="s">
        <v>2101</v>
      </c>
      <c r="M736" s="5" t="s">
        <v>2125</v>
      </c>
      <c r="N736" s="4" t="s">
        <v>2174</v>
      </c>
      <c r="O736" s="6">
        <f>150.26</f>
        <v>150.26</v>
      </c>
      <c r="P736" s="4" t="s">
        <v>276</v>
      </c>
      <c r="Q736" s="6">
        <f>1</f>
        <v>1</v>
      </c>
      <c r="R736" s="6">
        <f>27948360</f>
        <v>27948360</v>
      </c>
      <c r="S736" s="5" t="s">
        <v>1349</v>
      </c>
      <c r="T736" s="4" t="s">
        <v>314</v>
      </c>
      <c r="U736" s="4" t="s">
        <v>314</v>
      </c>
      <c r="W736" s="6">
        <f>27948359</f>
        <v>27948359</v>
      </c>
      <c r="X736" s="4" t="s">
        <v>243</v>
      </c>
      <c r="Y736" s="4" t="s">
        <v>244</v>
      </c>
      <c r="Z736" s="4" t="s">
        <v>338</v>
      </c>
      <c r="AA736" s="4" t="s">
        <v>241</v>
      </c>
      <c r="AD736" s="4" t="s">
        <v>241</v>
      </c>
      <c r="AF736" s="5" t="s">
        <v>241</v>
      </c>
      <c r="AI736" s="5" t="s">
        <v>249</v>
      </c>
      <c r="AJ736" s="4" t="s">
        <v>251</v>
      </c>
      <c r="AK736" s="4" t="s">
        <v>252</v>
      </c>
      <c r="BA736" s="4" t="s">
        <v>254</v>
      </c>
      <c r="BB736" s="4" t="s">
        <v>241</v>
      </c>
      <c r="BC736" s="4" t="s">
        <v>255</v>
      </c>
      <c r="BD736" s="4" t="s">
        <v>241</v>
      </c>
      <c r="BE736" s="4" t="s">
        <v>257</v>
      </c>
      <c r="BF736" s="4" t="s">
        <v>241</v>
      </c>
      <c r="BJ736" s="4" t="s">
        <v>259</v>
      </c>
      <c r="BK736" s="5" t="s">
        <v>260</v>
      </c>
      <c r="BL736" s="4" t="s">
        <v>261</v>
      </c>
      <c r="BM736" s="4" t="s">
        <v>290</v>
      </c>
      <c r="BN736" s="4" t="s">
        <v>241</v>
      </c>
      <c r="BO736" s="6">
        <f>0</f>
        <v>0</v>
      </c>
      <c r="BP736" s="6">
        <f>0</f>
        <v>0</v>
      </c>
      <c r="BQ736" s="4" t="s">
        <v>263</v>
      </c>
      <c r="BR736" s="4" t="s">
        <v>264</v>
      </c>
      <c r="CF736" s="4" t="s">
        <v>241</v>
      </c>
      <c r="CG736" s="4" t="s">
        <v>241</v>
      </c>
      <c r="CK736" s="4" t="s">
        <v>291</v>
      </c>
      <c r="CL736" s="4" t="s">
        <v>266</v>
      </c>
      <c r="CM736" s="4" t="s">
        <v>241</v>
      </c>
      <c r="CO736" s="4" t="s">
        <v>387</v>
      </c>
      <c r="CP736" s="5" t="s">
        <v>268</v>
      </c>
      <c r="CQ736" s="4" t="s">
        <v>269</v>
      </c>
      <c r="CR736" s="4" t="s">
        <v>270</v>
      </c>
      <c r="CS736" s="4" t="s">
        <v>241</v>
      </c>
      <c r="CT736" s="4" t="s">
        <v>241</v>
      </c>
      <c r="CU736" s="4">
        <v>0</v>
      </c>
      <c r="CV736" s="4" t="s">
        <v>271</v>
      </c>
      <c r="CW736" s="4" t="s">
        <v>411</v>
      </c>
      <c r="CX736" s="4" t="s">
        <v>347</v>
      </c>
      <c r="CZ736" s="6">
        <f>27948360</f>
        <v>27948360</v>
      </c>
      <c r="DA736" s="6">
        <f>0</f>
        <v>0</v>
      </c>
      <c r="DC736" s="4" t="s">
        <v>241</v>
      </c>
      <c r="DD736" s="4" t="s">
        <v>241</v>
      </c>
      <c r="DF736" s="4" t="s">
        <v>241</v>
      </c>
      <c r="DI736" s="4" t="s">
        <v>241</v>
      </c>
      <c r="DJ736" s="4" t="s">
        <v>241</v>
      </c>
      <c r="DK736" s="4" t="s">
        <v>241</v>
      </c>
      <c r="DL736" s="4" t="s">
        <v>241</v>
      </c>
      <c r="DM736" s="4" t="s">
        <v>323</v>
      </c>
      <c r="DN736" s="4" t="s">
        <v>278</v>
      </c>
      <c r="DO736" s="6">
        <f>150.26</f>
        <v>150.26</v>
      </c>
      <c r="DP736" s="4" t="s">
        <v>241</v>
      </c>
      <c r="DQ736" s="4" t="s">
        <v>241</v>
      </c>
      <c r="DR736" s="4" t="s">
        <v>241</v>
      </c>
      <c r="DS736" s="4" t="s">
        <v>241</v>
      </c>
      <c r="DV736" s="4" t="s">
        <v>2126</v>
      </c>
      <c r="DW736" s="4" t="s">
        <v>417</v>
      </c>
      <c r="HO736" s="4" t="s">
        <v>297</v>
      </c>
      <c r="HR736" s="4" t="s">
        <v>278</v>
      </c>
      <c r="HS736" s="4" t="s">
        <v>278</v>
      </c>
    </row>
    <row r="737" spans="1:227" x14ac:dyDescent="0.4">
      <c r="A737" s="4">
        <v>2</v>
      </c>
      <c r="B737" s="4" t="s">
        <v>239</v>
      </c>
      <c r="C737" s="4">
        <v>802</v>
      </c>
      <c r="D737" s="4">
        <v>1</v>
      </c>
      <c r="E737" s="4">
        <v>1</v>
      </c>
      <c r="F737" s="4" t="s">
        <v>240</v>
      </c>
      <c r="G737" s="4" t="s">
        <v>241</v>
      </c>
      <c r="H737" s="4" t="s">
        <v>241</v>
      </c>
      <c r="I737" s="4" t="s">
        <v>2099</v>
      </c>
      <c r="J737" s="4" t="s">
        <v>344</v>
      </c>
      <c r="K737" s="4" t="s">
        <v>256</v>
      </c>
      <c r="L737" s="4" t="s">
        <v>2101</v>
      </c>
      <c r="M737" s="5" t="s">
        <v>2102</v>
      </c>
      <c r="N737" s="4" t="s">
        <v>2104</v>
      </c>
      <c r="O737" s="6">
        <f t="shared" ref="O737:O742" si="32">163.42</f>
        <v>163.41999999999999</v>
      </c>
      <c r="P737" s="4" t="s">
        <v>276</v>
      </c>
      <c r="Q737" s="6">
        <f>1</f>
        <v>1</v>
      </c>
      <c r="R737" s="6">
        <f t="shared" ref="R737:R742" si="33">39220800</f>
        <v>39220800</v>
      </c>
      <c r="S737" s="5" t="s">
        <v>2100</v>
      </c>
      <c r="T737" s="4" t="s">
        <v>314</v>
      </c>
      <c r="U737" s="4" t="s">
        <v>314</v>
      </c>
      <c r="W737" s="6">
        <f t="shared" ref="W737:W742" si="34">39220799</f>
        <v>39220799</v>
      </c>
      <c r="X737" s="4" t="s">
        <v>243</v>
      </c>
      <c r="Y737" s="4" t="s">
        <v>244</v>
      </c>
      <c r="Z737" s="4" t="s">
        <v>338</v>
      </c>
      <c r="AA737" s="4" t="s">
        <v>241</v>
      </c>
      <c r="AD737" s="4" t="s">
        <v>241</v>
      </c>
      <c r="AF737" s="5" t="s">
        <v>241</v>
      </c>
      <c r="AI737" s="5" t="s">
        <v>249</v>
      </c>
      <c r="AJ737" s="4" t="s">
        <v>251</v>
      </c>
      <c r="AK737" s="4" t="s">
        <v>252</v>
      </c>
      <c r="BA737" s="4" t="s">
        <v>254</v>
      </c>
      <c r="BB737" s="4" t="s">
        <v>241</v>
      </c>
      <c r="BC737" s="4" t="s">
        <v>255</v>
      </c>
      <c r="BD737" s="4" t="s">
        <v>241</v>
      </c>
      <c r="BE737" s="4" t="s">
        <v>257</v>
      </c>
      <c r="BF737" s="4" t="s">
        <v>241</v>
      </c>
      <c r="BJ737" s="4" t="s">
        <v>367</v>
      </c>
      <c r="BK737" s="5" t="s">
        <v>249</v>
      </c>
      <c r="BL737" s="4" t="s">
        <v>261</v>
      </c>
      <c r="BM737" s="4" t="s">
        <v>290</v>
      </c>
      <c r="BN737" s="4" t="s">
        <v>241</v>
      </c>
      <c r="BO737" s="6">
        <f>0</f>
        <v>0</v>
      </c>
      <c r="BP737" s="6">
        <f>0</f>
        <v>0</v>
      </c>
      <c r="BQ737" s="4" t="s">
        <v>263</v>
      </c>
      <c r="BR737" s="4" t="s">
        <v>264</v>
      </c>
      <c r="CF737" s="4" t="s">
        <v>241</v>
      </c>
      <c r="CG737" s="4" t="s">
        <v>241</v>
      </c>
      <c r="CK737" s="4" t="s">
        <v>291</v>
      </c>
      <c r="CL737" s="4" t="s">
        <v>266</v>
      </c>
      <c r="CM737" s="4" t="s">
        <v>241</v>
      </c>
      <c r="CO737" s="4" t="s">
        <v>376</v>
      </c>
      <c r="CP737" s="5" t="s">
        <v>268</v>
      </c>
      <c r="CQ737" s="4" t="s">
        <v>269</v>
      </c>
      <c r="CR737" s="4" t="s">
        <v>270</v>
      </c>
      <c r="CS737" s="4" t="s">
        <v>241</v>
      </c>
      <c r="CT737" s="4" t="s">
        <v>241</v>
      </c>
      <c r="CU737" s="4">
        <v>0</v>
      </c>
      <c r="CV737" s="4" t="s">
        <v>271</v>
      </c>
      <c r="CW737" s="4" t="s">
        <v>411</v>
      </c>
      <c r="CX737" s="4" t="s">
        <v>347</v>
      </c>
      <c r="CZ737" s="6">
        <f t="shared" ref="CZ737:CZ742" si="35">39220800</f>
        <v>39220800</v>
      </c>
      <c r="DA737" s="6">
        <f>0</f>
        <v>0</v>
      </c>
      <c r="DC737" s="4" t="s">
        <v>241</v>
      </c>
      <c r="DD737" s="4" t="s">
        <v>241</v>
      </c>
      <c r="DF737" s="4" t="s">
        <v>241</v>
      </c>
      <c r="DI737" s="4" t="s">
        <v>241</v>
      </c>
      <c r="DJ737" s="4" t="s">
        <v>241</v>
      </c>
      <c r="DK737" s="4" t="s">
        <v>241</v>
      </c>
      <c r="DL737" s="4" t="s">
        <v>241</v>
      </c>
      <c r="DM737" s="4" t="s">
        <v>323</v>
      </c>
      <c r="DN737" s="4" t="s">
        <v>278</v>
      </c>
      <c r="DO737" s="6">
        <f t="shared" ref="DO737:DO742" si="36">163.42</f>
        <v>163.41999999999999</v>
      </c>
      <c r="DP737" s="4" t="s">
        <v>241</v>
      </c>
      <c r="DQ737" s="4" t="s">
        <v>241</v>
      </c>
      <c r="DR737" s="4" t="s">
        <v>241</v>
      </c>
      <c r="DS737" s="4" t="s">
        <v>241</v>
      </c>
      <c r="DV737" s="4" t="s">
        <v>2103</v>
      </c>
      <c r="DW737" s="4" t="s">
        <v>277</v>
      </c>
      <c r="HO737" s="4" t="s">
        <v>323</v>
      </c>
      <c r="HR737" s="4" t="s">
        <v>278</v>
      </c>
      <c r="HS737" s="4" t="s">
        <v>278</v>
      </c>
    </row>
    <row r="738" spans="1:227" x14ac:dyDescent="0.4">
      <c r="A738" s="4">
        <v>2</v>
      </c>
      <c r="B738" s="4" t="s">
        <v>239</v>
      </c>
      <c r="C738" s="4">
        <v>803</v>
      </c>
      <c r="D738" s="4">
        <v>1</v>
      </c>
      <c r="E738" s="4">
        <v>1</v>
      </c>
      <c r="F738" s="4" t="s">
        <v>240</v>
      </c>
      <c r="G738" s="4" t="s">
        <v>241</v>
      </c>
      <c r="H738" s="4" t="s">
        <v>241</v>
      </c>
      <c r="I738" s="4" t="s">
        <v>2099</v>
      </c>
      <c r="J738" s="4" t="s">
        <v>344</v>
      </c>
      <c r="K738" s="4" t="s">
        <v>256</v>
      </c>
      <c r="L738" s="4" t="s">
        <v>2101</v>
      </c>
      <c r="M738" s="5" t="s">
        <v>2102</v>
      </c>
      <c r="N738" s="4" t="s">
        <v>2109</v>
      </c>
      <c r="O738" s="6">
        <f t="shared" si="32"/>
        <v>163.41999999999999</v>
      </c>
      <c r="P738" s="4" t="s">
        <v>276</v>
      </c>
      <c r="Q738" s="6">
        <f>1</f>
        <v>1</v>
      </c>
      <c r="R738" s="6">
        <f t="shared" si="33"/>
        <v>39220800</v>
      </c>
      <c r="S738" s="5" t="s">
        <v>2100</v>
      </c>
      <c r="T738" s="4" t="s">
        <v>314</v>
      </c>
      <c r="U738" s="4" t="s">
        <v>314</v>
      </c>
      <c r="W738" s="6">
        <f t="shared" si="34"/>
        <v>39220799</v>
      </c>
      <c r="X738" s="4" t="s">
        <v>243</v>
      </c>
      <c r="Y738" s="4" t="s">
        <v>244</v>
      </c>
      <c r="Z738" s="4" t="s">
        <v>338</v>
      </c>
      <c r="AA738" s="4" t="s">
        <v>241</v>
      </c>
      <c r="AD738" s="4" t="s">
        <v>241</v>
      </c>
      <c r="AF738" s="5" t="s">
        <v>241</v>
      </c>
      <c r="AI738" s="5" t="s">
        <v>249</v>
      </c>
      <c r="AJ738" s="4" t="s">
        <v>251</v>
      </c>
      <c r="AK738" s="4" t="s">
        <v>252</v>
      </c>
      <c r="BA738" s="4" t="s">
        <v>254</v>
      </c>
      <c r="BB738" s="4" t="s">
        <v>241</v>
      </c>
      <c r="BC738" s="4" t="s">
        <v>255</v>
      </c>
      <c r="BD738" s="4" t="s">
        <v>241</v>
      </c>
      <c r="BE738" s="4" t="s">
        <v>257</v>
      </c>
      <c r="BF738" s="4" t="s">
        <v>241</v>
      </c>
      <c r="BJ738" s="4" t="s">
        <v>374</v>
      </c>
      <c r="BK738" s="5" t="s">
        <v>375</v>
      </c>
      <c r="BL738" s="4" t="s">
        <v>261</v>
      </c>
      <c r="BM738" s="4" t="s">
        <v>290</v>
      </c>
      <c r="BN738" s="4" t="s">
        <v>241</v>
      </c>
      <c r="BO738" s="6">
        <f>0</f>
        <v>0</v>
      </c>
      <c r="BP738" s="6">
        <f>0</f>
        <v>0</v>
      </c>
      <c r="BQ738" s="4" t="s">
        <v>263</v>
      </c>
      <c r="BR738" s="4" t="s">
        <v>264</v>
      </c>
      <c r="CF738" s="4" t="s">
        <v>241</v>
      </c>
      <c r="CG738" s="4" t="s">
        <v>241</v>
      </c>
      <c r="CK738" s="4" t="s">
        <v>291</v>
      </c>
      <c r="CL738" s="4" t="s">
        <v>266</v>
      </c>
      <c r="CM738" s="4" t="s">
        <v>241</v>
      </c>
      <c r="CO738" s="4" t="s">
        <v>376</v>
      </c>
      <c r="CP738" s="5" t="s">
        <v>268</v>
      </c>
      <c r="CQ738" s="4" t="s">
        <v>269</v>
      </c>
      <c r="CR738" s="4" t="s">
        <v>270</v>
      </c>
      <c r="CS738" s="4" t="s">
        <v>241</v>
      </c>
      <c r="CT738" s="4" t="s">
        <v>241</v>
      </c>
      <c r="CU738" s="4">
        <v>0</v>
      </c>
      <c r="CV738" s="4" t="s">
        <v>271</v>
      </c>
      <c r="CW738" s="4" t="s">
        <v>411</v>
      </c>
      <c r="CX738" s="4" t="s">
        <v>347</v>
      </c>
      <c r="CZ738" s="6">
        <f t="shared" si="35"/>
        <v>39220800</v>
      </c>
      <c r="DA738" s="6">
        <f>0</f>
        <v>0</v>
      </c>
      <c r="DC738" s="4" t="s">
        <v>241</v>
      </c>
      <c r="DD738" s="4" t="s">
        <v>241</v>
      </c>
      <c r="DF738" s="4" t="s">
        <v>241</v>
      </c>
      <c r="DI738" s="4" t="s">
        <v>241</v>
      </c>
      <c r="DJ738" s="4" t="s">
        <v>241</v>
      </c>
      <c r="DK738" s="4" t="s">
        <v>241</v>
      </c>
      <c r="DL738" s="4" t="s">
        <v>241</v>
      </c>
      <c r="DM738" s="4" t="s">
        <v>323</v>
      </c>
      <c r="DN738" s="4" t="s">
        <v>278</v>
      </c>
      <c r="DO738" s="6">
        <f t="shared" si="36"/>
        <v>163.41999999999999</v>
      </c>
      <c r="DP738" s="4" t="s">
        <v>241</v>
      </c>
      <c r="DQ738" s="4" t="s">
        <v>241</v>
      </c>
      <c r="DR738" s="4" t="s">
        <v>241</v>
      </c>
      <c r="DS738" s="4" t="s">
        <v>241</v>
      </c>
      <c r="DV738" s="4" t="s">
        <v>2103</v>
      </c>
      <c r="DW738" s="4" t="s">
        <v>323</v>
      </c>
      <c r="HO738" s="4" t="s">
        <v>323</v>
      </c>
      <c r="HR738" s="4" t="s">
        <v>278</v>
      </c>
      <c r="HS738" s="4" t="s">
        <v>278</v>
      </c>
    </row>
    <row r="739" spans="1:227" x14ac:dyDescent="0.4">
      <c r="A739" s="4">
        <v>2</v>
      </c>
      <c r="B739" s="4" t="s">
        <v>239</v>
      </c>
      <c r="C739" s="4">
        <v>804</v>
      </c>
      <c r="D739" s="4">
        <v>1</v>
      </c>
      <c r="E739" s="4">
        <v>1</v>
      </c>
      <c r="F739" s="4" t="s">
        <v>240</v>
      </c>
      <c r="G739" s="4" t="s">
        <v>241</v>
      </c>
      <c r="H739" s="4" t="s">
        <v>241</v>
      </c>
      <c r="I739" s="4" t="s">
        <v>2099</v>
      </c>
      <c r="J739" s="4" t="s">
        <v>344</v>
      </c>
      <c r="K739" s="4" t="s">
        <v>256</v>
      </c>
      <c r="L739" s="4" t="s">
        <v>2101</v>
      </c>
      <c r="M739" s="5" t="s">
        <v>2102</v>
      </c>
      <c r="N739" s="4" t="s">
        <v>2110</v>
      </c>
      <c r="O739" s="6">
        <f t="shared" si="32"/>
        <v>163.41999999999999</v>
      </c>
      <c r="P739" s="4" t="s">
        <v>276</v>
      </c>
      <c r="Q739" s="6">
        <f>1</f>
        <v>1</v>
      </c>
      <c r="R739" s="6">
        <f t="shared" si="33"/>
        <v>39220800</v>
      </c>
      <c r="S739" s="5" t="s">
        <v>2100</v>
      </c>
      <c r="T739" s="4" t="s">
        <v>314</v>
      </c>
      <c r="U739" s="4" t="s">
        <v>314</v>
      </c>
      <c r="W739" s="6">
        <f t="shared" si="34"/>
        <v>39220799</v>
      </c>
      <c r="X739" s="4" t="s">
        <v>243</v>
      </c>
      <c r="Y739" s="4" t="s">
        <v>244</v>
      </c>
      <c r="Z739" s="4" t="s">
        <v>338</v>
      </c>
      <c r="AA739" s="4" t="s">
        <v>241</v>
      </c>
      <c r="AD739" s="4" t="s">
        <v>241</v>
      </c>
      <c r="AF739" s="5" t="s">
        <v>241</v>
      </c>
      <c r="AI739" s="5" t="s">
        <v>249</v>
      </c>
      <c r="AJ739" s="4" t="s">
        <v>251</v>
      </c>
      <c r="AK739" s="4" t="s">
        <v>252</v>
      </c>
      <c r="BA739" s="4" t="s">
        <v>254</v>
      </c>
      <c r="BB739" s="4" t="s">
        <v>241</v>
      </c>
      <c r="BC739" s="4" t="s">
        <v>255</v>
      </c>
      <c r="BD739" s="4" t="s">
        <v>241</v>
      </c>
      <c r="BE739" s="4" t="s">
        <v>257</v>
      </c>
      <c r="BF739" s="4" t="s">
        <v>241</v>
      </c>
      <c r="BJ739" s="4" t="s">
        <v>377</v>
      </c>
      <c r="BK739" s="5" t="s">
        <v>378</v>
      </c>
      <c r="BL739" s="4" t="s">
        <v>261</v>
      </c>
      <c r="BM739" s="4" t="s">
        <v>290</v>
      </c>
      <c r="BN739" s="4" t="s">
        <v>241</v>
      </c>
      <c r="BO739" s="6">
        <f>0</f>
        <v>0</v>
      </c>
      <c r="BP739" s="6">
        <f>0</f>
        <v>0</v>
      </c>
      <c r="BQ739" s="4" t="s">
        <v>263</v>
      </c>
      <c r="BR739" s="4" t="s">
        <v>264</v>
      </c>
      <c r="CF739" s="4" t="s">
        <v>241</v>
      </c>
      <c r="CG739" s="4" t="s">
        <v>241</v>
      </c>
      <c r="CK739" s="4" t="s">
        <v>291</v>
      </c>
      <c r="CL739" s="4" t="s">
        <v>266</v>
      </c>
      <c r="CM739" s="4" t="s">
        <v>241</v>
      </c>
      <c r="CO739" s="4" t="s">
        <v>376</v>
      </c>
      <c r="CP739" s="5" t="s">
        <v>268</v>
      </c>
      <c r="CQ739" s="4" t="s">
        <v>269</v>
      </c>
      <c r="CR739" s="4" t="s">
        <v>270</v>
      </c>
      <c r="CS739" s="4" t="s">
        <v>241</v>
      </c>
      <c r="CT739" s="4" t="s">
        <v>241</v>
      </c>
      <c r="CU739" s="4">
        <v>0</v>
      </c>
      <c r="CV739" s="4" t="s">
        <v>271</v>
      </c>
      <c r="CW739" s="4" t="s">
        <v>411</v>
      </c>
      <c r="CX739" s="4" t="s">
        <v>347</v>
      </c>
      <c r="CZ739" s="6">
        <f t="shared" si="35"/>
        <v>39220800</v>
      </c>
      <c r="DA739" s="6">
        <f>0</f>
        <v>0</v>
      </c>
      <c r="DC739" s="4" t="s">
        <v>241</v>
      </c>
      <c r="DD739" s="4" t="s">
        <v>241</v>
      </c>
      <c r="DF739" s="4" t="s">
        <v>241</v>
      </c>
      <c r="DI739" s="4" t="s">
        <v>241</v>
      </c>
      <c r="DJ739" s="4" t="s">
        <v>241</v>
      </c>
      <c r="DK739" s="4" t="s">
        <v>241</v>
      </c>
      <c r="DL739" s="4" t="s">
        <v>241</v>
      </c>
      <c r="DM739" s="4" t="s">
        <v>323</v>
      </c>
      <c r="DN739" s="4" t="s">
        <v>278</v>
      </c>
      <c r="DO739" s="6">
        <f t="shared" si="36"/>
        <v>163.41999999999999</v>
      </c>
      <c r="DP739" s="4" t="s">
        <v>241</v>
      </c>
      <c r="DQ739" s="4" t="s">
        <v>241</v>
      </c>
      <c r="DR739" s="4" t="s">
        <v>241</v>
      </c>
      <c r="DS739" s="4" t="s">
        <v>241</v>
      </c>
      <c r="DV739" s="4" t="s">
        <v>2103</v>
      </c>
      <c r="DW739" s="4" t="s">
        <v>297</v>
      </c>
      <c r="HO739" s="4" t="s">
        <v>323</v>
      </c>
      <c r="HR739" s="4" t="s">
        <v>278</v>
      </c>
      <c r="HS739" s="4" t="s">
        <v>278</v>
      </c>
    </row>
    <row r="740" spans="1:227" x14ac:dyDescent="0.4">
      <c r="A740" s="4">
        <v>2</v>
      </c>
      <c r="B740" s="4" t="s">
        <v>239</v>
      </c>
      <c r="C740" s="4">
        <v>805</v>
      </c>
      <c r="D740" s="4">
        <v>1</v>
      </c>
      <c r="E740" s="4">
        <v>1</v>
      </c>
      <c r="F740" s="4" t="s">
        <v>240</v>
      </c>
      <c r="G740" s="4" t="s">
        <v>241</v>
      </c>
      <c r="H740" s="4" t="s">
        <v>241</v>
      </c>
      <c r="I740" s="4" t="s">
        <v>2099</v>
      </c>
      <c r="J740" s="4" t="s">
        <v>344</v>
      </c>
      <c r="K740" s="4" t="s">
        <v>256</v>
      </c>
      <c r="L740" s="4" t="s">
        <v>2101</v>
      </c>
      <c r="M740" s="5" t="s">
        <v>2102</v>
      </c>
      <c r="N740" s="4" t="s">
        <v>2122</v>
      </c>
      <c r="O740" s="6">
        <f t="shared" si="32"/>
        <v>163.41999999999999</v>
      </c>
      <c r="P740" s="4" t="s">
        <v>276</v>
      </c>
      <c r="Q740" s="6">
        <f>1</f>
        <v>1</v>
      </c>
      <c r="R740" s="6">
        <f t="shared" si="33"/>
        <v>39220800</v>
      </c>
      <c r="S740" s="5" t="s">
        <v>2100</v>
      </c>
      <c r="T740" s="4" t="s">
        <v>314</v>
      </c>
      <c r="U740" s="4" t="s">
        <v>314</v>
      </c>
      <c r="W740" s="6">
        <f t="shared" si="34"/>
        <v>39220799</v>
      </c>
      <c r="X740" s="4" t="s">
        <v>243</v>
      </c>
      <c r="Y740" s="4" t="s">
        <v>244</v>
      </c>
      <c r="Z740" s="4" t="s">
        <v>338</v>
      </c>
      <c r="AA740" s="4" t="s">
        <v>241</v>
      </c>
      <c r="AD740" s="4" t="s">
        <v>241</v>
      </c>
      <c r="AF740" s="5" t="s">
        <v>241</v>
      </c>
      <c r="AI740" s="5" t="s">
        <v>249</v>
      </c>
      <c r="AJ740" s="4" t="s">
        <v>251</v>
      </c>
      <c r="AK740" s="4" t="s">
        <v>252</v>
      </c>
      <c r="BA740" s="4" t="s">
        <v>254</v>
      </c>
      <c r="BB740" s="4" t="s">
        <v>241</v>
      </c>
      <c r="BC740" s="4" t="s">
        <v>255</v>
      </c>
      <c r="BD740" s="4" t="s">
        <v>241</v>
      </c>
      <c r="BE740" s="4" t="s">
        <v>257</v>
      </c>
      <c r="BF740" s="4" t="s">
        <v>241</v>
      </c>
      <c r="BJ740" s="4" t="s">
        <v>259</v>
      </c>
      <c r="BK740" s="5" t="s">
        <v>260</v>
      </c>
      <c r="BL740" s="4" t="s">
        <v>261</v>
      </c>
      <c r="BM740" s="4" t="s">
        <v>290</v>
      </c>
      <c r="BN740" s="4" t="s">
        <v>241</v>
      </c>
      <c r="BO740" s="6">
        <f>0</f>
        <v>0</v>
      </c>
      <c r="BP740" s="6">
        <f>0</f>
        <v>0</v>
      </c>
      <c r="BQ740" s="4" t="s">
        <v>263</v>
      </c>
      <c r="BR740" s="4" t="s">
        <v>264</v>
      </c>
      <c r="CF740" s="4" t="s">
        <v>241</v>
      </c>
      <c r="CG740" s="4" t="s">
        <v>241</v>
      </c>
      <c r="CK740" s="4" t="s">
        <v>291</v>
      </c>
      <c r="CL740" s="4" t="s">
        <v>266</v>
      </c>
      <c r="CM740" s="4" t="s">
        <v>241</v>
      </c>
      <c r="CO740" s="4" t="s">
        <v>376</v>
      </c>
      <c r="CP740" s="5" t="s">
        <v>268</v>
      </c>
      <c r="CQ740" s="4" t="s">
        <v>269</v>
      </c>
      <c r="CR740" s="4" t="s">
        <v>270</v>
      </c>
      <c r="CS740" s="4" t="s">
        <v>241</v>
      </c>
      <c r="CT740" s="4" t="s">
        <v>241</v>
      </c>
      <c r="CU740" s="4">
        <v>0</v>
      </c>
      <c r="CV740" s="4" t="s">
        <v>271</v>
      </c>
      <c r="CW740" s="4" t="s">
        <v>411</v>
      </c>
      <c r="CX740" s="4" t="s">
        <v>347</v>
      </c>
      <c r="CZ740" s="6">
        <f t="shared" si="35"/>
        <v>39220800</v>
      </c>
      <c r="DA740" s="6">
        <f>0</f>
        <v>0</v>
      </c>
      <c r="DC740" s="4" t="s">
        <v>241</v>
      </c>
      <c r="DD740" s="4" t="s">
        <v>241</v>
      </c>
      <c r="DF740" s="4" t="s">
        <v>241</v>
      </c>
      <c r="DI740" s="4" t="s">
        <v>241</v>
      </c>
      <c r="DJ740" s="4" t="s">
        <v>241</v>
      </c>
      <c r="DK740" s="4" t="s">
        <v>241</v>
      </c>
      <c r="DL740" s="4" t="s">
        <v>241</v>
      </c>
      <c r="DM740" s="4" t="s">
        <v>323</v>
      </c>
      <c r="DN740" s="4" t="s">
        <v>278</v>
      </c>
      <c r="DO740" s="6">
        <f t="shared" si="36"/>
        <v>163.41999999999999</v>
      </c>
      <c r="DP740" s="4" t="s">
        <v>241</v>
      </c>
      <c r="DQ740" s="4" t="s">
        <v>241</v>
      </c>
      <c r="DR740" s="4" t="s">
        <v>241</v>
      </c>
      <c r="DS740" s="4" t="s">
        <v>241</v>
      </c>
      <c r="DV740" s="4" t="s">
        <v>2103</v>
      </c>
      <c r="DW740" s="4" t="s">
        <v>336</v>
      </c>
      <c r="HO740" s="4" t="s">
        <v>323</v>
      </c>
      <c r="HR740" s="4" t="s">
        <v>278</v>
      </c>
      <c r="HS740" s="4" t="s">
        <v>278</v>
      </c>
    </row>
    <row r="741" spans="1:227" x14ac:dyDescent="0.4">
      <c r="A741" s="4">
        <v>2</v>
      </c>
      <c r="B741" s="4" t="s">
        <v>239</v>
      </c>
      <c r="C741" s="4">
        <v>806</v>
      </c>
      <c r="D741" s="4">
        <v>1</v>
      </c>
      <c r="E741" s="4">
        <v>1</v>
      </c>
      <c r="F741" s="4" t="s">
        <v>240</v>
      </c>
      <c r="G741" s="4" t="s">
        <v>241</v>
      </c>
      <c r="H741" s="4" t="s">
        <v>241</v>
      </c>
      <c r="I741" s="4" t="s">
        <v>2099</v>
      </c>
      <c r="J741" s="4" t="s">
        <v>344</v>
      </c>
      <c r="K741" s="4" t="s">
        <v>256</v>
      </c>
      <c r="L741" s="4" t="s">
        <v>2101</v>
      </c>
      <c r="M741" s="5" t="s">
        <v>2102</v>
      </c>
      <c r="N741" s="4" t="s">
        <v>2098</v>
      </c>
      <c r="O741" s="6">
        <f t="shared" si="32"/>
        <v>163.41999999999999</v>
      </c>
      <c r="P741" s="4" t="s">
        <v>276</v>
      </c>
      <c r="Q741" s="6">
        <f>1</f>
        <v>1</v>
      </c>
      <c r="R741" s="6">
        <f t="shared" si="33"/>
        <v>39220800</v>
      </c>
      <c r="S741" s="5" t="s">
        <v>2100</v>
      </c>
      <c r="T741" s="4" t="s">
        <v>314</v>
      </c>
      <c r="U741" s="4" t="s">
        <v>314</v>
      </c>
      <c r="W741" s="6">
        <f t="shared" si="34"/>
        <v>39220799</v>
      </c>
      <c r="X741" s="4" t="s">
        <v>243</v>
      </c>
      <c r="Y741" s="4" t="s">
        <v>244</v>
      </c>
      <c r="Z741" s="4" t="s">
        <v>338</v>
      </c>
      <c r="AA741" s="4" t="s">
        <v>241</v>
      </c>
      <c r="AD741" s="4" t="s">
        <v>241</v>
      </c>
      <c r="AF741" s="5" t="s">
        <v>241</v>
      </c>
      <c r="AI741" s="5" t="s">
        <v>249</v>
      </c>
      <c r="AJ741" s="4" t="s">
        <v>251</v>
      </c>
      <c r="AK741" s="4" t="s">
        <v>252</v>
      </c>
      <c r="BA741" s="4" t="s">
        <v>254</v>
      </c>
      <c r="BB741" s="4" t="s">
        <v>241</v>
      </c>
      <c r="BC741" s="4" t="s">
        <v>255</v>
      </c>
      <c r="BD741" s="4" t="s">
        <v>241</v>
      </c>
      <c r="BE741" s="4" t="s">
        <v>257</v>
      </c>
      <c r="BF741" s="4" t="s">
        <v>241</v>
      </c>
      <c r="BJ741" s="4" t="s">
        <v>367</v>
      </c>
      <c r="BK741" s="5" t="s">
        <v>249</v>
      </c>
      <c r="BL741" s="4" t="s">
        <v>261</v>
      </c>
      <c r="BM741" s="4" t="s">
        <v>290</v>
      </c>
      <c r="BN741" s="4" t="s">
        <v>241</v>
      </c>
      <c r="BO741" s="6">
        <f>0</f>
        <v>0</v>
      </c>
      <c r="BP741" s="6">
        <f>0</f>
        <v>0</v>
      </c>
      <c r="BQ741" s="4" t="s">
        <v>263</v>
      </c>
      <c r="BR741" s="4" t="s">
        <v>264</v>
      </c>
      <c r="CF741" s="4" t="s">
        <v>241</v>
      </c>
      <c r="CG741" s="4" t="s">
        <v>241</v>
      </c>
      <c r="CK741" s="4" t="s">
        <v>291</v>
      </c>
      <c r="CL741" s="4" t="s">
        <v>266</v>
      </c>
      <c r="CM741" s="4" t="s">
        <v>241</v>
      </c>
      <c r="CO741" s="4" t="s">
        <v>376</v>
      </c>
      <c r="CP741" s="5" t="s">
        <v>268</v>
      </c>
      <c r="CQ741" s="4" t="s">
        <v>269</v>
      </c>
      <c r="CR741" s="4" t="s">
        <v>270</v>
      </c>
      <c r="CS741" s="4" t="s">
        <v>241</v>
      </c>
      <c r="CT741" s="4" t="s">
        <v>241</v>
      </c>
      <c r="CU741" s="4">
        <v>0</v>
      </c>
      <c r="CV741" s="4" t="s">
        <v>271</v>
      </c>
      <c r="CW741" s="4" t="s">
        <v>411</v>
      </c>
      <c r="CX741" s="4" t="s">
        <v>347</v>
      </c>
      <c r="CZ741" s="6">
        <f t="shared" si="35"/>
        <v>39220800</v>
      </c>
      <c r="DA741" s="6">
        <f>0</f>
        <v>0</v>
      </c>
      <c r="DC741" s="4" t="s">
        <v>241</v>
      </c>
      <c r="DD741" s="4" t="s">
        <v>241</v>
      </c>
      <c r="DF741" s="4" t="s">
        <v>241</v>
      </c>
      <c r="DI741" s="4" t="s">
        <v>241</v>
      </c>
      <c r="DJ741" s="4" t="s">
        <v>241</v>
      </c>
      <c r="DK741" s="4" t="s">
        <v>241</v>
      </c>
      <c r="DL741" s="4" t="s">
        <v>241</v>
      </c>
      <c r="DM741" s="4" t="s">
        <v>323</v>
      </c>
      <c r="DN741" s="4" t="s">
        <v>278</v>
      </c>
      <c r="DO741" s="6">
        <f t="shared" si="36"/>
        <v>163.41999999999999</v>
      </c>
      <c r="DP741" s="4" t="s">
        <v>241</v>
      </c>
      <c r="DQ741" s="4" t="s">
        <v>241</v>
      </c>
      <c r="DR741" s="4" t="s">
        <v>241</v>
      </c>
      <c r="DS741" s="4" t="s">
        <v>241</v>
      </c>
      <c r="DV741" s="4" t="s">
        <v>2103</v>
      </c>
      <c r="DW741" s="4" t="s">
        <v>351</v>
      </c>
      <c r="HO741" s="4" t="s">
        <v>323</v>
      </c>
      <c r="HR741" s="4" t="s">
        <v>278</v>
      </c>
      <c r="HS741" s="4" t="s">
        <v>278</v>
      </c>
    </row>
    <row r="742" spans="1:227" x14ac:dyDescent="0.4">
      <c r="A742" s="4">
        <v>2</v>
      </c>
      <c r="B742" s="4" t="s">
        <v>239</v>
      </c>
      <c r="C742" s="4">
        <v>807</v>
      </c>
      <c r="D742" s="4">
        <v>1</v>
      </c>
      <c r="E742" s="4">
        <v>1</v>
      </c>
      <c r="F742" s="4" t="s">
        <v>240</v>
      </c>
      <c r="G742" s="4" t="s">
        <v>241</v>
      </c>
      <c r="H742" s="4" t="s">
        <v>241</v>
      </c>
      <c r="I742" s="4" t="s">
        <v>2099</v>
      </c>
      <c r="J742" s="4" t="s">
        <v>344</v>
      </c>
      <c r="K742" s="4" t="s">
        <v>256</v>
      </c>
      <c r="L742" s="4" t="s">
        <v>2101</v>
      </c>
      <c r="M742" s="5" t="s">
        <v>2102</v>
      </c>
      <c r="N742" s="4" t="s">
        <v>2191</v>
      </c>
      <c r="O742" s="6">
        <f t="shared" si="32"/>
        <v>163.41999999999999</v>
      </c>
      <c r="P742" s="4" t="s">
        <v>276</v>
      </c>
      <c r="Q742" s="6">
        <f>1</f>
        <v>1</v>
      </c>
      <c r="R742" s="6">
        <f t="shared" si="33"/>
        <v>39220800</v>
      </c>
      <c r="S742" s="5" t="s">
        <v>2100</v>
      </c>
      <c r="T742" s="4" t="s">
        <v>314</v>
      </c>
      <c r="U742" s="4" t="s">
        <v>314</v>
      </c>
      <c r="W742" s="6">
        <f t="shared" si="34"/>
        <v>39220799</v>
      </c>
      <c r="X742" s="4" t="s">
        <v>243</v>
      </c>
      <c r="Y742" s="4" t="s">
        <v>244</v>
      </c>
      <c r="Z742" s="4" t="s">
        <v>338</v>
      </c>
      <c r="AA742" s="4" t="s">
        <v>241</v>
      </c>
      <c r="AD742" s="4" t="s">
        <v>241</v>
      </c>
      <c r="AF742" s="5" t="s">
        <v>241</v>
      </c>
      <c r="AI742" s="5" t="s">
        <v>249</v>
      </c>
      <c r="AJ742" s="4" t="s">
        <v>251</v>
      </c>
      <c r="AK742" s="4" t="s">
        <v>252</v>
      </c>
      <c r="BA742" s="4" t="s">
        <v>254</v>
      </c>
      <c r="BB742" s="4" t="s">
        <v>241</v>
      </c>
      <c r="BC742" s="4" t="s">
        <v>255</v>
      </c>
      <c r="BD742" s="4" t="s">
        <v>241</v>
      </c>
      <c r="BE742" s="4" t="s">
        <v>257</v>
      </c>
      <c r="BF742" s="4" t="s">
        <v>241</v>
      </c>
      <c r="BJ742" s="4" t="s">
        <v>367</v>
      </c>
      <c r="BK742" s="5" t="s">
        <v>249</v>
      </c>
      <c r="BL742" s="4" t="s">
        <v>261</v>
      </c>
      <c r="BM742" s="4" t="s">
        <v>290</v>
      </c>
      <c r="BN742" s="4" t="s">
        <v>241</v>
      </c>
      <c r="BO742" s="6">
        <f>0</f>
        <v>0</v>
      </c>
      <c r="BP742" s="6">
        <f>0</f>
        <v>0</v>
      </c>
      <c r="BQ742" s="4" t="s">
        <v>263</v>
      </c>
      <c r="BR742" s="4" t="s">
        <v>264</v>
      </c>
      <c r="CF742" s="4" t="s">
        <v>241</v>
      </c>
      <c r="CG742" s="4" t="s">
        <v>241</v>
      </c>
      <c r="CK742" s="4" t="s">
        <v>291</v>
      </c>
      <c r="CL742" s="4" t="s">
        <v>266</v>
      </c>
      <c r="CM742" s="4" t="s">
        <v>241</v>
      </c>
      <c r="CO742" s="4" t="s">
        <v>376</v>
      </c>
      <c r="CP742" s="5" t="s">
        <v>268</v>
      </c>
      <c r="CQ742" s="4" t="s">
        <v>269</v>
      </c>
      <c r="CR742" s="4" t="s">
        <v>270</v>
      </c>
      <c r="CS742" s="4" t="s">
        <v>241</v>
      </c>
      <c r="CT742" s="4" t="s">
        <v>241</v>
      </c>
      <c r="CU742" s="4">
        <v>0</v>
      </c>
      <c r="CV742" s="4" t="s">
        <v>271</v>
      </c>
      <c r="CW742" s="4" t="s">
        <v>411</v>
      </c>
      <c r="CX742" s="4" t="s">
        <v>347</v>
      </c>
      <c r="CZ742" s="6">
        <f t="shared" si="35"/>
        <v>39220800</v>
      </c>
      <c r="DA742" s="6">
        <f>0</f>
        <v>0</v>
      </c>
      <c r="DC742" s="4" t="s">
        <v>241</v>
      </c>
      <c r="DD742" s="4" t="s">
        <v>241</v>
      </c>
      <c r="DF742" s="4" t="s">
        <v>241</v>
      </c>
      <c r="DI742" s="4" t="s">
        <v>241</v>
      </c>
      <c r="DJ742" s="4" t="s">
        <v>241</v>
      </c>
      <c r="DK742" s="4" t="s">
        <v>241</v>
      </c>
      <c r="DL742" s="4" t="s">
        <v>241</v>
      </c>
      <c r="DM742" s="4" t="s">
        <v>323</v>
      </c>
      <c r="DN742" s="4" t="s">
        <v>278</v>
      </c>
      <c r="DO742" s="6">
        <f t="shared" si="36"/>
        <v>163.41999999999999</v>
      </c>
      <c r="DP742" s="4" t="s">
        <v>241</v>
      </c>
      <c r="DQ742" s="4" t="s">
        <v>241</v>
      </c>
      <c r="DR742" s="4" t="s">
        <v>241</v>
      </c>
      <c r="DS742" s="4" t="s">
        <v>241</v>
      </c>
      <c r="DV742" s="4" t="s">
        <v>2103</v>
      </c>
      <c r="DW742" s="4" t="s">
        <v>300</v>
      </c>
      <c r="HO742" s="4" t="s">
        <v>323</v>
      </c>
      <c r="HR742" s="4" t="s">
        <v>278</v>
      </c>
      <c r="HS742" s="4" t="s">
        <v>278</v>
      </c>
    </row>
    <row r="743" spans="1:227" x14ac:dyDescent="0.4">
      <c r="A743" s="4">
        <v>2</v>
      </c>
      <c r="B743" s="4" t="s">
        <v>239</v>
      </c>
      <c r="C743" s="4">
        <v>808</v>
      </c>
      <c r="D743" s="4">
        <v>1</v>
      </c>
      <c r="E743" s="4">
        <v>1</v>
      </c>
      <c r="F743" s="4" t="s">
        <v>240</v>
      </c>
      <c r="G743" s="4" t="s">
        <v>241</v>
      </c>
      <c r="H743" s="4" t="s">
        <v>241</v>
      </c>
      <c r="I743" s="4" t="s">
        <v>2099</v>
      </c>
      <c r="J743" s="4" t="s">
        <v>344</v>
      </c>
      <c r="K743" s="4" t="s">
        <v>256</v>
      </c>
      <c r="L743" s="4" t="s">
        <v>2101</v>
      </c>
      <c r="M743" s="5" t="s">
        <v>2102</v>
      </c>
      <c r="N743" s="4" t="s">
        <v>2192</v>
      </c>
      <c r="O743" s="6">
        <f>163.88</f>
        <v>163.88</v>
      </c>
      <c r="P743" s="4" t="s">
        <v>276</v>
      </c>
      <c r="Q743" s="6">
        <f>1</f>
        <v>1</v>
      </c>
      <c r="R743" s="6">
        <f>39331200</f>
        <v>39331200</v>
      </c>
      <c r="S743" s="5" t="s">
        <v>2100</v>
      </c>
      <c r="T743" s="4" t="s">
        <v>314</v>
      </c>
      <c r="U743" s="4" t="s">
        <v>314</v>
      </c>
      <c r="W743" s="6">
        <f>39331199</f>
        <v>39331199</v>
      </c>
      <c r="X743" s="4" t="s">
        <v>243</v>
      </c>
      <c r="Y743" s="4" t="s">
        <v>244</v>
      </c>
      <c r="Z743" s="4" t="s">
        <v>338</v>
      </c>
      <c r="AA743" s="4" t="s">
        <v>241</v>
      </c>
      <c r="AD743" s="4" t="s">
        <v>241</v>
      </c>
      <c r="AF743" s="5" t="s">
        <v>241</v>
      </c>
      <c r="AI743" s="5" t="s">
        <v>249</v>
      </c>
      <c r="AJ743" s="4" t="s">
        <v>251</v>
      </c>
      <c r="AK743" s="4" t="s">
        <v>252</v>
      </c>
      <c r="BA743" s="4" t="s">
        <v>254</v>
      </c>
      <c r="BB743" s="4" t="s">
        <v>241</v>
      </c>
      <c r="BC743" s="4" t="s">
        <v>255</v>
      </c>
      <c r="BD743" s="4" t="s">
        <v>241</v>
      </c>
      <c r="BE743" s="4" t="s">
        <v>257</v>
      </c>
      <c r="BF743" s="4" t="s">
        <v>241</v>
      </c>
      <c r="BJ743" s="4" t="s">
        <v>374</v>
      </c>
      <c r="BK743" s="5" t="s">
        <v>375</v>
      </c>
      <c r="BL743" s="4" t="s">
        <v>261</v>
      </c>
      <c r="BM743" s="4" t="s">
        <v>290</v>
      </c>
      <c r="BN743" s="4" t="s">
        <v>241</v>
      </c>
      <c r="BO743" s="6">
        <f>0</f>
        <v>0</v>
      </c>
      <c r="BP743" s="6">
        <f>0</f>
        <v>0</v>
      </c>
      <c r="BQ743" s="4" t="s">
        <v>263</v>
      </c>
      <c r="BR743" s="4" t="s">
        <v>264</v>
      </c>
      <c r="CF743" s="4" t="s">
        <v>241</v>
      </c>
      <c r="CG743" s="4" t="s">
        <v>241</v>
      </c>
      <c r="CK743" s="4" t="s">
        <v>291</v>
      </c>
      <c r="CL743" s="4" t="s">
        <v>266</v>
      </c>
      <c r="CM743" s="4" t="s">
        <v>241</v>
      </c>
      <c r="CO743" s="4" t="s">
        <v>376</v>
      </c>
      <c r="CP743" s="5" t="s">
        <v>268</v>
      </c>
      <c r="CQ743" s="4" t="s">
        <v>269</v>
      </c>
      <c r="CR743" s="4" t="s">
        <v>270</v>
      </c>
      <c r="CS743" s="4" t="s">
        <v>241</v>
      </c>
      <c r="CT743" s="4" t="s">
        <v>241</v>
      </c>
      <c r="CU743" s="4">
        <v>0</v>
      </c>
      <c r="CV743" s="4" t="s">
        <v>271</v>
      </c>
      <c r="CW743" s="4" t="s">
        <v>411</v>
      </c>
      <c r="CX743" s="4" t="s">
        <v>347</v>
      </c>
      <c r="CZ743" s="6">
        <f>39331200</f>
        <v>39331200</v>
      </c>
      <c r="DA743" s="6">
        <f>0</f>
        <v>0</v>
      </c>
      <c r="DC743" s="4" t="s">
        <v>241</v>
      </c>
      <c r="DD743" s="4" t="s">
        <v>241</v>
      </c>
      <c r="DF743" s="4" t="s">
        <v>241</v>
      </c>
      <c r="DI743" s="4" t="s">
        <v>241</v>
      </c>
      <c r="DJ743" s="4" t="s">
        <v>241</v>
      </c>
      <c r="DK743" s="4" t="s">
        <v>241</v>
      </c>
      <c r="DL743" s="4" t="s">
        <v>241</v>
      </c>
      <c r="DM743" s="4" t="s">
        <v>323</v>
      </c>
      <c r="DN743" s="4" t="s">
        <v>278</v>
      </c>
      <c r="DO743" s="6">
        <f>163.88</f>
        <v>163.88</v>
      </c>
      <c r="DP743" s="4" t="s">
        <v>241</v>
      </c>
      <c r="DQ743" s="4" t="s">
        <v>241</v>
      </c>
      <c r="DR743" s="4" t="s">
        <v>241</v>
      </c>
      <c r="DS743" s="4" t="s">
        <v>241</v>
      </c>
      <c r="DV743" s="4" t="s">
        <v>2103</v>
      </c>
      <c r="DW743" s="4" t="s">
        <v>341</v>
      </c>
      <c r="HO743" s="4" t="s">
        <v>323</v>
      </c>
      <c r="HR743" s="4" t="s">
        <v>278</v>
      </c>
      <c r="HS743" s="4" t="s">
        <v>278</v>
      </c>
    </row>
    <row r="744" spans="1:227" x14ac:dyDescent="0.4">
      <c r="A744" s="4">
        <v>2</v>
      </c>
      <c r="B744" s="4" t="s">
        <v>239</v>
      </c>
      <c r="C744" s="4">
        <v>809</v>
      </c>
      <c r="D744" s="4">
        <v>1</v>
      </c>
      <c r="E744" s="4">
        <v>1</v>
      </c>
      <c r="F744" s="4" t="s">
        <v>240</v>
      </c>
      <c r="G744" s="4" t="s">
        <v>241</v>
      </c>
      <c r="H744" s="4" t="s">
        <v>241</v>
      </c>
      <c r="I744" s="4" t="s">
        <v>2099</v>
      </c>
      <c r="J744" s="4" t="s">
        <v>344</v>
      </c>
      <c r="K744" s="4" t="s">
        <v>256</v>
      </c>
      <c r="L744" s="4" t="s">
        <v>2101</v>
      </c>
      <c r="M744" s="5" t="s">
        <v>2102</v>
      </c>
      <c r="N744" s="4" t="s">
        <v>2173</v>
      </c>
      <c r="O744" s="6">
        <f>163.88</f>
        <v>163.88</v>
      </c>
      <c r="P744" s="4" t="s">
        <v>276</v>
      </c>
      <c r="Q744" s="6">
        <f>1</f>
        <v>1</v>
      </c>
      <c r="R744" s="6">
        <f>39331200</f>
        <v>39331200</v>
      </c>
      <c r="S744" s="5" t="s">
        <v>2100</v>
      </c>
      <c r="T744" s="4" t="s">
        <v>314</v>
      </c>
      <c r="U744" s="4" t="s">
        <v>314</v>
      </c>
      <c r="W744" s="6">
        <f>39331199</f>
        <v>39331199</v>
      </c>
      <c r="X744" s="4" t="s">
        <v>243</v>
      </c>
      <c r="Y744" s="4" t="s">
        <v>244</v>
      </c>
      <c r="Z744" s="4" t="s">
        <v>338</v>
      </c>
      <c r="AA744" s="4" t="s">
        <v>241</v>
      </c>
      <c r="AD744" s="4" t="s">
        <v>241</v>
      </c>
      <c r="AF744" s="5" t="s">
        <v>241</v>
      </c>
      <c r="AI744" s="5" t="s">
        <v>249</v>
      </c>
      <c r="AJ744" s="4" t="s">
        <v>251</v>
      </c>
      <c r="AK744" s="4" t="s">
        <v>252</v>
      </c>
      <c r="BA744" s="4" t="s">
        <v>254</v>
      </c>
      <c r="BB744" s="4" t="s">
        <v>241</v>
      </c>
      <c r="BC744" s="4" t="s">
        <v>255</v>
      </c>
      <c r="BD744" s="4" t="s">
        <v>241</v>
      </c>
      <c r="BE744" s="4" t="s">
        <v>257</v>
      </c>
      <c r="BF744" s="4" t="s">
        <v>241</v>
      </c>
      <c r="BJ744" s="4" t="s">
        <v>377</v>
      </c>
      <c r="BK744" s="5" t="s">
        <v>378</v>
      </c>
      <c r="BL744" s="4" t="s">
        <v>261</v>
      </c>
      <c r="BM744" s="4" t="s">
        <v>290</v>
      </c>
      <c r="BN744" s="4" t="s">
        <v>241</v>
      </c>
      <c r="BO744" s="6">
        <f>0</f>
        <v>0</v>
      </c>
      <c r="BP744" s="6">
        <f>0</f>
        <v>0</v>
      </c>
      <c r="BQ744" s="4" t="s">
        <v>263</v>
      </c>
      <c r="BR744" s="4" t="s">
        <v>264</v>
      </c>
      <c r="CF744" s="4" t="s">
        <v>241</v>
      </c>
      <c r="CG744" s="4" t="s">
        <v>241</v>
      </c>
      <c r="CK744" s="4" t="s">
        <v>291</v>
      </c>
      <c r="CL744" s="4" t="s">
        <v>266</v>
      </c>
      <c r="CM744" s="4" t="s">
        <v>241</v>
      </c>
      <c r="CO744" s="4" t="s">
        <v>376</v>
      </c>
      <c r="CP744" s="5" t="s">
        <v>268</v>
      </c>
      <c r="CQ744" s="4" t="s">
        <v>269</v>
      </c>
      <c r="CR744" s="4" t="s">
        <v>270</v>
      </c>
      <c r="CS744" s="4" t="s">
        <v>241</v>
      </c>
      <c r="CT744" s="4" t="s">
        <v>241</v>
      </c>
      <c r="CU744" s="4">
        <v>0</v>
      </c>
      <c r="CV744" s="4" t="s">
        <v>271</v>
      </c>
      <c r="CW744" s="4" t="s">
        <v>411</v>
      </c>
      <c r="CX744" s="4" t="s">
        <v>347</v>
      </c>
      <c r="CZ744" s="6">
        <f>39331200</f>
        <v>39331200</v>
      </c>
      <c r="DA744" s="6">
        <f>0</f>
        <v>0</v>
      </c>
      <c r="DC744" s="4" t="s">
        <v>241</v>
      </c>
      <c r="DD744" s="4" t="s">
        <v>241</v>
      </c>
      <c r="DF744" s="4" t="s">
        <v>241</v>
      </c>
      <c r="DI744" s="4" t="s">
        <v>241</v>
      </c>
      <c r="DJ744" s="4" t="s">
        <v>241</v>
      </c>
      <c r="DK744" s="4" t="s">
        <v>241</v>
      </c>
      <c r="DL744" s="4" t="s">
        <v>241</v>
      </c>
      <c r="DM744" s="4" t="s">
        <v>323</v>
      </c>
      <c r="DN744" s="4" t="s">
        <v>278</v>
      </c>
      <c r="DO744" s="6">
        <f>163.88</f>
        <v>163.88</v>
      </c>
      <c r="DP744" s="4" t="s">
        <v>241</v>
      </c>
      <c r="DQ744" s="4" t="s">
        <v>241</v>
      </c>
      <c r="DR744" s="4" t="s">
        <v>241</v>
      </c>
      <c r="DS744" s="4" t="s">
        <v>241</v>
      </c>
      <c r="DV744" s="4" t="s">
        <v>2103</v>
      </c>
      <c r="DW744" s="4" t="s">
        <v>343</v>
      </c>
      <c r="HO744" s="4" t="s">
        <v>323</v>
      </c>
      <c r="HR744" s="4" t="s">
        <v>278</v>
      </c>
      <c r="HS744" s="4" t="s">
        <v>278</v>
      </c>
    </row>
    <row r="745" spans="1:227" x14ac:dyDescent="0.4">
      <c r="A745" s="4">
        <v>2</v>
      </c>
      <c r="B745" s="4" t="s">
        <v>239</v>
      </c>
      <c r="C745" s="4">
        <v>810</v>
      </c>
      <c r="D745" s="4">
        <v>1</v>
      </c>
      <c r="E745" s="4">
        <v>1</v>
      </c>
      <c r="F745" s="4" t="s">
        <v>240</v>
      </c>
      <c r="G745" s="4" t="s">
        <v>241</v>
      </c>
      <c r="H745" s="4" t="s">
        <v>241</v>
      </c>
      <c r="I745" s="4" t="s">
        <v>2099</v>
      </c>
      <c r="J745" s="4" t="s">
        <v>344</v>
      </c>
      <c r="K745" s="4" t="s">
        <v>256</v>
      </c>
      <c r="L745" s="4" t="s">
        <v>2101</v>
      </c>
      <c r="M745" s="5" t="s">
        <v>2102</v>
      </c>
      <c r="N745" s="4" t="s">
        <v>2174</v>
      </c>
      <c r="O745" s="6">
        <f>163.88</f>
        <v>163.88</v>
      </c>
      <c r="P745" s="4" t="s">
        <v>276</v>
      </c>
      <c r="Q745" s="6">
        <f>1</f>
        <v>1</v>
      </c>
      <c r="R745" s="6">
        <f>39331200</f>
        <v>39331200</v>
      </c>
      <c r="S745" s="5" t="s">
        <v>2100</v>
      </c>
      <c r="T745" s="4" t="s">
        <v>314</v>
      </c>
      <c r="U745" s="4" t="s">
        <v>314</v>
      </c>
      <c r="W745" s="6">
        <f>39331199</f>
        <v>39331199</v>
      </c>
      <c r="X745" s="4" t="s">
        <v>243</v>
      </c>
      <c r="Y745" s="4" t="s">
        <v>244</v>
      </c>
      <c r="Z745" s="4" t="s">
        <v>338</v>
      </c>
      <c r="AA745" s="4" t="s">
        <v>241</v>
      </c>
      <c r="AD745" s="4" t="s">
        <v>241</v>
      </c>
      <c r="AF745" s="5" t="s">
        <v>241</v>
      </c>
      <c r="AI745" s="5" t="s">
        <v>249</v>
      </c>
      <c r="AJ745" s="4" t="s">
        <v>251</v>
      </c>
      <c r="AK745" s="4" t="s">
        <v>252</v>
      </c>
      <c r="BA745" s="4" t="s">
        <v>254</v>
      </c>
      <c r="BB745" s="4" t="s">
        <v>241</v>
      </c>
      <c r="BC745" s="4" t="s">
        <v>255</v>
      </c>
      <c r="BD745" s="4" t="s">
        <v>241</v>
      </c>
      <c r="BE745" s="4" t="s">
        <v>257</v>
      </c>
      <c r="BF745" s="4" t="s">
        <v>241</v>
      </c>
      <c r="BJ745" s="4" t="s">
        <v>259</v>
      </c>
      <c r="BK745" s="5" t="s">
        <v>260</v>
      </c>
      <c r="BL745" s="4" t="s">
        <v>261</v>
      </c>
      <c r="BM745" s="4" t="s">
        <v>290</v>
      </c>
      <c r="BN745" s="4" t="s">
        <v>241</v>
      </c>
      <c r="BO745" s="6">
        <f>0</f>
        <v>0</v>
      </c>
      <c r="BP745" s="6">
        <f>0</f>
        <v>0</v>
      </c>
      <c r="BQ745" s="4" t="s">
        <v>263</v>
      </c>
      <c r="BR745" s="4" t="s">
        <v>264</v>
      </c>
      <c r="CF745" s="4" t="s">
        <v>241</v>
      </c>
      <c r="CG745" s="4" t="s">
        <v>241</v>
      </c>
      <c r="CK745" s="4" t="s">
        <v>291</v>
      </c>
      <c r="CL745" s="4" t="s">
        <v>266</v>
      </c>
      <c r="CM745" s="4" t="s">
        <v>241</v>
      </c>
      <c r="CO745" s="4" t="s">
        <v>376</v>
      </c>
      <c r="CP745" s="5" t="s">
        <v>268</v>
      </c>
      <c r="CQ745" s="4" t="s">
        <v>269</v>
      </c>
      <c r="CR745" s="4" t="s">
        <v>270</v>
      </c>
      <c r="CS745" s="4" t="s">
        <v>241</v>
      </c>
      <c r="CT745" s="4" t="s">
        <v>241</v>
      </c>
      <c r="CU745" s="4">
        <v>0</v>
      </c>
      <c r="CV745" s="4" t="s">
        <v>271</v>
      </c>
      <c r="CW745" s="4" t="s">
        <v>411</v>
      </c>
      <c r="CX745" s="4" t="s">
        <v>347</v>
      </c>
      <c r="CZ745" s="6">
        <f>39331200</f>
        <v>39331200</v>
      </c>
      <c r="DA745" s="6">
        <f>0</f>
        <v>0</v>
      </c>
      <c r="DC745" s="4" t="s">
        <v>241</v>
      </c>
      <c r="DD745" s="4" t="s">
        <v>241</v>
      </c>
      <c r="DF745" s="4" t="s">
        <v>241</v>
      </c>
      <c r="DI745" s="4" t="s">
        <v>241</v>
      </c>
      <c r="DJ745" s="4" t="s">
        <v>241</v>
      </c>
      <c r="DK745" s="4" t="s">
        <v>241</v>
      </c>
      <c r="DL745" s="4" t="s">
        <v>241</v>
      </c>
      <c r="DM745" s="4" t="s">
        <v>323</v>
      </c>
      <c r="DN745" s="4" t="s">
        <v>278</v>
      </c>
      <c r="DO745" s="6">
        <f>163.88</f>
        <v>163.88</v>
      </c>
      <c r="DP745" s="4" t="s">
        <v>241</v>
      </c>
      <c r="DQ745" s="4" t="s">
        <v>241</v>
      </c>
      <c r="DR745" s="4" t="s">
        <v>241</v>
      </c>
      <c r="DS745" s="4" t="s">
        <v>241</v>
      </c>
      <c r="DV745" s="4" t="s">
        <v>2103</v>
      </c>
      <c r="DW745" s="4" t="s">
        <v>417</v>
      </c>
      <c r="HO745" s="4" t="s">
        <v>323</v>
      </c>
      <c r="HR745" s="4" t="s">
        <v>278</v>
      </c>
      <c r="HS745" s="4" t="s">
        <v>278</v>
      </c>
    </row>
    <row r="746" spans="1:227" x14ac:dyDescent="0.4">
      <c r="A746" s="4">
        <v>2</v>
      </c>
      <c r="B746" s="4" t="s">
        <v>239</v>
      </c>
      <c r="C746" s="4">
        <v>811</v>
      </c>
      <c r="D746" s="4">
        <v>1</v>
      </c>
      <c r="E746" s="4">
        <v>1</v>
      </c>
      <c r="F746" s="4" t="s">
        <v>240</v>
      </c>
      <c r="G746" s="4" t="s">
        <v>241</v>
      </c>
      <c r="H746" s="4" t="s">
        <v>241</v>
      </c>
      <c r="I746" s="4" t="s">
        <v>2099</v>
      </c>
      <c r="J746" s="4" t="s">
        <v>344</v>
      </c>
      <c r="K746" s="4" t="s">
        <v>256</v>
      </c>
      <c r="L746" s="4" t="s">
        <v>2101</v>
      </c>
      <c r="M746" s="5" t="s">
        <v>2102</v>
      </c>
      <c r="N746" s="4" t="s">
        <v>2154</v>
      </c>
      <c r="O746" s="6">
        <f>163.88</f>
        <v>163.88</v>
      </c>
      <c r="P746" s="4" t="s">
        <v>276</v>
      </c>
      <c r="Q746" s="6">
        <f>1</f>
        <v>1</v>
      </c>
      <c r="R746" s="6">
        <f>39331200</f>
        <v>39331200</v>
      </c>
      <c r="S746" s="5" t="s">
        <v>2100</v>
      </c>
      <c r="T746" s="4" t="s">
        <v>314</v>
      </c>
      <c r="U746" s="4" t="s">
        <v>314</v>
      </c>
      <c r="W746" s="6">
        <f>39331199</f>
        <v>39331199</v>
      </c>
      <c r="X746" s="4" t="s">
        <v>243</v>
      </c>
      <c r="Y746" s="4" t="s">
        <v>244</v>
      </c>
      <c r="Z746" s="4" t="s">
        <v>338</v>
      </c>
      <c r="AA746" s="4" t="s">
        <v>241</v>
      </c>
      <c r="AD746" s="4" t="s">
        <v>241</v>
      </c>
      <c r="AF746" s="5" t="s">
        <v>241</v>
      </c>
      <c r="AI746" s="5" t="s">
        <v>249</v>
      </c>
      <c r="AJ746" s="4" t="s">
        <v>251</v>
      </c>
      <c r="AK746" s="4" t="s">
        <v>252</v>
      </c>
      <c r="BA746" s="4" t="s">
        <v>254</v>
      </c>
      <c r="BB746" s="4" t="s">
        <v>241</v>
      </c>
      <c r="BC746" s="4" t="s">
        <v>255</v>
      </c>
      <c r="BD746" s="4" t="s">
        <v>241</v>
      </c>
      <c r="BE746" s="4" t="s">
        <v>257</v>
      </c>
      <c r="BF746" s="4" t="s">
        <v>241</v>
      </c>
      <c r="BJ746" s="4" t="s">
        <v>367</v>
      </c>
      <c r="BK746" s="5" t="s">
        <v>249</v>
      </c>
      <c r="BL746" s="4" t="s">
        <v>261</v>
      </c>
      <c r="BM746" s="4" t="s">
        <v>290</v>
      </c>
      <c r="BN746" s="4" t="s">
        <v>241</v>
      </c>
      <c r="BO746" s="6">
        <f>0</f>
        <v>0</v>
      </c>
      <c r="BP746" s="6">
        <f>0</f>
        <v>0</v>
      </c>
      <c r="BQ746" s="4" t="s">
        <v>263</v>
      </c>
      <c r="BR746" s="4" t="s">
        <v>264</v>
      </c>
      <c r="CF746" s="4" t="s">
        <v>241</v>
      </c>
      <c r="CG746" s="4" t="s">
        <v>241</v>
      </c>
      <c r="CK746" s="4" t="s">
        <v>291</v>
      </c>
      <c r="CL746" s="4" t="s">
        <v>266</v>
      </c>
      <c r="CM746" s="4" t="s">
        <v>241</v>
      </c>
      <c r="CO746" s="4" t="s">
        <v>376</v>
      </c>
      <c r="CP746" s="5" t="s">
        <v>268</v>
      </c>
      <c r="CQ746" s="4" t="s">
        <v>269</v>
      </c>
      <c r="CR746" s="4" t="s">
        <v>270</v>
      </c>
      <c r="CS746" s="4" t="s">
        <v>241</v>
      </c>
      <c r="CT746" s="4" t="s">
        <v>241</v>
      </c>
      <c r="CU746" s="4">
        <v>0</v>
      </c>
      <c r="CV746" s="4" t="s">
        <v>271</v>
      </c>
      <c r="CW746" s="4" t="s">
        <v>411</v>
      </c>
      <c r="CX746" s="4" t="s">
        <v>347</v>
      </c>
      <c r="CZ746" s="6">
        <f>39331200</f>
        <v>39331200</v>
      </c>
      <c r="DA746" s="6">
        <f>0</f>
        <v>0</v>
      </c>
      <c r="DC746" s="4" t="s">
        <v>241</v>
      </c>
      <c r="DD746" s="4" t="s">
        <v>241</v>
      </c>
      <c r="DF746" s="4" t="s">
        <v>241</v>
      </c>
      <c r="DI746" s="4" t="s">
        <v>241</v>
      </c>
      <c r="DJ746" s="4" t="s">
        <v>241</v>
      </c>
      <c r="DK746" s="4" t="s">
        <v>241</v>
      </c>
      <c r="DL746" s="4" t="s">
        <v>241</v>
      </c>
      <c r="DM746" s="4" t="s">
        <v>323</v>
      </c>
      <c r="DN746" s="4" t="s">
        <v>278</v>
      </c>
      <c r="DO746" s="6">
        <f>163.88</f>
        <v>163.88</v>
      </c>
      <c r="DP746" s="4" t="s">
        <v>241</v>
      </c>
      <c r="DQ746" s="4" t="s">
        <v>241</v>
      </c>
      <c r="DR746" s="4" t="s">
        <v>241</v>
      </c>
      <c r="DS746" s="4" t="s">
        <v>241</v>
      </c>
      <c r="DV746" s="4" t="s">
        <v>2103</v>
      </c>
      <c r="DW746" s="4" t="s">
        <v>427</v>
      </c>
      <c r="HO746" s="4" t="s">
        <v>323</v>
      </c>
      <c r="HR746" s="4" t="s">
        <v>278</v>
      </c>
      <c r="HS746" s="4" t="s">
        <v>278</v>
      </c>
    </row>
    <row r="747" spans="1:227" x14ac:dyDescent="0.4">
      <c r="A747" s="4">
        <v>2</v>
      </c>
      <c r="B747" s="4" t="s">
        <v>239</v>
      </c>
      <c r="C747" s="4">
        <v>812</v>
      </c>
      <c r="D747" s="4">
        <v>1</v>
      </c>
      <c r="E747" s="4">
        <v>1</v>
      </c>
      <c r="F747" s="4" t="s">
        <v>240</v>
      </c>
      <c r="G747" s="4" t="s">
        <v>241</v>
      </c>
      <c r="H747" s="4" t="s">
        <v>241</v>
      </c>
      <c r="I747" s="4" t="s">
        <v>2099</v>
      </c>
      <c r="J747" s="4" t="s">
        <v>344</v>
      </c>
      <c r="K747" s="4" t="s">
        <v>256</v>
      </c>
      <c r="L747" s="4" t="s">
        <v>2101</v>
      </c>
      <c r="M747" s="5" t="s">
        <v>2102</v>
      </c>
      <c r="N747" s="4" t="s">
        <v>2232</v>
      </c>
      <c r="O747" s="6">
        <f>163.88</f>
        <v>163.88</v>
      </c>
      <c r="P747" s="4" t="s">
        <v>276</v>
      </c>
      <c r="Q747" s="6">
        <f>1</f>
        <v>1</v>
      </c>
      <c r="R747" s="6">
        <f>39331200</f>
        <v>39331200</v>
      </c>
      <c r="S747" s="5" t="s">
        <v>2100</v>
      </c>
      <c r="T747" s="4" t="s">
        <v>314</v>
      </c>
      <c r="U747" s="4" t="s">
        <v>314</v>
      </c>
      <c r="W747" s="6">
        <f>39331199</f>
        <v>39331199</v>
      </c>
      <c r="X747" s="4" t="s">
        <v>243</v>
      </c>
      <c r="Y747" s="4" t="s">
        <v>244</v>
      </c>
      <c r="Z747" s="4" t="s">
        <v>338</v>
      </c>
      <c r="AA747" s="4" t="s">
        <v>241</v>
      </c>
      <c r="AD747" s="4" t="s">
        <v>241</v>
      </c>
      <c r="AF747" s="5" t="s">
        <v>241</v>
      </c>
      <c r="AI747" s="5" t="s">
        <v>249</v>
      </c>
      <c r="AJ747" s="4" t="s">
        <v>251</v>
      </c>
      <c r="AK747" s="4" t="s">
        <v>252</v>
      </c>
      <c r="BA747" s="4" t="s">
        <v>254</v>
      </c>
      <c r="BB747" s="4" t="s">
        <v>241</v>
      </c>
      <c r="BC747" s="4" t="s">
        <v>255</v>
      </c>
      <c r="BD747" s="4" t="s">
        <v>241</v>
      </c>
      <c r="BE747" s="4" t="s">
        <v>257</v>
      </c>
      <c r="BF747" s="4" t="s">
        <v>241</v>
      </c>
      <c r="BJ747" s="4" t="s">
        <v>374</v>
      </c>
      <c r="BK747" s="5" t="s">
        <v>375</v>
      </c>
      <c r="BL747" s="4" t="s">
        <v>261</v>
      </c>
      <c r="BM747" s="4" t="s">
        <v>290</v>
      </c>
      <c r="BN747" s="4" t="s">
        <v>241</v>
      </c>
      <c r="BO747" s="6">
        <f>0</f>
        <v>0</v>
      </c>
      <c r="BP747" s="6">
        <f>0</f>
        <v>0</v>
      </c>
      <c r="BQ747" s="4" t="s">
        <v>263</v>
      </c>
      <c r="BR747" s="4" t="s">
        <v>264</v>
      </c>
      <c r="CF747" s="4" t="s">
        <v>241</v>
      </c>
      <c r="CG747" s="4" t="s">
        <v>241</v>
      </c>
      <c r="CK747" s="4" t="s">
        <v>291</v>
      </c>
      <c r="CL747" s="4" t="s">
        <v>266</v>
      </c>
      <c r="CM747" s="4" t="s">
        <v>241</v>
      </c>
      <c r="CO747" s="4" t="s">
        <v>376</v>
      </c>
      <c r="CP747" s="5" t="s">
        <v>268</v>
      </c>
      <c r="CQ747" s="4" t="s">
        <v>269</v>
      </c>
      <c r="CR747" s="4" t="s">
        <v>270</v>
      </c>
      <c r="CS747" s="4" t="s">
        <v>241</v>
      </c>
      <c r="CT747" s="4" t="s">
        <v>241</v>
      </c>
      <c r="CU747" s="4">
        <v>0</v>
      </c>
      <c r="CV747" s="4" t="s">
        <v>271</v>
      </c>
      <c r="CW747" s="4" t="s">
        <v>411</v>
      </c>
      <c r="CX747" s="4" t="s">
        <v>347</v>
      </c>
      <c r="CZ747" s="6">
        <f>39331200</f>
        <v>39331200</v>
      </c>
      <c r="DA747" s="6">
        <f>0</f>
        <v>0</v>
      </c>
      <c r="DC747" s="4" t="s">
        <v>241</v>
      </c>
      <c r="DD747" s="4" t="s">
        <v>241</v>
      </c>
      <c r="DF747" s="4" t="s">
        <v>241</v>
      </c>
      <c r="DI747" s="4" t="s">
        <v>241</v>
      </c>
      <c r="DJ747" s="4" t="s">
        <v>241</v>
      </c>
      <c r="DK747" s="4" t="s">
        <v>241</v>
      </c>
      <c r="DL747" s="4" t="s">
        <v>241</v>
      </c>
      <c r="DM747" s="4" t="s">
        <v>323</v>
      </c>
      <c r="DN747" s="4" t="s">
        <v>278</v>
      </c>
      <c r="DO747" s="6">
        <f>163.88</f>
        <v>163.88</v>
      </c>
      <c r="DP747" s="4" t="s">
        <v>241</v>
      </c>
      <c r="DQ747" s="4" t="s">
        <v>241</v>
      </c>
      <c r="DR747" s="4" t="s">
        <v>241</v>
      </c>
      <c r="DS747" s="4" t="s">
        <v>241</v>
      </c>
      <c r="DV747" s="4" t="s">
        <v>2103</v>
      </c>
      <c r="DW747" s="4" t="s">
        <v>353</v>
      </c>
      <c r="HO747" s="4" t="s">
        <v>323</v>
      </c>
      <c r="HR747" s="4" t="s">
        <v>278</v>
      </c>
      <c r="HS747" s="4" t="s">
        <v>278</v>
      </c>
    </row>
    <row r="748" spans="1:227" x14ac:dyDescent="0.4">
      <c r="A748" s="4">
        <v>2</v>
      </c>
      <c r="B748" s="4" t="s">
        <v>239</v>
      </c>
      <c r="C748" s="4">
        <v>813</v>
      </c>
      <c r="D748" s="4">
        <v>1</v>
      </c>
      <c r="E748" s="4">
        <v>1</v>
      </c>
      <c r="F748" s="4" t="s">
        <v>240</v>
      </c>
      <c r="G748" s="4" t="s">
        <v>241</v>
      </c>
      <c r="H748" s="4" t="s">
        <v>241</v>
      </c>
      <c r="I748" s="4" t="s">
        <v>2099</v>
      </c>
      <c r="J748" s="4" t="s">
        <v>344</v>
      </c>
      <c r="K748" s="4" t="s">
        <v>256</v>
      </c>
      <c r="L748" s="4" t="s">
        <v>2101</v>
      </c>
      <c r="M748" s="5" t="s">
        <v>2102</v>
      </c>
      <c r="N748" s="4" t="s">
        <v>1172</v>
      </c>
      <c r="O748" s="6">
        <f>148.64</f>
        <v>148.63999999999999</v>
      </c>
      <c r="P748" s="4" t="s">
        <v>276</v>
      </c>
      <c r="Q748" s="6">
        <f>1</f>
        <v>1</v>
      </c>
      <c r="R748" s="6">
        <f>35673600</f>
        <v>35673600</v>
      </c>
      <c r="S748" s="5" t="s">
        <v>2100</v>
      </c>
      <c r="T748" s="4" t="s">
        <v>314</v>
      </c>
      <c r="U748" s="4" t="s">
        <v>314</v>
      </c>
      <c r="W748" s="6">
        <f>35673599</f>
        <v>35673599</v>
      </c>
      <c r="X748" s="4" t="s">
        <v>243</v>
      </c>
      <c r="Y748" s="4" t="s">
        <v>244</v>
      </c>
      <c r="Z748" s="4" t="s">
        <v>338</v>
      </c>
      <c r="AA748" s="4" t="s">
        <v>241</v>
      </c>
      <c r="AD748" s="4" t="s">
        <v>241</v>
      </c>
      <c r="AF748" s="5" t="s">
        <v>241</v>
      </c>
      <c r="AI748" s="5" t="s">
        <v>249</v>
      </c>
      <c r="AJ748" s="4" t="s">
        <v>251</v>
      </c>
      <c r="AK748" s="4" t="s">
        <v>252</v>
      </c>
      <c r="BA748" s="4" t="s">
        <v>254</v>
      </c>
      <c r="BB748" s="4" t="s">
        <v>241</v>
      </c>
      <c r="BC748" s="4" t="s">
        <v>255</v>
      </c>
      <c r="BD748" s="4" t="s">
        <v>241</v>
      </c>
      <c r="BE748" s="4" t="s">
        <v>257</v>
      </c>
      <c r="BF748" s="4" t="s">
        <v>241</v>
      </c>
      <c r="BJ748" s="4" t="s">
        <v>377</v>
      </c>
      <c r="BK748" s="5" t="s">
        <v>378</v>
      </c>
      <c r="BL748" s="4" t="s">
        <v>261</v>
      </c>
      <c r="BM748" s="4" t="s">
        <v>290</v>
      </c>
      <c r="BN748" s="4" t="s">
        <v>241</v>
      </c>
      <c r="BO748" s="6">
        <f>0</f>
        <v>0</v>
      </c>
      <c r="BP748" s="6">
        <f>0</f>
        <v>0</v>
      </c>
      <c r="BQ748" s="4" t="s">
        <v>263</v>
      </c>
      <c r="BR748" s="4" t="s">
        <v>264</v>
      </c>
      <c r="CF748" s="4" t="s">
        <v>241</v>
      </c>
      <c r="CG748" s="4" t="s">
        <v>241</v>
      </c>
      <c r="CK748" s="4" t="s">
        <v>291</v>
      </c>
      <c r="CL748" s="4" t="s">
        <v>266</v>
      </c>
      <c r="CM748" s="4" t="s">
        <v>241</v>
      </c>
      <c r="CO748" s="4" t="s">
        <v>376</v>
      </c>
      <c r="CP748" s="5" t="s">
        <v>268</v>
      </c>
      <c r="CQ748" s="4" t="s">
        <v>269</v>
      </c>
      <c r="CR748" s="4" t="s">
        <v>270</v>
      </c>
      <c r="CS748" s="4" t="s">
        <v>241</v>
      </c>
      <c r="CT748" s="4" t="s">
        <v>241</v>
      </c>
      <c r="CU748" s="4">
        <v>0</v>
      </c>
      <c r="CV748" s="4" t="s">
        <v>271</v>
      </c>
      <c r="CW748" s="4" t="s">
        <v>411</v>
      </c>
      <c r="CX748" s="4" t="s">
        <v>347</v>
      </c>
      <c r="CZ748" s="6">
        <f>35673600</f>
        <v>35673600</v>
      </c>
      <c r="DA748" s="6">
        <f>0</f>
        <v>0</v>
      </c>
      <c r="DC748" s="4" t="s">
        <v>241</v>
      </c>
      <c r="DD748" s="4" t="s">
        <v>241</v>
      </c>
      <c r="DF748" s="4" t="s">
        <v>241</v>
      </c>
      <c r="DI748" s="4" t="s">
        <v>241</v>
      </c>
      <c r="DJ748" s="4" t="s">
        <v>241</v>
      </c>
      <c r="DK748" s="4" t="s">
        <v>241</v>
      </c>
      <c r="DL748" s="4" t="s">
        <v>241</v>
      </c>
      <c r="DM748" s="4" t="s">
        <v>277</v>
      </c>
      <c r="DN748" s="4" t="s">
        <v>278</v>
      </c>
      <c r="DO748" s="6">
        <f>148.64</f>
        <v>148.63999999999999</v>
      </c>
      <c r="DP748" s="4" t="s">
        <v>241</v>
      </c>
      <c r="DQ748" s="4" t="s">
        <v>241</v>
      </c>
      <c r="DR748" s="4" t="s">
        <v>241</v>
      </c>
      <c r="DS748" s="4" t="s">
        <v>241</v>
      </c>
      <c r="DV748" s="4" t="s">
        <v>2103</v>
      </c>
      <c r="DW748" s="4" t="s">
        <v>409</v>
      </c>
      <c r="HO748" s="4" t="s">
        <v>323</v>
      </c>
      <c r="HR748" s="4" t="s">
        <v>278</v>
      </c>
      <c r="HS748" s="4" t="s">
        <v>278</v>
      </c>
    </row>
    <row r="749" spans="1:227" x14ac:dyDescent="0.4">
      <c r="A749" s="4">
        <v>2</v>
      </c>
      <c r="B749" s="4" t="s">
        <v>239</v>
      </c>
      <c r="C749" s="4">
        <v>814</v>
      </c>
      <c r="D749" s="4">
        <v>1</v>
      </c>
      <c r="E749" s="4">
        <v>1</v>
      </c>
      <c r="F749" s="4" t="s">
        <v>240</v>
      </c>
      <c r="G749" s="4" t="s">
        <v>241</v>
      </c>
      <c r="H749" s="4" t="s">
        <v>241</v>
      </c>
      <c r="I749" s="4" t="s">
        <v>2249</v>
      </c>
      <c r="J749" s="4" t="s">
        <v>344</v>
      </c>
      <c r="K749" s="4" t="s">
        <v>256</v>
      </c>
      <c r="L749" s="4" t="s">
        <v>2101</v>
      </c>
      <c r="M749" s="5" t="s">
        <v>2250</v>
      </c>
      <c r="N749" s="4" t="s">
        <v>2248</v>
      </c>
      <c r="O749" s="6">
        <f>332.82</f>
        <v>332.82</v>
      </c>
      <c r="P749" s="4" t="s">
        <v>276</v>
      </c>
      <c r="Q749" s="6">
        <f>1</f>
        <v>1</v>
      </c>
      <c r="R749" s="6">
        <f>34946100</f>
        <v>34946100</v>
      </c>
      <c r="S749" s="5" t="s">
        <v>366</v>
      </c>
      <c r="T749" s="4" t="s">
        <v>333</v>
      </c>
      <c r="U749" s="4" t="s">
        <v>333</v>
      </c>
      <c r="W749" s="6">
        <f>34946099</f>
        <v>34946099</v>
      </c>
      <c r="X749" s="4" t="s">
        <v>243</v>
      </c>
      <c r="Y749" s="4" t="s">
        <v>244</v>
      </c>
      <c r="Z749" s="4" t="s">
        <v>338</v>
      </c>
      <c r="AA749" s="4" t="s">
        <v>241</v>
      </c>
      <c r="AD749" s="4" t="s">
        <v>241</v>
      </c>
      <c r="AF749" s="5" t="s">
        <v>241</v>
      </c>
      <c r="AI749" s="5" t="s">
        <v>249</v>
      </c>
      <c r="AJ749" s="4" t="s">
        <v>251</v>
      </c>
      <c r="AK749" s="4" t="s">
        <v>252</v>
      </c>
      <c r="BA749" s="4" t="s">
        <v>254</v>
      </c>
      <c r="BB749" s="4" t="s">
        <v>241</v>
      </c>
      <c r="BC749" s="4" t="s">
        <v>255</v>
      </c>
      <c r="BD749" s="4" t="s">
        <v>241</v>
      </c>
      <c r="BE749" s="4" t="s">
        <v>257</v>
      </c>
      <c r="BF749" s="4" t="s">
        <v>241</v>
      </c>
      <c r="BJ749" s="4" t="s">
        <v>259</v>
      </c>
      <c r="BK749" s="5" t="s">
        <v>260</v>
      </c>
      <c r="BL749" s="4" t="s">
        <v>261</v>
      </c>
      <c r="BM749" s="4" t="s">
        <v>262</v>
      </c>
      <c r="BN749" s="4" t="s">
        <v>241</v>
      </c>
      <c r="BO749" s="6">
        <f>0</f>
        <v>0</v>
      </c>
      <c r="BP749" s="6">
        <f>0</f>
        <v>0</v>
      </c>
      <c r="BQ749" s="4" t="s">
        <v>263</v>
      </c>
      <c r="BR749" s="4" t="s">
        <v>264</v>
      </c>
      <c r="CF749" s="4" t="s">
        <v>241</v>
      </c>
      <c r="CG749" s="4" t="s">
        <v>241</v>
      </c>
      <c r="CK749" s="4" t="s">
        <v>265</v>
      </c>
      <c r="CL749" s="4" t="s">
        <v>266</v>
      </c>
      <c r="CM749" s="4" t="s">
        <v>241</v>
      </c>
      <c r="CO749" s="4" t="s">
        <v>368</v>
      </c>
      <c r="CP749" s="5" t="s">
        <v>268</v>
      </c>
      <c r="CQ749" s="4" t="s">
        <v>269</v>
      </c>
      <c r="CR749" s="4" t="s">
        <v>270</v>
      </c>
      <c r="CS749" s="4" t="s">
        <v>241</v>
      </c>
      <c r="CT749" s="4" t="s">
        <v>241</v>
      </c>
      <c r="CU749" s="4">
        <v>0</v>
      </c>
      <c r="CV749" s="4" t="s">
        <v>271</v>
      </c>
      <c r="CW749" s="4" t="s">
        <v>411</v>
      </c>
      <c r="CX749" s="4" t="s">
        <v>2130</v>
      </c>
      <c r="CZ749" s="6">
        <f>34946100</f>
        <v>34946100</v>
      </c>
      <c r="DA749" s="6">
        <f>0</f>
        <v>0</v>
      </c>
      <c r="DC749" s="4" t="s">
        <v>241</v>
      </c>
      <c r="DD749" s="4" t="s">
        <v>241</v>
      </c>
      <c r="DF749" s="4" t="s">
        <v>241</v>
      </c>
      <c r="DI749" s="4" t="s">
        <v>241</v>
      </c>
      <c r="DJ749" s="4" t="s">
        <v>241</v>
      </c>
      <c r="DK749" s="4" t="s">
        <v>241</v>
      </c>
      <c r="DL749" s="4" t="s">
        <v>241</v>
      </c>
      <c r="DM749" s="4" t="s">
        <v>323</v>
      </c>
      <c r="DN749" s="4" t="s">
        <v>278</v>
      </c>
      <c r="DO749" s="6">
        <f>332.82</f>
        <v>332.82</v>
      </c>
      <c r="DP749" s="4" t="s">
        <v>241</v>
      </c>
      <c r="DQ749" s="4" t="s">
        <v>241</v>
      </c>
      <c r="DR749" s="4" t="s">
        <v>241</v>
      </c>
      <c r="DS749" s="4" t="s">
        <v>241</v>
      </c>
      <c r="DV749" s="4" t="s">
        <v>2251</v>
      </c>
      <c r="DW749" s="4" t="s">
        <v>277</v>
      </c>
      <c r="HO749" s="4" t="s">
        <v>277</v>
      </c>
      <c r="HR749" s="4" t="s">
        <v>278</v>
      </c>
      <c r="HS749" s="4" t="s">
        <v>278</v>
      </c>
    </row>
    <row r="750" spans="1:227" x14ac:dyDescent="0.4">
      <c r="A750" s="4">
        <v>2</v>
      </c>
      <c r="B750" s="4" t="s">
        <v>239</v>
      </c>
      <c r="C750" s="4">
        <v>815</v>
      </c>
      <c r="D750" s="4">
        <v>1</v>
      </c>
      <c r="E750" s="4">
        <v>1</v>
      </c>
      <c r="F750" s="4" t="s">
        <v>240</v>
      </c>
      <c r="G750" s="4" t="s">
        <v>241</v>
      </c>
      <c r="H750" s="4" t="s">
        <v>241</v>
      </c>
      <c r="I750" s="4" t="s">
        <v>2249</v>
      </c>
      <c r="J750" s="4" t="s">
        <v>344</v>
      </c>
      <c r="K750" s="4" t="s">
        <v>256</v>
      </c>
      <c r="L750" s="4" t="s">
        <v>2101</v>
      </c>
      <c r="M750" s="5" t="s">
        <v>2250</v>
      </c>
      <c r="N750" s="4" t="s">
        <v>2252</v>
      </c>
      <c r="O750" s="6">
        <f>332.82</f>
        <v>332.82</v>
      </c>
      <c r="P750" s="4" t="s">
        <v>276</v>
      </c>
      <c r="Q750" s="6">
        <f>1</f>
        <v>1</v>
      </c>
      <c r="R750" s="6">
        <f>34946100</f>
        <v>34946100</v>
      </c>
      <c r="S750" s="5" t="s">
        <v>366</v>
      </c>
      <c r="T750" s="4" t="s">
        <v>333</v>
      </c>
      <c r="U750" s="4" t="s">
        <v>333</v>
      </c>
      <c r="W750" s="6">
        <f>34946099</f>
        <v>34946099</v>
      </c>
      <c r="X750" s="4" t="s">
        <v>243</v>
      </c>
      <c r="Y750" s="4" t="s">
        <v>244</v>
      </c>
      <c r="Z750" s="4" t="s">
        <v>338</v>
      </c>
      <c r="AA750" s="4" t="s">
        <v>241</v>
      </c>
      <c r="AD750" s="4" t="s">
        <v>241</v>
      </c>
      <c r="AF750" s="5" t="s">
        <v>241</v>
      </c>
      <c r="AI750" s="5" t="s">
        <v>249</v>
      </c>
      <c r="AJ750" s="4" t="s">
        <v>251</v>
      </c>
      <c r="AK750" s="4" t="s">
        <v>252</v>
      </c>
      <c r="BA750" s="4" t="s">
        <v>254</v>
      </c>
      <c r="BB750" s="4" t="s">
        <v>241</v>
      </c>
      <c r="BC750" s="4" t="s">
        <v>255</v>
      </c>
      <c r="BD750" s="4" t="s">
        <v>241</v>
      </c>
      <c r="BE750" s="4" t="s">
        <v>257</v>
      </c>
      <c r="BF750" s="4" t="s">
        <v>241</v>
      </c>
      <c r="BJ750" s="4" t="s">
        <v>367</v>
      </c>
      <c r="BK750" s="5" t="s">
        <v>249</v>
      </c>
      <c r="BL750" s="4" t="s">
        <v>261</v>
      </c>
      <c r="BM750" s="4" t="s">
        <v>262</v>
      </c>
      <c r="BN750" s="4" t="s">
        <v>241</v>
      </c>
      <c r="BO750" s="6">
        <f>0</f>
        <v>0</v>
      </c>
      <c r="BP750" s="6">
        <f>0</f>
        <v>0</v>
      </c>
      <c r="BQ750" s="4" t="s">
        <v>263</v>
      </c>
      <c r="BR750" s="4" t="s">
        <v>264</v>
      </c>
      <c r="CF750" s="4" t="s">
        <v>241</v>
      </c>
      <c r="CG750" s="4" t="s">
        <v>241</v>
      </c>
      <c r="CK750" s="4" t="s">
        <v>265</v>
      </c>
      <c r="CL750" s="4" t="s">
        <v>266</v>
      </c>
      <c r="CM750" s="4" t="s">
        <v>241</v>
      </c>
      <c r="CO750" s="4" t="s">
        <v>368</v>
      </c>
      <c r="CP750" s="5" t="s">
        <v>268</v>
      </c>
      <c r="CQ750" s="4" t="s">
        <v>269</v>
      </c>
      <c r="CR750" s="4" t="s">
        <v>270</v>
      </c>
      <c r="CS750" s="4" t="s">
        <v>241</v>
      </c>
      <c r="CT750" s="4" t="s">
        <v>241</v>
      </c>
      <c r="CU750" s="4">
        <v>0</v>
      </c>
      <c r="CV750" s="4" t="s">
        <v>271</v>
      </c>
      <c r="CW750" s="4" t="s">
        <v>411</v>
      </c>
      <c r="CX750" s="4" t="s">
        <v>2130</v>
      </c>
      <c r="CZ750" s="6">
        <f>34946100</f>
        <v>34946100</v>
      </c>
      <c r="DA750" s="6">
        <f>0</f>
        <v>0</v>
      </c>
      <c r="DC750" s="4" t="s">
        <v>241</v>
      </c>
      <c r="DD750" s="4" t="s">
        <v>241</v>
      </c>
      <c r="DF750" s="4" t="s">
        <v>241</v>
      </c>
      <c r="DI750" s="4" t="s">
        <v>241</v>
      </c>
      <c r="DJ750" s="4" t="s">
        <v>241</v>
      </c>
      <c r="DK750" s="4" t="s">
        <v>241</v>
      </c>
      <c r="DL750" s="4" t="s">
        <v>241</v>
      </c>
      <c r="DM750" s="4" t="s">
        <v>323</v>
      </c>
      <c r="DN750" s="4" t="s">
        <v>278</v>
      </c>
      <c r="DO750" s="6">
        <f>332.82</f>
        <v>332.82</v>
      </c>
      <c r="DP750" s="4" t="s">
        <v>241</v>
      </c>
      <c r="DQ750" s="4" t="s">
        <v>241</v>
      </c>
      <c r="DR750" s="4" t="s">
        <v>241</v>
      </c>
      <c r="DS750" s="4" t="s">
        <v>241</v>
      </c>
      <c r="DV750" s="4" t="s">
        <v>2251</v>
      </c>
      <c r="DW750" s="4" t="s">
        <v>323</v>
      </c>
      <c r="HO750" s="4" t="s">
        <v>277</v>
      </c>
      <c r="HR750" s="4" t="s">
        <v>278</v>
      </c>
      <c r="HS750" s="4" t="s">
        <v>278</v>
      </c>
    </row>
    <row r="751" spans="1:227" x14ac:dyDescent="0.4">
      <c r="A751" s="4">
        <v>2</v>
      </c>
      <c r="B751" s="4" t="s">
        <v>239</v>
      </c>
      <c r="C751" s="4">
        <v>816</v>
      </c>
      <c r="D751" s="4">
        <v>1</v>
      </c>
      <c r="E751" s="4">
        <v>1</v>
      </c>
      <c r="F751" s="4" t="s">
        <v>240</v>
      </c>
      <c r="G751" s="4" t="s">
        <v>241</v>
      </c>
      <c r="H751" s="4" t="s">
        <v>241</v>
      </c>
      <c r="I751" s="4" t="s">
        <v>2249</v>
      </c>
      <c r="J751" s="4" t="s">
        <v>344</v>
      </c>
      <c r="K751" s="4" t="s">
        <v>256</v>
      </c>
      <c r="L751" s="4" t="s">
        <v>2101</v>
      </c>
      <c r="M751" s="5" t="s">
        <v>2250</v>
      </c>
      <c r="N751" s="4" t="s">
        <v>2253</v>
      </c>
      <c r="O751" s="6">
        <f>332.82</f>
        <v>332.82</v>
      </c>
      <c r="P751" s="4" t="s">
        <v>276</v>
      </c>
      <c r="Q751" s="6">
        <f>1</f>
        <v>1</v>
      </c>
      <c r="R751" s="6">
        <f>34946100</f>
        <v>34946100</v>
      </c>
      <c r="S751" s="5" t="s">
        <v>366</v>
      </c>
      <c r="T751" s="4" t="s">
        <v>333</v>
      </c>
      <c r="U751" s="4" t="s">
        <v>333</v>
      </c>
      <c r="W751" s="6">
        <f>34946099</f>
        <v>34946099</v>
      </c>
      <c r="X751" s="4" t="s">
        <v>243</v>
      </c>
      <c r="Y751" s="4" t="s">
        <v>244</v>
      </c>
      <c r="Z751" s="4" t="s">
        <v>338</v>
      </c>
      <c r="AA751" s="4" t="s">
        <v>241</v>
      </c>
      <c r="AD751" s="4" t="s">
        <v>241</v>
      </c>
      <c r="AF751" s="5" t="s">
        <v>241</v>
      </c>
      <c r="AI751" s="5" t="s">
        <v>249</v>
      </c>
      <c r="AJ751" s="4" t="s">
        <v>251</v>
      </c>
      <c r="AK751" s="4" t="s">
        <v>252</v>
      </c>
      <c r="BA751" s="4" t="s">
        <v>254</v>
      </c>
      <c r="BB751" s="4" t="s">
        <v>241</v>
      </c>
      <c r="BC751" s="4" t="s">
        <v>255</v>
      </c>
      <c r="BD751" s="4" t="s">
        <v>241</v>
      </c>
      <c r="BE751" s="4" t="s">
        <v>257</v>
      </c>
      <c r="BF751" s="4" t="s">
        <v>241</v>
      </c>
      <c r="BJ751" s="4" t="s">
        <v>367</v>
      </c>
      <c r="BK751" s="5" t="s">
        <v>249</v>
      </c>
      <c r="BL751" s="4" t="s">
        <v>261</v>
      </c>
      <c r="BM751" s="4" t="s">
        <v>262</v>
      </c>
      <c r="BN751" s="4" t="s">
        <v>241</v>
      </c>
      <c r="BO751" s="6">
        <f>0</f>
        <v>0</v>
      </c>
      <c r="BP751" s="6">
        <f>0</f>
        <v>0</v>
      </c>
      <c r="BQ751" s="4" t="s">
        <v>263</v>
      </c>
      <c r="BR751" s="4" t="s">
        <v>264</v>
      </c>
      <c r="CF751" s="4" t="s">
        <v>241</v>
      </c>
      <c r="CG751" s="4" t="s">
        <v>241</v>
      </c>
      <c r="CK751" s="4" t="s">
        <v>265</v>
      </c>
      <c r="CL751" s="4" t="s">
        <v>266</v>
      </c>
      <c r="CM751" s="4" t="s">
        <v>241</v>
      </c>
      <c r="CO751" s="4" t="s">
        <v>368</v>
      </c>
      <c r="CP751" s="5" t="s">
        <v>268</v>
      </c>
      <c r="CQ751" s="4" t="s">
        <v>269</v>
      </c>
      <c r="CR751" s="4" t="s">
        <v>270</v>
      </c>
      <c r="CS751" s="4" t="s">
        <v>241</v>
      </c>
      <c r="CT751" s="4" t="s">
        <v>241</v>
      </c>
      <c r="CU751" s="4">
        <v>0</v>
      </c>
      <c r="CV751" s="4" t="s">
        <v>271</v>
      </c>
      <c r="CW751" s="4" t="s">
        <v>411</v>
      </c>
      <c r="CX751" s="4" t="s">
        <v>2130</v>
      </c>
      <c r="CZ751" s="6">
        <f>34946100</f>
        <v>34946100</v>
      </c>
      <c r="DA751" s="6">
        <f>0</f>
        <v>0</v>
      </c>
      <c r="DC751" s="4" t="s">
        <v>241</v>
      </c>
      <c r="DD751" s="4" t="s">
        <v>241</v>
      </c>
      <c r="DF751" s="4" t="s">
        <v>241</v>
      </c>
      <c r="DI751" s="4" t="s">
        <v>241</v>
      </c>
      <c r="DJ751" s="4" t="s">
        <v>241</v>
      </c>
      <c r="DK751" s="4" t="s">
        <v>241</v>
      </c>
      <c r="DL751" s="4" t="s">
        <v>241</v>
      </c>
      <c r="DM751" s="4" t="s">
        <v>323</v>
      </c>
      <c r="DN751" s="4" t="s">
        <v>278</v>
      </c>
      <c r="DO751" s="6">
        <f>332.82</f>
        <v>332.82</v>
      </c>
      <c r="DP751" s="4" t="s">
        <v>241</v>
      </c>
      <c r="DQ751" s="4" t="s">
        <v>241</v>
      </c>
      <c r="DR751" s="4" t="s">
        <v>241</v>
      </c>
      <c r="DS751" s="4" t="s">
        <v>241</v>
      </c>
      <c r="DV751" s="4" t="s">
        <v>2251</v>
      </c>
      <c r="DW751" s="4" t="s">
        <v>297</v>
      </c>
      <c r="HO751" s="4" t="s">
        <v>277</v>
      </c>
      <c r="HR751" s="4" t="s">
        <v>278</v>
      </c>
      <c r="HS751" s="4" t="s">
        <v>278</v>
      </c>
    </row>
    <row r="752" spans="1:227" x14ac:dyDescent="0.4">
      <c r="A752" s="4">
        <v>2</v>
      </c>
      <c r="B752" s="4" t="s">
        <v>239</v>
      </c>
      <c r="C752" s="4">
        <v>818</v>
      </c>
      <c r="D752" s="4">
        <v>1</v>
      </c>
      <c r="E752" s="4">
        <v>1</v>
      </c>
      <c r="F752" s="4" t="s">
        <v>240</v>
      </c>
      <c r="G752" s="4" t="s">
        <v>241</v>
      </c>
      <c r="H752" s="4" t="s">
        <v>241</v>
      </c>
      <c r="I752" s="4" t="s">
        <v>2249</v>
      </c>
      <c r="J752" s="4" t="s">
        <v>344</v>
      </c>
      <c r="K752" s="4" t="s">
        <v>256</v>
      </c>
      <c r="L752" s="4" t="s">
        <v>2101</v>
      </c>
      <c r="M752" s="5" t="s">
        <v>2250</v>
      </c>
      <c r="N752" s="4" t="s">
        <v>2254</v>
      </c>
      <c r="O752" s="6">
        <f>158.98</f>
        <v>158.97999999999999</v>
      </c>
      <c r="P752" s="4" t="s">
        <v>276</v>
      </c>
      <c r="Q752" s="6">
        <f>1</f>
        <v>1</v>
      </c>
      <c r="R752" s="6">
        <f>26708640</f>
        <v>26708640</v>
      </c>
      <c r="S752" s="5" t="s">
        <v>354</v>
      </c>
      <c r="T752" s="4" t="s">
        <v>314</v>
      </c>
      <c r="U752" s="4" t="s">
        <v>314</v>
      </c>
      <c r="W752" s="6">
        <f>26708639</f>
        <v>26708639</v>
      </c>
      <c r="X752" s="4" t="s">
        <v>243</v>
      </c>
      <c r="Y752" s="4" t="s">
        <v>244</v>
      </c>
      <c r="Z752" s="4" t="s">
        <v>338</v>
      </c>
      <c r="AA752" s="4" t="s">
        <v>241</v>
      </c>
      <c r="AD752" s="4" t="s">
        <v>241</v>
      </c>
      <c r="AF752" s="5" t="s">
        <v>241</v>
      </c>
      <c r="AI752" s="5" t="s">
        <v>249</v>
      </c>
      <c r="AJ752" s="4" t="s">
        <v>251</v>
      </c>
      <c r="AK752" s="4" t="s">
        <v>252</v>
      </c>
      <c r="BA752" s="4" t="s">
        <v>254</v>
      </c>
      <c r="BB752" s="4" t="s">
        <v>241</v>
      </c>
      <c r="BC752" s="4" t="s">
        <v>255</v>
      </c>
      <c r="BD752" s="4" t="s">
        <v>241</v>
      </c>
      <c r="BE752" s="4" t="s">
        <v>257</v>
      </c>
      <c r="BF752" s="4" t="s">
        <v>241</v>
      </c>
      <c r="BJ752" s="4" t="s">
        <v>374</v>
      </c>
      <c r="BK752" s="5" t="s">
        <v>375</v>
      </c>
      <c r="BL752" s="4" t="s">
        <v>261</v>
      </c>
      <c r="BM752" s="4" t="s">
        <v>262</v>
      </c>
      <c r="BN752" s="4" t="s">
        <v>241</v>
      </c>
      <c r="BO752" s="6">
        <f>0</f>
        <v>0</v>
      </c>
      <c r="BP752" s="6">
        <f>0</f>
        <v>0</v>
      </c>
      <c r="BQ752" s="4" t="s">
        <v>263</v>
      </c>
      <c r="BR752" s="4" t="s">
        <v>264</v>
      </c>
      <c r="CF752" s="4" t="s">
        <v>241</v>
      </c>
      <c r="CG752" s="4" t="s">
        <v>241</v>
      </c>
      <c r="CK752" s="4" t="s">
        <v>291</v>
      </c>
      <c r="CL752" s="4" t="s">
        <v>266</v>
      </c>
      <c r="CM752" s="4" t="s">
        <v>241</v>
      </c>
      <c r="CO752" s="4" t="s">
        <v>355</v>
      </c>
      <c r="CP752" s="5" t="s">
        <v>268</v>
      </c>
      <c r="CQ752" s="4" t="s">
        <v>269</v>
      </c>
      <c r="CR752" s="4" t="s">
        <v>270</v>
      </c>
      <c r="CS752" s="4" t="s">
        <v>241</v>
      </c>
      <c r="CT752" s="4" t="s">
        <v>241</v>
      </c>
      <c r="CU752" s="4">
        <v>0</v>
      </c>
      <c r="CV752" s="4" t="s">
        <v>271</v>
      </c>
      <c r="CW752" s="4" t="s">
        <v>411</v>
      </c>
      <c r="CX752" s="4" t="s">
        <v>347</v>
      </c>
      <c r="CZ752" s="6">
        <f>26708640</f>
        <v>26708640</v>
      </c>
      <c r="DA752" s="6">
        <f>0</f>
        <v>0</v>
      </c>
      <c r="DC752" s="4" t="s">
        <v>241</v>
      </c>
      <c r="DD752" s="4" t="s">
        <v>241</v>
      </c>
      <c r="DF752" s="4" t="s">
        <v>241</v>
      </c>
      <c r="DI752" s="4" t="s">
        <v>241</v>
      </c>
      <c r="DJ752" s="4" t="s">
        <v>241</v>
      </c>
      <c r="DK752" s="4" t="s">
        <v>241</v>
      </c>
      <c r="DL752" s="4" t="s">
        <v>241</v>
      </c>
      <c r="DM752" s="4" t="s">
        <v>323</v>
      </c>
      <c r="DN752" s="4" t="s">
        <v>278</v>
      </c>
      <c r="DO752" s="6">
        <f>158.98</f>
        <v>158.97999999999999</v>
      </c>
      <c r="DP752" s="4" t="s">
        <v>241</v>
      </c>
      <c r="DQ752" s="4" t="s">
        <v>241</v>
      </c>
      <c r="DR752" s="4" t="s">
        <v>241</v>
      </c>
      <c r="DS752" s="4" t="s">
        <v>241</v>
      </c>
      <c r="DV752" s="4" t="s">
        <v>2251</v>
      </c>
      <c r="DW752" s="4" t="s">
        <v>351</v>
      </c>
      <c r="HO752" s="4" t="s">
        <v>277</v>
      </c>
      <c r="HR752" s="4" t="s">
        <v>278</v>
      </c>
      <c r="HS752" s="4" t="s">
        <v>278</v>
      </c>
    </row>
    <row r="753" spans="1:240" x14ac:dyDescent="0.4">
      <c r="A753" s="4">
        <v>2</v>
      </c>
      <c r="B753" s="4" t="s">
        <v>239</v>
      </c>
      <c r="C753" s="4">
        <v>819</v>
      </c>
      <c r="D753" s="4">
        <v>1</v>
      </c>
      <c r="E753" s="4">
        <v>1</v>
      </c>
      <c r="F753" s="4" t="s">
        <v>240</v>
      </c>
      <c r="G753" s="4" t="s">
        <v>241</v>
      </c>
      <c r="H753" s="4" t="s">
        <v>241</v>
      </c>
      <c r="I753" s="4" t="s">
        <v>2249</v>
      </c>
      <c r="J753" s="4" t="s">
        <v>344</v>
      </c>
      <c r="K753" s="4" t="s">
        <v>256</v>
      </c>
      <c r="L753" s="4" t="s">
        <v>2101</v>
      </c>
      <c r="M753" s="5" t="s">
        <v>2250</v>
      </c>
      <c r="N753" s="4" t="s">
        <v>2255</v>
      </c>
      <c r="O753" s="6">
        <f>158.98</f>
        <v>158.97999999999999</v>
      </c>
      <c r="P753" s="4" t="s">
        <v>276</v>
      </c>
      <c r="Q753" s="6">
        <f>1</f>
        <v>1</v>
      </c>
      <c r="R753" s="6">
        <f>26708640</f>
        <v>26708640</v>
      </c>
      <c r="S753" s="5" t="s">
        <v>354</v>
      </c>
      <c r="T753" s="4" t="s">
        <v>314</v>
      </c>
      <c r="U753" s="4" t="s">
        <v>314</v>
      </c>
      <c r="W753" s="6">
        <f>26708639</f>
        <v>26708639</v>
      </c>
      <c r="X753" s="4" t="s">
        <v>243</v>
      </c>
      <c r="Y753" s="4" t="s">
        <v>244</v>
      </c>
      <c r="Z753" s="4" t="s">
        <v>338</v>
      </c>
      <c r="AA753" s="4" t="s">
        <v>241</v>
      </c>
      <c r="AD753" s="4" t="s">
        <v>241</v>
      </c>
      <c r="AF753" s="5" t="s">
        <v>241</v>
      </c>
      <c r="AI753" s="5" t="s">
        <v>249</v>
      </c>
      <c r="AJ753" s="4" t="s">
        <v>251</v>
      </c>
      <c r="AK753" s="4" t="s">
        <v>252</v>
      </c>
      <c r="BA753" s="4" t="s">
        <v>254</v>
      </c>
      <c r="BB753" s="4" t="s">
        <v>241</v>
      </c>
      <c r="BC753" s="4" t="s">
        <v>255</v>
      </c>
      <c r="BD753" s="4" t="s">
        <v>241</v>
      </c>
      <c r="BE753" s="4" t="s">
        <v>257</v>
      </c>
      <c r="BF753" s="4" t="s">
        <v>241</v>
      </c>
      <c r="BJ753" s="4" t="s">
        <v>377</v>
      </c>
      <c r="BK753" s="5" t="s">
        <v>378</v>
      </c>
      <c r="BL753" s="4" t="s">
        <v>261</v>
      </c>
      <c r="BM753" s="4" t="s">
        <v>262</v>
      </c>
      <c r="BN753" s="4" t="s">
        <v>241</v>
      </c>
      <c r="BO753" s="6">
        <f>0</f>
        <v>0</v>
      </c>
      <c r="BP753" s="6">
        <f>0</f>
        <v>0</v>
      </c>
      <c r="BQ753" s="4" t="s">
        <v>263</v>
      </c>
      <c r="BR753" s="4" t="s">
        <v>264</v>
      </c>
      <c r="CF753" s="4" t="s">
        <v>241</v>
      </c>
      <c r="CG753" s="4" t="s">
        <v>241</v>
      </c>
      <c r="CK753" s="4" t="s">
        <v>291</v>
      </c>
      <c r="CL753" s="4" t="s">
        <v>266</v>
      </c>
      <c r="CM753" s="4" t="s">
        <v>241</v>
      </c>
      <c r="CO753" s="4" t="s">
        <v>355</v>
      </c>
      <c r="CP753" s="5" t="s">
        <v>268</v>
      </c>
      <c r="CQ753" s="4" t="s">
        <v>269</v>
      </c>
      <c r="CR753" s="4" t="s">
        <v>270</v>
      </c>
      <c r="CS753" s="4" t="s">
        <v>241</v>
      </c>
      <c r="CT753" s="4" t="s">
        <v>241</v>
      </c>
      <c r="CU753" s="4">
        <v>0</v>
      </c>
      <c r="CV753" s="4" t="s">
        <v>271</v>
      </c>
      <c r="CW753" s="4" t="s">
        <v>411</v>
      </c>
      <c r="CX753" s="4" t="s">
        <v>347</v>
      </c>
      <c r="CZ753" s="6">
        <f>26708640</f>
        <v>26708640</v>
      </c>
      <c r="DA753" s="6">
        <f>0</f>
        <v>0</v>
      </c>
      <c r="DC753" s="4" t="s">
        <v>241</v>
      </c>
      <c r="DD753" s="4" t="s">
        <v>241</v>
      </c>
      <c r="DF753" s="4" t="s">
        <v>241</v>
      </c>
      <c r="DI753" s="4" t="s">
        <v>241</v>
      </c>
      <c r="DJ753" s="4" t="s">
        <v>241</v>
      </c>
      <c r="DK753" s="4" t="s">
        <v>241</v>
      </c>
      <c r="DL753" s="4" t="s">
        <v>241</v>
      </c>
      <c r="DM753" s="4" t="s">
        <v>323</v>
      </c>
      <c r="DN753" s="4" t="s">
        <v>278</v>
      </c>
      <c r="DO753" s="6">
        <f>158.98</f>
        <v>158.97999999999999</v>
      </c>
      <c r="DP753" s="4" t="s">
        <v>241</v>
      </c>
      <c r="DQ753" s="4" t="s">
        <v>241</v>
      </c>
      <c r="DR753" s="4" t="s">
        <v>241</v>
      </c>
      <c r="DS753" s="4" t="s">
        <v>241</v>
      </c>
      <c r="DV753" s="4" t="s">
        <v>2251</v>
      </c>
      <c r="DW753" s="4" t="s">
        <v>300</v>
      </c>
      <c r="HO753" s="4" t="s">
        <v>277</v>
      </c>
      <c r="HR753" s="4" t="s">
        <v>278</v>
      </c>
      <c r="HS753" s="4" t="s">
        <v>278</v>
      </c>
    </row>
    <row r="754" spans="1:240" x14ac:dyDescent="0.4">
      <c r="A754" s="4">
        <v>2</v>
      </c>
      <c r="B754" s="4" t="s">
        <v>239</v>
      </c>
      <c r="C754" s="4">
        <v>820</v>
      </c>
      <c r="D754" s="4">
        <v>1</v>
      </c>
      <c r="E754" s="4">
        <v>1</v>
      </c>
      <c r="F754" s="4" t="s">
        <v>240</v>
      </c>
      <c r="G754" s="4" t="s">
        <v>241</v>
      </c>
      <c r="H754" s="4" t="s">
        <v>241</v>
      </c>
      <c r="I754" s="4" t="s">
        <v>2249</v>
      </c>
      <c r="J754" s="4" t="s">
        <v>344</v>
      </c>
      <c r="K754" s="4" t="s">
        <v>256</v>
      </c>
      <c r="L754" s="4" t="s">
        <v>2101</v>
      </c>
      <c r="M754" s="5" t="s">
        <v>2250</v>
      </c>
      <c r="N754" s="4" t="s">
        <v>2256</v>
      </c>
      <c r="O754" s="6">
        <f>149.04</f>
        <v>149.04</v>
      </c>
      <c r="P754" s="4" t="s">
        <v>276</v>
      </c>
      <c r="Q754" s="6">
        <f>1</f>
        <v>1</v>
      </c>
      <c r="R754" s="6">
        <f>25038720</f>
        <v>25038720</v>
      </c>
      <c r="S754" s="5" t="s">
        <v>354</v>
      </c>
      <c r="T754" s="4" t="s">
        <v>314</v>
      </c>
      <c r="U754" s="4" t="s">
        <v>314</v>
      </c>
      <c r="W754" s="6">
        <f>25038719</f>
        <v>25038719</v>
      </c>
      <c r="X754" s="4" t="s">
        <v>243</v>
      </c>
      <c r="Y754" s="4" t="s">
        <v>244</v>
      </c>
      <c r="Z754" s="4" t="s">
        <v>338</v>
      </c>
      <c r="AA754" s="4" t="s">
        <v>241</v>
      </c>
      <c r="AD754" s="4" t="s">
        <v>241</v>
      </c>
      <c r="AF754" s="5" t="s">
        <v>241</v>
      </c>
      <c r="AI754" s="5" t="s">
        <v>249</v>
      </c>
      <c r="AJ754" s="4" t="s">
        <v>251</v>
      </c>
      <c r="AK754" s="4" t="s">
        <v>252</v>
      </c>
      <c r="BA754" s="4" t="s">
        <v>254</v>
      </c>
      <c r="BB754" s="4" t="s">
        <v>241</v>
      </c>
      <c r="BC754" s="4" t="s">
        <v>255</v>
      </c>
      <c r="BD754" s="4" t="s">
        <v>241</v>
      </c>
      <c r="BE754" s="4" t="s">
        <v>257</v>
      </c>
      <c r="BF754" s="4" t="s">
        <v>241</v>
      </c>
      <c r="BJ754" s="4" t="s">
        <v>259</v>
      </c>
      <c r="BK754" s="5" t="s">
        <v>260</v>
      </c>
      <c r="BL754" s="4" t="s">
        <v>261</v>
      </c>
      <c r="BM754" s="4" t="s">
        <v>262</v>
      </c>
      <c r="BN754" s="4" t="s">
        <v>241</v>
      </c>
      <c r="BO754" s="6">
        <f>0</f>
        <v>0</v>
      </c>
      <c r="BP754" s="6">
        <f>0</f>
        <v>0</v>
      </c>
      <c r="BQ754" s="4" t="s">
        <v>263</v>
      </c>
      <c r="BR754" s="4" t="s">
        <v>264</v>
      </c>
      <c r="CF754" s="4" t="s">
        <v>241</v>
      </c>
      <c r="CG754" s="4" t="s">
        <v>241</v>
      </c>
      <c r="CK754" s="4" t="s">
        <v>291</v>
      </c>
      <c r="CL754" s="4" t="s">
        <v>266</v>
      </c>
      <c r="CM754" s="4" t="s">
        <v>241</v>
      </c>
      <c r="CO754" s="4" t="s">
        <v>355</v>
      </c>
      <c r="CP754" s="5" t="s">
        <v>268</v>
      </c>
      <c r="CQ754" s="4" t="s">
        <v>269</v>
      </c>
      <c r="CR754" s="4" t="s">
        <v>270</v>
      </c>
      <c r="CS754" s="4" t="s">
        <v>241</v>
      </c>
      <c r="CT754" s="4" t="s">
        <v>241</v>
      </c>
      <c r="CU754" s="4">
        <v>0</v>
      </c>
      <c r="CV754" s="4" t="s">
        <v>271</v>
      </c>
      <c r="CW754" s="4" t="s">
        <v>411</v>
      </c>
      <c r="CX754" s="4" t="s">
        <v>347</v>
      </c>
      <c r="CZ754" s="6">
        <f>25038720</f>
        <v>25038720</v>
      </c>
      <c r="DA754" s="6">
        <f>0</f>
        <v>0</v>
      </c>
      <c r="DC754" s="4" t="s">
        <v>241</v>
      </c>
      <c r="DD754" s="4" t="s">
        <v>241</v>
      </c>
      <c r="DF754" s="4" t="s">
        <v>241</v>
      </c>
      <c r="DI754" s="4" t="s">
        <v>241</v>
      </c>
      <c r="DJ754" s="4" t="s">
        <v>241</v>
      </c>
      <c r="DK754" s="4" t="s">
        <v>241</v>
      </c>
      <c r="DL754" s="4" t="s">
        <v>241</v>
      </c>
      <c r="DM754" s="4" t="s">
        <v>323</v>
      </c>
      <c r="DN754" s="4" t="s">
        <v>278</v>
      </c>
      <c r="DO754" s="6">
        <f>149.04</f>
        <v>149.04</v>
      </c>
      <c r="DP754" s="4" t="s">
        <v>241</v>
      </c>
      <c r="DQ754" s="4" t="s">
        <v>241</v>
      </c>
      <c r="DR754" s="4" t="s">
        <v>241</v>
      </c>
      <c r="DS754" s="4" t="s">
        <v>241</v>
      </c>
      <c r="DV754" s="4" t="s">
        <v>2251</v>
      </c>
      <c r="DW754" s="4" t="s">
        <v>341</v>
      </c>
      <c r="HO754" s="4" t="s">
        <v>277</v>
      </c>
      <c r="HR754" s="4" t="s">
        <v>278</v>
      </c>
      <c r="HS754" s="4" t="s">
        <v>278</v>
      </c>
    </row>
    <row r="755" spans="1:240" x14ac:dyDescent="0.4">
      <c r="A755" s="4">
        <v>2</v>
      </c>
      <c r="B755" s="4" t="s">
        <v>239</v>
      </c>
      <c r="C755" s="4">
        <v>821</v>
      </c>
      <c r="D755" s="4">
        <v>1</v>
      </c>
      <c r="E755" s="4">
        <v>1</v>
      </c>
      <c r="F755" s="4" t="s">
        <v>240</v>
      </c>
      <c r="G755" s="4" t="s">
        <v>241</v>
      </c>
      <c r="H755" s="4" t="s">
        <v>241</v>
      </c>
      <c r="I755" s="4" t="s">
        <v>2249</v>
      </c>
      <c r="J755" s="4" t="s">
        <v>344</v>
      </c>
      <c r="K755" s="4" t="s">
        <v>256</v>
      </c>
      <c r="L755" s="4" t="s">
        <v>2101</v>
      </c>
      <c r="M755" s="5" t="s">
        <v>2250</v>
      </c>
      <c r="N755" s="4" t="s">
        <v>2257</v>
      </c>
      <c r="O755" s="6">
        <f>149.04</f>
        <v>149.04</v>
      </c>
      <c r="P755" s="4" t="s">
        <v>276</v>
      </c>
      <c r="Q755" s="6">
        <f>1</f>
        <v>1</v>
      </c>
      <c r="R755" s="6">
        <f>25038720</f>
        <v>25038720</v>
      </c>
      <c r="S755" s="5" t="s">
        <v>354</v>
      </c>
      <c r="T755" s="4" t="s">
        <v>314</v>
      </c>
      <c r="U755" s="4" t="s">
        <v>314</v>
      </c>
      <c r="W755" s="6">
        <f>25038719</f>
        <v>25038719</v>
      </c>
      <c r="X755" s="4" t="s">
        <v>243</v>
      </c>
      <c r="Y755" s="4" t="s">
        <v>244</v>
      </c>
      <c r="Z755" s="4" t="s">
        <v>338</v>
      </c>
      <c r="AA755" s="4" t="s">
        <v>241</v>
      </c>
      <c r="AD755" s="4" t="s">
        <v>241</v>
      </c>
      <c r="AF755" s="5" t="s">
        <v>241</v>
      </c>
      <c r="AI755" s="5" t="s">
        <v>249</v>
      </c>
      <c r="AJ755" s="4" t="s">
        <v>251</v>
      </c>
      <c r="AK755" s="4" t="s">
        <v>252</v>
      </c>
      <c r="BA755" s="4" t="s">
        <v>254</v>
      </c>
      <c r="BB755" s="4" t="s">
        <v>241</v>
      </c>
      <c r="BC755" s="4" t="s">
        <v>255</v>
      </c>
      <c r="BD755" s="4" t="s">
        <v>241</v>
      </c>
      <c r="BE755" s="4" t="s">
        <v>257</v>
      </c>
      <c r="BF755" s="4" t="s">
        <v>241</v>
      </c>
      <c r="BJ755" s="4" t="s">
        <v>367</v>
      </c>
      <c r="BK755" s="5" t="s">
        <v>249</v>
      </c>
      <c r="BL755" s="4" t="s">
        <v>261</v>
      </c>
      <c r="BM755" s="4" t="s">
        <v>262</v>
      </c>
      <c r="BN755" s="4" t="s">
        <v>241</v>
      </c>
      <c r="BO755" s="6">
        <f>0</f>
        <v>0</v>
      </c>
      <c r="BP755" s="6">
        <f>0</f>
        <v>0</v>
      </c>
      <c r="BQ755" s="4" t="s">
        <v>263</v>
      </c>
      <c r="BR755" s="4" t="s">
        <v>264</v>
      </c>
      <c r="CF755" s="4" t="s">
        <v>241</v>
      </c>
      <c r="CG755" s="4" t="s">
        <v>241</v>
      </c>
      <c r="CK755" s="4" t="s">
        <v>291</v>
      </c>
      <c r="CL755" s="4" t="s">
        <v>266</v>
      </c>
      <c r="CM755" s="4" t="s">
        <v>241</v>
      </c>
      <c r="CO755" s="4" t="s">
        <v>355</v>
      </c>
      <c r="CP755" s="5" t="s">
        <v>268</v>
      </c>
      <c r="CQ755" s="4" t="s">
        <v>269</v>
      </c>
      <c r="CR755" s="4" t="s">
        <v>270</v>
      </c>
      <c r="CS755" s="4" t="s">
        <v>241</v>
      </c>
      <c r="CT755" s="4" t="s">
        <v>241</v>
      </c>
      <c r="CU755" s="4">
        <v>0</v>
      </c>
      <c r="CV755" s="4" t="s">
        <v>271</v>
      </c>
      <c r="CW755" s="4" t="s">
        <v>411</v>
      </c>
      <c r="CX755" s="4" t="s">
        <v>347</v>
      </c>
      <c r="CZ755" s="6">
        <f>25038720</f>
        <v>25038720</v>
      </c>
      <c r="DA755" s="6">
        <f>0</f>
        <v>0</v>
      </c>
      <c r="DC755" s="4" t="s">
        <v>241</v>
      </c>
      <c r="DD755" s="4" t="s">
        <v>241</v>
      </c>
      <c r="DF755" s="4" t="s">
        <v>241</v>
      </c>
      <c r="DI755" s="4" t="s">
        <v>241</v>
      </c>
      <c r="DJ755" s="4" t="s">
        <v>241</v>
      </c>
      <c r="DK755" s="4" t="s">
        <v>241</v>
      </c>
      <c r="DL755" s="4" t="s">
        <v>241</v>
      </c>
      <c r="DM755" s="4" t="s">
        <v>323</v>
      </c>
      <c r="DN755" s="4" t="s">
        <v>278</v>
      </c>
      <c r="DO755" s="6">
        <f>149.04</f>
        <v>149.04</v>
      </c>
      <c r="DP755" s="4" t="s">
        <v>241</v>
      </c>
      <c r="DQ755" s="4" t="s">
        <v>241</v>
      </c>
      <c r="DR755" s="4" t="s">
        <v>241</v>
      </c>
      <c r="DS755" s="4" t="s">
        <v>241</v>
      </c>
      <c r="DV755" s="4" t="s">
        <v>2251</v>
      </c>
      <c r="DW755" s="4" t="s">
        <v>343</v>
      </c>
      <c r="HO755" s="4" t="s">
        <v>277</v>
      </c>
      <c r="HR755" s="4" t="s">
        <v>278</v>
      </c>
      <c r="HS755" s="4" t="s">
        <v>278</v>
      </c>
    </row>
    <row r="756" spans="1:240" x14ac:dyDescent="0.4">
      <c r="A756" s="4">
        <v>2</v>
      </c>
      <c r="B756" s="4" t="s">
        <v>239</v>
      </c>
      <c r="C756" s="4">
        <v>822</v>
      </c>
      <c r="D756" s="4">
        <v>1</v>
      </c>
      <c r="E756" s="4">
        <v>1</v>
      </c>
      <c r="F756" s="4" t="s">
        <v>240</v>
      </c>
      <c r="G756" s="4" t="s">
        <v>241</v>
      </c>
      <c r="H756" s="4" t="s">
        <v>241</v>
      </c>
      <c r="I756" s="4" t="s">
        <v>2249</v>
      </c>
      <c r="J756" s="4" t="s">
        <v>344</v>
      </c>
      <c r="K756" s="4" t="s">
        <v>256</v>
      </c>
      <c r="L756" s="4" t="s">
        <v>2101</v>
      </c>
      <c r="M756" s="5" t="s">
        <v>2250</v>
      </c>
      <c r="N756" s="4" t="s">
        <v>2258</v>
      </c>
      <c r="O756" s="6">
        <f>149.04</f>
        <v>149.04</v>
      </c>
      <c r="P756" s="4" t="s">
        <v>276</v>
      </c>
      <c r="Q756" s="6">
        <f>1</f>
        <v>1</v>
      </c>
      <c r="R756" s="6">
        <f>25038720</f>
        <v>25038720</v>
      </c>
      <c r="S756" s="5" t="s">
        <v>354</v>
      </c>
      <c r="T756" s="4" t="s">
        <v>314</v>
      </c>
      <c r="U756" s="4" t="s">
        <v>314</v>
      </c>
      <c r="W756" s="6">
        <f>25038719</f>
        <v>25038719</v>
      </c>
      <c r="X756" s="4" t="s">
        <v>243</v>
      </c>
      <c r="Y756" s="4" t="s">
        <v>244</v>
      </c>
      <c r="Z756" s="4" t="s">
        <v>338</v>
      </c>
      <c r="AA756" s="4" t="s">
        <v>241</v>
      </c>
      <c r="AD756" s="4" t="s">
        <v>241</v>
      </c>
      <c r="AF756" s="5" t="s">
        <v>241</v>
      </c>
      <c r="AI756" s="5" t="s">
        <v>249</v>
      </c>
      <c r="AJ756" s="4" t="s">
        <v>251</v>
      </c>
      <c r="AK756" s="4" t="s">
        <v>252</v>
      </c>
      <c r="BA756" s="4" t="s">
        <v>254</v>
      </c>
      <c r="BB756" s="4" t="s">
        <v>241</v>
      </c>
      <c r="BC756" s="4" t="s">
        <v>255</v>
      </c>
      <c r="BD756" s="4" t="s">
        <v>241</v>
      </c>
      <c r="BE756" s="4" t="s">
        <v>257</v>
      </c>
      <c r="BF756" s="4" t="s">
        <v>241</v>
      </c>
      <c r="BJ756" s="4" t="s">
        <v>374</v>
      </c>
      <c r="BK756" s="5" t="s">
        <v>375</v>
      </c>
      <c r="BL756" s="4" t="s">
        <v>261</v>
      </c>
      <c r="BM756" s="4" t="s">
        <v>262</v>
      </c>
      <c r="BN756" s="4" t="s">
        <v>241</v>
      </c>
      <c r="BO756" s="6">
        <f>0</f>
        <v>0</v>
      </c>
      <c r="BP756" s="6">
        <f>0</f>
        <v>0</v>
      </c>
      <c r="BQ756" s="4" t="s">
        <v>263</v>
      </c>
      <c r="BR756" s="4" t="s">
        <v>264</v>
      </c>
      <c r="CF756" s="4" t="s">
        <v>241</v>
      </c>
      <c r="CG756" s="4" t="s">
        <v>241</v>
      </c>
      <c r="CK756" s="4" t="s">
        <v>291</v>
      </c>
      <c r="CL756" s="4" t="s">
        <v>266</v>
      </c>
      <c r="CM756" s="4" t="s">
        <v>241</v>
      </c>
      <c r="CO756" s="4" t="s">
        <v>355</v>
      </c>
      <c r="CP756" s="5" t="s">
        <v>268</v>
      </c>
      <c r="CQ756" s="4" t="s">
        <v>269</v>
      </c>
      <c r="CR756" s="4" t="s">
        <v>270</v>
      </c>
      <c r="CS756" s="4" t="s">
        <v>241</v>
      </c>
      <c r="CT756" s="4" t="s">
        <v>241</v>
      </c>
      <c r="CU756" s="4">
        <v>0</v>
      </c>
      <c r="CV756" s="4" t="s">
        <v>271</v>
      </c>
      <c r="CW756" s="4" t="s">
        <v>411</v>
      </c>
      <c r="CX756" s="4" t="s">
        <v>347</v>
      </c>
      <c r="CZ756" s="6">
        <f>25038720</f>
        <v>25038720</v>
      </c>
      <c r="DA756" s="6">
        <f>0</f>
        <v>0</v>
      </c>
      <c r="DC756" s="4" t="s">
        <v>241</v>
      </c>
      <c r="DD756" s="4" t="s">
        <v>241</v>
      </c>
      <c r="DF756" s="4" t="s">
        <v>241</v>
      </c>
      <c r="DI756" s="4" t="s">
        <v>241</v>
      </c>
      <c r="DJ756" s="4" t="s">
        <v>241</v>
      </c>
      <c r="DK756" s="4" t="s">
        <v>241</v>
      </c>
      <c r="DL756" s="4" t="s">
        <v>241</v>
      </c>
      <c r="DM756" s="4" t="s">
        <v>323</v>
      </c>
      <c r="DN756" s="4" t="s">
        <v>278</v>
      </c>
      <c r="DO756" s="6">
        <f>149.04</f>
        <v>149.04</v>
      </c>
      <c r="DP756" s="4" t="s">
        <v>241</v>
      </c>
      <c r="DQ756" s="4" t="s">
        <v>241</v>
      </c>
      <c r="DR756" s="4" t="s">
        <v>241</v>
      </c>
      <c r="DS756" s="4" t="s">
        <v>241</v>
      </c>
      <c r="DV756" s="4" t="s">
        <v>2251</v>
      </c>
      <c r="DW756" s="4" t="s">
        <v>417</v>
      </c>
      <c r="HO756" s="4" t="s">
        <v>277</v>
      </c>
      <c r="HR756" s="4" t="s">
        <v>278</v>
      </c>
      <c r="HS756" s="4" t="s">
        <v>278</v>
      </c>
    </row>
    <row r="757" spans="1:240" x14ac:dyDescent="0.4">
      <c r="A757" s="4">
        <v>2</v>
      </c>
      <c r="B757" s="4" t="s">
        <v>239</v>
      </c>
      <c r="C757" s="4">
        <v>824</v>
      </c>
      <c r="D757" s="4">
        <v>1</v>
      </c>
      <c r="E757" s="4">
        <v>3</v>
      </c>
      <c r="F757" s="4" t="s">
        <v>326</v>
      </c>
      <c r="G757" s="4" t="s">
        <v>241</v>
      </c>
      <c r="H757" s="4" t="s">
        <v>241</v>
      </c>
      <c r="I757" s="4" t="s">
        <v>2249</v>
      </c>
      <c r="J757" s="4" t="s">
        <v>344</v>
      </c>
      <c r="K757" s="4" t="s">
        <v>256</v>
      </c>
      <c r="L757" s="4" t="s">
        <v>2742</v>
      </c>
      <c r="M757" s="5" t="s">
        <v>2250</v>
      </c>
      <c r="N757" s="4" t="s">
        <v>2741</v>
      </c>
      <c r="O757" s="6">
        <f>0</f>
        <v>0</v>
      </c>
      <c r="P757" s="4" t="s">
        <v>276</v>
      </c>
      <c r="Q757" s="6">
        <f>955800</f>
        <v>955800</v>
      </c>
      <c r="R757" s="6">
        <f>1911600</f>
        <v>1911600</v>
      </c>
      <c r="S757" s="5" t="s">
        <v>583</v>
      </c>
      <c r="T757" s="4" t="s">
        <v>343</v>
      </c>
      <c r="U757" s="4" t="s">
        <v>297</v>
      </c>
      <c r="V757" s="6">
        <f>238950</f>
        <v>238950</v>
      </c>
      <c r="W757" s="6">
        <f>955800</f>
        <v>955800</v>
      </c>
      <c r="X757" s="4" t="s">
        <v>243</v>
      </c>
      <c r="Y757" s="4" t="s">
        <v>244</v>
      </c>
      <c r="Z757" s="4" t="s">
        <v>241</v>
      </c>
      <c r="AA757" s="4" t="s">
        <v>241</v>
      </c>
      <c r="AD757" s="4" t="s">
        <v>241</v>
      </c>
      <c r="AE757" s="5" t="s">
        <v>241</v>
      </c>
      <c r="AF757" s="5" t="s">
        <v>241</v>
      </c>
      <c r="AH757" s="5" t="s">
        <v>241</v>
      </c>
      <c r="AI757" s="5" t="s">
        <v>249</v>
      </c>
      <c r="AJ757" s="4" t="s">
        <v>251</v>
      </c>
      <c r="AK757" s="4" t="s">
        <v>252</v>
      </c>
      <c r="AQ757" s="4" t="s">
        <v>241</v>
      </c>
      <c r="AR757" s="4" t="s">
        <v>241</v>
      </c>
      <c r="AS757" s="4" t="s">
        <v>241</v>
      </c>
      <c r="AT757" s="5" t="s">
        <v>241</v>
      </c>
      <c r="AU757" s="5" t="s">
        <v>241</v>
      </c>
      <c r="AV757" s="5" t="s">
        <v>241</v>
      </c>
      <c r="AY757" s="4" t="s">
        <v>286</v>
      </c>
      <c r="AZ757" s="4" t="s">
        <v>286</v>
      </c>
      <c r="BA757" s="4" t="s">
        <v>254</v>
      </c>
      <c r="BB757" s="4" t="s">
        <v>287</v>
      </c>
      <c r="BC757" s="4" t="s">
        <v>255</v>
      </c>
      <c r="BD757" s="4" t="s">
        <v>241</v>
      </c>
      <c r="BE757" s="4" t="s">
        <v>257</v>
      </c>
      <c r="BF757" s="4" t="s">
        <v>241</v>
      </c>
      <c r="BJ757" s="4" t="s">
        <v>288</v>
      </c>
      <c r="BK757" s="5" t="s">
        <v>289</v>
      </c>
      <c r="BL757" s="4" t="s">
        <v>290</v>
      </c>
      <c r="BM757" s="4" t="s">
        <v>290</v>
      </c>
      <c r="BN757" s="4" t="s">
        <v>241</v>
      </c>
      <c r="BP757" s="6">
        <f>-238950</f>
        <v>-238950</v>
      </c>
      <c r="BQ757" s="4" t="s">
        <v>263</v>
      </c>
      <c r="BR757" s="4" t="s">
        <v>264</v>
      </c>
      <c r="BS757" s="4" t="s">
        <v>241</v>
      </c>
      <c r="BT757" s="4" t="s">
        <v>241</v>
      </c>
      <c r="BU757" s="4" t="s">
        <v>241</v>
      </c>
      <c r="BV757" s="4" t="s">
        <v>241</v>
      </c>
      <c r="CE757" s="4" t="s">
        <v>264</v>
      </c>
      <c r="CF757" s="4" t="s">
        <v>241</v>
      </c>
      <c r="CG757" s="4" t="s">
        <v>241</v>
      </c>
      <c r="CK757" s="4" t="s">
        <v>291</v>
      </c>
      <c r="CL757" s="4" t="s">
        <v>266</v>
      </c>
      <c r="CM757" s="4" t="s">
        <v>241</v>
      </c>
      <c r="CO757" s="4" t="s">
        <v>413</v>
      </c>
      <c r="CP757" s="5" t="s">
        <v>268</v>
      </c>
      <c r="CQ757" s="4" t="s">
        <v>269</v>
      </c>
      <c r="CR757" s="4" t="s">
        <v>270</v>
      </c>
      <c r="CS757" s="4" t="s">
        <v>293</v>
      </c>
      <c r="CT757" s="4" t="s">
        <v>241</v>
      </c>
      <c r="CU757" s="4">
        <v>0.125</v>
      </c>
      <c r="CV757" s="4" t="s">
        <v>271</v>
      </c>
      <c r="CW757" s="4" t="s">
        <v>415</v>
      </c>
      <c r="CX757" s="4" t="s">
        <v>2643</v>
      </c>
      <c r="CY757" s="6">
        <f>0</f>
        <v>0</v>
      </c>
      <c r="CZ757" s="6">
        <f>1911600</f>
        <v>1911600</v>
      </c>
      <c r="DA757" s="6">
        <f>955800</f>
        <v>955800</v>
      </c>
      <c r="DC757" s="4" t="s">
        <v>241</v>
      </c>
      <c r="DD757" s="4" t="s">
        <v>241</v>
      </c>
      <c r="DF757" s="4" t="s">
        <v>241</v>
      </c>
      <c r="DG757" s="6">
        <f>0</f>
        <v>0</v>
      </c>
      <c r="DI757" s="4" t="s">
        <v>241</v>
      </c>
      <c r="DJ757" s="4" t="s">
        <v>241</v>
      </c>
      <c r="DK757" s="4" t="s">
        <v>241</v>
      </c>
      <c r="DL757" s="4" t="s">
        <v>241</v>
      </c>
      <c r="DM757" s="4" t="s">
        <v>278</v>
      </c>
      <c r="DN757" s="4" t="s">
        <v>278</v>
      </c>
      <c r="DO757" s="6" t="s">
        <v>241</v>
      </c>
      <c r="DP757" s="4" t="s">
        <v>241</v>
      </c>
      <c r="DQ757" s="4" t="s">
        <v>241</v>
      </c>
      <c r="DR757" s="4" t="s">
        <v>241</v>
      </c>
      <c r="DS757" s="4" t="s">
        <v>241</v>
      </c>
      <c r="DV757" s="4" t="s">
        <v>2251</v>
      </c>
      <c r="DW757" s="4" t="s">
        <v>353</v>
      </c>
      <c r="GN757" s="4" t="s">
        <v>2743</v>
      </c>
      <c r="HO757" s="4" t="s">
        <v>351</v>
      </c>
      <c r="HR757" s="4" t="s">
        <v>278</v>
      </c>
      <c r="HS757" s="4" t="s">
        <v>278</v>
      </c>
      <c r="HT757" s="4" t="s">
        <v>241</v>
      </c>
      <c r="HU757" s="4" t="s">
        <v>241</v>
      </c>
      <c r="HV757" s="4" t="s">
        <v>241</v>
      </c>
      <c r="HW757" s="4" t="s">
        <v>241</v>
      </c>
      <c r="HX757" s="4" t="s">
        <v>241</v>
      </c>
      <c r="HY757" s="4" t="s">
        <v>241</v>
      </c>
      <c r="HZ757" s="4" t="s">
        <v>241</v>
      </c>
      <c r="IA757" s="4" t="s">
        <v>241</v>
      </c>
      <c r="IB757" s="4" t="s">
        <v>241</v>
      </c>
      <c r="IC757" s="4" t="s">
        <v>241</v>
      </c>
      <c r="ID757" s="4" t="s">
        <v>241</v>
      </c>
      <c r="IE757" s="4" t="s">
        <v>241</v>
      </c>
      <c r="IF757" s="4" t="s">
        <v>241</v>
      </c>
    </row>
    <row r="758" spans="1:240" x14ac:dyDescent="0.4">
      <c r="A758" s="4">
        <v>2</v>
      </c>
      <c r="B758" s="4" t="s">
        <v>239</v>
      </c>
      <c r="C758" s="4">
        <v>825</v>
      </c>
      <c r="D758" s="4">
        <v>1</v>
      </c>
      <c r="E758" s="4">
        <v>1</v>
      </c>
      <c r="F758" s="4" t="s">
        <v>240</v>
      </c>
      <c r="G758" s="4" t="s">
        <v>241</v>
      </c>
      <c r="H758" s="4" t="s">
        <v>241</v>
      </c>
      <c r="I758" s="4" t="s">
        <v>2136</v>
      </c>
      <c r="J758" s="4" t="s">
        <v>344</v>
      </c>
      <c r="K758" s="4" t="s">
        <v>256</v>
      </c>
      <c r="L758" s="4" t="s">
        <v>2101</v>
      </c>
      <c r="M758" s="5" t="s">
        <v>2137</v>
      </c>
      <c r="N758" s="4" t="s">
        <v>2104</v>
      </c>
      <c r="O758" s="6">
        <f>332.82</f>
        <v>332.82</v>
      </c>
      <c r="P758" s="4" t="s">
        <v>276</v>
      </c>
      <c r="Q758" s="6">
        <f>1</f>
        <v>1</v>
      </c>
      <c r="R758" s="6">
        <f>34946100</f>
        <v>34946100</v>
      </c>
      <c r="S758" s="5" t="s">
        <v>954</v>
      </c>
      <c r="T758" s="4" t="s">
        <v>333</v>
      </c>
      <c r="U758" s="4" t="s">
        <v>333</v>
      </c>
      <c r="W758" s="6">
        <f>34946099</f>
        <v>34946099</v>
      </c>
      <c r="X758" s="4" t="s">
        <v>243</v>
      </c>
      <c r="Y758" s="4" t="s">
        <v>244</v>
      </c>
      <c r="Z758" s="4" t="s">
        <v>338</v>
      </c>
      <c r="AA758" s="4" t="s">
        <v>241</v>
      </c>
      <c r="AD758" s="4" t="s">
        <v>241</v>
      </c>
      <c r="AF758" s="5" t="s">
        <v>241</v>
      </c>
      <c r="AI758" s="5" t="s">
        <v>249</v>
      </c>
      <c r="AJ758" s="4" t="s">
        <v>251</v>
      </c>
      <c r="AK758" s="4" t="s">
        <v>252</v>
      </c>
      <c r="BA758" s="4" t="s">
        <v>254</v>
      </c>
      <c r="BB758" s="4" t="s">
        <v>241</v>
      </c>
      <c r="BC758" s="4" t="s">
        <v>255</v>
      </c>
      <c r="BD758" s="4" t="s">
        <v>241</v>
      </c>
      <c r="BE758" s="4" t="s">
        <v>257</v>
      </c>
      <c r="BF758" s="4" t="s">
        <v>241</v>
      </c>
      <c r="BJ758" s="4" t="s">
        <v>367</v>
      </c>
      <c r="BK758" s="5" t="s">
        <v>249</v>
      </c>
      <c r="BL758" s="4" t="s">
        <v>261</v>
      </c>
      <c r="BM758" s="4" t="s">
        <v>290</v>
      </c>
      <c r="BN758" s="4" t="s">
        <v>241</v>
      </c>
      <c r="BO758" s="6">
        <f>0</f>
        <v>0</v>
      </c>
      <c r="BP758" s="6">
        <f>0</f>
        <v>0</v>
      </c>
      <c r="BQ758" s="4" t="s">
        <v>263</v>
      </c>
      <c r="BR758" s="4" t="s">
        <v>264</v>
      </c>
      <c r="CF758" s="4" t="s">
        <v>241</v>
      </c>
      <c r="CG758" s="4" t="s">
        <v>241</v>
      </c>
      <c r="CK758" s="4" t="s">
        <v>265</v>
      </c>
      <c r="CL758" s="4" t="s">
        <v>266</v>
      </c>
      <c r="CM758" s="4" t="s">
        <v>241</v>
      </c>
      <c r="CO758" s="4" t="s">
        <v>956</v>
      </c>
      <c r="CP758" s="5" t="s">
        <v>268</v>
      </c>
      <c r="CQ758" s="4" t="s">
        <v>269</v>
      </c>
      <c r="CR758" s="4" t="s">
        <v>270</v>
      </c>
      <c r="CS758" s="4" t="s">
        <v>241</v>
      </c>
      <c r="CT758" s="4" t="s">
        <v>241</v>
      </c>
      <c r="CU758" s="4">
        <v>0</v>
      </c>
      <c r="CV758" s="4" t="s">
        <v>271</v>
      </c>
      <c r="CW758" s="4" t="s">
        <v>411</v>
      </c>
      <c r="CX758" s="4" t="s">
        <v>2130</v>
      </c>
      <c r="CZ758" s="6">
        <f>34946100</f>
        <v>34946100</v>
      </c>
      <c r="DA758" s="6">
        <f>0</f>
        <v>0</v>
      </c>
      <c r="DC758" s="4" t="s">
        <v>241</v>
      </c>
      <c r="DD758" s="4" t="s">
        <v>241</v>
      </c>
      <c r="DF758" s="4" t="s">
        <v>241</v>
      </c>
      <c r="DI758" s="4" t="s">
        <v>241</v>
      </c>
      <c r="DJ758" s="4" t="s">
        <v>241</v>
      </c>
      <c r="DK758" s="4" t="s">
        <v>241</v>
      </c>
      <c r="DL758" s="4" t="s">
        <v>241</v>
      </c>
      <c r="DM758" s="4" t="s">
        <v>323</v>
      </c>
      <c r="DN758" s="4" t="s">
        <v>278</v>
      </c>
      <c r="DO758" s="6">
        <f>332.82</f>
        <v>332.82</v>
      </c>
      <c r="DP758" s="4" t="s">
        <v>241</v>
      </c>
      <c r="DQ758" s="4" t="s">
        <v>241</v>
      </c>
      <c r="DR758" s="4" t="s">
        <v>241</v>
      </c>
      <c r="DS758" s="4" t="s">
        <v>241</v>
      </c>
      <c r="DV758" s="4" t="s">
        <v>2138</v>
      </c>
      <c r="DW758" s="4" t="s">
        <v>277</v>
      </c>
      <c r="HO758" s="4" t="s">
        <v>323</v>
      </c>
      <c r="HR758" s="4" t="s">
        <v>278</v>
      </c>
      <c r="HS758" s="4" t="s">
        <v>278</v>
      </c>
    </row>
    <row r="759" spans="1:240" x14ac:dyDescent="0.4">
      <c r="A759" s="4">
        <v>2</v>
      </c>
      <c r="B759" s="4" t="s">
        <v>239</v>
      </c>
      <c r="C759" s="4">
        <v>826</v>
      </c>
      <c r="D759" s="4">
        <v>1</v>
      </c>
      <c r="E759" s="4">
        <v>1</v>
      </c>
      <c r="F759" s="4" t="s">
        <v>240</v>
      </c>
      <c r="G759" s="4" t="s">
        <v>241</v>
      </c>
      <c r="H759" s="4" t="s">
        <v>241</v>
      </c>
      <c r="I759" s="4" t="s">
        <v>2136</v>
      </c>
      <c r="J759" s="4" t="s">
        <v>344</v>
      </c>
      <c r="K759" s="4" t="s">
        <v>256</v>
      </c>
      <c r="L759" s="4" t="s">
        <v>2101</v>
      </c>
      <c r="M759" s="5" t="s">
        <v>2137</v>
      </c>
      <c r="N759" s="4" t="s">
        <v>2109</v>
      </c>
      <c r="O759" s="6">
        <f>332.82</f>
        <v>332.82</v>
      </c>
      <c r="P759" s="4" t="s">
        <v>276</v>
      </c>
      <c r="Q759" s="6">
        <f>1</f>
        <v>1</v>
      </c>
      <c r="R759" s="6">
        <f>34946100</f>
        <v>34946100</v>
      </c>
      <c r="S759" s="5" t="s">
        <v>954</v>
      </c>
      <c r="T759" s="4" t="s">
        <v>333</v>
      </c>
      <c r="U759" s="4" t="s">
        <v>333</v>
      </c>
      <c r="W759" s="6">
        <f>34946099</f>
        <v>34946099</v>
      </c>
      <c r="X759" s="4" t="s">
        <v>243</v>
      </c>
      <c r="Y759" s="4" t="s">
        <v>244</v>
      </c>
      <c r="Z759" s="4" t="s">
        <v>338</v>
      </c>
      <c r="AA759" s="4" t="s">
        <v>241</v>
      </c>
      <c r="AD759" s="4" t="s">
        <v>241</v>
      </c>
      <c r="AF759" s="5" t="s">
        <v>241</v>
      </c>
      <c r="AI759" s="5" t="s">
        <v>249</v>
      </c>
      <c r="AJ759" s="4" t="s">
        <v>251</v>
      </c>
      <c r="AK759" s="4" t="s">
        <v>252</v>
      </c>
      <c r="BA759" s="4" t="s">
        <v>254</v>
      </c>
      <c r="BB759" s="4" t="s">
        <v>241</v>
      </c>
      <c r="BC759" s="4" t="s">
        <v>255</v>
      </c>
      <c r="BD759" s="4" t="s">
        <v>241</v>
      </c>
      <c r="BE759" s="4" t="s">
        <v>257</v>
      </c>
      <c r="BF759" s="4" t="s">
        <v>241</v>
      </c>
      <c r="BJ759" s="4" t="s">
        <v>374</v>
      </c>
      <c r="BK759" s="5" t="s">
        <v>375</v>
      </c>
      <c r="BL759" s="4" t="s">
        <v>261</v>
      </c>
      <c r="BM759" s="4" t="s">
        <v>290</v>
      </c>
      <c r="BN759" s="4" t="s">
        <v>241</v>
      </c>
      <c r="BO759" s="6">
        <f>0</f>
        <v>0</v>
      </c>
      <c r="BP759" s="6">
        <f>0</f>
        <v>0</v>
      </c>
      <c r="BQ759" s="4" t="s">
        <v>263</v>
      </c>
      <c r="BR759" s="4" t="s">
        <v>264</v>
      </c>
      <c r="CF759" s="4" t="s">
        <v>241</v>
      </c>
      <c r="CG759" s="4" t="s">
        <v>241</v>
      </c>
      <c r="CK759" s="4" t="s">
        <v>265</v>
      </c>
      <c r="CL759" s="4" t="s">
        <v>266</v>
      </c>
      <c r="CM759" s="4" t="s">
        <v>241</v>
      </c>
      <c r="CO759" s="4" t="s">
        <v>956</v>
      </c>
      <c r="CP759" s="5" t="s">
        <v>268</v>
      </c>
      <c r="CQ759" s="4" t="s">
        <v>269</v>
      </c>
      <c r="CR759" s="4" t="s">
        <v>270</v>
      </c>
      <c r="CS759" s="4" t="s">
        <v>241</v>
      </c>
      <c r="CT759" s="4" t="s">
        <v>241</v>
      </c>
      <c r="CU759" s="4">
        <v>0</v>
      </c>
      <c r="CV759" s="4" t="s">
        <v>271</v>
      </c>
      <c r="CW759" s="4" t="s">
        <v>411</v>
      </c>
      <c r="CX759" s="4" t="s">
        <v>2130</v>
      </c>
      <c r="CZ759" s="6">
        <f>34946100</f>
        <v>34946100</v>
      </c>
      <c r="DA759" s="6">
        <f>0</f>
        <v>0</v>
      </c>
      <c r="DC759" s="4" t="s">
        <v>241</v>
      </c>
      <c r="DD759" s="4" t="s">
        <v>241</v>
      </c>
      <c r="DF759" s="4" t="s">
        <v>241</v>
      </c>
      <c r="DI759" s="4" t="s">
        <v>241</v>
      </c>
      <c r="DJ759" s="4" t="s">
        <v>241</v>
      </c>
      <c r="DK759" s="4" t="s">
        <v>241</v>
      </c>
      <c r="DL759" s="4" t="s">
        <v>241</v>
      </c>
      <c r="DM759" s="4" t="s">
        <v>323</v>
      </c>
      <c r="DN759" s="4" t="s">
        <v>278</v>
      </c>
      <c r="DO759" s="6">
        <f>332.82</f>
        <v>332.82</v>
      </c>
      <c r="DP759" s="4" t="s">
        <v>241</v>
      </c>
      <c r="DQ759" s="4" t="s">
        <v>241</v>
      </c>
      <c r="DR759" s="4" t="s">
        <v>241</v>
      </c>
      <c r="DS759" s="4" t="s">
        <v>241</v>
      </c>
      <c r="DV759" s="4" t="s">
        <v>2138</v>
      </c>
      <c r="DW759" s="4" t="s">
        <v>323</v>
      </c>
      <c r="HO759" s="4" t="s">
        <v>323</v>
      </c>
      <c r="HR759" s="4" t="s">
        <v>278</v>
      </c>
      <c r="HS759" s="4" t="s">
        <v>278</v>
      </c>
    </row>
    <row r="760" spans="1:240" x14ac:dyDescent="0.4">
      <c r="A760" s="4">
        <v>2</v>
      </c>
      <c r="B760" s="4" t="s">
        <v>239</v>
      </c>
      <c r="C760" s="4">
        <v>827</v>
      </c>
      <c r="D760" s="4">
        <v>1</v>
      </c>
      <c r="E760" s="4">
        <v>1</v>
      </c>
      <c r="F760" s="4" t="s">
        <v>240</v>
      </c>
      <c r="G760" s="4" t="s">
        <v>241</v>
      </c>
      <c r="H760" s="4" t="s">
        <v>241</v>
      </c>
      <c r="I760" s="4" t="s">
        <v>2136</v>
      </c>
      <c r="J760" s="4" t="s">
        <v>344</v>
      </c>
      <c r="K760" s="4" t="s">
        <v>256</v>
      </c>
      <c r="L760" s="4" t="s">
        <v>2101</v>
      </c>
      <c r="M760" s="5" t="s">
        <v>2137</v>
      </c>
      <c r="N760" s="4" t="s">
        <v>2110</v>
      </c>
      <c r="O760" s="6">
        <f>332.82</f>
        <v>332.82</v>
      </c>
      <c r="P760" s="4" t="s">
        <v>276</v>
      </c>
      <c r="Q760" s="6">
        <f>1</f>
        <v>1</v>
      </c>
      <c r="R760" s="6">
        <f>34946100</f>
        <v>34946100</v>
      </c>
      <c r="S760" s="5" t="s">
        <v>1088</v>
      </c>
      <c r="T760" s="4" t="s">
        <v>333</v>
      </c>
      <c r="U760" s="4" t="s">
        <v>333</v>
      </c>
      <c r="W760" s="6">
        <f>34946099</f>
        <v>34946099</v>
      </c>
      <c r="X760" s="4" t="s">
        <v>243</v>
      </c>
      <c r="Y760" s="4" t="s">
        <v>244</v>
      </c>
      <c r="Z760" s="4" t="s">
        <v>338</v>
      </c>
      <c r="AA760" s="4" t="s">
        <v>241</v>
      </c>
      <c r="AD760" s="4" t="s">
        <v>241</v>
      </c>
      <c r="AF760" s="5" t="s">
        <v>241</v>
      </c>
      <c r="AI760" s="5" t="s">
        <v>249</v>
      </c>
      <c r="AJ760" s="4" t="s">
        <v>251</v>
      </c>
      <c r="AK760" s="4" t="s">
        <v>252</v>
      </c>
      <c r="BA760" s="4" t="s">
        <v>254</v>
      </c>
      <c r="BB760" s="4" t="s">
        <v>241</v>
      </c>
      <c r="BC760" s="4" t="s">
        <v>255</v>
      </c>
      <c r="BD760" s="4" t="s">
        <v>241</v>
      </c>
      <c r="BE760" s="4" t="s">
        <v>257</v>
      </c>
      <c r="BF760" s="4" t="s">
        <v>241</v>
      </c>
      <c r="BJ760" s="4" t="s">
        <v>377</v>
      </c>
      <c r="BK760" s="5" t="s">
        <v>378</v>
      </c>
      <c r="BL760" s="4" t="s">
        <v>261</v>
      </c>
      <c r="BM760" s="4" t="s">
        <v>290</v>
      </c>
      <c r="BN760" s="4" t="s">
        <v>241</v>
      </c>
      <c r="BO760" s="6">
        <f>0</f>
        <v>0</v>
      </c>
      <c r="BP760" s="6">
        <f>0</f>
        <v>0</v>
      </c>
      <c r="BQ760" s="4" t="s">
        <v>263</v>
      </c>
      <c r="BR760" s="4" t="s">
        <v>264</v>
      </c>
      <c r="CF760" s="4" t="s">
        <v>241</v>
      </c>
      <c r="CG760" s="4" t="s">
        <v>241</v>
      </c>
      <c r="CK760" s="4" t="s">
        <v>265</v>
      </c>
      <c r="CL760" s="4" t="s">
        <v>266</v>
      </c>
      <c r="CM760" s="4" t="s">
        <v>241</v>
      </c>
      <c r="CO760" s="4" t="s">
        <v>914</v>
      </c>
      <c r="CP760" s="5" t="s">
        <v>268</v>
      </c>
      <c r="CQ760" s="4" t="s">
        <v>269</v>
      </c>
      <c r="CR760" s="4" t="s">
        <v>270</v>
      </c>
      <c r="CS760" s="4" t="s">
        <v>241</v>
      </c>
      <c r="CT760" s="4" t="s">
        <v>241</v>
      </c>
      <c r="CU760" s="4">
        <v>0</v>
      </c>
      <c r="CV760" s="4" t="s">
        <v>271</v>
      </c>
      <c r="CW760" s="4" t="s">
        <v>411</v>
      </c>
      <c r="CX760" s="4" t="s">
        <v>2130</v>
      </c>
      <c r="CZ760" s="6">
        <f>34946100</f>
        <v>34946100</v>
      </c>
      <c r="DA760" s="6">
        <f>0</f>
        <v>0</v>
      </c>
      <c r="DC760" s="4" t="s">
        <v>241</v>
      </c>
      <c r="DD760" s="4" t="s">
        <v>241</v>
      </c>
      <c r="DF760" s="4" t="s">
        <v>241</v>
      </c>
      <c r="DI760" s="4" t="s">
        <v>241</v>
      </c>
      <c r="DJ760" s="4" t="s">
        <v>241</v>
      </c>
      <c r="DK760" s="4" t="s">
        <v>241</v>
      </c>
      <c r="DL760" s="4" t="s">
        <v>241</v>
      </c>
      <c r="DM760" s="4" t="s">
        <v>323</v>
      </c>
      <c r="DN760" s="4" t="s">
        <v>278</v>
      </c>
      <c r="DO760" s="6">
        <f>332.82</f>
        <v>332.82</v>
      </c>
      <c r="DP760" s="4" t="s">
        <v>241</v>
      </c>
      <c r="DQ760" s="4" t="s">
        <v>241</v>
      </c>
      <c r="DR760" s="4" t="s">
        <v>241</v>
      </c>
      <c r="DS760" s="4" t="s">
        <v>241</v>
      </c>
      <c r="DV760" s="4" t="s">
        <v>2138</v>
      </c>
      <c r="DW760" s="4" t="s">
        <v>297</v>
      </c>
      <c r="HO760" s="4" t="s">
        <v>297</v>
      </c>
      <c r="HR760" s="4" t="s">
        <v>278</v>
      </c>
      <c r="HS760" s="4" t="s">
        <v>278</v>
      </c>
    </row>
    <row r="761" spans="1:240" x14ac:dyDescent="0.4">
      <c r="A761" s="4">
        <v>2</v>
      </c>
      <c r="B761" s="4" t="s">
        <v>239</v>
      </c>
      <c r="C761" s="4">
        <v>828</v>
      </c>
      <c r="D761" s="4">
        <v>1</v>
      </c>
      <c r="E761" s="4">
        <v>1</v>
      </c>
      <c r="F761" s="4" t="s">
        <v>240</v>
      </c>
      <c r="G761" s="4" t="s">
        <v>241</v>
      </c>
      <c r="H761" s="4" t="s">
        <v>241</v>
      </c>
      <c r="I761" s="4" t="s">
        <v>2136</v>
      </c>
      <c r="J761" s="4" t="s">
        <v>344</v>
      </c>
      <c r="K761" s="4" t="s">
        <v>256</v>
      </c>
      <c r="L761" s="4" t="s">
        <v>2101</v>
      </c>
      <c r="M761" s="5" t="s">
        <v>2137</v>
      </c>
      <c r="N761" s="4" t="s">
        <v>2122</v>
      </c>
      <c r="O761" s="6">
        <f>332.82</f>
        <v>332.82</v>
      </c>
      <c r="P761" s="4" t="s">
        <v>276</v>
      </c>
      <c r="Q761" s="6">
        <f>1</f>
        <v>1</v>
      </c>
      <c r="R761" s="6">
        <f>34946100</f>
        <v>34946100</v>
      </c>
      <c r="S761" s="5" t="s">
        <v>1088</v>
      </c>
      <c r="T761" s="4" t="s">
        <v>333</v>
      </c>
      <c r="U761" s="4" t="s">
        <v>333</v>
      </c>
      <c r="W761" s="6">
        <f>34946099</f>
        <v>34946099</v>
      </c>
      <c r="X761" s="4" t="s">
        <v>243</v>
      </c>
      <c r="Y761" s="4" t="s">
        <v>244</v>
      </c>
      <c r="Z761" s="4" t="s">
        <v>338</v>
      </c>
      <c r="AA761" s="4" t="s">
        <v>241</v>
      </c>
      <c r="AD761" s="4" t="s">
        <v>241</v>
      </c>
      <c r="AF761" s="5" t="s">
        <v>241</v>
      </c>
      <c r="AI761" s="5" t="s">
        <v>249</v>
      </c>
      <c r="AJ761" s="4" t="s">
        <v>251</v>
      </c>
      <c r="AK761" s="4" t="s">
        <v>252</v>
      </c>
      <c r="BA761" s="4" t="s">
        <v>254</v>
      </c>
      <c r="BB761" s="4" t="s">
        <v>241</v>
      </c>
      <c r="BC761" s="4" t="s">
        <v>255</v>
      </c>
      <c r="BD761" s="4" t="s">
        <v>241</v>
      </c>
      <c r="BE761" s="4" t="s">
        <v>257</v>
      </c>
      <c r="BF761" s="4" t="s">
        <v>241</v>
      </c>
      <c r="BJ761" s="4" t="s">
        <v>259</v>
      </c>
      <c r="BK761" s="5" t="s">
        <v>260</v>
      </c>
      <c r="BL761" s="4" t="s">
        <v>261</v>
      </c>
      <c r="BM761" s="4" t="s">
        <v>290</v>
      </c>
      <c r="BN761" s="4" t="s">
        <v>241</v>
      </c>
      <c r="BO761" s="6">
        <f>0</f>
        <v>0</v>
      </c>
      <c r="BP761" s="6">
        <f>0</f>
        <v>0</v>
      </c>
      <c r="BQ761" s="4" t="s">
        <v>263</v>
      </c>
      <c r="BR761" s="4" t="s">
        <v>264</v>
      </c>
      <c r="CF761" s="4" t="s">
        <v>241</v>
      </c>
      <c r="CG761" s="4" t="s">
        <v>241</v>
      </c>
      <c r="CK761" s="4" t="s">
        <v>265</v>
      </c>
      <c r="CL761" s="4" t="s">
        <v>266</v>
      </c>
      <c r="CM761" s="4" t="s">
        <v>241</v>
      </c>
      <c r="CO761" s="4" t="s">
        <v>914</v>
      </c>
      <c r="CP761" s="5" t="s">
        <v>268</v>
      </c>
      <c r="CQ761" s="4" t="s">
        <v>269</v>
      </c>
      <c r="CR761" s="4" t="s">
        <v>270</v>
      </c>
      <c r="CS761" s="4" t="s">
        <v>241</v>
      </c>
      <c r="CT761" s="4" t="s">
        <v>241</v>
      </c>
      <c r="CU761" s="4">
        <v>0</v>
      </c>
      <c r="CV761" s="4" t="s">
        <v>271</v>
      </c>
      <c r="CW761" s="4" t="s">
        <v>411</v>
      </c>
      <c r="CX761" s="4" t="s">
        <v>2130</v>
      </c>
      <c r="CZ761" s="6">
        <f>34946100</f>
        <v>34946100</v>
      </c>
      <c r="DA761" s="6">
        <f>0</f>
        <v>0</v>
      </c>
      <c r="DC761" s="4" t="s">
        <v>241</v>
      </c>
      <c r="DD761" s="4" t="s">
        <v>241</v>
      </c>
      <c r="DF761" s="4" t="s">
        <v>241</v>
      </c>
      <c r="DI761" s="4" t="s">
        <v>241</v>
      </c>
      <c r="DJ761" s="4" t="s">
        <v>241</v>
      </c>
      <c r="DK761" s="4" t="s">
        <v>241</v>
      </c>
      <c r="DL761" s="4" t="s">
        <v>241</v>
      </c>
      <c r="DM761" s="4" t="s">
        <v>323</v>
      </c>
      <c r="DN761" s="4" t="s">
        <v>278</v>
      </c>
      <c r="DO761" s="6">
        <f>332.82</f>
        <v>332.82</v>
      </c>
      <c r="DP761" s="4" t="s">
        <v>241</v>
      </c>
      <c r="DQ761" s="4" t="s">
        <v>241</v>
      </c>
      <c r="DR761" s="4" t="s">
        <v>241</v>
      </c>
      <c r="DS761" s="4" t="s">
        <v>241</v>
      </c>
      <c r="DV761" s="4" t="s">
        <v>2138</v>
      </c>
      <c r="DW761" s="4" t="s">
        <v>336</v>
      </c>
      <c r="HO761" s="4" t="s">
        <v>297</v>
      </c>
      <c r="HR761" s="4" t="s">
        <v>278</v>
      </c>
      <c r="HS761" s="4" t="s">
        <v>278</v>
      </c>
    </row>
    <row r="762" spans="1:240" x14ac:dyDescent="0.4">
      <c r="A762" s="4">
        <v>2</v>
      </c>
      <c r="B762" s="4" t="s">
        <v>239</v>
      </c>
      <c r="C762" s="4">
        <v>829</v>
      </c>
      <c r="D762" s="4">
        <v>1</v>
      </c>
      <c r="E762" s="4">
        <v>1</v>
      </c>
      <c r="F762" s="4" t="s">
        <v>240</v>
      </c>
      <c r="G762" s="4" t="s">
        <v>241</v>
      </c>
      <c r="H762" s="4" t="s">
        <v>241</v>
      </c>
      <c r="I762" s="4" t="s">
        <v>2136</v>
      </c>
      <c r="J762" s="4" t="s">
        <v>344</v>
      </c>
      <c r="K762" s="4" t="s">
        <v>256</v>
      </c>
      <c r="L762" s="4" t="s">
        <v>2101</v>
      </c>
      <c r="M762" s="5" t="s">
        <v>2137</v>
      </c>
      <c r="N762" s="4" t="s">
        <v>2098</v>
      </c>
      <c r="O762" s="6">
        <f>378.78</f>
        <v>378.78</v>
      </c>
      <c r="P762" s="4" t="s">
        <v>276</v>
      </c>
      <c r="Q762" s="6">
        <f>1</f>
        <v>1</v>
      </c>
      <c r="R762" s="6">
        <f>39771900</f>
        <v>39771900</v>
      </c>
      <c r="S762" s="5" t="s">
        <v>1088</v>
      </c>
      <c r="T762" s="4" t="s">
        <v>333</v>
      </c>
      <c r="U762" s="4" t="s">
        <v>333</v>
      </c>
      <c r="W762" s="6">
        <f>39771899</f>
        <v>39771899</v>
      </c>
      <c r="X762" s="4" t="s">
        <v>243</v>
      </c>
      <c r="Y762" s="4" t="s">
        <v>244</v>
      </c>
      <c r="Z762" s="4" t="s">
        <v>338</v>
      </c>
      <c r="AA762" s="4" t="s">
        <v>241</v>
      </c>
      <c r="AD762" s="4" t="s">
        <v>241</v>
      </c>
      <c r="AF762" s="5" t="s">
        <v>241</v>
      </c>
      <c r="AI762" s="5" t="s">
        <v>249</v>
      </c>
      <c r="AJ762" s="4" t="s">
        <v>251</v>
      </c>
      <c r="AK762" s="4" t="s">
        <v>252</v>
      </c>
      <c r="BA762" s="4" t="s">
        <v>254</v>
      </c>
      <c r="BB762" s="4" t="s">
        <v>241</v>
      </c>
      <c r="BC762" s="4" t="s">
        <v>255</v>
      </c>
      <c r="BD762" s="4" t="s">
        <v>241</v>
      </c>
      <c r="BE762" s="4" t="s">
        <v>257</v>
      </c>
      <c r="BF762" s="4" t="s">
        <v>241</v>
      </c>
      <c r="BJ762" s="4" t="s">
        <v>367</v>
      </c>
      <c r="BK762" s="5" t="s">
        <v>249</v>
      </c>
      <c r="BL762" s="4" t="s">
        <v>261</v>
      </c>
      <c r="BM762" s="4" t="s">
        <v>290</v>
      </c>
      <c r="BN762" s="4" t="s">
        <v>241</v>
      </c>
      <c r="BO762" s="6">
        <f>0</f>
        <v>0</v>
      </c>
      <c r="BP762" s="6">
        <f>0</f>
        <v>0</v>
      </c>
      <c r="BQ762" s="4" t="s">
        <v>263</v>
      </c>
      <c r="BR762" s="4" t="s">
        <v>264</v>
      </c>
      <c r="CF762" s="4" t="s">
        <v>241</v>
      </c>
      <c r="CG762" s="4" t="s">
        <v>241</v>
      </c>
      <c r="CK762" s="4" t="s">
        <v>265</v>
      </c>
      <c r="CL762" s="4" t="s">
        <v>266</v>
      </c>
      <c r="CM762" s="4" t="s">
        <v>241</v>
      </c>
      <c r="CO762" s="4" t="s">
        <v>914</v>
      </c>
      <c r="CP762" s="5" t="s">
        <v>268</v>
      </c>
      <c r="CQ762" s="4" t="s">
        <v>269</v>
      </c>
      <c r="CR762" s="4" t="s">
        <v>270</v>
      </c>
      <c r="CS762" s="4" t="s">
        <v>241</v>
      </c>
      <c r="CT762" s="4" t="s">
        <v>241</v>
      </c>
      <c r="CU762" s="4">
        <v>0</v>
      </c>
      <c r="CV762" s="4" t="s">
        <v>271</v>
      </c>
      <c r="CW762" s="4" t="s">
        <v>411</v>
      </c>
      <c r="CX762" s="4" t="s">
        <v>2130</v>
      </c>
      <c r="CZ762" s="6">
        <f>39771900</f>
        <v>39771900</v>
      </c>
      <c r="DA762" s="6">
        <f>0</f>
        <v>0</v>
      </c>
      <c r="DC762" s="4" t="s">
        <v>241</v>
      </c>
      <c r="DD762" s="4" t="s">
        <v>241</v>
      </c>
      <c r="DF762" s="4" t="s">
        <v>241</v>
      </c>
      <c r="DI762" s="4" t="s">
        <v>241</v>
      </c>
      <c r="DJ762" s="4" t="s">
        <v>241</v>
      </c>
      <c r="DK762" s="4" t="s">
        <v>241</v>
      </c>
      <c r="DL762" s="4" t="s">
        <v>241</v>
      </c>
      <c r="DM762" s="4" t="s">
        <v>323</v>
      </c>
      <c r="DN762" s="4" t="s">
        <v>278</v>
      </c>
      <c r="DO762" s="6">
        <f>378.78</f>
        <v>378.78</v>
      </c>
      <c r="DP762" s="4" t="s">
        <v>241</v>
      </c>
      <c r="DQ762" s="4" t="s">
        <v>241</v>
      </c>
      <c r="DR762" s="4" t="s">
        <v>241</v>
      </c>
      <c r="DS762" s="4" t="s">
        <v>241</v>
      </c>
      <c r="DV762" s="4" t="s">
        <v>2138</v>
      </c>
      <c r="DW762" s="4" t="s">
        <v>351</v>
      </c>
      <c r="HO762" s="4" t="s">
        <v>297</v>
      </c>
      <c r="HR762" s="4" t="s">
        <v>278</v>
      </c>
      <c r="HS762" s="4" t="s">
        <v>278</v>
      </c>
    </row>
    <row r="763" spans="1:240" x14ac:dyDescent="0.4">
      <c r="A763" s="4">
        <v>2</v>
      </c>
      <c r="B763" s="4" t="s">
        <v>239</v>
      </c>
      <c r="C763" s="4">
        <v>830</v>
      </c>
      <c r="D763" s="4">
        <v>1</v>
      </c>
      <c r="E763" s="4">
        <v>1</v>
      </c>
      <c r="F763" s="4" t="s">
        <v>240</v>
      </c>
      <c r="G763" s="4" t="s">
        <v>241</v>
      </c>
      <c r="H763" s="4" t="s">
        <v>241</v>
      </c>
      <c r="I763" s="4" t="s">
        <v>2136</v>
      </c>
      <c r="J763" s="4" t="s">
        <v>344</v>
      </c>
      <c r="K763" s="4" t="s">
        <v>256</v>
      </c>
      <c r="L763" s="4" t="s">
        <v>2101</v>
      </c>
      <c r="M763" s="5" t="s">
        <v>2137</v>
      </c>
      <c r="N763" s="4" t="s">
        <v>2191</v>
      </c>
      <c r="O763" s="6">
        <f>378.78</f>
        <v>378.78</v>
      </c>
      <c r="P763" s="4" t="s">
        <v>276</v>
      </c>
      <c r="Q763" s="6">
        <f>1</f>
        <v>1</v>
      </c>
      <c r="R763" s="6">
        <f>39771900</f>
        <v>39771900</v>
      </c>
      <c r="S763" s="5" t="s">
        <v>1088</v>
      </c>
      <c r="T763" s="4" t="s">
        <v>333</v>
      </c>
      <c r="U763" s="4" t="s">
        <v>333</v>
      </c>
      <c r="W763" s="6">
        <f>39771899</f>
        <v>39771899</v>
      </c>
      <c r="X763" s="4" t="s">
        <v>243</v>
      </c>
      <c r="Y763" s="4" t="s">
        <v>244</v>
      </c>
      <c r="Z763" s="4" t="s">
        <v>338</v>
      </c>
      <c r="AA763" s="4" t="s">
        <v>241</v>
      </c>
      <c r="AD763" s="4" t="s">
        <v>241</v>
      </c>
      <c r="AF763" s="5" t="s">
        <v>241</v>
      </c>
      <c r="AI763" s="5" t="s">
        <v>249</v>
      </c>
      <c r="AJ763" s="4" t="s">
        <v>251</v>
      </c>
      <c r="AK763" s="4" t="s">
        <v>252</v>
      </c>
      <c r="BA763" s="4" t="s">
        <v>254</v>
      </c>
      <c r="BB763" s="4" t="s">
        <v>241</v>
      </c>
      <c r="BC763" s="4" t="s">
        <v>255</v>
      </c>
      <c r="BD763" s="4" t="s">
        <v>241</v>
      </c>
      <c r="BE763" s="4" t="s">
        <v>257</v>
      </c>
      <c r="BF763" s="4" t="s">
        <v>241</v>
      </c>
      <c r="BJ763" s="4" t="s">
        <v>374</v>
      </c>
      <c r="BK763" s="5" t="s">
        <v>375</v>
      </c>
      <c r="BL763" s="4" t="s">
        <v>261</v>
      </c>
      <c r="BM763" s="4" t="s">
        <v>290</v>
      </c>
      <c r="BN763" s="4" t="s">
        <v>241</v>
      </c>
      <c r="BO763" s="6">
        <f>0</f>
        <v>0</v>
      </c>
      <c r="BP763" s="6">
        <f>0</f>
        <v>0</v>
      </c>
      <c r="BQ763" s="4" t="s">
        <v>263</v>
      </c>
      <c r="BR763" s="4" t="s">
        <v>264</v>
      </c>
      <c r="CF763" s="4" t="s">
        <v>241</v>
      </c>
      <c r="CG763" s="4" t="s">
        <v>241</v>
      </c>
      <c r="CK763" s="4" t="s">
        <v>265</v>
      </c>
      <c r="CL763" s="4" t="s">
        <v>266</v>
      </c>
      <c r="CM763" s="4" t="s">
        <v>241</v>
      </c>
      <c r="CO763" s="4" t="s">
        <v>914</v>
      </c>
      <c r="CP763" s="5" t="s">
        <v>268</v>
      </c>
      <c r="CQ763" s="4" t="s">
        <v>269</v>
      </c>
      <c r="CR763" s="4" t="s">
        <v>270</v>
      </c>
      <c r="CS763" s="4" t="s">
        <v>241</v>
      </c>
      <c r="CT763" s="4" t="s">
        <v>241</v>
      </c>
      <c r="CU763" s="4">
        <v>0</v>
      </c>
      <c r="CV763" s="4" t="s">
        <v>271</v>
      </c>
      <c r="CW763" s="4" t="s">
        <v>411</v>
      </c>
      <c r="CX763" s="4" t="s">
        <v>2130</v>
      </c>
      <c r="CZ763" s="6">
        <f>39771900</f>
        <v>39771900</v>
      </c>
      <c r="DA763" s="6">
        <f>0</f>
        <v>0</v>
      </c>
      <c r="DC763" s="4" t="s">
        <v>241</v>
      </c>
      <c r="DD763" s="4" t="s">
        <v>241</v>
      </c>
      <c r="DF763" s="4" t="s">
        <v>241</v>
      </c>
      <c r="DI763" s="4" t="s">
        <v>241</v>
      </c>
      <c r="DJ763" s="4" t="s">
        <v>241</v>
      </c>
      <c r="DK763" s="4" t="s">
        <v>241</v>
      </c>
      <c r="DL763" s="4" t="s">
        <v>241</v>
      </c>
      <c r="DM763" s="4" t="s">
        <v>323</v>
      </c>
      <c r="DN763" s="4" t="s">
        <v>278</v>
      </c>
      <c r="DO763" s="6">
        <f>378.78</f>
        <v>378.78</v>
      </c>
      <c r="DP763" s="4" t="s">
        <v>241</v>
      </c>
      <c r="DQ763" s="4" t="s">
        <v>241</v>
      </c>
      <c r="DR763" s="4" t="s">
        <v>241</v>
      </c>
      <c r="DS763" s="4" t="s">
        <v>241</v>
      </c>
      <c r="DV763" s="4" t="s">
        <v>2138</v>
      </c>
      <c r="DW763" s="4" t="s">
        <v>300</v>
      </c>
      <c r="HO763" s="4" t="s">
        <v>297</v>
      </c>
      <c r="HR763" s="4" t="s">
        <v>278</v>
      </c>
      <c r="HS763" s="4" t="s">
        <v>278</v>
      </c>
    </row>
    <row r="764" spans="1:240" x14ac:dyDescent="0.4">
      <c r="A764" s="4">
        <v>2</v>
      </c>
      <c r="B764" s="4" t="s">
        <v>239</v>
      </c>
      <c r="C764" s="4">
        <v>831</v>
      </c>
      <c r="D764" s="4">
        <v>1</v>
      </c>
      <c r="E764" s="4">
        <v>1</v>
      </c>
      <c r="F764" s="4" t="s">
        <v>240</v>
      </c>
      <c r="G764" s="4" t="s">
        <v>241</v>
      </c>
      <c r="H764" s="4" t="s">
        <v>241</v>
      </c>
      <c r="I764" s="4" t="s">
        <v>2136</v>
      </c>
      <c r="J764" s="4" t="s">
        <v>344</v>
      </c>
      <c r="K764" s="4" t="s">
        <v>256</v>
      </c>
      <c r="L764" s="4" t="s">
        <v>2101</v>
      </c>
      <c r="M764" s="5" t="s">
        <v>2137</v>
      </c>
      <c r="N764" s="4" t="s">
        <v>2192</v>
      </c>
      <c r="O764" s="6">
        <f>324.6</f>
        <v>324.60000000000002</v>
      </c>
      <c r="P764" s="4" t="s">
        <v>276</v>
      </c>
      <c r="Q764" s="6">
        <f>1</f>
        <v>1</v>
      </c>
      <c r="R764" s="6">
        <f>34083000</f>
        <v>34083000</v>
      </c>
      <c r="S764" s="5" t="s">
        <v>839</v>
      </c>
      <c r="T764" s="4" t="s">
        <v>333</v>
      </c>
      <c r="U764" s="4" t="s">
        <v>333</v>
      </c>
      <c r="W764" s="6">
        <f>34082999</f>
        <v>34082999</v>
      </c>
      <c r="X764" s="4" t="s">
        <v>243</v>
      </c>
      <c r="Y764" s="4" t="s">
        <v>244</v>
      </c>
      <c r="Z764" s="4" t="s">
        <v>338</v>
      </c>
      <c r="AA764" s="4" t="s">
        <v>241</v>
      </c>
      <c r="AD764" s="4" t="s">
        <v>241</v>
      </c>
      <c r="AF764" s="5" t="s">
        <v>241</v>
      </c>
      <c r="AI764" s="5" t="s">
        <v>249</v>
      </c>
      <c r="AJ764" s="4" t="s">
        <v>251</v>
      </c>
      <c r="AK764" s="4" t="s">
        <v>252</v>
      </c>
      <c r="BA764" s="4" t="s">
        <v>254</v>
      </c>
      <c r="BB764" s="4" t="s">
        <v>241</v>
      </c>
      <c r="BC764" s="4" t="s">
        <v>255</v>
      </c>
      <c r="BD764" s="4" t="s">
        <v>241</v>
      </c>
      <c r="BE764" s="4" t="s">
        <v>257</v>
      </c>
      <c r="BF764" s="4" t="s">
        <v>241</v>
      </c>
      <c r="BJ764" s="4" t="s">
        <v>377</v>
      </c>
      <c r="BK764" s="5" t="s">
        <v>378</v>
      </c>
      <c r="BL764" s="4" t="s">
        <v>261</v>
      </c>
      <c r="BM764" s="4" t="s">
        <v>290</v>
      </c>
      <c r="BN764" s="4" t="s">
        <v>241</v>
      </c>
      <c r="BO764" s="6">
        <f>0</f>
        <v>0</v>
      </c>
      <c r="BP764" s="6">
        <f>0</f>
        <v>0</v>
      </c>
      <c r="BQ764" s="4" t="s">
        <v>263</v>
      </c>
      <c r="BR764" s="4" t="s">
        <v>264</v>
      </c>
      <c r="CF764" s="4" t="s">
        <v>241</v>
      </c>
      <c r="CG764" s="4" t="s">
        <v>241</v>
      </c>
      <c r="CK764" s="4" t="s">
        <v>265</v>
      </c>
      <c r="CL764" s="4" t="s">
        <v>266</v>
      </c>
      <c r="CM764" s="4" t="s">
        <v>241</v>
      </c>
      <c r="CO764" s="4" t="s">
        <v>841</v>
      </c>
      <c r="CP764" s="5" t="s">
        <v>268</v>
      </c>
      <c r="CQ764" s="4" t="s">
        <v>269</v>
      </c>
      <c r="CR764" s="4" t="s">
        <v>270</v>
      </c>
      <c r="CS764" s="4" t="s">
        <v>241</v>
      </c>
      <c r="CT764" s="4" t="s">
        <v>241</v>
      </c>
      <c r="CU764" s="4">
        <v>0</v>
      </c>
      <c r="CV764" s="4" t="s">
        <v>271</v>
      </c>
      <c r="CW764" s="4" t="s">
        <v>411</v>
      </c>
      <c r="CX764" s="4" t="s">
        <v>2130</v>
      </c>
      <c r="CZ764" s="6">
        <f>34083000</f>
        <v>34083000</v>
      </c>
      <c r="DA764" s="6">
        <f>0</f>
        <v>0</v>
      </c>
      <c r="DC764" s="4" t="s">
        <v>241</v>
      </c>
      <c r="DD764" s="4" t="s">
        <v>241</v>
      </c>
      <c r="DF764" s="4" t="s">
        <v>241</v>
      </c>
      <c r="DI764" s="4" t="s">
        <v>241</v>
      </c>
      <c r="DJ764" s="4" t="s">
        <v>241</v>
      </c>
      <c r="DK764" s="4" t="s">
        <v>241</v>
      </c>
      <c r="DL764" s="4" t="s">
        <v>241</v>
      </c>
      <c r="DM764" s="4" t="s">
        <v>323</v>
      </c>
      <c r="DN764" s="4" t="s">
        <v>278</v>
      </c>
      <c r="DO764" s="6">
        <f>324.6</f>
        <v>324.60000000000002</v>
      </c>
      <c r="DP764" s="4" t="s">
        <v>241</v>
      </c>
      <c r="DQ764" s="4" t="s">
        <v>241</v>
      </c>
      <c r="DR764" s="4" t="s">
        <v>241</v>
      </c>
      <c r="DS764" s="4" t="s">
        <v>241</v>
      </c>
      <c r="DV764" s="4" t="s">
        <v>2138</v>
      </c>
      <c r="DW764" s="4" t="s">
        <v>341</v>
      </c>
      <c r="HO764" s="4" t="s">
        <v>336</v>
      </c>
      <c r="HR764" s="4" t="s">
        <v>278</v>
      </c>
      <c r="HS764" s="4" t="s">
        <v>278</v>
      </c>
    </row>
    <row r="765" spans="1:240" x14ac:dyDescent="0.4">
      <c r="A765" s="4">
        <v>2</v>
      </c>
      <c r="B765" s="4" t="s">
        <v>239</v>
      </c>
      <c r="C765" s="4">
        <v>832</v>
      </c>
      <c r="D765" s="4">
        <v>1</v>
      </c>
      <c r="E765" s="4">
        <v>1</v>
      </c>
      <c r="F765" s="4" t="s">
        <v>240</v>
      </c>
      <c r="G765" s="4" t="s">
        <v>241</v>
      </c>
      <c r="H765" s="4" t="s">
        <v>241</v>
      </c>
      <c r="I765" s="4" t="s">
        <v>2136</v>
      </c>
      <c r="J765" s="4" t="s">
        <v>344</v>
      </c>
      <c r="K765" s="4" t="s">
        <v>256</v>
      </c>
      <c r="L765" s="4" t="s">
        <v>2101</v>
      </c>
      <c r="M765" s="5" t="s">
        <v>2137</v>
      </c>
      <c r="N765" s="4" t="s">
        <v>2173</v>
      </c>
      <c r="O765" s="6">
        <f>324.6</f>
        <v>324.60000000000002</v>
      </c>
      <c r="P765" s="4" t="s">
        <v>276</v>
      </c>
      <c r="Q765" s="6">
        <f>1</f>
        <v>1</v>
      </c>
      <c r="R765" s="6">
        <f>34083000</f>
        <v>34083000</v>
      </c>
      <c r="S765" s="5" t="s">
        <v>839</v>
      </c>
      <c r="T765" s="4" t="s">
        <v>333</v>
      </c>
      <c r="U765" s="4" t="s">
        <v>333</v>
      </c>
      <c r="W765" s="6">
        <f>34082999</f>
        <v>34082999</v>
      </c>
      <c r="X765" s="4" t="s">
        <v>243</v>
      </c>
      <c r="Y765" s="4" t="s">
        <v>244</v>
      </c>
      <c r="Z765" s="4" t="s">
        <v>338</v>
      </c>
      <c r="AA765" s="4" t="s">
        <v>241</v>
      </c>
      <c r="AD765" s="4" t="s">
        <v>241</v>
      </c>
      <c r="AF765" s="5" t="s">
        <v>241</v>
      </c>
      <c r="AI765" s="5" t="s">
        <v>249</v>
      </c>
      <c r="AJ765" s="4" t="s">
        <v>251</v>
      </c>
      <c r="AK765" s="4" t="s">
        <v>252</v>
      </c>
      <c r="BA765" s="4" t="s">
        <v>254</v>
      </c>
      <c r="BB765" s="4" t="s">
        <v>241</v>
      </c>
      <c r="BC765" s="4" t="s">
        <v>255</v>
      </c>
      <c r="BD765" s="4" t="s">
        <v>241</v>
      </c>
      <c r="BE765" s="4" t="s">
        <v>257</v>
      </c>
      <c r="BF765" s="4" t="s">
        <v>241</v>
      </c>
      <c r="BJ765" s="4" t="s">
        <v>259</v>
      </c>
      <c r="BK765" s="5" t="s">
        <v>260</v>
      </c>
      <c r="BL765" s="4" t="s">
        <v>261</v>
      </c>
      <c r="BM765" s="4" t="s">
        <v>290</v>
      </c>
      <c r="BN765" s="4" t="s">
        <v>241</v>
      </c>
      <c r="BO765" s="6">
        <f>0</f>
        <v>0</v>
      </c>
      <c r="BP765" s="6">
        <f>0</f>
        <v>0</v>
      </c>
      <c r="BQ765" s="4" t="s">
        <v>263</v>
      </c>
      <c r="BR765" s="4" t="s">
        <v>264</v>
      </c>
      <c r="CF765" s="4" t="s">
        <v>241</v>
      </c>
      <c r="CG765" s="4" t="s">
        <v>241</v>
      </c>
      <c r="CK765" s="4" t="s">
        <v>265</v>
      </c>
      <c r="CL765" s="4" t="s">
        <v>266</v>
      </c>
      <c r="CM765" s="4" t="s">
        <v>241</v>
      </c>
      <c r="CO765" s="4" t="s">
        <v>841</v>
      </c>
      <c r="CP765" s="5" t="s">
        <v>268</v>
      </c>
      <c r="CQ765" s="4" t="s">
        <v>269</v>
      </c>
      <c r="CR765" s="4" t="s">
        <v>270</v>
      </c>
      <c r="CS765" s="4" t="s">
        <v>241</v>
      </c>
      <c r="CT765" s="4" t="s">
        <v>241</v>
      </c>
      <c r="CU765" s="4">
        <v>0</v>
      </c>
      <c r="CV765" s="4" t="s">
        <v>271</v>
      </c>
      <c r="CW765" s="4" t="s">
        <v>411</v>
      </c>
      <c r="CX765" s="4" t="s">
        <v>2130</v>
      </c>
      <c r="CZ765" s="6">
        <f>34083000</f>
        <v>34083000</v>
      </c>
      <c r="DA765" s="6">
        <f>0</f>
        <v>0</v>
      </c>
      <c r="DC765" s="4" t="s">
        <v>241</v>
      </c>
      <c r="DD765" s="4" t="s">
        <v>241</v>
      </c>
      <c r="DF765" s="4" t="s">
        <v>241</v>
      </c>
      <c r="DI765" s="4" t="s">
        <v>241</v>
      </c>
      <c r="DJ765" s="4" t="s">
        <v>241</v>
      </c>
      <c r="DK765" s="4" t="s">
        <v>241</v>
      </c>
      <c r="DL765" s="4" t="s">
        <v>241</v>
      </c>
      <c r="DM765" s="4" t="s">
        <v>323</v>
      </c>
      <c r="DN765" s="4" t="s">
        <v>278</v>
      </c>
      <c r="DO765" s="6">
        <f>324.6</f>
        <v>324.60000000000002</v>
      </c>
      <c r="DP765" s="4" t="s">
        <v>241</v>
      </c>
      <c r="DQ765" s="4" t="s">
        <v>241</v>
      </c>
      <c r="DR765" s="4" t="s">
        <v>241</v>
      </c>
      <c r="DS765" s="4" t="s">
        <v>241</v>
      </c>
      <c r="DV765" s="4" t="s">
        <v>2138</v>
      </c>
      <c r="DW765" s="4" t="s">
        <v>343</v>
      </c>
      <c r="HO765" s="4" t="s">
        <v>336</v>
      </c>
      <c r="HR765" s="4" t="s">
        <v>278</v>
      </c>
      <c r="HS765" s="4" t="s">
        <v>278</v>
      </c>
    </row>
    <row r="766" spans="1:240" x14ac:dyDescent="0.4">
      <c r="A766" s="4">
        <v>2</v>
      </c>
      <c r="B766" s="4" t="s">
        <v>239</v>
      </c>
      <c r="C766" s="4">
        <v>833</v>
      </c>
      <c r="D766" s="4">
        <v>1</v>
      </c>
      <c r="E766" s="4">
        <v>3</v>
      </c>
      <c r="F766" s="4" t="s">
        <v>240</v>
      </c>
      <c r="G766" s="4" t="s">
        <v>241</v>
      </c>
      <c r="H766" s="4" t="s">
        <v>241</v>
      </c>
      <c r="I766" s="4" t="s">
        <v>2469</v>
      </c>
      <c r="J766" s="4" t="s">
        <v>344</v>
      </c>
      <c r="K766" s="4" t="s">
        <v>256</v>
      </c>
      <c r="L766" s="4" t="s">
        <v>2101</v>
      </c>
      <c r="M766" s="5" t="s">
        <v>2470</v>
      </c>
      <c r="N766" s="4" t="s">
        <v>2104</v>
      </c>
      <c r="O766" s="6">
        <f>157.32</f>
        <v>157.32</v>
      </c>
      <c r="P766" s="4" t="s">
        <v>276</v>
      </c>
      <c r="Q766" s="6">
        <f>4383576</f>
        <v>4383576</v>
      </c>
      <c r="R766" s="6">
        <f>25485840</f>
        <v>25485840</v>
      </c>
      <c r="S766" s="5" t="s">
        <v>442</v>
      </c>
      <c r="T766" s="4" t="s">
        <v>314</v>
      </c>
      <c r="U766" s="4" t="s">
        <v>401</v>
      </c>
      <c r="V766" s="6">
        <f>1172348</f>
        <v>1172348</v>
      </c>
      <c r="W766" s="6">
        <f>21102264</f>
        <v>21102264</v>
      </c>
      <c r="X766" s="4" t="s">
        <v>243</v>
      </c>
      <c r="Y766" s="4" t="s">
        <v>244</v>
      </c>
      <c r="Z766" s="4" t="s">
        <v>338</v>
      </c>
      <c r="AA766" s="4" t="s">
        <v>241</v>
      </c>
      <c r="AD766" s="4" t="s">
        <v>241</v>
      </c>
      <c r="AE766" s="5" t="s">
        <v>241</v>
      </c>
      <c r="AF766" s="5" t="s">
        <v>241</v>
      </c>
      <c r="AH766" s="5" t="s">
        <v>241</v>
      </c>
      <c r="AI766" s="5" t="s">
        <v>249</v>
      </c>
      <c r="AJ766" s="4" t="s">
        <v>251</v>
      </c>
      <c r="AK766" s="4" t="s">
        <v>252</v>
      </c>
      <c r="AQ766" s="4" t="s">
        <v>241</v>
      </c>
      <c r="AR766" s="4" t="s">
        <v>241</v>
      </c>
      <c r="AS766" s="4" t="s">
        <v>241</v>
      </c>
      <c r="AT766" s="5" t="s">
        <v>241</v>
      </c>
      <c r="AU766" s="5" t="s">
        <v>241</v>
      </c>
      <c r="AV766" s="5" t="s">
        <v>241</v>
      </c>
      <c r="AY766" s="4" t="s">
        <v>286</v>
      </c>
      <c r="AZ766" s="4" t="s">
        <v>286</v>
      </c>
      <c r="BA766" s="4" t="s">
        <v>254</v>
      </c>
      <c r="BB766" s="4" t="s">
        <v>287</v>
      </c>
      <c r="BC766" s="4" t="s">
        <v>255</v>
      </c>
      <c r="BD766" s="4" t="s">
        <v>241</v>
      </c>
      <c r="BE766" s="4" t="s">
        <v>257</v>
      </c>
      <c r="BF766" s="4" t="s">
        <v>241</v>
      </c>
      <c r="BJ766" s="4" t="s">
        <v>288</v>
      </c>
      <c r="BK766" s="5" t="s">
        <v>289</v>
      </c>
      <c r="BL766" s="4" t="s">
        <v>290</v>
      </c>
      <c r="BM766" s="4" t="s">
        <v>290</v>
      </c>
      <c r="BN766" s="4" t="s">
        <v>241</v>
      </c>
      <c r="BO766" s="6">
        <f>0</f>
        <v>0</v>
      </c>
      <c r="BP766" s="6">
        <f>-1172348</f>
        <v>-1172348</v>
      </c>
      <c r="BQ766" s="4" t="s">
        <v>263</v>
      </c>
      <c r="BR766" s="4" t="s">
        <v>264</v>
      </c>
      <c r="BS766" s="4" t="s">
        <v>241</v>
      </c>
      <c r="BT766" s="4" t="s">
        <v>241</v>
      </c>
      <c r="BU766" s="4" t="s">
        <v>241</v>
      </c>
      <c r="BV766" s="4" t="s">
        <v>241</v>
      </c>
      <c r="CE766" s="4" t="s">
        <v>264</v>
      </c>
      <c r="CF766" s="4" t="s">
        <v>241</v>
      </c>
      <c r="CG766" s="4" t="s">
        <v>241</v>
      </c>
      <c r="CK766" s="4" t="s">
        <v>291</v>
      </c>
      <c r="CL766" s="4" t="s">
        <v>266</v>
      </c>
      <c r="CM766" s="4" t="s">
        <v>241</v>
      </c>
      <c r="CO766" s="4" t="s">
        <v>446</v>
      </c>
      <c r="CP766" s="5" t="s">
        <v>268</v>
      </c>
      <c r="CQ766" s="4" t="s">
        <v>269</v>
      </c>
      <c r="CR766" s="4" t="s">
        <v>270</v>
      </c>
      <c r="CS766" s="4" t="s">
        <v>293</v>
      </c>
      <c r="CT766" s="4" t="s">
        <v>241</v>
      </c>
      <c r="CU766" s="4">
        <v>4.5999999999999999E-2</v>
      </c>
      <c r="CV766" s="4" t="s">
        <v>271</v>
      </c>
      <c r="CW766" s="4" t="s">
        <v>411</v>
      </c>
      <c r="CX766" s="4" t="s">
        <v>347</v>
      </c>
      <c r="CY766" s="6">
        <f>0</f>
        <v>0</v>
      </c>
      <c r="CZ766" s="6">
        <f>25485840</f>
        <v>25485840</v>
      </c>
      <c r="DA766" s="6">
        <f>4383576</f>
        <v>4383576</v>
      </c>
      <c r="DC766" s="4" t="s">
        <v>241</v>
      </c>
      <c r="DD766" s="4" t="s">
        <v>241</v>
      </c>
      <c r="DF766" s="4" t="s">
        <v>241</v>
      </c>
      <c r="DG766" s="6">
        <f>0</f>
        <v>0</v>
      </c>
      <c r="DI766" s="4" t="s">
        <v>241</v>
      </c>
      <c r="DJ766" s="4" t="s">
        <v>241</v>
      </c>
      <c r="DK766" s="4" t="s">
        <v>241</v>
      </c>
      <c r="DL766" s="4" t="s">
        <v>241</v>
      </c>
      <c r="DM766" s="4" t="s">
        <v>323</v>
      </c>
      <c r="DN766" s="4" t="s">
        <v>278</v>
      </c>
      <c r="DO766" s="6">
        <f>157.32</f>
        <v>157.32</v>
      </c>
      <c r="DP766" s="4" t="s">
        <v>241</v>
      </c>
      <c r="DQ766" s="4" t="s">
        <v>241</v>
      </c>
      <c r="DR766" s="4" t="s">
        <v>241</v>
      </c>
      <c r="DS766" s="4" t="s">
        <v>241</v>
      </c>
      <c r="DV766" s="4" t="s">
        <v>2471</v>
      </c>
      <c r="DW766" s="4" t="s">
        <v>277</v>
      </c>
      <c r="GN766" s="4" t="s">
        <v>2483</v>
      </c>
      <c r="HO766" s="4" t="s">
        <v>300</v>
      </c>
      <c r="HR766" s="4" t="s">
        <v>278</v>
      </c>
      <c r="HS766" s="4" t="s">
        <v>278</v>
      </c>
      <c r="HT766" s="4" t="s">
        <v>241</v>
      </c>
      <c r="HU766" s="4" t="s">
        <v>241</v>
      </c>
      <c r="HV766" s="4" t="s">
        <v>241</v>
      </c>
      <c r="HW766" s="4" t="s">
        <v>241</v>
      </c>
      <c r="HX766" s="4" t="s">
        <v>241</v>
      </c>
      <c r="HY766" s="4" t="s">
        <v>241</v>
      </c>
      <c r="HZ766" s="4" t="s">
        <v>241</v>
      </c>
      <c r="IA766" s="4" t="s">
        <v>241</v>
      </c>
      <c r="IB766" s="4" t="s">
        <v>241</v>
      </c>
      <c r="IC766" s="4" t="s">
        <v>241</v>
      </c>
      <c r="ID766" s="4" t="s">
        <v>241</v>
      </c>
      <c r="IE766" s="4" t="s">
        <v>241</v>
      </c>
      <c r="IF766" s="4" t="s">
        <v>241</v>
      </c>
    </row>
    <row r="767" spans="1:240" x14ac:dyDescent="0.4">
      <c r="A767" s="4">
        <v>2</v>
      </c>
      <c r="B767" s="4" t="s">
        <v>239</v>
      </c>
      <c r="C767" s="4">
        <v>834</v>
      </c>
      <c r="D767" s="4">
        <v>1</v>
      </c>
      <c r="E767" s="4">
        <v>3</v>
      </c>
      <c r="F767" s="4" t="s">
        <v>240</v>
      </c>
      <c r="G767" s="4" t="s">
        <v>241</v>
      </c>
      <c r="H767" s="4" t="s">
        <v>241</v>
      </c>
      <c r="I767" s="4" t="s">
        <v>2469</v>
      </c>
      <c r="J767" s="4" t="s">
        <v>344</v>
      </c>
      <c r="K767" s="4" t="s">
        <v>256</v>
      </c>
      <c r="L767" s="4" t="s">
        <v>2101</v>
      </c>
      <c r="M767" s="5" t="s">
        <v>2470</v>
      </c>
      <c r="N767" s="4" t="s">
        <v>2109</v>
      </c>
      <c r="O767" s="6">
        <f>157.32</f>
        <v>157.32</v>
      </c>
      <c r="P767" s="4" t="s">
        <v>276</v>
      </c>
      <c r="Q767" s="6">
        <f>4383576</f>
        <v>4383576</v>
      </c>
      <c r="R767" s="6">
        <f>25485840</f>
        <v>25485840</v>
      </c>
      <c r="S767" s="5" t="s">
        <v>442</v>
      </c>
      <c r="T767" s="4" t="s">
        <v>314</v>
      </c>
      <c r="U767" s="4" t="s">
        <v>401</v>
      </c>
      <c r="V767" s="6">
        <f>1172348</f>
        <v>1172348</v>
      </c>
      <c r="W767" s="6">
        <f>21102264</f>
        <v>21102264</v>
      </c>
      <c r="X767" s="4" t="s">
        <v>243</v>
      </c>
      <c r="Y767" s="4" t="s">
        <v>244</v>
      </c>
      <c r="Z767" s="4" t="s">
        <v>338</v>
      </c>
      <c r="AA767" s="4" t="s">
        <v>241</v>
      </c>
      <c r="AD767" s="4" t="s">
        <v>241</v>
      </c>
      <c r="AE767" s="5" t="s">
        <v>241</v>
      </c>
      <c r="AF767" s="5" t="s">
        <v>241</v>
      </c>
      <c r="AH767" s="5" t="s">
        <v>241</v>
      </c>
      <c r="AI767" s="5" t="s">
        <v>249</v>
      </c>
      <c r="AJ767" s="4" t="s">
        <v>251</v>
      </c>
      <c r="AK767" s="4" t="s">
        <v>252</v>
      </c>
      <c r="AQ767" s="4" t="s">
        <v>241</v>
      </c>
      <c r="AR767" s="4" t="s">
        <v>241</v>
      </c>
      <c r="AS767" s="4" t="s">
        <v>241</v>
      </c>
      <c r="AT767" s="5" t="s">
        <v>241</v>
      </c>
      <c r="AU767" s="5" t="s">
        <v>241</v>
      </c>
      <c r="AV767" s="5" t="s">
        <v>241</v>
      </c>
      <c r="AY767" s="4" t="s">
        <v>286</v>
      </c>
      <c r="AZ767" s="4" t="s">
        <v>286</v>
      </c>
      <c r="BA767" s="4" t="s">
        <v>254</v>
      </c>
      <c r="BB767" s="4" t="s">
        <v>287</v>
      </c>
      <c r="BC767" s="4" t="s">
        <v>255</v>
      </c>
      <c r="BD767" s="4" t="s">
        <v>241</v>
      </c>
      <c r="BE767" s="4" t="s">
        <v>257</v>
      </c>
      <c r="BF767" s="4" t="s">
        <v>241</v>
      </c>
      <c r="BJ767" s="4" t="s">
        <v>288</v>
      </c>
      <c r="BK767" s="5" t="s">
        <v>289</v>
      </c>
      <c r="BL767" s="4" t="s">
        <v>290</v>
      </c>
      <c r="BM767" s="4" t="s">
        <v>290</v>
      </c>
      <c r="BN767" s="4" t="s">
        <v>241</v>
      </c>
      <c r="BO767" s="6">
        <f>0</f>
        <v>0</v>
      </c>
      <c r="BP767" s="6">
        <f>-1172348</f>
        <v>-1172348</v>
      </c>
      <c r="BQ767" s="4" t="s">
        <v>263</v>
      </c>
      <c r="BR767" s="4" t="s">
        <v>264</v>
      </c>
      <c r="BS767" s="4" t="s">
        <v>241</v>
      </c>
      <c r="BT767" s="4" t="s">
        <v>241</v>
      </c>
      <c r="BU767" s="4" t="s">
        <v>241</v>
      </c>
      <c r="BV767" s="4" t="s">
        <v>241</v>
      </c>
      <c r="CE767" s="4" t="s">
        <v>264</v>
      </c>
      <c r="CF767" s="4" t="s">
        <v>241</v>
      </c>
      <c r="CG767" s="4" t="s">
        <v>241</v>
      </c>
      <c r="CK767" s="4" t="s">
        <v>291</v>
      </c>
      <c r="CL767" s="4" t="s">
        <v>266</v>
      </c>
      <c r="CM767" s="4" t="s">
        <v>241</v>
      </c>
      <c r="CO767" s="4" t="s">
        <v>446</v>
      </c>
      <c r="CP767" s="5" t="s">
        <v>268</v>
      </c>
      <c r="CQ767" s="4" t="s">
        <v>269</v>
      </c>
      <c r="CR767" s="4" t="s">
        <v>270</v>
      </c>
      <c r="CS767" s="4" t="s">
        <v>293</v>
      </c>
      <c r="CT767" s="4" t="s">
        <v>241</v>
      </c>
      <c r="CU767" s="4">
        <v>4.5999999999999999E-2</v>
      </c>
      <c r="CV767" s="4" t="s">
        <v>271</v>
      </c>
      <c r="CW767" s="4" t="s">
        <v>411</v>
      </c>
      <c r="CX767" s="4" t="s">
        <v>347</v>
      </c>
      <c r="CY767" s="6">
        <f>0</f>
        <v>0</v>
      </c>
      <c r="CZ767" s="6">
        <f>25485840</f>
        <v>25485840</v>
      </c>
      <c r="DA767" s="6">
        <f>4383576</f>
        <v>4383576</v>
      </c>
      <c r="DC767" s="4" t="s">
        <v>241</v>
      </c>
      <c r="DD767" s="4" t="s">
        <v>241</v>
      </c>
      <c r="DF767" s="4" t="s">
        <v>241</v>
      </c>
      <c r="DG767" s="6">
        <f>0</f>
        <v>0</v>
      </c>
      <c r="DI767" s="4" t="s">
        <v>241</v>
      </c>
      <c r="DJ767" s="4" t="s">
        <v>241</v>
      </c>
      <c r="DK767" s="4" t="s">
        <v>241</v>
      </c>
      <c r="DL767" s="4" t="s">
        <v>241</v>
      </c>
      <c r="DM767" s="4" t="s">
        <v>323</v>
      </c>
      <c r="DN767" s="4" t="s">
        <v>278</v>
      </c>
      <c r="DO767" s="6">
        <f>157.32</f>
        <v>157.32</v>
      </c>
      <c r="DP767" s="4" t="s">
        <v>241</v>
      </c>
      <c r="DQ767" s="4" t="s">
        <v>241</v>
      </c>
      <c r="DR767" s="4" t="s">
        <v>241</v>
      </c>
      <c r="DS767" s="4" t="s">
        <v>241</v>
      </c>
      <c r="DV767" s="4" t="s">
        <v>2471</v>
      </c>
      <c r="DW767" s="4" t="s">
        <v>323</v>
      </c>
      <c r="GN767" s="4" t="s">
        <v>2482</v>
      </c>
      <c r="HO767" s="4" t="s">
        <v>300</v>
      </c>
      <c r="HR767" s="4" t="s">
        <v>278</v>
      </c>
      <c r="HS767" s="4" t="s">
        <v>278</v>
      </c>
      <c r="HT767" s="4" t="s">
        <v>241</v>
      </c>
      <c r="HU767" s="4" t="s">
        <v>241</v>
      </c>
      <c r="HV767" s="4" t="s">
        <v>241</v>
      </c>
      <c r="HW767" s="4" t="s">
        <v>241</v>
      </c>
      <c r="HX767" s="4" t="s">
        <v>241</v>
      </c>
      <c r="HY767" s="4" t="s">
        <v>241</v>
      </c>
      <c r="HZ767" s="4" t="s">
        <v>241</v>
      </c>
      <c r="IA767" s="4" t="s">
        <v>241</v>
      </c>
      <c r="IB767" s="4" t="s">
        <v>241</v>
      </c>
      <c r="IC767" s="4" t="s">
        <v>241</v>
      </c>
      <c r="ID767" s="4" t="s">
        <v>241</v>
      </c>
      <c r="IE767" s="4" t="s">
        <v>241</v>
      </c>
      <c r="IF767" s="4" t="s">
        <v>241</v>
      </c>
    </row>
    <row r="768" spans="1:240" x14ac:dyDescent="0.4">
      <c r="A768" s="4">
        <v>2</v>
      </c>
      <c r="B768" s="4" t="s">
        <v>239</v>
      </c>
      <c r="C768" s="4">
        <v>835</v>
      </c>
      <c r="D768" s="4">
        <v>1</v>
      </c>
      <c r="E768" s="4">
        <v>3</v>
      </c>
      <c r="F768" s="4" t="s">
        <v>240</v>
      </c>
      <c r="G768" s="4" t="s">
        <v>241</v>
      </c>
      <c r="H768" s="4" t="s">
        <v>241</v>
      </c>
      <c r="I768" s="4" t="s">
        <v>2469</v>
      </c>
      <c r="J768" s="4" t="s">
        <v>344</v>
      </c>
      <c r="K768" s="4" t="s">
        <v>256</v>
      </c>
      <c r="L768" s="4" t="s">
        <v>2101</v>
      </c>
      <c r="M768" s="5" t="s">
        <v>2470</v>
      </c>
      <c r="N768" s="4" t="s">
        <v>2110</v>
      </c>
      <c r="O768" s="6">
        <f>157.32</f>
        <v>157.32</v>
      </c>
      <c r="P768" s="4" t="s">
        <v>276</v>
      </c>
      <c r="Q768" s="6">
        <f>4383576</f>
        <v>4383576</v>
      </c>
      <c r="R768" s="6">
        <f>25485840</f>
        <v>25485840</v>
      </c>
      <c r="S768" s="5" t="s">
        <v>442</v>
      </c>
      <c r="T768" s="4" t="s">
        <v>314</v>
      </c>
      <c r="U768" s="4" t="s">
        <v>401</v>
      </c>
      <c r="V768" s="6">
        <f>1172348</f>
        <v>1172348</v>
      </c>
      <c r="W768" s="6">
        <f>21102264</f>
        <v>21102264</v>
      </c>
      <c r="X768" s="4" t="s">
        <v>243</v>
      </c>
      <c r="Y768" s="4" t="s">
        <v>244</v>
      </c>
      <c r="Z768" s="4" t="s">
        <v>338</v>
      </c>
      <c r="AA768" s="4" t="s">
        <v>241</v>
      </c>
      <c r="AD768" s="4" t="s">
        <v>241</v>
      </c>
      <c r="AE768" s="5" t="s">
        <v>241</v>
      </c>
      <c r="AF768" s="5" t="s">
        <v>241</v>
      </c>
      <c r="AH768" s="5" t="s">
        <v>241</v>
      </c>
      <c r="AI768" s="5" t="s">
        <v>249</v>
      </c>
      <c r="AJ768" s="4" t="s">
        <v>251</v>
      </c>
      <c r="AK768" s="4" t="s">
        <v>252</v>
      </c>
      <c r="AQ768" s="4" t="s">
        <v>241</v>
      </c>
      <c r="AR768" s="4" t="s">
        <v>241</v>
      </c>
      <c r="AS768" s="4" t="s">
        <v>241</v>
      </c>
      <c r="AT768" s="5" t="s">
        <v>241</v>
      </c>
      <c r="AU768" s="5" t="s">
        <v>241</v>
      </c>
      <c r="AV768" s="5" t="s">
        <v>241</v>
      </c>
      <c r="AY768" s="4" t="s">
        <v>286</v>
      </c>
      <c r="AZ768" s="4" t="s">
        <v>286</v>
      </c>
      <c r="BA768" s="4" t="s">
        <v>254</v>
      </c>
      <c r="BB768" s="4" t="s">
        <v>287</v>
      </c>
      <c r="BC768" s="4" t="s">
        <v>255</v>
      </c>
      <c r="BD768" s="4" t="s">
        <v>241</v>
      </c>
      <c r="BE768" s="4" t="s">
        <v>257</v>
      </c>
      <c r="BF768" s="4" t="s">
        <v>241</v>
      </c>
      <c r="BJ768" s="4" t="s">
        <v>288</v>
      </c>
      <c r="BK768" s="5" t="s">
        <v>289</v>
      </c>
      <c r="BL768" s="4" t="s">
        <v>290</v>
      </c>
      <c r="BM768" s="4" t="s">
        <v>290</v>
      </c>
      <c r="BN768" s="4" t="s">
        <v>241</v>
      </c>
      <c r="BO768" s="6">
        <f>0</f>
        <v>0</v>
      </c>
      <c r="BP768" s="6">
        <f>-1172348</f>
        <v>-1172348</v>
      </c>
      <c r="BQ768" s="4" t="s">
        <v>263</v>
      </c>
      <c r="BR768" s="4" t="s">
        <v>264</v>
      </c>
      <c r="BS768" s="4" t="s">
        <v>241</v>
      </c>
      <c r="BT768" s="4" t="s">
        <v>241</v>
      </c>
      <c r="BU768" s="4" t="s">
        <v>241</v>
      </c>
      <c r="BV768" s="4" t="s">
        <v>241</v>
      </c>
      <c r="CE768" s="4" t="s">
        <v>264</v>
      </c>
      <c r="CF768" s="4" t="s">
        <v>241</v>
      </c>
      <c r="CG768" s="4" t="s">
        <v>241</v>
      </c>
      <c r="CK768" s="4" t="s">
        <v>291</v>
      </c>
      <c r="CL768" s="4" t="s">
        <v>266</v>
      </c>
      <c r="CM768" s="4" t="s">
        <v>241</v>
      </c>
      <c r="CO768" s="4" t="s">
        <v>446</v>
      </c>
      <c r="CP768" s="5" t="s">
        <v>268</v>
      </c>
      <c r="CQ768" s="4" t="s">
        <v>269</v>
      </c>
      <c r="CR768" s="4" t="s">
        <v>270</v>
      </c>
      <c r="CS768" s="4" t="s">
        <v>293</v>
      </c>
      <c r="CT768" s="4" t="s">
        <v>241</v>
      </c>
      <c r="CU768" s="4">
        <v>4.5999999999999999E-2</v>
      </c>
      <c r="CV768" s="4" t="s">
        <v>271</v>
      </c>
      <c r="CW768" s="4" t="s">
        <v>411</v>
      </c>
      <c r="CX768" s="4" t="s">
        <v>347</v>
      </c>
      <c r="CY768" s="6">
        <f>0</f>
        <v>0</v>
      </c>
      <c r="CZ768" s="6">
        <f>25485840</f>
        <v>25485840</v>
      </c>
      <c r="DA768" s="6">
        <f>4383576</f>
        <v>4383576</v>
      </c>
      <c r="DC768" s="4" t="s">
        <v>241</v>
      </c>
      <c r="DD768" s="4" t="s">
        <v>241</v>
      </c>
      <c r="DF768" s="4" t="s">
        <v>241</v>
      </c>
      <c r="DG768" s="6">
        <f>0</f>
        <v>0</v>
      </c>
      <c r="DI768" s="4" t="s">
        <v>241</v>
      </c>
      <c r="DJ768" s="4" t="s">
        <v>241</v>
      </c>
      <c r="DK768" s="4" t="s">
        <v>241</v>
      </c>
      <c r="DL768" s="4" t="s">
        <v>241</v>
      </c>
      <c r="DM768" s="4" t="s">
        <v>323</v>
      </c>
      <c r="DN768" s="4" t="s">
        <v>278</v>
      </c>
      <c r="DO768" s="6">
        <f>157.32</f>
        <v>157.32</v>
      </c>
      <c r="DP768" s="4" t="s">
        <v>241</v>
      </c>
      <c r="DQ768" s="4" t="s">
        <v>241</v>
      </c>
      <c r="DR768" s="4" t="s">
        <v>241</v>
      </c>
      <c r="DS768" s="4" t="s">
        <v>241</v>
      </c>
      <c r="DV768" s="4" t="s">
        <v>2471</v>
      </c>
      <c r="DW768" s="4" t="s">
        <v>297</v>
      </c>
      <c r="GN768" s="4" t="s">
        <v>2481</v>
      </c>
      <c r="HO768" s="4" t="s">
        <v>300</v>
      </c>
      <c r="HR768" s="4" t="s">
        <v>278</v>
      </c>
      <c r="HS768" s="4" t="s">
        <v>278</v>
      </c>
      <c r="HT768" s="4" t="s">
        <v>241</v>
      </c>
      <c r="HU768" s="4" t="s">
        <v>241</v>
      </c>
      <c r="HV768" s="4" t="s">
        <v>241</v>
      </c>
      <c r="HW768" s="4" t="s">
        <v>241</v>
      </c>
      <c r="HX768" s="4" t="s">
        <v>241</v>
      </c>
      <c r="HY768" s="4" t="s">
        <v>241</v>
      </c>
      <c r="HZ768" s="4" t="s">
        <v>241</v>
      </c>
      <c r="IA768" s="4" t="s">
        <v>241</v>
      </c>
      <c r="IB768" s="4" t="s">
        <v>241</v>
      </c>
      <c r="IC768" s="4" t="s">
        <v>241</v>
      </c>
      <c r="ID768" s="4" t="s">
        <v>241</v>
      </c>
      <c r="IE768" s="4" t="s">
        <v>241</v>
      </c>
      <c r="IF768" s="4" t="s">
        <v>241</v>
      </c>
    </row>
    <row r="769" spans="1:240" x14ac:dyDescent="0.4">
      <c r="A769" s="4">
        <v>2</v>
      </c>
      <c r="B769" s="4" t="s">
        <v>239</v>
      </c>
      <c r="C769" s="4">
        <v>836</v>
      </c>
      <c r="D769" s="4">
        <v>1</v>
      </c>
      <c r="E769" s="4">
        <v>3</v>
      </c>
      <c r="F769" s="4" t="s">
        <v>240</v>
      </c>
      <c r="G769" s="4" t="s">
        <v>241</v>
      </c>
      <c r="H769" s="4" t="s">
        <v>241</v>
      </c>
      <c r="I769" s="4" t="s">
        <v>2469</v>
      </c>
      <c r="J769" s="4" t="s">
        <v>344</v>
      </c>
      <c r="K769" s="4" t="s">
        <v>256</v>
      </c>
      <c r="L769" s="4" t="s">
        <v>2101</v>
      </c>
      <c r="M769" s="5" t="s">
        <v>2470</v>
      </c>
      <c r="N769" s="4" t="s">
        <v>2122</v>
      </c>
      <c r="O769" s="6">
        <f>157.32</f>
        <v>157.32</v>
      </c>
      <c r="P769" s="4" t="s">
        <v>276</v>
      </c>
      <c r="Q769" s="6">
        <f>4383576</f>
        <v>4383576</v>
      </c>
      <c r="R769" s="6">
        <f>25485840</f>
        <v>25485840</v>
      </c>
      <c r="S769" s="5" t="s">
        <v>442</v>
      </c>
      <c r="T769" s="4" t="s">
        <v>314</v>
      </c>
      <c r="U769" s="4" t="s">
        <v>401</v>
      </c>
      <c r="V769" s="6">
        <f>1172348</f>
        <v>1172348</v>
      </c>
      <c r="W769" s="6">
        <f>21102264</f>
        <v>21102264</v>
      </c>
      <c r="X769" s="4" t="s">
        <v>243</v>
      </c>
      <c r="Y769" s="4" t="s">
        <v>244</v>
      </c>
      <c r="Z769" s="4" t="s">
        <v>338</v>
      </c>
      <c r="AA769" s="4" t="s">
        <v>241</v>
      </c>
      <c r="AD769" s="4" t="s">
        <v>241</v>
      </c>
      <c r="AE769" s="5" t="s">
        <v>241</v>
      </c>
      <c r="AF769" s="5" t="s">
        <v>241</v>
      </c>
      <c r="AH769" s="5" t="s">
        <v>241</v>
      </c>
      <c r="AI769" s="5" t="s">
        <v>249</v>
      </c>
      <c r="AJ769" s="4" t="s">
        <v>251</v>
      </c>
      <c r="AK769" s="4" t="s">
        <v>252</v>
      </c>
      <c r="AQ769" s="4" t="s">
        <v>241</v>
      </c>
      <c r="AR769" s="4" t="s">
        <v>241</v>
      </c>
      <c r="AS769" s="4" t="s">
        <v>241</v>
      </c>
      <c r="AT769" s="5" t="s">
        <v>241</v>
      </c>
      <c r="AU769" s="5" t="s">
        <v>241</v>
      </c>
      <c r="AV769" s="5" t="s">
        <v>241</v>
      </c>
      <c r="AY769" s="4" t="s">
        <v>286</v>
      </c>
      <c r="AZ769" s="4" t="s">
        <v>286</v>
      </c>
      <c r="BA769" s="4" t="s">
        <v>254</v>
      </c>
      <c r="BB769" s="4" t="s">
        <v>287</v>
      </c>
      <c r="BC769" s="4" t="s">
        <v>255</v>
      </c>
      <c r="BD769" s="4" t="s">
        <v>241</v>
      </c>
      <c r="BE769" s="4" t="s">
        <v>257</v>
      </c>
      <c r="BF769" s="4" t="s">
        <v>241</v>
      </c>
      <c r="BJ769" s="4" t="s">
        <v>288</v>
      </c>
      <c r="BK769" s="5" t="s">
        <v>289</v>
      </c>
      <c r="BL769" s="4" t="s">
        <v>290</v>
      </c>
      <c r="BM769" s="4" t="s">
        <v>290</v>
      </c>
      <c r="BN769" s="4" t="s">
        <v>241</v>
      </c>
      <c r="BO769" s="6">
        <f>0</f>
        <v>0</v>
      </c>
      <c r="BP769" s="6">
        <f>-1172348</f>
        <v>-1172348</v>
      </c>
      <c r="BQ769" s="4" t="s">
        <v>263</v>
      </c>
      <c r="BR769" s="4" t="s">
        <v>264</v>
      </c>
      <c r="BS769" s="4" t="s">
        <v>241</v>
      </c>
      <c r="BT769" s="4" t="s">
        <v>241</v>
      </c>
      <c r="BU769" s="4" t="s">
        <v>241</v>
      </c>
      <c r="BV769" s="4" t="s">
        <v>241</v>
      </c>
      <c r="CE769" s="4" t="s">
        <v>264</v>
      </c>
      <c r="CF769" s="4" t="s">
        <v>241</v>
      </c>
      <c r="CG769" s="4" t="s">
        <v>241</v>
      </c>
      <c r="CK769" s="4" t="s">
        <v>291</v>
      </c>
      <c r="CL769" s="4" t="s">
        <v>266</v>
      </c>
      <c r="CM769" s="4" t="s">
        <v>241</v>
      </c>
      <c r="CO769" s="4" t="s">
        <v>446</v>
      </c>
      <c r="CP769" s="5" t="s">
        <v>268</v>
      </c>
      <c r="CQ769" s="4" t="s">
        <v>269</v>
      </c>
      <c r="CR769" s="4" t="s">
        <v>270</v>
      </c>
      <c r="CS769" s="4" t="s">
        <v>293</v>
      </c>
      <c r="CT769" s="4" t="s">
        <v>241</v>
      </c>
      <c r="CU769" s="4">
        <v>4.5999999999999999E-2</v>
      </c>
      <c r="CV769" s="4" t="s">
        <v>271</v>
      </c>
      <c r="CW769" s="4" t="s">
        <v>411</v>
      </c>
      <c r="CX769" s="4" t="s">
        <v>347</v>
      </c>
      <c r="CY769" s="6">
        <f>0</f>
        <v>0</v>
      </c>
      <c r="CZ769" s="6">
        <f>25485840</f>
        <v>25485840</v>
      </c>
      <c r="DA769" s="6">
        <f>4383576</f>
        <v>4383576</v>
      </c>
      <c r="DC769" s="4" t="s">
        <v>241</v>
      </c>
      <c r="DD769" s="4" t="s">
        <v>241</v>
      </c>
      <c r="DF769" s="4" t="s">
        <v>241</v>
      </c>
      <c r="DG769" s="6">
        <f>0</f>
        <v>0</v>
      </c>
      <c r="DI769" s="4" t="s">
        <v>241</v>
      </c>
      <c r="DJ769" s="4" t="s">
        <v>241</v>
      </c>
      <c r="DK769" s="4" t="s">
        <v>241</v>
      </c>
      <c r="DL769" s="4" t="s">
        <v>241</v>
      </c>
      <c r="DM769" s="4" t="s">
        <v>323</v>
      </c>
      <c r="DN769" s="4" t="s">
        <v>278</v>
      </c>
      <c r="DO769" s="6">
        <f>157.32</f>
        <v>157.32</v>
      </c>
      <c r="DP769" s="4" t="s">
        <v>241</v>
      </c>
      <c r="DQ769" s="4" t="s">
        <v>241</v>
      </c>
      <c r="DR769" s="4" t="s">
        <v>241</v>
      </c>
      <c r="DS769" s="4" t="s">
        <v>241</v>
      </c>
      <c r="DV769" s="4" t="s">
        <v>2471</v>
      </c>
      <c r="DW769" s="4" t="s">
        <v>336</v>
      </c>
      <c r="GN769" s="4" t="s">
        <v>2480</v>
      </c>
      <c r="HO769" s="4" t="s">
        <v>300</v>
      </c>
      <c r="HR769" s="4" t="s">
        <v>278</v>
      </c>
      <c r="HS769" s="4" t="s">
        <v>278</v>
      </c>
      <c r="HT769" s="4" t="s">
        <v>241</v>
      </c>
      <c r="HU769" s="4" t="s">
        <v>241</v>
      </c>
      <c r="HV769" s="4" t="s">
        <v>241</v>
      </c>
      <c r="HW769" s="4" t="s">
        <v>241</v>
      </c>
      <c r="HX769" s="4" t="s">
        <v>241</v>
      </c>
      <c r="HY769" s="4" t="s">
        <v>241</v>
      </c>
      <c r="HZ769" s="4" t="s">
        <v>241</v>
      </c>
      <c r="IA769" s="4" t="s">
        <v>241</v>
      </c>
      <c r="IB769" s="4" t="s">
        <v>241</v>
      </c>
      <c r="IC769" s="4" t="s">
        <v>241</v>
      </c>
      <c r="ID769" s="4" t="s">
        <v>241</v>
      </c>
      <c r="IE769" s="4" t="s">
        <v>241</v>
      </c>
      <c r="IF769" s="4" t="s">
        <v>241</v>
      </c>
    </row>
    <row r="770" spans="1:240" x14ac:dyDescent="0.4">
      <c r="A770" s="4">
        <v>2</v>
      </c>
      <c r="B770" s="4" t="s">
        <v>239</v>
      </c>
      <c r="C770" s="4">
        <v>837</v>
      </c>
      <c r="D770" s="4">
        <v>1</v>
      </c>
      <c r="E770" s="4">
        <v>3</v>
      </c>
      <c r="F770" s="4" t="s">
        <v>240</v>
      </c>
      <c r="G770" s="4" t="s">
        <v>241</v>
      </c>
      <c r="H770" s="4" t="s">
        <v>241</v>
      </c>
      <c r="I770" s="4" t="s">
        <v>2469</v>
      </c>
      <c r="J770" s="4" t="s">
        <v>344</v>
      </c>
      <c r="K770" s="4" t="s">
        <v>256</v>
      </c>
      <c r="L770" s="4" t="s">
        <v>2101</v>
      </c>
      <c r="M770" s="5" t="s">
        <v>2470</v>
      </c>
      <c r="N770" s="4" t="s">
        <v>2098</v>
      </c>
      <c r="O770" s="6">
        <f t="shared" ref="O770:O777" si="37">77.76</f>
        <v>77.760000000000005</v>
      </c>
      <c r="P770" s="4" t="s">
        <v>276</v>
      </c>
      <c r="Q770" s="6">
        <f t="shared" ref="Q770:Q777" si="38">4314915</f>
        <v>4314915</v>
      </c>
      <c r="R770" s="6">
        <f t="shared" ref="R770:R777" si="39">13919040</f>
        <v>13919040</v>
      </c>
      <c r="S770" s="5" t="s">
        <v>345</v>
      </c>
      <c r="T770" s="4" t="s">
        <v>314</v>
      </c>
      <c r="U770" s="4" t="s">
        <v>349</v>
      </c>
      <c r="V770" s="6">
        <f t="shared" ref="V770:V777" si="40">640275</f>
        <v>640275</v>
      </c>
      <c r="W770" s="6">
        <f t="shared" ref="W770:W777" si="41">9604125</f>
        <v>9604125</v>
      </c>
      <c r="X770" s="4" t="s">
        <v>243</v>
      </c>
      <c r="Y770" s="4" t="s">
        <v>244</v>
      </c>
      <c r="Z770" s="4" t="s">
        <v>338</v>
      </c>
      <c r="AA770" s="4" t="s">
        <v>241</v>
      </c>
      <c r="AD770" s="4" t="s">
        <v>241</v>
      </c>
      <c r="AE770" s="5" t="s">
        <v>241</v>
      </c>
      <c r="AF770" s="5" t="s">
        <v>241</v>
      </c>
      <c r="AH770" s="5" t="s">
        <v>241</v>
      </c>
      <c r="AI770" s="5" t="s">
        <v>249</v>
      </c>
      <c r="AJ770" s="4" t="s">
        <v>251</v>
      </c>
      <c r="AK770" s="4" t="s">
        <v>252</v>
      </c>
      <c r="AQ770" s="4" t="s">
        <v>241</v>
      </c>
      <c r="AR770" s="4" t="s">
        <v>241</v>
      </c>
      <c r="AS770" s="4" t="s">
        <v>241</v>
      </c>
      <c r="AT770" s="5" t="s">
        <v>241</v>
      </c>
      <c r="AU770" s="5" t="s">
        <v>241</v>
      </c>
      <c r="AV770" s="5" t="s">
        <v>241</v>
      </c>
      <c r="AY770" s="4" t="s">
        <v>286</v>
      </c>
      <c r="AZ770" s="4" t="s">
        <v>286</v>
      </c>
      <c r="BA770" s="4" t="s">
        <v>254</v>
      </c>
      <c r="BB770" s="4" t="s">
        <v>287</v>
      </c>
      <c r="BC770" s="4" t="s">
        <v>255</v>
      </c>
      <c r="BD770" s="4" t="s">
        <v>241</v>
      </c>
      <c r="BE770" s="4" t="s">
        <v>257</v>
      </c>
      <c r="BF770" s="4" t="s">
        <v>241</v>
      </c>
      <c r="BJ770" s="4" t="s">
        <v>288</v>
      </c>
      <c r="BK770" s="5" t="s">
        <v>289</v>
      </c>
      <c r="BL770" s="4" t="s">
        <v>290</v>
      </c>
      <c r="BM770" s="4" t="s">
        <v>290</v>
      </c>
      <c r="BN770" s="4" t="s">
        <v>241</v>
      </c>
      <c r="BO770" s="6">
        <f>0</f>
        <v>0</v>
      </c>
      <c r="BP770" s="6">
        <f t="shared" ref="BP770:BP777" si="42">-640275</f>
        <v>-640275</v>
      </c>
      <c r="BQ770" s="4" t="s">
        <v>263</v>
      </c>
      <c r="BR770" s="4" t="s">
        <v>264</v>
      </c>
      <c r="BS770" s="4" t="s">
        <v>241</v>
      </c>
      <c r="BT770" s="4" t="s">
        <v>241</v>
      </c>
      <c r="BU770" s="4" t="s">
        <v>241</v>
      </c>
      <c r="BV770" s="4" t="s">
        <v>241</v>
      </c>
      <c r="CE770" s="4" t="s">
        <v>264</v>
      </c>
      <c r="CF770" s="4" t="s">
        <v>241</v>
      </c>
      <c r="CG770" s="4" t="s">
        <v>241</v>
      </c>
      <c r="CK770" s="4" t="s">
        <v>291</v>
      </c>
      <c r="CL770" s="4" t="s">
        <v>266</v>
      </c>
      <c r="CM770" s="4" t="s">
        <v>241</v>
      </c>
      <c r="CO770" s="4" t="s">
        <v>346</v>
      </c>
      <c r="CP770" s="5" t="s">
        <v>268</v>
      </c>
      <c r="CQ770" s="4" t="s">
        <v>269</v>
      </c>
      <c r="CR770" s="4" t="s">
        <v>270</v>
      </c>
      <c r="CS770" s="4" t="s">
        <v>293</v>
      </c>
      <c r="CT770" s="4" t="s">
        <v>241</v>
      </c>
      <c r="CU770" s="4">
        <v>4.5999999999999999E-2</v>
      </c>
      <c r="CV770" s="4" t="s">
        <v>271</v>
      </c>
      <c r="CW770" s="4" t="s">
        <v>411</v>
      </c>
      <c r="CX770" s="4" t="s">
        <v>347</v>
      </c>
      <c r="CY770" s="6">
        <f>0</f>
        <v>0</v>
      </c>
      <c r="CZ770" s="6">
        <f t="shared" ref="CZ770:CZ777" si="43">13919040</f>
        <v>13919040</v>
      </c>
      <c r="DA770" s="6">
        <f t="shared" ref="DA770:DA777" si="44">4314915</f>
        <v>4314915</v>
      </c>
      <c r="DC770" s="4" t="s">
        <v>241</v>
      </c>
      <c r="DD770" s="4" t="s">
        <v>241</v>
      </c>
      <c r="DF770" s="4" t="s">
        <v>241</v>
      </c>
      <c r="DG770" s="6">
        <f>0</f>
        <v>0</v>
      </c>
      <c r="DI770" s="4" t="s">
        <v>241</v>
      </c>
      <c r="DJ770" s="4" t="s">
        <v>241</v>
      </c>
      <c r="DK770" s="4" t="s">
        <v>241</v>
      </c>
      <c r="DL770" s="4" t="s">
        <v>241</v>
      </c>
      <c r="DM770" s="4" t="s">
        <v>277</v>
      </c>
      <c r="DN770" s="4" t="s">
        <v>278</v>
      </c>
      <c r="DO770" s="6">
        <f t="shared" ref="DO770:DO777" si="45">77.76</f>
        <v>77.760000000000005</v>
      </c>
      <c r="DP770" s="4" t="s">
        <v>241</v>
      </c>
      <c r="DQ770" s="4" t="s">
        <v>241</v>
      </c>
      <c r="DR770" s="4" t="s">
        <v>241</v>
      </c>
      <c r="DS770" s="4" t="s">
        <v>241</v>
      </c>
      <c r="DV770" s="4" t="s">
        <v>2471</v>
      </c>
      <c r="DW770" s="4" t="s">
        <v>351</v>
      </c>
      <c r="GN770" s="4" t="s">
        <v>2479</v>
      </c>
      <c r="HO770" s="4" t="s">
        <v>300</v>
      </c>
      <c r="HR770" s="4" t="s">
        <v>278</v>
      </c>
      <c r="HS770" s="4" t="s">
        <v>278</v>
      </c>
      <c r="HT770" s="4" t="s">
        <v>241</v>
      </c>
      <c r="HU770" s="4" t="s">
        <v>241</v>
      </c>
      <c r="HV770" s="4" t="s">
        <v>241</v>
      </c>
      <c r="HW770" s="4" t="s">
        <v>241</v>
      </c>
      <c r="HX770" s="4" t="s">
        <v>241</v>
      </c>
      <c r="HY770" s="4" t="s">
        <v>241</v>
      </c>
      <c r="HZ770" s="4" t="s">
        <v>241</v>
      </c>
      <c r="IA770" s="4" t="s">
        <v>241</v>
      </c>
      <c r="IB770" s="4" t="s">
        <v>241</v>
      </c>
      <c r="IC770" s="4" t="s">
        <v>241</v>
      </c>
      <c r="ID770" s="4" t="s">
        <v>241</v>
      </c>
      <c r="IE770" s="4" t="s">
        <v>241</v>
      </c>
      <c r="IF770" s="4" t="s">
        <v>241</v>
      </c>
    </row>
    <row r="771" spans="1:240" x14ac:dyDescent="0.4">
      <c r="A771" s="4">
        <v>2</v>
      </c>
      <c r="B771" s="4" t="s">
        <v>239</v>
      </c>
      <c r="C771" s="4">
        <v>838</v>
      </c>
      <c r="D771" s="4">
        <v>1</v>
      </c>
      <c r="E771" s="4">
        <v>3</v>
      </c>
      <c r="F771" s="4" t="s">
        <v>240</v>
      </c>
      <c r="G771" s="4" t="s">
        <v>241</v>
      </c>
      <c r="H771" s="4" t="s">
        <v>241</v>
      </c>
      <c r="I771" s="4" t="s">
        <v>2469</v>
      </c>
      <c r="J771" s="4" t="s">
        <v>344</v>
      </c>
      <c r="K771" s="4" t="s">
        <v>256</v>
      </c>
      <c r="L771" s="4" t="s">
        <v>2101</v>
      </c>
      <c r="M771" s="5" t="s">
        <v>2470</v>
      </c>
      <c r="N771" s="4" t="s">
        <v>2191</v>
      </c>
      <c r="O771" s="6">
        <f t="shared" si="37"/>
        <v>77.760000000000005</v>
      </c>
      <c r="P771" s="4" t="s">
        <v>276</v>
      </c>
      <c r="Q771" s="6">
        <f t="shared" si="38"/>
        <v>4314915</v>
      </c>
      <c r="R771" s="6">
        <f t="shared" si="39"/>
        <v>13919040</v>
      </c>
      <c r="S771" s="5" t="s">
        <v>345</v>
      </c>
      <c r="T771" s="4" t="s">
        <v>314</v>
      </c>
      <c r="U771" s="4" t="s">
        <v>349</v>
      </c>
      <c r="V771" s="6">
        <f t="shared" si="40"/>
        <v>640275</v>
      </c>
      <c r="W771" s="6">
        <f t="shared" si="41"/>
        <v>9604125</v>
      </c>
      <c r="X771" s="4" t="s">
        <v>243</v>
      </c>
      <c r="Y771" s="4" t="s">
        <v>244</v>
      </c>
      <c r="Z771" s="4" t="s">
        <v>338</v>
      </c>
      <c r="AA771" s="4" t="s">
        <v>241</v>
      </c>
      <c r="AD771" s="4" t="s">
        <v>241</v>
      </c>
      <c r="AE771" s="5" t="s">
        <v>241</v>
      </c>
      <c r="AF771" s="5" t="s">
        <v>241</v>
      </c>
      <c r="AH771" s="5" t="s">
        <v>241</v>
      </c>
      <c r="AI771" s="5" t="s">
        <v>249</v>
      </c>
      <c r="AJ771" s="4" t="s">
        <v>251</v>
      </c>
      <c r="AK771" s="4" t="s">
        <v>252</v>
      </c>
      <c r="AQ771" s="4" t="s">
        <v>241</v>
      </c>
      <c r="AR771" s="4" t="s">
        <v>241</v>
      </c>
      <c r="AS771" s="4" t="s">
        <v>241</v>
      </c>
      <c r="AT771" s="5" t="s">
        <v>241</v>
      </c>
      <c r="AU771" s="5" t="s">
        <v>241</v>
      </c>
      <c r="AV771" s="5" t="s">
        <v>241</v>
      </c>
      <c r="AY771" s="4" t="s">
        <v>286</v>
      </c>
      <c r="AZ771" s="4" t="s">
        <v>286</v>
      </c>
      <c r="BA771" s="4" t="s">
        <v>254</v>
      </c>
      <c r="BB771" s="4" t="s">
        <v>287</v>
      </c>
      <c r="BC771" s="4" t="s">
        <v>255</v>
      </c>
      <c r="BD771" s="4" t="s">
        <v>241</v>
      </c>
      <c r="BE771" s="4" t="s">
        <v>257</v>
      </c>
      <c r="BF771" s="4" t="s">
        <v>241</v>
      </c>
      <c r="BJ771" s="4" t="s">
        <v>288</v>
      </c>
      <c r="BK771" s="5" t="s">
        <v>289</v>
      </c>
      <c r="BL771" s="4" t="s">
        <v>290</v>
      </c>
      <c r="BM771" s="4" t="s">
        <v>290</v>
      </c>
      <c r="BN771" s="4" t="s">
        <v>241</v>
      </c>
      <c r="BO771" s="6">
        <f>0</f>
        <v>0</v>
      </c>
      <c r="BP771" s="6">
        <f t="shared" si="42"/>
        <v>-640275</v>
      </c>
      <c r="BQ771" s="4" t="s">
        <v>263</v>
      </c>
      <c r="BR771" s="4" t="s">
        <v>264</v>
      </c>
      <c r="BS771" s="4" t="s">
        <v>241</v>
      </c>
      <c r="BT771" s="4" t="s">
        <v>241</v>
      </c>
      <c r="BU771" s="4" t="s">
        <v>241</v>
      </c>
      <c r="BV771" s="4" t="s">
        <v>241</v>
      </c>
      <c r="CE771" s="4" t="s">
        <v>264</v>
      </c>
      <c r="CF771" s="4" t="s">
        <v>241</v>
      </c>
      <c r="CG771" s="4" t="s">
        <v>241</v>
      </c>
      <c r="CK771" s="4" t="s">
        <v>291</v>
      </c>
      <c r="CL771" s="4" t="s">
        <v>266</v>
      </c>
      <c r="CM771" s="4" t="s">
        <v>241</v>
      </c>
      <c r="CO771" s="4" t="s">
        <v>346</v>
      </c>
      <c r="CP771" s="5" t="s">
        <v>268</v>
      </c>
      <c r="CQ771" s="4" t="s">
        <v>269</v>
      </c>
      <c r="CR771" s="4" t="s">
        <v>270</v>
      </c>
      <c r="CS771" s="4" t="s">
        <v>293</v>
      </c>
      <c r="CT771" s="4" t="s">
        <v>241</v>
      </c>
      <c r="CU771" s="4">
        <v>4.5999999999999999E-2</v>
      </c>
      <c r="CV771" s="4" t="s">
        <v>271</v>
      </c>
      <c r="CW771" s="4" t="s">
        <v>411</v>
      </c>
      <c r="CX771" s="4" t="s">
        <v>347</v>
      </c>
      <c r="CY771" s="6">
        <f>0</f>
        <v>0</v>
      </c>
      <c r="CZ771" s="6">
        <f t="shared" si="43"/>
        <v>13919040</v>
      </c>
      <c r="DA771" s="6">
        <f t="shared" si="44"/>
        <v>4314915</v>
      </c>
      <c r="DC771" s="4" t="s">
        <v>241</v>
      </c>
      <c r="DD771" s="4" t="s">
        <v>241</v>
      </c>
      <c r="DF771" s="4" t="s">
        <v>241</v>
      </c>
      <c r="DG771" s="6">
        <f>0</f>
        <v>0</v>
      </c>
      <c r="DI771" s="4" t="s">
        <v>241</v>
      </c>
      <c r="DJ771" s="4" t="s">
        <v>241</v>
      </c>
      <c r="DK771" s="4" t="s">
        <v>241</v>
      </c>
      <c r="DL771" s="4" t="s">
        <v>241</v>
      </c>
      <c r="DM771" s="4" t="s">
        <v>277</v>
      </c>
      <c r="DN771" s="4" t="s">
        <v>278</v>
      </c>
      <c r="DO771" s="6">
        <f t="shared" si="45"/>
        <v>77.760000000000005</v>
      </c>
      <c r="DP771" s="4" t="s">
        <v>241</v>
      </c>
      <c r="DQ771" s="4" t="s">
        <v>241</v>
      </c>
      <c r="DR771" s="4" t="s">
        <v>241</v>
      </c>
      <c r="DS771" s="4" t="s">
        <v>241</v>
      </c>
      <c r="DV771" s="4" t="s">
        <v>2471</v>
      </c>
      <c r="DW771" s="4" t="s">
        <v>300</v>
      </c>
      <c r="GN771" s="4" t="s">
        <v>2478</v>
      </c>
      <c r="HO771" s="4" t="s">
        <v>300</v>
      </c>
      <c r="HR771" s="4" t="s">
        <v>278</v>
      </c>
      <c r="HS771" s="4" t="s">
        <v>278</v>
      </c>
      <c r="HT771" s="4" t="s">
        <v>241</v>
      </c>
      <c r="HU771" s="4" t="s">
        <v>241</v>
      </c>
      <c r="HV771" s="4" t="s">
        <v>241</v>
      </c>
      <c r="HW771" s="4" t="s">
        <v>241</v>
      </c>
      <c r="HX771" s="4" t="s">
        <v>241</v>
      </c>
      <c r="HY771" s="4" t="s">
        <v>241</v>
      </c>
      <c r="HZ771" s="4" t="s">
        <v>241</v>
      </c>
      <c r="IA771" s="4" t="s">
        <v>241</v>
      </c>
      <c r="IB771" s="4" t="s">
        <v>241</v>
      </c>
      <c r="IC771" s="4" t="s">
        <v>241</v>
      </c>
      <c r="ID771" s="4" t="s">
        <v>241</v>
      </c>
      <c r="IE771" s="4" t="s">
        <v>241</v>
      </c>
      <c r="IF771" s="4" t="s">
        <v>241</v>
      </c>
    </row>
    <row r="772" spans="1:240" x14ac:dyDescent="0.4">
      <c r="A772" s="4">
        <v>2</v>
      </c>
      <c r="B772" s="4" t="s">
        <v>239</v>
      </c>
      <c r="C772" s="4">
        <v>839</v>
      </c>
      <c r="D772" s="4">
        <v>1</v>
      </c>
      <c r="E772" s="4">
        <v>3</v>
      </c>
      <c r="F772" s="4" t="s">
        <v>240</v>
      </c>
      <c r="G772" s="4" t="s">
        <v>241</v>
      </c>
      <c r="H772" s="4" t="s">
        <v>241</v>
      </c>
      <c r="I772" s="4" t="s">
        <v>2469</v>
      </c>
      <c r="J772" s="4" t="s">
        <v>344</v>
      </c>
      <c r="K772" s="4" t="s">
        <v>256</v>
      </c>
      <c r="L772" s="4" t="s">
        <v>2101</v>
      </c>
      <c r="M772" s="5" t="s">
        <v>2470</v>
      </c>
      <c r="N772" s="4" t="s">
        <v>2192</v>
      </c>
      <c r="O772" s="6">
        <f t="shared" si="37"/>
        <v>77.760000000000005</v>
      </c>
      <c r="P772" s="4" t="s">
        <v>276</v>
      </c>
      <c r="Q772" s="6">
        <f t="shared" si="38"/>
        <v>4314915</v>
      </c>
      <c r="R772" s="6">
        <f t="shared" si="39"/>
        <v>13919040</v>
      </c>
      <c r="S772" s="5" t="s">
        <v>345</v>
      </c>
      <c r="T772" s="4" t="s">
        <v>314</v>
      </c>
      <c r="U772" s="4" t="s">
        <v>349</v>
      </c>
      <c r="V772" s="6">
        <f t="shared" si="40"/>
        <v>640275</v>
      </c>
      <c r="W772" s="6">
        <f t="shared" si="41"/>
        <v>9604125</v>
      </c>
      <c r="X772" s="4" t="s">
        <v>243</v>
      </c>
      <c r="Y772" s="4" t="s">
        <v>244</v>
      </c>
      <c r="Z772" s="4" t="s">
        <v>338</v>
      </c>
      <c r="AA772" s="4" t="s">
        <v>241</v>
      </c>
      <c r="AD772" s="4" t="s">
        <v>241</v>
      </c>
      <c r="AE772" s="5" t="s">
        <v>241</v>
      </c>
      <c r="AF772" s="5" t="s">
        <v>241</v>
      </c>
      <c r="AH772" s="5" t="s">
        <v>241</v>
      </c>
      <c r="AI772" s="5" t="s">
        <v>380</v>
      </c>
      <c r="AJ772" s="4" t="s">
        <v>251</v>
      </c>
      <c r="AK772" s="4" t="s">
        <v>252</v>
      </c>
      <c r="AQ772" s="4" t="s">
        <v>241</v>
      </c>
      <c r="AR772" s="4" t="s">
        <v>241</v>
      </c>
      <c r="AS772" s="4" t="s">
        <v>241</v>
      </c>
      <c r="AT772" s="5" t="s">
        <v>241</v>
      </c>
      <c r="AU772" s="5" t="s">
        <v>241</v>
      </c>
      <c r="AV772" s="5" t="s">
        <v>241</v>
      </c>
      <c r="AY772" s="4" t="s">
        <v>286</v>
      </c>
      <c r="AZ772" s="4" t="s">
        <v>286</v>
      </c>
      <c r="BA772" s="4" t="s">
        <v>254</v>
      </c>
      <c r="BB772" s="4" t="s">
        <v>287</v>
      </c>
      <c r="BC772" s="4" t="s">
        <v>255</v>
      </c>
      <c r="BD772" s="4" t="s">
        <v>241</v>
      </c>
      <c r="BE772" s="4" t="s">
        <v>257</v>
      </c>
      <c r="BF772" s="4" t="s">
        <v>241</v>
      </c>
      <c r="BJ772" s="4" t="s">
        <v>288</v>
      </c>
      <c r="BK772" s="5" t="s">
        <v>289</v>
      </c>
      <c r="BL772" s="4" t="s">
        <v>290</v>
      </c>
      <c r="BM772" s="4" t="s">
        <v>290</v>
      </c>
      <c r="BN772" s="4" t="s">
        <v>241</v>
      </c>
      <c r="BO772" s="6">
        <f>0</f>
        <v>0</v>
      </c>
      <c r="BP772" s="6">
        <f t="shared" si="42"/>
        <v>-640275</v>
      </c>
      <c r="BQ772" s="4" t="s">
        <v>263</v>
      </c>
      <c r="BR772" s="4" t="s">
        <v>264</v>
      </c>
      <c r="BS772" s="4" t="s">
        <v>241</v>
      </c>
      <c r="BT772" s="4" t="s">
        <v>241</v>
      </c>
      <c r="BU772" s="4" t="s">
        <v>241</v>
      </c>
      <c r="BV772" s="4" t="s">
        <v>241</v>
      </c>
      <c r="CE772" s="4" t="s">
        <v>264</v>
      </c>
      <c r="CF772" s="4" t="s">
        <v>241</v>
      </c>
      <c r="CG772" s="4" t="s">
        <v>241</v>
      </c>
      <c r="CK772" s="4" t="s">
        <v>291</v>
      </c>
      <c r="CL772" s="4" t="s">
        <v>266</v>
      </c>
      <c r="CM772" s="4" t="s">
        <v>241</v>
      </c>
      <c r="CO772" s="4" t="s">
        <v>346</v>
      </c>
      <c r="CP772" s="5" t="s">
        <v>268</v>
      </c>
      <c r="CQ772" s="4" t="s">
        <v>269</v>
      </c>
      <c r="CR772" s="4" t="s">
        <v>270</v>
      </c>
      <c r="CS772" s="4" t="s">
        <v>293</v>
      </c>
      <c r="CT772" s="4" t="s">
        <v>241</v>
      </c>
      <c r="CU772" s="4">
        <v>4.5999999999999999E-2</v>
      </c>
      <c r="CV772" s="4" t="s">
        <v>271</v>
      </c>
      <c r="CW772" s="4" t="s">
        <v>411</v>
      </c>
      <c r="CX772" s="4" t="s">
        <v>347</v>
      </c>
      <c r="CY772" s="6">
        <f>0</f>
        <v>0</v>
      </c>
      <c r="CZ772" s="6">
        <f t="shared" si="43"/>
        <v>13919040</v>
      </c>
      <c r="DA772" s="6">
        <f t="shared" si="44"/>
        <v>4314915</v>
      </c>
      <c r="DC772" s="4" t="s">
        <v>241</v>
      </c>
      <c r="DD772" s="4" t="s">
        <v>241</v>
      </c>
      <c r="DF772" s="4" t="s">
        <v>241</v>
      </c>
      <c r="DG772" s="6">
        <f>0</f>
        <v>0</v>
      </c>
      <c r="DI772" s="4" t="s">
        <v>241</v>
      </c>
      <c r="DJ772" s="4" t="s">
        <v>241</v>
      </c>
      <c r="DK772" s="4" t="s">
        <v>241</v>
      </c>
      <c r="DL772" s="4" t="s">
        <v>241</v>
      </c>
      <c r="DM772" s="4" t="s">
        <v>277</v>
      </c>
      <c r="DN772" s="4" t="s">
        <v>278</v>
      </c>
      <c r="DO772" s="6">
        <f t="shared" si="45"/>
        <v>77.760000000000005</v>
      </c>
      <c r="DP772" s="4" t="s">
        <v>241</v>
      </c>
      <c r="DQ772" s="4" t="s">
        <v>241</v>
      </c>
      <c r="DR772" s="4" t="s">
        <v>241</v>
      </c>
      <c r="DS772" s="4" t="s">
        <v>241</v>
      </c>
      <c r="DV772" s="4" t="s">
        <v>2471</v>
      </c>
      <c r="DW772" s="4" t="s">
        <v>341</v>
      </c>
      <c r="GN772" s="4" t="s">
        <v>2477</v>
      </c>
      <c r="HO772" s="4" t="s">
        <v>300</v>
      </c>
      <c r="HR772" s="4" t="s">
        <v>278</v>
      </c>
      <c r="HS772" s="4" t="s">
        <v>278</v>
      </c>
      <c r="HT772" s="4" t="s">
        <v>241</v>
      </c>
      <c r="HU772" s="4" t="s">
        <v>241</v>
      </c>
      <c r="HV772" s="4" t="s">
        <v>241</v>
      </c>
      <c r="HW772" s="4" t="s">
        <v>241</v>
      </c>
      <c r="HX772" s="4" t="s">
        <v>241</v>
      </c>
      <c r="HY772" s="4" t="s">
        <v>241</v>
      </c>
      <c r="HZ772" s="4" t="s">
        <v>241</v>
      </c>
      <c r="IA772" s="4" t="s">
        <v>241</v>
      </c>
      <c r="IB772" s="4" t="s">
        <v>241</v>
      </c>
      <c r="IC772" s="4" t="s">
        <v>241</v>
      </c>
      <c r="ID772" s="4" t="s">
        <v>241</v>
      </c>
      <c r="IE772" s="4" t="s">
        <v>241</v>
      </c>
      <c r="IF772" s="4" t="s">
        <v>241</v>
      </c>
    </row>
    <row r="773" spans="1:240" x14ac:dyDescent="0.4">
      <c r="A773" s="4">
        <v>2</v>
      </c>
      <c r="B773" s="4" t="s">
        <v>239</v>
      </c>
      <c r="C773" s="4">
        <v>840</v>
      </c>
      <c r="D773" s="4">
        <v>1</v>
      </c>
      <c r="E773" s="4">
        <v>3</v>
      </c>
      <c r="F773" s="4" t="s">
        <v>240</v>
      </c>
      <c r="G773" s="4" t="s">
        <v>241</v>
      </c>
      <c r="H773" s="4" t="s">
        <v>241</v>
      </c>
      <c r="I773" s="4" t="s">
        <v>2469</v>
      </c>
      <c r="J773" s="4" t="s">
        <v>344</v>
      </c>
      <c r="K773" s="4" t="s">
        <v>256</v>
      </c>
      <c r="L773" s="4" t="s">
        <v>2101</v>
      </c>
      <c r="M773" s="5" t="s">
        <v>2470</v>
      </c>
      <c r="N773" s="4" t="s">
        <v>2173</v>
      </c>
      <c r="O773" s="6">
        <f t="shared" si="37"/>
        <v>77.760000000000005</v>
      </c>
      <c r="P773" s="4" t="s">
        <v>276</v>
      </c>
      <c r="Q773" s="6">
        <f t="shared" si="38"/>
        <v>4314915</v>
      </c>
      <c r="R773" s="6">
        <f t="shared" si="39"/>
        <v>13919040</v>
      </c>
      <c r="S773" s="5" t="s">
        <v>345</v>
      </c>
      <c r="T773" s="4" t="s">
        <v>314</v>
      </c>
      <c r="U773" s="4" t="s">
        <v>349</v>
      </c>
      <c r="V773" s="6">
        <f t="shared" si="40"/>
        <v>640275</v>
      </c>
      <c r="W773" s="6">
        <f t="shared" si="41"/>
        <v>9604125</v>
      </c>
      <c r="X773" s="4" t="s">
        <v>243</v>
      </c>
      <c r="Y773" s="4" t="s">
        <v>244</v>
      </c>
      <c r="Z773" s="4" t="s">
        <v>338</v>
      </c>
      <c r="AA773" s="4" t="s">
        <v>241</v>
      </c>
      <c r="AD773" s="4" t="s">
        <v>241</v>
      </c>
      <c r="AE773" s="5" t="s">
        <v>241</v>
      </c>
      <c r="AF773" s="5" t="s">
        <v>241</v>
      </c>
      <c r="AH773" s="5" t="s">
        <v>241</v>
      </c>
      <c r="AI773" s="5" t="s">
        <v>380</v>
      </c>
      <c r="AJ773" s="4" t="s">
        <v>251</v>
      </c>
      <c r="AK773" s="4" t="s">
        <v>252</v>
      </c>
      <c r="AQ773" s="4" t="s">
        <v>241</v>
      </c>
      <c r="AR773" s="4" t="s">
        <v>241</v>
      </c>
      <c r="AS773" s="4" t="s">
        <v>241</v>
      </c>
      <c r="AT773" s="5" t="s">
        <v>241</v>
      </c>
      <c r="AU773" s="5" t="s">
        <v>241</v>
      </c>
      <c r="AV773" s="5" t="s">
        <v>241</v>
      </c>
      <c r="AY773" s="4" t="s">
        <v>286</v>
      </c>
      <c r="AZ773" s="4" t="s">
        <v>286</v>
      </c>
      <c r="BA773" s="4" t="s">
        <v>254</v>
      </c>
      <c r="BB773" s="4" t="s">
        <v>287</v>
      </c>
      <c r="BC773" s="4" t="s">
        <v>255</v>
      </c>
      <c r="BD773" s="4" t="s">
        <v>241</v>
      </c>
      <c r="BE773" s="4" t="s">
        <v>257</v>
      </c>
      <c r="BF773" s="4" t="s">
        <v>241</v>
      </c>
      <c r="BJ773" s="4" t="s">
        <v>288</v>
      </c>
      <c r="BK773" s="5" t="s">
        <v>289</v>
      </c>
      <c r="BL773" s="4" t="s">
        <v>290</v>
      </c>
      <c r="BM773" s="4" t="s">
        <v>290</v>
      </c>
      <c r="BN773" s="4" t="s">
        <v>241</v>
      </c>
      <c r="BO773" s="6">
        <f>0</f>
        <v>0</v>
      </c>
      <c r="BP773" s="6">
        <f t="shared" si="42"/>
        <v>-640275</v>
      </c>
      <c r="BQ773" s="4" t="s">
        <v>263</v>
      </c>
      <c r="BR773" s="4" t="s">
        <v>264</v>
      </c>
      <c r="BS773" s="4" t="s">
        <v>241</v>
      </c>
      <c r="BT773" s="4" t="s">
        <v>241</v>
      </c>
      <c r="BU773" s="4" t="s">
        <v>241</v>
      </c>
      <c r="BV773" s="4" t="s">
        <v>241</v>
      </c>
      <c r="CE773" s="4" t="s">
        <v>264</v>
      </c>
      <c r="CF773" s="4" t="s">
        <v>241</v>
      </c>
      <c r="CG773" s="4" t="s">
        <v>241</v>
      </c>
      <c r="CK773" s="4" t="s">
        <v>291</v>
      </c>
      <c r="CL773" s="4" t="s">
        <v>266</v>
      </c>
      <c r="CM773" s="4" t="s">
        <v>241</v>
      </c>
      <c r="CO773" s="4" t="s">
        <v>346</v>
      </c>
      <c r="CP773" s="5" t="s">
        <v>268</v>
      </c>
      <c r="CQ773" s="4" t="s">
        <v>269</v>
      </c>
      <c r="CR773" s="4" t="s">
        <v>270</v>
      </c>
      <c r="CS773" s="4" t="s">
        <v>293</v>
      </c>
      <c r="CT773" s="4" t="s">
        <v>241</v>
      </c>
      <c r="CU773" s="4">
        <v>4.5999999999999999E-2</v>
      </c>
      <c r="CV773" s="4" t="s">
        <v>271</v>
      </c>
      <c r="CW773" s="4" t="s">
        <v>411</v>
      </c>
      <c r="CX773" s="4" t="s">
        <v>347</v>
      </c>
      <c r="CY773" s="6">
        <f>0</f>
        <v>0</v>
      </c>
      <c r="CZ773" s="6">
        <f t="shared" si="43"/>
        <v>13919040</v>
      </c>
      <c r="DA773" s="6">
        <f t="shared" si="44"/>
        <v>4314915</v>
      </c>
      <c r="DC773" s="4" t="s">
        <v>241</v>
      </c>
      <c r="DD773" s="4" t="s">
        <v>241</v>
      </c>
      <c r="DF773" s="4" t="s">
        <v>241</v>
      </c>
      <c r="DG773" s="6">
        <f>0</f>
        <v>0</v>
      </c>
      <c r="DI773" s="4" t="s">
        <v>241</v>
      </c>
      <c r="DJ773" s="4" t="s">
        <v>241</v>
      </c>
      <c r="DK773" s="4" t="s">
        <v>241</v>
      </c>
      <c r="DL773" s="4" t="s">
        <v>241</v>
      </c>
      <c r="DM773" s="4" t="s">
        <v>277</v>
      </c>
      <c r="DN773" s="4" t="s">
        <v>278</v>
      </c>
      <c r="DO773" s="6">
        <f t="shared" si="45"/>
        <v>77.760000000000005</v>
      </c>
      <c r="DP773" s="4" t="s">
        <v>241</v>
      </c>
      <c r="DQ773" s="4" t="s">
        <v>241</v>
      </c>
      <c r="DR773" s="4" t="s">
        <v>241</v>
      </c>
      <c r="DS773" s="4" t="s">
        <v>241</v>
      </c>
      <c r="DV773" s="4" t="s">
        <v>2471</v>
      </c>
      <c r="DW773" s="4" t="s">
        <v>343</v>
      </c>
      <c r="GN773" s="4" t="s">
        <v>2476</v>
      </c>
      <c r="HO773" s="4" t="s">
        <v>300</v>
      </c>
      <c r="HR773" s="4" t="s">
        <v>278</v>
      </c>
      <c r="HS773" s="4" t="s">
        <v>278</v>
      </c>
      <c r="HT773" s="4" t="s">
        <v>241</v>
      </c>
      <c r="HU773" s="4" t="s">
        <v>241</v>
      </c>
      <c r="HV773" s="4" t="s">
        <v>241</v>
      </c>
      <c r="HW773" s="4" t="s">
        <v>241</v>
      </c>
      <c r="HX773" s="4" t="s">
        <v>241</v>
      </c>
      <c r="HY773" s="4" t="s">
        <v>241</v>
      </c>
      <c r="HZ773" s="4" t="s">
        <v>241</v>
      </c>
      <c r="IA773" s="4" t="s">
        <v>241</v>
      </c>
      <c r="IB773" s="4" t="s">
        <v>241</v>
      </c>
      <c r="IC773" s="4" t="s">
        <v>241</v>
      </c>
      <c r="ID773" s="4" t="s">
        <v>241</v>
      </c>
      <c r="IE773" s="4" t="s">
        <v>241</v>
      </c>
      <c r="IF773" s="4" t="s">
        <v>241</v>
      </c>
    </row>
    <row r="774" spans="1:240" x14ac:dyDescent="0.4">
      <c r="A774" s="4">
        <v>2</v>
      </c>
      <c r="B774" s="4" t="s">
        <v>239</v>
      </c>
      <c r="C774" s="4">
        <v>841</v>
      </c>
      <c r="D774" s="4">
        <v>1</v>
      </c>
      <c r="E774" s="4">
        <v>3</v>
      </c>
      <c r="F774" s="4" t="s">
        <v>240</v>
      </c>
      <c r="G774" s="4" t="s">
        <v>241</v>
      </c>
      <c r="H774" s="4" t="s">
        <v>241</v>
      </c>
      <c r="I774" s="4" t="s">
        <v>2469</v>
      </c>
      <c r="J774" s="4" t="s">
        <v>344</v>
      </c>
      <c r="K774" s="4" t="s">
        <v>256</v>
      </c>
      <c r="L774" s="4" t="s">
        <v>2101</v>
      </c>
      <c r="M774" s="5" t="s">
        <v>2470</v>
      </c>
      <c r="N774" s="4" t="s">
        <v>2174</v>
      </c>
      <c r="O774" s="6">
        <f t="shared" si="37"/>
        <v>77.760000000000005</v>
      </c>
      <c r="P774" s="4" t="s">
        <v>276</v>
      </c>
      <c r="Q774" s="6">
        <f t="shared" si="38"/>
        <v>4314915</v>
      </c>
      <c r="R774" s="6">
        <f t="shared" si="39"/>
        <v>13919040</v>
      </c>
      <c r="S774" s="5" t="s">
        <v>345</v>
      </c>
      <c r="T774" s="4" t="s">
        <v>314</v>
      </c>
      <c r="U774" s="4" t="s">
        <v>349</v>
      </c>
      <c r="V774" s="6">
        <f t="shared" si="40"/>
        <v>640275</v>
      </c>
      <c r="W774" s="6">
        <f t="shared" si="41"/>
        <v>9604125</v>
      </c>
      <c r="X774" s="4" t="s">
        <v>243</v>
      </c>
      <c r="Y774" s="4" t="s">
        <v>244</v>
      </c>
      <c r="Z774" s="4" t="s">
        <v>338</v>
      </c>
      <c r="AA774" s="4" t="s">
        <v>241</v>
      </c>
      <c r="AD774" s="4" t="s">
        <v>241</v>
      </c>
      <c r="AE774" s="5" t="s">
        <v>241</v>
      </c>
      <c r="AF774" s="5" t="s">
        <v>241</v>
      </c>
      <c r="AH774" s="5" t="s">
        <v>241</v>
      </c>
      <c r="AI774" s="5" t="s">
        <v>380</v>
      </c>
      <c r="AJ774" s="4" t="s">
        <v>251</v>
      </c>
      <c r="AK774" s="4" t="s">
        <v>252</v>
      </c>
      <c r="AQ774" s="4" t="s">
        <v>241</v>
      </c>
      <c r="AR774" s="4" t="s">
        <v>241</v>
      </c>
      <c r="AS774" s="4" t="s">
        <v>241</v>
      </c>
      <c r="AT774" s="5" t="s">
        <v>241</v>
      </c>
      <c r="AU774" s="5" t="s">
        <v>241</v>
      </c>
      <c r="AV774" s="5" t="s">
        <v>241</v>
      </c>
      <c r="AY774" s="4" t="s">
        <v>286</v>
      </c>
      <c r="AZ774" s="4" t="s">
        <v>286</v>
      </c>
      <c r="BA774" s="4" t="s">
        <v>254</v>
      </c>
      <c r="BB774" s="4" t="s">
        <v>287</v>
      </c>
      <c r="BC774" s="4" t="s">
        <v>255</v>
      </c>
      <c r="BD774" s="4" t="s">
        <v>241</v>
      </c>
      <c r="BE774" s="4" t="s">
        <v>257</v>
      </c>
      <c r="BF774" s="4" t="s">
        <v>241</v>
      </c>
      <c r="BJ774" s="4" t="s">
        <v>288</v>
      </c>
      <c r="BK774" s="5" t="s">
        <v>289</v>
      </c>
      <c r="BL774" s="4" t="s">
        <v>290</v>
      </c>
      <c r="BM774" s="4" t="s">
        <v>290</v>
      </c>
      <c r="BN774" s="4" t="s">
        <v>241</v>
      </c>
      <c r="BO774" s="6">
        <f>0</f>
        <v>0</v>
      </c>
      <c r="BP774" s="6">
        <f t="shared" si="42"/>
        <v>-640275</v>
      </c>
      <c r="BQ774" s="4" t="s">
        <v>263</v>
      </c>
      <c r="BR774" s="4" t="s">
        <v>264</v>
      </c>
      <c r="BS774" s="4" t="s">
        <v>241</v>
      </c>
      <c r="BT774" s="4" t="s">
        <v>241</v>
      </c>
      <c r="BU774" s="4" t="s">
        <v>241</v>
      </c>
      <c r="BV774" s="4" t="s">
        <v>241</v>
      </c>
      <c r="CE774" s="4" t="s">
        <v>264</v>
      </c>
      <c r="CF774" s="4" t="s">
        <v>241</v>
      </c>
      <c r="CG774" s="4" t="s">
        <v>241</v>
      </c>
      <c r="CK774" s="4" t="s">
        <v>291</v>
      </c>
      <c r="CL774" s="4" t="s">
        <v>266</v>
      </c>
      <c r="CM774" s="4" t="s">
        <v>241</v>
      </c>
      <c r="CO774" s="4" t="s">
        <v>346</v>
      </c>
      <c r="CP774" s="5" t="s">
        <v>268</v>
      </c>
      <c r="CQ774" s="4" t="s">
        <v>269</v>
      </c>
      <c r="CR774" s="4" t="s">
        <v>270</v>
      </c>
      <c r="CS774" s="4" t="s">
        <v>293</v>
      </c>
      <c r="CT774" s="4" t="s">
        <v>241</v>
      </c>
      <c r="CU774" s="4">
        <v>4.5999999999999999E-2</v>
      </c>
      <c r="CV774" s="4" t="s">
        <v>271</v>
      </c>
      <c r="CW774" s="4" t="s">
        <v>411</v>
      </c>
      <c r="CX774" s="4" t="s">
        <v>347</v>
      </c>
      <c r="CY774" s="6">
        <f>0</f>
        <v>0</v>
      </c>
      <c r="CZ774" s="6">
        <f t="shared" si="43"/>
        <v>13919040</v>
      </c>
      <c r="DA774" s="6">
        <f t="shared" si="44"/>
        <v>4314915</v>
      </c>
      <c r="DC774" s="4" t="s">
        <v>241</v>
      </c>
      <c r="DD774" s="4" t="s">
        <v>241</v>
      </c>
      <c r="DF774" s="4" t="s">
        <v>241</v>
      </c>
      <c r="DG774" s="6">
        <f>0</f>
        <v>0</v>
      </c>
      <c r="DI774" s="4" t="s">
        <v>241</v>
      </c>
      <c r="DJ774" s="4" t="s">
        <v>241</v>
      </c>
      <c r="DK774" s="4" t="s">
        <v>241</v>
      </c>
      <c r="DL774" s="4" t="s">
        <v>241</v>
      </c>
      <c r="DM774" s="4" t="s">
        <v>277</v>
      </c>
      <c r="DN774" s="4" t="s">
        <v>278</v>
      </c>
      <c r="DO774" s="6">
        <f t="shared" si="45"/>
        <v>77.760000000000005</v>
      </c>
      <c r="DP774" s="4" t="s">
        <v>241</v>
      </c>
      <c r="DQ774" s="4" t="s">
        <v>241</v>
      </c>
      <c r="DR774" s="4" t="s">
        <v>241</v>
      </c>
      <c r="DS774" s="4" t="s">
        <v>241</v>
      </c>
      <c r="DV774" s="4" t="s">
        <v>2471</v>
      </c>
      <c r="DW774" s="4" t="s">
        <v>417</v>
      </c>
      <c r="GN774" s="4" t="s">
        <v>2475</v>
      </c>
      <c r="HO774" s="4" t="s">
        <v>300</v>
      </c>
      <c r="HR774" s="4" t="s">
        <v>278</v>
      </c>
      <c r="HS774" s="4" t="s">
        <v>278</v>
      </c>
      <c r="HT774" s="4" t="s">
        <v>241</v>
      </c>
      <c r="HU774" s="4" t="s">
        <v>241</v>
      </c>
      <c r="HV774" s="4" t="s">
        <v>241</v>
      </c>
      <c r="HW774" s="4" t="s">
        <v>241</v>
      </c>
      <c r="HX774" s="4" t="s">
        <v>241</v>
      </c>
      <c r="HY774" s="4" t="s">
        <v>241</v>
      </c>
      <c r="HZ774" s="4" t="s">
        <v>241</v>
      </c>
      <c r="IA774" s="4" t="s">
        <v>241</v>
      </c>
      <c r="IB774" s="4" t="s">
        <v>241</v>
      </c>
      <c r="IC774" s="4" t="s">
        <v>241</v>
      </c>
      <c r="ID774" s="4" t="s">
        <v>241</v>
      </c>
      <c r="IE774" s="4" t="s">
        <v>241</v>
      </c>
      <c r="IF774" s="4" t="s">
        <v>241</v>
      </c>
    </row>
    <row r="775" spans="1:240" x14ac:dyDescent="0.4">
      <c r="A775" s="4">
        <v>2</v>
      </c>
      <c r="B775" s="4" t="s">
        <v>239</v>
      </c>
      <c r="C775" s="4">
        <v>842</v>
      </c>
      <c r="D775" s="4">
        <v>1</v>
      </c>
      <c r="E775" s="4">
        <v>3</v>
      </c>
      <c r="F775" s="4" t="s">
        <v>240</v>
      </c>
      <c r="G775" s="4" t="s">
        <v>241</v>
      </c>
      <c r="H775" s="4" t="s">
        <v>241</v>
      </c>
      <c r="I775" s="4" t="s">
        <v>2469</v>
      </c>
      <c r="J775" s="4" t="s">
        <v>344</v>
      </c>
      <c r="K775" s="4" t="s">
        <v>256</v>
      </c>
      <c r="L775" s="4" t="s">
        <v>2101</v>
      </c>
      <c r="M775" s="5" t="s">
        <v>2470</v>
      </c>
      <c r="N775" s="4" t="s">
        <v>2154</v>
      </c>
      <c r="O775" s="6">
        <f t="shared" si="37"/>
        <v>77.760000000000005</v>
      </c>
      <c r="P775" s="4" t="s">
        <v>276</v>
      </c>
      <c r="Q775" s="6">
        <f t="shared" si="38"/>
        <v>4314915</v>
      </c>
      <c r="R775" s="6">
        <f t="shared" si="39"/>
        <v>13919040</v>
      </c>
      <c r="S775" s="5" t="s">
        <v>345</v>
      </c>
      <c r="T775" s="4" t="s">
        <v>314</v>
      </c>
      <c r="U775" s="4" t="s">
        <v>349</v>
      </c>
      <c r="V775" s="6">
        <f t="shared" si="40"/>
        <v>640275</v>
      </c>
      <c r="W775" s="6">
        <f t="shared" si="41"/>
        <v>9604125</v>
      </c>
      <c r="X775" s="4" t="s">
        <v>243</v>
      </c>
      <c r="Y775" s="4" t="s">
        <v>244</v>
      </c>
      <c r="Z775" s="4" t="s">
        <v>338</v>
      </c>
      <c r="AA775" s="4" t="s">
        <v>241</v>
      </c>
      <c r="AD775" s="4" t="s">
        <v>241</v>
      </c>
      <c r="AE775" s="5" t="s">
        <v>241</v>
      </c>
      <c r="AF775" s="5" t="s">
        <v>241</v>
      </c>
      <c r="AH775" s="5" t="s">
        <v>241</v>
      </c>
      <c r="AI775" s="5" t="s">
        <v>249</v>
      </c>
      <c r="AJ775" s="4" t="s">
        <v>251</v>
      </c>
      <c r="AK775" s="4" t="s">
        <v>252</v>
      </c>
      <c r="AQ775" s="4" t="s">
        <v>241</v>
      </c>
      <c r="AR775" s="4" t="s">
        <v>241</v>
      </c>
      <c r="AS775" s="4" t="s">
        <v>241</v>
      </c>
      <c r="AT775" s="5" t="s">
        <v>241</v>
      </c>
      <c r="AU775" s="5" t="s">
        <v>241</v>
      </c>
      <c r="AV775" s="5" t="s">
        <v>241</v>
      </c>
      <c r="AY775" s="4" t="s">
        <v>286</v>
      </c>
      <c r="AZ775" s="4" t="s">
        <v>286</v>
      </c>
      <c r="BA775" s="4" t="s">
        <v>254</v>
      </c>
      <c r="BB775" s="4" t="s">
        <v>287</v>
      </c>
      <c r="BC775" s="4" t="s">
        <v>255</v>
      </c>
      <c r="BD775" s="4" t="s">
        <v>241</v>
      </c>
      <c r="BE775" s="4" t="s">
        <v>257</v>
      </c>
      <c r="BF775" s="4" t="s">
        <v>241</v>
      </c>
      <c r="BJ775" s="4" t="s">
        <v>288</v>
      </c>
      <c r="BK775" s="5" t="s">
        <v>289</v>
      </c>
      <c r="BL775" s="4" t="s">
        <v>290</v>
      </c>
      <c r="BM775" s="4" t="s">
        <v>290</v>
      </c>
      <c r="BN775" s="4" t="s">
        <v>241</v>
      </c>
      <c r="BO775" s="6">
        <f>0</f>
        <v>0</v>
      </c>
      <c r="BP775" s="6">
        <f t="shared" si="42"/>
        <v>-640275</v>
      </c>
      <c r="BQ775" s="4" t="s">
        <v>263</v>
      </c>
      <c r="BR775" s="4" t="s">
        <v>264</v>
      </c>
      <c r="BS775" s="4" t="s">
        <v>241</v>
      </c>
      <c r="BT775" s="4" t="s">
        <v>241</v>
      </c>
      <c r="BU775" s="4" t="s">
        <v>241</v>
      </c>
      <c r="BV775" s="4" t="s">
        <v>241</v>
      </c>
      <c r="CE775" s="4" t="s">
        <v>264</v>
      </c>
      <c r="CF775" s="4" t="s">
        <v>241</v>
      </c>
      <c r="CG775" s="4" t="s">
        <v>241</v>
      </c>
      <c r="CK775" s="4" t="s">
        <v>291</v>
      </c>
      <c r="CL775" s="4" t="s">
        <v>266</v>
      </c>
      <c r="CM775" s="4" t="s">
        <v>241</v>
      </c>
      <c r="CO775" s="4" t="s">
        <v>346</v>
      </c>
      <c r="CP775" s="5" t="s">
        <v>268</v>
      </c>
      <c r="CQ775" s="4" t="s">
        <v>269</v>
      </c>
      <c r="CR775" s="4" t="s">
        <v>270</v>
      </c>
      <c r="CS775" s="4" t="s">
        <v>293</v>
      </c>
      <c r="CT775" s="4" t="s">
        <v>241</v>
      </c>
      <c r="CU775" s="4">
        <v>4.5999999999999999E-2</v>
      </c>
      <c r="CV775" s="4" t="s">
        <v>271</v>
      </c>
      <c r="CW775" s="4" t="s">
        <v>411</v>
      </c>
      <c r="CX775" s="4" t="s">
        <v>347</v>
      </c>
      <c r="CY775" s="6">
        <f>0</f>
        <v>0</v>
      </c>
      <c r="CZ775" s="6">
        <f t="shared" si="43"/>
        <v>13919040</v>
      </c>
      <c r="DA775" s="6">
        <f t="shared" si="44"/>
        <v>4314915</v>
      </c>
      <c r="DC775" s="4" t="s">
        <v>241</v>
      </c>
      <c r="DD775" s="4" t="s">
        <v>241</v>
      </c>
      <c r="DF775" s="4" t="s">
        <v>241</v>
      </c>
      <c r="DG775" s="6">
        <f>0</f>
        <v>0</v>
      </c>
      <c r="DI775" s="4" t="s">
        <v>241</v>
      </c>
      <c r="DJ775" s="4" t="s">
        <v>241</v>
      </c>
      <c r="DK775" s="4" t="s">
        <v>241</v>
      </c>
      <c r="DL775" s="4" t="s">
        <v>241</v>
      </c>
      <c r="DM775" s="4" t="s">
        <v>277</v>
      </c>
      <c r="DN775" s="4" t="s">
        <v>278</v>
      </c>
      <c r="DO775" s="6">
        <f t="shared" si="45"/>
        <v>77.760000000000005</v>
      </c>
      <c r="DP775" s="4" t="s">
        <v>241</v>
      </c>
      <c r="DQ775" s="4" t="s">
        <v>241</v>
      </c>
      <c r="DR775" s="4" t="s">
        <v>241</v>
      </c>
      <c r="DS775" s="4" t="s">
        <v>241</v>
      </c>
      <c r="DV775" s="4" t="s">
        <v>2471</v>
      </c>
      <c r="DW775" s="4" t="s">
        <v>427</v>
      </c>
      <c r="GN775" s="4" t="s">
        <v>2474</v>
      </c>
      <c r="HO775" s="4" t="s">
        <v>300</v>
      </c>
      <c r="HR775" s="4" t="s">
        <v>278</v>
      </c>
      <c r="HS775" s="4" t="s">
        <v>278</v>
      </c>
      <c r="HT775" s="4" t="s">
        <v>241</v>
      </c>
      <c r="HU775" s="4" t="s">
        <v>241</v>
      </c>
      <c r="HV775" s="4" t="s">
        <v>241</v>
      </c>
      <c r="HW775" s="4" t="s">
        <v>241</v>
      </c>
      <c r="HX775" s="4" t="s">
        <v>241</v>
      </c>
      <c r="HY775" s="4" t="s">
        <v>241</v>
      </c>
      <c r="HZ775" s="4" t="s">
        <v>241</v>
      </c>
      <c r="IA775" s="4" t="s">
        <v>241</v>
      </c>
      <c r="IB775" s="4" t="s">
        <v>241</v>
      </c>
      <c r="IC775" s="4" t="s">
        <v>241</v>
      </c>
      <c r="ID775" s="4" t="s">
        <v>241</v>
      </c>
      <c r="IE775" s="4" t="s">
        <v>241</v>
      </c>
      <c r="IF775" s="4" t="s">
        <v>241</v>
      </c>
    </row>
    <row r="776" spans="1:240" x14ac:dyDescent="0.4">
      <c r="A776" s="4">
        <v>2</v>
      </c>
      <c r="B776" s="4" t="s">
        <v>239</v>
      </c>
      <c r="C776" s="4">
        <v>843</v>
      </c>
      <c r="D776" s="4">
        <v>1</v>
      </c>
      <c r="E776" s="4">
        <v>3</v>
      </c>
      <c r="F776" s="4" t="s">
        <v>240</v>
      </c>
      <c r="G776" s="4" t="s">
        <v>241</v>
      </c>
      <c r="H776" s="4" t="s">
        <v>241</v>
      </c>
      <c r="I776" s="4" t="s">
        <v>2469</v>
      </c>
      <c r="J776" s="4" t="s">
        <v>344</v>
      </c>
      <c r="K776" s="4" t="s">
        <v>256</v>
      </c>
      <c r="L776" s="4" t="s">
        <v>2101</v>
      </c>
      <c r="M776" s="5" t="s">
        <v>2470</v>
      </c>
      <c r="N776" s="4" t="s">
        <v>2232</v>
      </c>
      <c r="O776" s="6">
        <f t="shared" si="37"/>
        <v>77.760000000000005</v>
      </c>
      <c r="P776" s="4" t="s">
        <v>276</v>
      </c>
      <c r="Q776" s="6">
        <f t="shared" si="38"/>
        <v>4314915</v>
      </c>
      <c r="R776" s="6">
        <f t="shared" si="39"/>
        <v>13919040</v>
      </c>
      <c r="S776" s="5" t="s">
        <v>345</v>
      </c>
      <c r="T776" s="4" t="s">
        <v>314</v>
      </c>
      <c r="U776" s="4" t="s">
        <v>349</v>
      </c>
      <c r="V776" s="6">
        <f t="shared" si="40"/>
        <v>640275</v>
      </c>
      <c r="W776" s="6">
        <f t="shared" si="41"/>
        <v>9604125</v>
      </c>
      <c r="X776" s="4" t="s">
        <v>243</v>
      </c>
      <c r="Y776" s="4" t="s">
        <v>244</v>
      </c>
      <c r="Z776" s="4" t="s">
        <v>338</v>
      </c>
      <c r="AA776" s="4" t="s">
        <v>241</v>
      </c>
      <c r="AD776" s="4" t="s">
        <v>241</v>
      </c>
      <c r="AE776" s="5" t="s">
        <v>241</v>
      </c>
      <c r="AF776" s="5" t="s">
        <v>241</v>
      </c>
      <c r="AH776" s="5" t="s">
        <v>241</v>
      </c>
      <c r="AI776" s="5" t="s">
        <v>249</v>
      </c>
      <c r="AJ776" s="4" t="s">
        <v>251</v>
      </c>
      <c r="AK776" s="4" t="s">
        <v>252</v>
      </c>
      <c r="AQ776" s="4" t="s">
        <v>241</v>
      </c>
      <c r="AR776" s="4" t="s">
        <v>241</v>
      </c>
      <c r="AS776" s="4" t="s">
        <v>241</v>
      </c>
      <c r="AT776" s="5" t="s">
        <v>241</v>
      </c>
      <c r="AU776" s="5" t="s">
        <v>241</v>
      </c>
      <c r="AV776" s="5" t="s">
        <v>241</v>
      </c>
      <c r="AY776" s="4" t="s">
        <v>286</v>
      </c>
      <c r="AZ776" s="4" t="s">
        <v>286</v>
      </c>
      <c r="BA776" s="4" t="s">
        <v>254</v>
      </c>
      <c r="BB776" s="4" t="s">
        <v>287</v>
      </c>
      <c r="BC776" s="4" t="s">
        <v>255</v>
      </c>
      <c r="BD776" s="4" t="s">
        <v>241</v>
      </c>
      <c r="BE776" s="4" t="s">
        <v>257</v>
      </c>
      <c r="BF776" s="4" t="s">
        <v>241</v>
      </c>
      <c r="BJ776" s="4" t="s">
        <v>288</v>
      </c>
      <c r="BK776" s="5" t="s">
        <v>289</v>
      </c>
      <c r="BL776" s="4" t="s">
        <v>290</v>
      </c>
      <c r="BM776" s="4" t="s">
        <v>290</v>
      </c>
      <c r="BN776" s="4" t="s">
        <v>241</v>
      </c>
      <c r="BO776" s="6">
        <f>0</f>
        <v>0</v>
      </c>
      <c r="BP776" s="6">
        <f t="shared" si="42"/>
        <v>-640275</v>
      </c>
      <c r="BQ776" s="4" t="s">
        <v>263</v>
      </c>
      <c r="BR776" s="4" t="s">
        <v>264</v>
      </c>
      <c r="BS776" s="4" t="s">
        <v>241</v>
      </c>
      <c r="BT776" s="4" t="s">
        <v>241</v>
      </c>
      <c r="BU776" s="4" t="s">
        <v>241</v>
      </c>
      <c r="BV776" s="4" t="s">
        <v>241</v>
      </c>
      <c r="CE776" s="4" t="s">
        <v>264</v>
      </c>
      <c r="CF776" s="4" t="s">
        <v>241</v>
      </c>
      <c r="CG776" s="4" t="s">
        <v>241</v>
      </c>
      <c r="CK776" s="4" t="s">
        <v>291</v>
      </c>
      <c r="CL776" s="4" t="s">
        <v>266</v>
      </c>
      <c r="CM776" s="4" t="s">
        <v>241</v>
      </c>
      <c r="CO776" s="4" t="s">
        <v>346</v>
      </c>
      <c r="CP776" s="5" t="s">
        <v>268</v>
      </c>
      <c r="CQ776" s="4" t="s">
        <v>269</v>
      </c>
      <c r="CR776" s="4" t="s">
        <v>270</v>
      </c>
      <c r="CS776" s="4" t="s">
        <v>293</v>
      </c>
      <c r="CT776" s="4" t="s">
        <v>241</v>
      </c>
      <c r="CU776" s="4">
        <v>4.5999999999999999E-2</v>
      </c>
      <c r="CV776" s="4" t="s">
        <v>271</v>
      </c>
      <c r="CW776" s="4" t="s">
        <v>411</v>
      </c>
      <c r="CX776" s="4" t="s">
        <v>347</v>
      </c>
      <c r="CY776" s="6">
        <f>0</f>
        <v>0</v>
      </c>
      <c r="CZ776" s="6">
        <f t="shared" si="43"/>
        <v>13919040</v>
      </c>
      <c r="DA776" s="6">
        <f t="shared" si="44"/>
        <v>4314915</v>
      </c>
      <c r="DC776" s="4" t="s">
        <v>241</v>
      </c>
      <c r="DD776" s="4" t="s">
        <v>241</v>
      </c>
      <c r="DF776" s="4" t="s">
        <v>241</v>
      </c>
      <c r="DG776" s="6">
        <f>0</f>
        <v>0</v>
      </c>
      <c r="DI776" s="4" t="s">
        <v>241</v>
      </c>
      <c r="DJ776" s="4" t="s">
        <v>241</v>
      </c>
      <c r="DK776" s="4" t="s">
        <v>241</v>
      </c>
      <c r="DL776" s="4" t="s">
        <v>241</v>
      </c>
      <c r="DM776" s="4" t="s">
        <v>277</v>
      </c>
      <c r="DN776" s="4" t="s">
        <v>278</v>
      </c>
      <c r="DO776" s="6">
        <f t="shared" si="45"/>
        <v>77.760000000000005</v>
      </c>
      <c r="DP776" s="4" t="s">
        <v>241</v>
      </c>
      <c r="DQ776" s="4" t="s">
        <v>241</v>
      </c>
      <c r="DR776" s="4" t="s">
        <v>241</v>
      </c>
      <c r="DS776" s="4" t="s">
        <v>241</v>
      </c>
      <c r="DV776" s="4" t="s">
        <v>2471</v>
      </c>
      <c r="DW776" s="4" t="s">
        <v>353</v>
      </c>
      <c r="GN776" s="4" t="s">
        <v>2473</v>
      </c>
      <c r="HO776" s="4" t="s">
        <v>300</v>
      </c>
      <c r="HR776" s="4" t="s">
        <v>278</v>
      </c>
      <c r="HS776" s="4" t="s">
        <v>278</v>
      </c>
      <c r="HT776" s="4" t="s">
        <v>241</v>
      </c>
      <c r="HU776" s="4" t="s">
        <v>241</v>
      </c>
      <c r="HV776" s="4" t="s">
        <v>241</v>
      </c>
      <c r="HW776" s="4" t="s">
        <v>241</v>
      </c>
      <c r="HX776" s="4" t="s">
        <v>241</v>
      </c>
      <c r="HY776" s="4" t="s">
        <v>241</v>
      </c>
      <c r="HZ776" s="4" t="s">
        <v>241</v>
      </c>
      <c r="IA776" s="4" t="s">
        <v>241</v>
      </c>
      <c r="IB776" s="4" t="s">
        <v>241</v>
      </c>
      <c r="IC776" s="4" t="s">
        <v>241</v>
      </c>
      <c r="ID776" s="4" t="s">
        <v>241</v>
      </c>
      <c r="IE776" s="4" t="s">
        <v>241</v>
      </c>
      <c r="IF776" s="4" t="s">
        <v>241</v>
      </c>
    </row>
    <row r="777" spans="1:240" x14ac:dyDescent="0.4">
      <c r="A777" s="4">
        <v>2</v>
      </c>
      <c r="B777" s="4" t="s">
        <v>239</v>
      </c>
      <c r="C777" s="4">
        <v>844</v>
      </c>
      <c r="D777" s="4">
        <v>1</v>
      </c>
      <c r="E777" s="4">
        <v>3</v>
      </c>
      <c r="F777" s="4" t="s">
        <v>240</v>
      </c>
      <c r="G777" s="4" t="s">
        <v>241</v>
      </c>
      <c r="H777" s="4" t="s">
        <v>241</v>
      </c>
      <c r="I777" s="4" t="s">
        <v>2469</v>
      </c>
      <c r="J777" s="4" t="s">
        <v>344</v>
      </c>
      <c r="K777" s="4" t="s">
        <v>256</v>
      </c>
      <c r="L777" s="4" t="s">
        <v>2101</v>
      </c>
      <c r="M777" s="5" t="s">
        <v>2470</v>
      </c>
      <c r="N777" s="4" t="s">
        <v>2233</v>
      </c>
      <c r="O777" s="6">
        <f t="shared" si="37"/>
        <v>77.760000000000005</v>
      </c>
      <c r="P777" s="4" t="s">
        <v>276</v>
      </c>
      <c r="Q777" s="6">
        <f t="shared" si="38"/>
        <v>4314915</v>
      </c>
      <c r="R777" s="6">
        <f t="shared" si="39"/>
        <v>13919040</v>
      </c>
      <c r="S777" s="5" t="s">
        <v>345</v>
      </c>
      <c r="T777" s="4" t="s">
        <v>314</v>
      </c>
      <c r="U777" s="4" t="s">
        <v>349</v>
      </c>
      <c r="V777" s="6">
        <f t="shared" si="40"/>
        <v>640275</v>
      </c>
      <c r="W777" s="6">
        <f t="shared" si="41"/>
        <v>9604125</v>
      </c>
      <c r="X777" s="4" t="s">
        <v>243</v>
      </c>
      <c r="Y777" s="4" t="s">
        <v>244</v>
      </c>
      <c r="Z777" s="4" t="s">
        <v>338</v>
      </c>
      <c r="AA777" s="4" t="s">
        <v>241</v>
      </c>
      <c r="AD777" s="4" t="s">
        <v>241</v>
      </c>
      <c r="AE777" s="5" t="s">
        <v>241</v>
      </c>
      <c r="AF777" s="5" t="s">
        <v>241</v>
      </c>
      <c r="AH777" s="5" t="s">
        <v>241</v>
      </c>
      <c r="AI777" s="5" t="s">
        <v>249</v>
      </c>
      <c r="AJ777" s="4" t="s">
        <v>251</v>
      </c>
      <c r="AK777" s="4" t="s">
        <v>252</v>
      </c>
      <c r="AQ777" s="4" t="s">
        <v>241</v>
      </c>
      <c r="AR777" s="4" t="s">
        <v>241</v>
      </c>
      <c r="AS777" s="4" t="s">
        <v>241</v>
      </c>
      <c r="AT777" s="5" t="s">
        <v>241</v>
      </c>
      <c r="AU777" s="5" t="s">
        <v>241</v>
      </c>
      <c r="AV777" s="5" t="s">
        <v>241</v>
      </c>
      <c r="AY777" s="4" t="s">
        <v>286</v>
      </c>
      <c r="AZ777" s="4" t="s">
        <v>286</v>
      </c>
      <c r="BA777" s="4" t="s">
        <v>254</v>
      </c>
      <c r="BB777" s="4" t="s">
        <v>287</v>
      </c>
      <c r="BC777" s="4" t="s">
        <v>255</v>
      </c>
      <c r="BD777" s="4" t="s">
        <v>241</v>
      </c>
      <c r="BE777" s="4" t="s">
        <v>257</v>
      </c>
      <c r="BF777" s="4" t="s">
        <v>241</v>
      </c>
      <c r="BJ777" s="4" t="s">
        <v>288</v>
      </c>
      <c r="BK777" s="5" t="s">
        <v>289</v>
      </c>
      <c r="BL777" s="4" t="s">
        <v>290</v>
      </c>
      <c r="BM777" s="4" t="s">
        <v>290</v>
      </c>
      <c r="BN777" s="4" t="s">
        <v>241</v>
      </c>
      <c r="BO777" s="6">
        <f>0</f>
        <v>0</v>
      </c>
      <c r="BP777" s="6">
        <f t="shared" si="42"/>
        <v>-640275</v>
      </c>
      <c r="BQ777" s="4" t="s">
        <v>263</v>
      </c>
      <c r="BR777" s="4" t="s">
        <v>264</v>
      </c>
      <c r="BS777" s="4" t="s">
        <v>241</v>
      </c>
      <c r="BT777" s="4" t="s">
        <v>241</v>
      </c>
      <c r="BU777" s="4" t="s">
        <v>241</v>
      </c>
      <c r="BV777" s="4" t="s">
        <v>241</v>
      </c>
      <c r="CE777" s="4" t="s">
        <v>264</v>
      </c>
      <c r="CF777" s="4" t="s">
        <v>241</v>
      </c>
      <c r="CG777" s="4" t="s">
        <v>241</v>
      </c>
      <c r="CK777" s="4" t="s">
        <v>291</v>
      </c>
      <c r="CL777" s="4" t="s">
        <v>266</v>
      </c>
      <c r="CM777" s="4" t="s">
        <v>241</v>
      </c>
      <c r="CO777" s="4" t="s">
        <v>346</v>
      </c>
      <c r="CP777" s="5" t="s">
        <v>268</v>
      </c>
      <c r="CQ777" s="4" t="s">
        <v>269</v>
      </c>
      <c r="CR777" s="4" t="s">
        <v>270</v>
      </c>
      <c r="CS777" s="4" t="s">
        <v>293</v>
      </c>
      <c r="CT777" s="4" t="s">
        <v>241</v>
      </c>
      <c r="CU777" s="4">
        <v>4.5999999999999999E-2</v>
      </c>
      <c r="CV777" s="4" t="s">
        <v>271</v>
      </c>
      <c r="CW777" s="4" t="s">
        <v>411</v>
      </c>
      <c r="CX777" s="4" t="s">
        <v>347</v>
      </c>
      <c r="CY777" s="6">
        <f>0</f>
        <v>0</v>
      </c>
      <c r="CZ777" s="6">
        <f t="shared" si="43"/>
        <v>13919040</v>
      </c>
      <c r="DA777" s="6">
        <f t="shared" si="44"/>
        <v>4314915</v>
      </c>
      <c r="DC777" s="4" t="s">
        <v>241</v>
      </c>
      <c r="DD777" s="4" t="s">
        <v>241</v>
      </c>
      <c r="DF777" s="4" t="s">
        <v>241</v>
      </c>
      <c r="DG777" s="6">
        <f>0</f>
        <v>0</v>
      </c>
      <c r="DI777" s="4" t="s">
        <v>241</v>
      </c>
      <c r="DJ777" s="4" t="s">
        <v>241</v>
      </c>
      <c r="DK777" s="4" t="s">
        <v>241</v>
      </c>
      <c r="DL777" s="4" t="s">
        <v>241</v>
      </c>
      <c r="DM777" s="4" t="s">
        <v>277</v>
      </c>
      <c r="DN777" s="4" t="s">
        <v>278</v>
      </c>
      <c r="DO777" s="6">
        <f t="shared" si="45"/>
        <v>77.760000000000005</v>
      </c>
      <c r="DP777" s="4" t="s">
        <v>241</v>
      </c>
      <c r="DQ777" s="4" t="s">
        <v>241</v>
      </c>
      <c r="DR777" s="4" t="s">
        <v>241</v>
      </c>
      <c r="DS777" s="4" t="s">
        <v>241</v>
      </c>
      <c r="DV777" s="4" t="s">
        <v>2471</v>
      </c>
      <c r="DW777" s="4" t="s">
        <v>409</v>
      </c>
      <c r="GN777" s="4" t="s">
        <v>2472</v>
      </c>
      <c r="HO777" s="4" t="s">
        <v>300</v>
      </c>
      <c r="HR777" s="4" t="s">
        <v>278</v>
      </c>
      <c r="HS777" s="4" t="s">
        <v>278</v>
      </c>
      <c r="HT777" s="4" t="s">
        <v>241</v>
      </c>
      <c r="HU777" s="4" t="s">
        <v>241</v>
      </c>
      <c r="HV777" s="4" t="s">
        <v>241</v>
      </c>
      <c r="HW777" s="4" t="s">
        <v>241</v>
      </c>
      <c r="HX777" s="4" t="s">
        <v>241</v>
      </c>
      <c r="HY777" s="4" t="s">
        <v>241</v>
      </c>
      <c r="HZ777" s="4" t="s">
        <v>241</v>
      </c>
      <c r="IA777" s="4" t="s">
        <v>241</v>
      </c>
      <c r="IB777" s="4" t="s">
        <v>241</v>
      </c>
      <c r="IC777" s="4" t="s">
        <v>241</v>
      </c>
      <c r="ID777" s="4" t="s">
        <v>241</v>
      </c>
      <c r="IE777" s="4" t="s">
        <v>241</v>
      </c>
      <c r="IF777" s="4" t="s">
        <v>241</v>
      </c>
    </row>
    <row r="778" spans="1:240" x14ac:dyDescent="0.4">
      <c r="A778" s="4">
        <v>2</v>
      </c>
      <c r="B778" s="4" t="s">
        <v>239</v>
      </c>
      <c r="C778" s="4">
        <v>845</v>
      </c>
      <c r="D778" s="4">
        <v>1</v>
      </c>
      <c r="E778" s="4">
        <v>3</v>
      </c>
      <c r="F778" s="4" t="s">
        <v>240</v>
      </c>
      <c r="G778" s="4" t="s">
        <v>241</v>
      </c>
      <c r="H778" s="4" t="s">
        <v>241</v>
      </c>
      <c r="I778" s="4" t="s">
        <v>2460</v>
      </c>
      <c r="J778" s="4" t="s">
        <v>344</v>
      </c>
      <c r="K778" s="4" t="s">
        <v>256</v>
      </c>
      <c r="L778" s="4" t="s">
        <v>2101</v>
      </c>
      <c r="M778" s="5" t="s">
        <v>2461</v>
      </c>
      <c r="N778" s="4" t="s">
        <v>2114</v>
      </c>
      <c r="O778" s="6">
        <f t="shared" ref="O778:O783" si="46">157.33</f>
        <v>157.33000000000001</v>
      </c>
      <c r="P778" s="4" t="s">
        <v>276</v>
      </c>
      <c r="Q778" s="6">
        <f t="shared" ref="Q778:Q783" si="47">6728692</f>
        <v>6728692</v>
      </c>
      <c r="R778" s="6">
        <f t="shared" ref="R778:R783" si="48">25487460</f>
        <v>25487460</v>
      </c>
      <c r="S778" s="5" t="s">
        <v>1442</v>
      </c>
      <c r="T778" s="4" t="s">
        <v>314</v>
      </c>
      <c r="U778" s="4" t="s">
        <v>348</v>
      </c>
      <c r="V778" s="6">
        <f t="shared" ref="V778:V783" si="49">1172423</f>
        <v>1172423</v>
      </c>
      <c r="W778" s="6">
        <f t="shared" ref="W778:W783" si="50">18758768</f>
        <v>18758768</v>
      </c>
      <c r="X778" s="4" t="s">
        <v>243</v>
      </c>
      <c r="Y778" s="4" t="s">
        <v>244</v>
      </c>
      <c r="Z778" s="4" t="s">
        <v>338</v>
      </c>
      <c r="AA778" s="4" t="s">
        <v>241</v>
      </c>
      <c r="AD778" s="4" t="s">
        <v>241</v>
      </c>
      <c r="AE778" s="5" t="s">
        <v>241</v>
      </c>
      <c r="AF778" s="5" t="s">
        <v>241</v>
      </c>
      <c r="AH778" s="5" t="s">
        <v>241</v>
      </c>
      <c r="AI778" s="5" t="s">
        <v>249</v>
      </c>
      <c r="AJ778" s="4" t="s">
        <v>251</v>
      </c>
      <c r="AK778" s="4" t="s">
        <v>252</v>
      </c>
      <c r="AQ778" s="4" t="s">
        <v>241</v>
      </c>
      <c r="AR778" s="4" t="s">
        <v>241</v>
      </c>
      <c r="AS778" s="4" t="s">
        <v>241</v>
      </c>
      <c r="AT778" s="5" t="s">
        <v>241</v>
      </c>
      <c r="AU778" s="5" t="s">
        <v>241</v>
      </c>
      <c r="AV778" s="5" t="s">
        <v>241</v>
      </c>
      <c r="AY778" s="4" t="s">
        <v>286</v>
      </c>
      <c r="AZ778" s="4" t="s">
        <v>286</v>
      </c>
      <c r="BA778" s="4" t="s">
        <v>254</v>
      </c>
      <c r="BB778" s="4" t="s">
        <v>287</v>
      </c>
      <c r="BC778" s="4" t="s">
        <v>255</v>
      </c>
      <c r="BD778" s="4" t="s">
        <v>241</v>
      </c>
      <c r="BE778" s="4" t="s">
        <v>257</v>
      </c>
      <c r="BF778" s="4" t="s">
        <v>241</v>
      </c>
      <c r="BJ778" s="4" t="s">
        <v>288</v>
      </c>
      <c r="BK778" s="5" t="s">
        <v>289</v>
      </c>
      <c r="BL778" s="4" t="s">
        <v>290</v>
      </c>
      <c r="BM778" s="4" t="s">
        <v>290</v>
      </c>
      <c r="BN778" s="4" t="s">
        <v>241</v>
      </c>
      <c r="BO778" s="6">
        <f>0</f>
        <v>0</v>
      </c>
      <c r="BP778" s="6">
        <f t="shared" ref="BP778:BP783" si="51">-1172423</f>
        <v>-1172423</v>
      </c>
      <c r="BQ778" s="4" t="s">
        <v>263</v>
      </c>
      <c r="BR778" s="4" t="s">
        <v>264</v>
      </c>
      <c r="BS778" s="4" t="s">
        <v>241</v>
      </c>
      <c r="BT778" s="4" t="s">
        <v>241</v>
      </c>
      <c r="BU778" s="4" t="s">
        <v>241</v>
      </c>
      <c r="BV778" s="4" t="s">
        <v>241</v>
      </c>
      <c r="CE778" s="4" t="s">
        <v>264</v>
      </c>
      <c r="CF778" s="4" t="s">
        <v>241</v>
      </c>
      <c r="CG778" s="4" t="s">
        <v>241</v>
      </c>
      <c r="CK778" s="4" t="s">
        <v>291</v>
      </c>
      <c r="CL778" s="4" t="s">
        <v>266</v>
      </c>
      <c r="CM778" s="4" t="s">
        <v>241</v>
      </c>
      <c r="CO778" s="4" t="s">
        <v>1444</v>
      </c>
      <c r="CP778" s="5" t="s">
        <v>268</v>
      </c>
      <c r="CQ778" s="4" t="s">
        <v>269</v>
      </c>
      <c r="CR778" s="4" t="s">
        <v>270</v>
      </c>
      <c r="CS778" s="4" t="s">
        <v>293</v>
      </c>
      <c r="CT778" s="4" t="s">
        <v>241</v>
      </c>
      <c r="CU778" s="4">
        <v>4.5999999999999999E-2</v>
      </c>
      <c r="CV778" s="4" t="s">
        <v>271</v>
      </c>
      <c r="CW778" s="4" t="s">
        <v>411</v>
      </c>
      <c r="CX778" s="4" t="s">
        <v>347</v>
      </c>
      <c r="CY778" s="6">
        <f>0</f>
        <v>0</v>
      </c>
      <c r="CZ778" s="6">
        <f t="shared" ref="CZ778:CZ783" si="52">25487460</f>
        <v>25487460</v>
      </c>
      <c r="DA778" s="6">
        <f t="shared" ref="DA778:DA783" si="53">6728692</f>
        <v>6728692</v>
      </c>
      <c r="DC778" s="4" t="s">
        <v>241</v>
      </c>
      <c r="DD778" s="4" t="s">
        <v>241</v>
      </c>
      <c r="DF778" s="4" t="s">
        <v>241</v>
      </c>
      <c r="DG778" s="6">
        <f>0</f>
        <v>0</v>
      </c>
      <c r="DI778" s="4" t="s">
        <v>241</v>
      </c>
      <c r="DJ778" s="4" t="s">
        <v>241</v>
      </c>
      <c r="DK778" s="4" t="s">
        <v>241</v>
      </c>
      <c r="DL778" s="4" t="s">
        <v>241</v>
      </c>
      <c r="DM778" s="4" t="s">
        <v>323</v>
      </c>
      <c r="DN778" s="4" t="s">
        <v>278</v>
      </c>
      <c r="DO778" s="6">
        <f t="shared" ref="DO778:DO783" si="54">157.33</f>
        <v>157.33000000000001</v>
      </c>
      <c r="DP778" s="4" t="s">
        <v>241</v>
      </c>
      <c r="DQ778" s="4" t="s">
        <v>241</v>
      </c>
      <c r="DR778" s="4" t="s">
        <v>241</v>
      </c>
      <c r="DS778" s="4" t="s">
        <v>241</v>
      </c>
      <c r="DV778" s="4" t="s">
        <v>2462</v>
      </c>
      <c r="DW778" s="4" t="s">
        <v>277</v>
      </c>
      <c r="GN778" s="4" t="s">
        <v>2468</v>
      </c>
      <c r="HO778" s="4" t="s">
        <v>300</v>
      </c>
      <c r="HR778" s="4" t="s">
        <v>278</v>
      </c>
      <c r="HS778" s="4" t="s">
        <v>278</v>
      </c>
      <c r="HT778" s="4" t="s">
        <v>241</v>
      </c>
      <c r="HU778" s="4" t="s">
        <v>241</v>
      </c>
      <c r="HV778" s="4" t="s">
        <v>241</v>
      </c>
      <c r="HW778" s="4" t="s">
        <v>241</v>
      </c>
      <c r="HX778" s="4" t="s">
        <v>241</v>
      </c>
      <c r="HY778" s="4" t="s">
        <v>241</v>
      </c>
      <c r="HZ778" s="4" t="s">
        <v>241</v>
      </c>
      <c r="IA778" s="4" t="s">
        <v>241</v>
      </c>
      <c r="IB778" s="4" t="s">
        <v>241</v>
      </c>
      <c r="IC778" s="4" t="s">
        <v>241</v>
      </c>
      <c r="ID778" s="4" t="s">
        <v>241</v>
      </c>
      <c r="IE778" s="4" t="s">
        <v>241</v>
      </c>
      <c r="IF778" s="4" t="s">
        <v>241</v>
      </c>
    </row>
    <row r="779" spans="1:240" x14ac:dyDescent="0.4">
      <c r="A779" s="4">
        <v>2</v>
      </c>
      <c r="B779" s="4" t="s">
        <v>239</v>
      </c>
      <c r="C779" s="4">
        <v>846</v>
      </c>
      <c r="D779" s="4">
        <v>1</v>
      </c>
      <c r="E779" s="4">
        <v>3</v>
      </c>
      <c r="F779" s="4" t="s">
        <v>240</v>
      </c>
      <c r="G779" s="4" t="s">
        <v>241</v>
      </c>
      <c r="H779" s="4" t="s">
        <v>241</v>
      </c>
      <c r="I779" s="4" t="s">
        <v>2460</v>
      </c>
      <c r="J779" s="4" t="s">
        <v>344</v>
      </c>
      <c r="K779" s="4" t="s">
        <v>256</v>
      </c>
      <c r="L779" s="4" t="s">
        <v>2101</v>
      </c>
      <c r="M779" s="5" t="s">
        <v>2461</v>
      </c>
      <c r="N779" s="4" t="s">
        <v>2114</v>
      </c>
      <c r="O779" s="6">
        <f t="shared" si="46"/>
        <v>157.33000000000001</v>
      </c>
      <c r="P779" s="4" t="s">
        <v>276</v>
      </c>
      <c r="Q779" s="6">
        <f t="shared" si="47"/>
        <v>6728692</v>
      </c>
      <c r="R779" s="6">
        <f t="shared" si="48"/>
        <v>25487460</v>
      </c>
      <c r="S779" s="5" t="s">
        <v>1442</v>
      </c>
      <c r="T779" s="4" t="s">
        <v>314</v>
      </c>
      <c r="U779" s="4" t="s">
        <v>348</v>
      </c>
      <c r="V779" s="6">
        <f t="shared" si="49"/>
        <v>1172423</v>
      </c>
      <c r="W779" s="6">
        <f t="shared" si="50"/>
        <v>18758768</v>
      </c>
      <c r="X779" s="4" t="s">
        <v>243</v>
      </c>
      <c r="Y779" s="4" t="s">
        <v>244</v>
      </c>
      <c r="Z779" s="4" t="s">
        <v>338</v>
      </c>
      <c r="AA779" s="4" t="s">
        <v>241</v>
      </c>
      <c r="AD779" s="4" t="s">
        <v>241</v>
      </c>
      <c r="AE779" s="5" t="s">
        <v>241</v>
      </c>
      <c r="AF779" s="5" t="s">
        <v>241</v>
      </c>
      <c r="AH779" s="5" t="s">
        <v>241</v>
      </c>
      <c r="AI779" s="5" t="s">
        <v>249</v>
      </c>
      <c r="AJ779" s="4" t="s">
        <v>251</v>
      </c>
      <c r="AK779" s="4" t="s">
        <v>252</v>
      </c>
      <c r="AQ779" s="4" t="s">
        <v>241</v>
      </c>
      <c r="AR779" s="4" t="s">
        <v>241</v>
      </c>
      <c r="AS779" s="4" t="s">
        <v>241</v>
      </c>
      <c r="AT779" s="5" t="s">
        <v>241</v>
      </c>
      <c r="AU779" s="5" t="s">
        <v>241</v>
      </c>
      <c r="AV779" s="5" t="s">
        <v>241</v>
      </c>
      <c r="AY779" s="4" t="s">
        <v>286</v>
      </c>
      <c r="AZ779" s="4" t="s">
        <v>286</v>
      </c>
      <c r="BA779" s="4" t="s">
        <v>254</v>
      </c>
      <c r="BB779" s="4" t="s">
        <v>287</v>
      </c>
      <c r="BC779" s="4" t="s">
        <v>255</v>
      </c>
      <c r="BD779" s="4" t="s">
        <v>241</v>
      </c>
      <c r="BE779" s="4" t="s">
        <v>257</v>
      </c>
      <c r="BF779" s="4" t="s">
        <v>241</v>
      </c>
      <c r="BJ779" s="4" t="s">
        <v>288</v>
      </c>
      <c r="BK779" s="5" t="s">
        <v>289</v>
      </c>
      <c r="BL779" s="4" t="s">
        <v>290</v>
      </c>
      <c r="BM779" s="4" t="s">
        <v>290</v>
      </c>
      <c r="BN779" s="4" t="s">
        <v>241</v>
      </c>
      <c r="BO779" s="6">
        <f>0</f>
        <v>0</v>
      </c>
      <c r="BP779" s="6">
        <f t="shared" si="51"/>
        <v>-1172423</v>
      </c>
      <c r="BQ779" s="4" t="s">
        <v>263</v>
      </c>
      <c r="BR779" s="4" t="s">
        <v>264</v>
      </c>
      <c r="BS779" s="4" t="s">
        <v>241</v>
      </c>
      <c r="BT779" s="4" t="s">
        <v>241</v>
      </c>
      <c r="BU779" s="4" t="s">
        <v>241</v>
      </c>
      <c r="BV779" s="4" t="s">
        <v>241</v>
      </c>
      <c r="CE779" s="4" t="s">
        <v>264</v>
      </c>
      <c r="CF779" s="4" t="s">
        <v>241</v>
      </c>
      <c r="CG779" s="4" t="s">
        <v>241</v>
      </c>
      <c r="CK779" s="4" t="s">
        <v>291</v>
      </c>
      <c r="CL779" s="4" t="s">
        <v>266</v>
      </c>
      <c r="CM779" s="4" t="s">
        <v>241</v>
      </c>
      <c r="CO779" s="4" t="s">
        <v>1444</v>
      </c>
      <c r="CP779" s="5" t="s">
        <v>268</v>
      </c>
      <c r="CQ779" s="4" t="s">
        <v>269</v>
      </c>
      <c r="CR779" s="4" t="s">
        <v>270</v>
      </c>
      <c r="CS779" s="4" t="s">
        <v>293</v>
      </c>
      <c r="CT779" s="4" t="s">
        <v>241</v>
      </c>
      <c r="CU779" s="4">
        <v>4.5999999999999999E-2</v>
      </c>
      <c r="CV779" s="4" t="s">
        <v>271</v>
      </c>
      <c r="CW779" s="4" t="s">
        <v>411</v>
      </c>
      <c r="CX779" s="4" t="s">
        <v>347</v>
      </c>
      <c r="CY779" s="6">
        <f>0</f>
        <v>0</v>
      </c>
      <c r="CZ779" s="6">
        <f t="shared" si="52"/>
        <v>25487460</v>
      </c>
      <c r="DA779" s="6">
        <f t="shared" si="53"/>
        <v>6728692</v>
      </c>
      <c r="DC779" s="4" t="s">
        <v>241</v>
      </c>
      <c r="DD779" s="4" t="s">
        <v>241</v>
      </c>
      <c r="DF779" s="4" t="s">
        <v>241</v>
      </c>
      <c r="DG779" s="6">
        <f>0</f>
        <v>0</v>
      </c>
      <c r="DI779" s="4" t="s">
        <v>241</v>
      </c>
      <c r="DJ779" s="4" t="s">
        <v>241</v>
      </c>
      <c r="DK779" s="4" t="s">
        <v>241</v>
      </c>
      <c r="DL779" s="4" t="s">
        <v>241</v>
      </c>
      <c r="DM779" s="4" t="s">
        <v>323</v>
      </c>
      <c r="DN779" s="4" t="s">
        <v>278</v>
      </c>
      <c r="DO779" s="6">
        <f t="shared" si="54"/>
        <v>157.33000000000001</v>
      </c>
      <c r="DP779" s="4" t="s">
        <v>241</v>
      </c>
      <c r="DQ779" s="4" t="s">
        <v>241</v>
      </c>
      <c r="DR779" s="4" t="s">
        <v>241</v>
      </c>
      <c r="DS779" s="4" t="s">
        <v>241</v>
      </c>
      <c r="DV779" s="4" t="s">
        <v>2462</v>
      </c>
      <c r="DW779" s="4" t="s">
        <v>323</v>
      </c>
      <c r="GN779" s="4" t="s">
        <v>2467</v>
      </c>
      <c r="HO779" s="4" t="s">
        <v>300</v>
      </c>
      <c r="HR779" s="4" t="s">
        <v>278</v>
      </c>
      <c r="HS779" s="4" t="s">
        <v>278</v>
      </c>
      <c r="HT779" s="4" t="s">
        <v>241</v>
      </c>
      <c r="HU779" s="4" t="s">
        <v>241</v>
      </c>
      <c r="HV779" s="4" t="s">
        <v>241</v>
      </c>
      <c r="HW779" s="4" t="s">
        <v>241</v>
      </c>
      <c r="HX779" s="4" t="s">
        <v>241</v>
      </c>
      <c r="HY779" s="4" t="s">
        <v>241</v>
      </c>
      <c r="HZ779" s="4" t="s">
        <v>241</v>
      </c>
      <c r="IA779" s="4" t="s">
        <v>241</v>
      </c>
      <c r="IB779" s="4" t="s">
        <v>241</v>
      </c>
      <c r="IC779" s="4" t="s">
        <v>241</v>
      </c>
      <c r="ID779" s="4" t="s">
        <v>241</v>
      </c>
      <c r="IE779" s="4" t="s">
        <v>241</v>
      </c>
      <c r="IF779" s="4" t="s">
        <v>241</v>
      </c>
    </row>
    <row r="780" spans="1:240" x14ac:dyDescent="0.4">
      <c r="A780" s="4">
        <v>2</v>
      </c>
      <c r="B780" s="4" t="s">
        <v>239</v>
      </c>
      <c r="C780" s="4">
        <v>847</v>
      </c>
      <c r="D780" s="4">
        <v>1</v>
      </c>
      <c r="E780" s="4">
        <v>3</v>
      </c>
      <c r="F780" s="4" t="s">
        <v>240</v>
      </c>
      <c r="G780" s="4" t="s">
        <v>241</v>
      </c>
      <c r="H780" s="4" t="s">
        <v>241</v>
      </c>
      <c r="I780" s="4" t="s">
        <v>2460</v>
      </c>
      <c r="J780" s="4" t="s">
        <v>344</v>
      </c>
      <c r="K780" s="4" t="s">
        <v>256</v>
      </c>
      <c r="L780" s="4" t="s">
        <v>2101</v>
      </c>
      <c r="M780" s="5" t="s">
        <v>2461</v>
      </c>
      <c r="N780" s="4" t="s">
        <v>2114</v>
      </c>
      <c r="O780" s="6">
        <f t="shared" si="46"/>
        <v>157.33000000000001</v>
      </c>
      <c r="P780" s="4" t="s">
        <v>276</v>
      </c>
      <c r="Q780" s="6">
        <f t="shared" si="47"/>
        <v>6728692</v>
      </c>
      <c r="R780" s="6">
        <f t="shared" si="48"/>
        <v>25487460</v>
      </c>
      <c r="S780" s="5" t="s">
        <v>1442</v>
      </c>
      <c r="T780" s="4" t="s">
        <v>314</v>
      </c>
      <c r="U780" s="4" t="s">
        <v>348</v>
      </c>
      <c r="V780" s="6">
        <f t="shared" si="49"/>
        <v>1172423</v>
      </c>
      <c r="W780" s="6">
        <f t="shared" si="50"/>
        <v>18758768</v>
      </c>
      <c r="X780" s="4" t="s">
        <v>243</v>
      </c>
      <c r="Y780" s="4" t="s">
        <v>244</v>
      </c>
      <c r="Z780" s="4" t="s">
        <v>338</v>
      </c>
      <c r="AA780" s="4" t="s">
        <v>241</v>
      </c>
      <c r="AD780" s="4" t="s">
        <v>241</v>
      </c>
      <c r="AE780" s="5" t="s">
        <v>241</v>
      </c>
      <c r="AF780" s="5" t="s">
        <v>241</v>
      </c>
      <c r="AH780" s="5" t="s">
        <v>241</v>
      </c>
      <c r="AI780" s="5" t="s">
        <v>249</v>
      </c>
      <c r="AJ780" s="4" t="s">
        <v>251</v>
      </c>
      <c r="AK780" s="4" t="s">
        <v>252</v>
      </c>
      <c r="AQ780" s="4" t="s">
        <v>241</v>
      </c>
      <c r="AR780" s="4" t="s">
        <v>241</v>
      </c>
      <c r="AS780" s="4" t="s">
        <v>241</v>
      </c>
      <c r="AT780" s="5" t="s">
        <v>241</v>
      </c>
      <c r="AU780" s="5" t="s">
        <v>241</v>
      </c>
      <c r="AV780" s="5" t="s">
        <v>241</v>
      </c>
      <c r="AY780" s="4" t="s">
        <v>286</v>
      </c>
      <c r="AZ780" s="4" t="s">
        <v>286</v>
      </c>
      <c r="BA780" s="4" t="s">
        <v>254</v>
      </c>
      <c r="BB780" s="4" t="s">
        <v>287</v>
      </c>
      <c r="BC780" s="4" t="s">
        <v>255</v>
      </c>
      <c r="BD780" s="4" t="s">
        <v>241</v>
      </c>
      <c r="BE780" s="4" t="s">
        <v>257</v>
      </c>
      <c r="BF780" s="4" t="s">
        <v>241</v>
      </c>
      <c r="BJ780" s="4" t="s">
        <v>288</v>
      </c>
      <c r="BK780" s="5" t="s">
        <v>289</v>
      </c>
      <c r="BL780" s="4" t="s">
        <v>290</v>
      </c>
      <c r="BM780" s="4" t="s">
        <v>290</v>
      </c>
      <c r="BN780" s="4" t="s">
        <v>241</v>
      </c>
      <c r="BO780" s="6">
        <f>0</f>
        <v>0</v>
      </c>
      <c r="BP780" s="6">
        <f t="shared" si="51"/>
        <v>-1172423</v>
      </c>
      <c r="BQ780" s="4" t="s">
        <v>263</v>
      </c>
      <c r="BR780" s="4" t="s">
        <v>264</v>
      </c>
      <c r="BS780" s="4" t="s">
        <v>241</v>
      </c>
      <c r="BT780" s="4" t="s">
        <v>241</v>
      </c>
      <c r="BU780" s="4" t="s">
        <v>241</v>
      </c>
      <c r="BV780" s="4" t="s">
        <v>241</v>
      </c>
      <c r="CE780" s="4" t="s">
        <v>264</v>
      </c>
      <c r="CF780" s="4" t="s">
        <v>241</v>
      </c>
      <c r="CG780" s="4" t="s">
        <v>241</v>
      </c>
      <c r="CK780" s="4" t="s">
        <v>291</v>
      </c>
      <c r="CL780" s="4" t="s">
        <v>266</v>
      </c>
      <c r="CM780" s="4" t="s">
        <v>241</v>
      </c>
      <c r="CO780" s="4" t="s">
        <v>1444</v>
      </c>
      <c r="CP780" s="5" t="s">
        <v>268</v>
      </c>
      <c r="CQ780" s="4" t="s">
        <v>269</v>
      </c>
      <c r="CR780" s="4" t="s">
        <v>270</v>
      </c>
      <c r="CS780" s="4" t="s">
        <v>293</v>
      </c>
      <c r="CT780" s="4" t="s">
        <v>241</v>
      </c>
      <c r="CU780" s="4">
        <v>4.5999999999999999E-2</v>
      </c>
      <c r="CV780" s="4" t="s">
        <v>271</v>
      </c>
      <c r="CW780" s="4" t="s">
        <v>411</v>
      </c>
      <c r="CX780" s="4" t="s">
        <v>347</v>
      </c>
      <c r="CY780" s="6">
        <f>0</f>
        <v>0</v>
      </c>
      <c r="CZ780" s="6">
        <f t="shared" si="52"/>
        <v>25487460</v>
      </c>
      <c r="DA780" s="6">
        <f t="shared" si="53"/>
        <v>6728692</v>
      </c>
      <c r="DC780" s="4" t="s">
        <v>241</v>
      </c>
      <c r="DD780" s="4" t="s">
        <v>241</v>
      </c>
      <c r="DF780" s="4" t="s">
        <v>241</v>
      </c>
      <c r="DG780" s="6">
        <f>0</f>
        <v>0</v>
      </c>
      <c r="DI780" s="4" t="s">
        <v>241</v>
      </c>
      <c r="DJ780" s="4" t="s">
        <v>241</v>
      </c>
      <c r="DK780" s="4" t="s">
        <v>241</v>
      </c>
      <c r="DL780" s="4" t="s">
        <v>241</v>
      </c>
      <c r="DM780" s="4" t="s">
        <v>323</v>
      </c>
      <c r="DN780" s="4" t="s">
        <v>278</v>
      </c>
      <c r="DO780" s="6">
        <f t="shared" si="54"/>
        <v>157.33000000000001</v>
      </c>
      <c r="DP780" s="4" t="s">
        <v>241</v>
      </c>
      <c r="DQ780" s="4" t="s">
        <v>241</v>
      </c>
      <c r="DR780" s="4" t="s">
        <v>241</v>
      </c>
      <c r="DS780" s="4" t="s">
        <v>241</v>
      </c>
      <c r="DV780" s="4" t="s">
        <v>2462</v>
      </c>
      <c r="DW780" s="4" t="s">
        <v>297</v>
      </c>
      <c r="GN780" s="4" t="s">
        <v>2466</v>
      </c>
      <c r="HO780" s="4" t="s">
        <v>300</v>
      </c>
      <c r="HR780" s="4" t="s">
        <v>278</v>
      </c>
      <c r="HS780" s="4" t="s">
        <v>278</v>
      </c>
      <c r="HT780" s="4" t="s">
        <v>241</v>
      </c>
      <c r="HU780" s="4" t="s">
        <v>241</v>
      </c>
      <c r="HV780" s="4" t="s">
        <v>241</v>
      </c>
      <c r="HW780" s="4" t="s">
        <v>241</v>
      </c>
      <c r="HX780" s="4" t="s">
        <v>241</v>
      </c>
      <c r="HY780" s="4" t="s">
        <v>241</v>
      </c>
      <c r="HZ780" s="4" t="s">
        <v>241</v>
      </c>
      <c r="IA780" s="4" t="s">
        <v>241</v>
      </c>
      <c r="IB780" s="4" t="s">
        <v>241</v>
      </c>
      <c r="IC780" s="4" t="s">
        <v>241</v>
      </c>
      <c r="ID780" s="4" t="s">
        <v>241</v>
      </c>
      <c r="IE780" s="4" t="s">
        <v>241</v>
      </c>
      <c r="IF780" s="4" t="s">
        <v>241</v>
      </c>
    </row>
    <row r="781" spans="1:240" x14ac:dyDescent="0.4">
      <c r="A781" s="4">
        <v>2</v>
      </c>
      <c r="B781" s="4" t="s">
        <v>239</v>
      </c>
      <c r="C781" s="4">
        <v>848</v>
      </c>
      <c r="D781" s="4">
        <v>1</v>
      </c>
      <c r="E781" s="4">
        <v>3</v>
      </c>
      <c r="F781" s="4" t="s">
        <v>240</v>
      </c>
      <c r="G781" s="4" t="s">
        <v>241</v>
      </c>
      <c r="H781" s="4" t="s">
        <v>241</v>
      </c>
      <c r="I781" s="4" t="s">
        <v>2460</v>
      </c>
      <c r="J781" s="4" t="s">
        <v>344</v>
      </c>
      <c r="K781" s="4" t="s">
        <v>256</v>
      </c>
      <c r="L781" s="4" t="s">
        <v>2101</v>
      </c>
      <c r="M781" s="5" t="s">
        <v>2461</v>
      </c>
      <c r="N781" s="4" t="s">
        <v>2114</v>
      </c>
      <c r="O781" s="6">
        <f t="shared" si="46"/>
        <v>157.33000000000001</v>
      </c>
      <c r="P781" s="4" t="s">
        <v>276</v>
      </c>
      <c r="Q781" s="6">
        <f t="shared" si="47"/>
        <v>6728692</v>
      </c>
      <c r="R781" s="6">
        <f t="shared" si="48"/>
        <v>25487460</v>
      </c>
      <c r="S781" s="5" t="s">
        <v>1442</v>
      </c>
      <c r="T781" s="4" t="s">
        <v>314</v>
      </c>
      <c r="U781" s="4" t="s">
        <v>348</v>
      </c>
      <c r="V781" s="6">
        <f t="shared" si="49"/>
        <v>1172423</v>
      </c>
      <c r="W781" s="6">
        <f t="shared" si="50"/>
        <v>18758768</v>
      </c>
      <c r="X781" s="4" t="s">
        <v>243</v>
      </c>
      <c r="Y781" s="4" t="s">
        <v>244</v>
      </c>
      <c r="Z781" s="4" t="s">
        <v>338</v>
      </c>
      <c r="AA781" s="4" t="s">
        <v>241</v>
      </c>
      <c r="AD781" s="4" t="s">
        <v>241</v>
      </c>
      <c r="AE781" s="5" t="s">
        <v>241</v>
      </c>
      <c r="AF781" s="5" t="s">
        <v>241</v>
      </c>
      <c r="AH781" s="5" t="s">
        <v>241</v>
      </c>
      <c r="AI781" s="5" t="s">
        <v>249</v>
      </c>
      <c r="AJ781" s="4" t="s">
        <v>251</v>
      </c>
      <c r="AK781" s="4" t="s">
        <v>252</v>
      </c>
      <c r="AQ781" s="4" t="s">
        <v>241</v>
      </c>
      <c r="AR781" s="4" t="s">
        <v>241</v>
      </c>
      <c r="AS781" s="4" t="s">
        <v>241</v>
      </c>
      <c r="AT781" s="5" t="s">
        <v>241</v>
      </c>
      <c r="AU781" s="5" t="s">
        <v>241</v>
      </c>
      <c r="AV781" s="5" t="s">
        <v>241</v>
      </c>
      <c r="AY781" s="4" t="s">
        <v>286</v>
      </c>
      <c r="AZ781" s="4" t="s">
        <v>286</v>
      </c>
      <c r="BA781" s="4" t="s">
        <v>254</v>
      </c>
      <c r="BB781" s="4" t="s">
        <v>287</v>
      </c>
      <c r="BC781" s="4" t="s">
        <v>255</v>
      </c>
      <c r="BD781" s="4" t="s">
        <v>241</v>
      </c>
      <c r="BE781" s="4" t="s">
        <v>257</v>
      </c>
      <c r="BF781" s="4" t="s">
        <v>241</v>
      </c>
      <c r="BJ781" s="4" t="s">
        <v>288</v>
      </c>
      <c r="BK781" s="5" t="s">
        <v>289</v>
      </c>
      <c r="BL781" s="4" t="s">
        <v>290</v>
      </c>
      <c r="BM781" s="4" t="s">
        <v>290</v>
      </c>
      <c r="BN781" s="4" t="s">
        <v>241</v>
      </c>
      <c r="BO781" s="6">
        <f>0</f>
        <v>0</v>
      </c>
      <c r="BP781" s="6">
        <f t="shared" si="51"/>
        <v>-1172423</v>
      </c>
      <c r="BQ781" s="4" t="s">
        <v>263</v>
      </c>
      <c r="BR781" s="4" t="s">
        <v>264</v>
      </c>
      <c r="BS781" s="4" t="s">
        <v>241</v>
      </c>
      <c r="BT781" s="4" t="s">
        <v>241</v>
      </c>
      <c r="BU781" s="4" t="s">
        <v>241</v>
      </c>
      <c r="BV781" s="4" t="s">
        <v>241</v>
      </c>
      <c r="CE781" s="4" t="s">
        <v>264</v>
      </c>
      <c r="CF781" s="4" t="s">
        <v>241</v>
      </c>
      <c r="CG781" s="4" t="s">
        <v>241</v>
      </c>
      <c r="CK781" s="4" t="s">
        <v>291</v>
      </c>
      <c r="CL781" s="4" t="s">
        <v>266</v>
      </c>
      <c r="CM781" s="4" t="s">
        <v>241</v>
      </c>
      <c r="CO781" s="4" t="s">
        <v>1444</v>
      </c>
      <c r="CP781" s="5" t="s">
        <v>268</v>
      </c>
      <c r="CQ781" s="4" t="s">
        <v>269</v>
      </c>
      <c r="CR781" s="4" t="s">
        <v>270</v>
      </c>
      <c r="CS781" s="4" t="s">
        <v>293</v>
      </c>
      <c r="CT781" s="4" t="s">
        <v>241</v>
      </c>
      <c r="CU781" s="4">
        <v>4.5999999999999999E-2</v>
      </c>
      <c r="CV781" s="4" t="s">
        <v>271</v>
      </c>
      <c r="CW781" s="4" t="s">
        <v>411</v>
      </c>
      <c r="CX781" s="4" t="s">
        <v>347</v>
      </c>
      <c r="CY781" s="6">
        <f>0</f>
        <v>0</v>
      </c>
      <c r="CZ781" s="6">
        <f t="shared" si="52"/>
        <v>25487460</v>
      </c>
      <c r="DA781" s="6">
        <f t="shared" si="53"/>
        <v>6728692</v>
      </c>
      <c r="DC781" s="4" t="s">
        <v>241</v>
      </c>
      <c r="DD781" s="4" t="s">
        <v>241</v>
      </c>
      <c r="DF781" s="4" t="s">
        <v>241</v>
      </c>
      <c r="DG781" s="6">
        <f>0</f>
        <v>0</v>
      </c>
      <c r="DI781" s="4" t="s">
        <v>241</v>
      </c>
      <c r="DJ781" s="4" t="s">
        <v>241</v>
      </c>
      <c r="DK781" s="4" t="s">
        <v>241</v>
      </c>
      <c r="DL781" s="4" t="s">
        <v>241</v>
      </c>
      <c r="DM781" s="4" t="s">
        <v>323</v>
      </c>
      <c r="DN781" s="4" t="s">
        <v>278</v>
      </c>
      <c r="DO781" s="6">
        <f t="shared" si="54"/>
        <v>157.33000000000001</v>
      </c>
      <c r="DP781" s="4" t="s">
        <v>241</v>
      </c>
      <c r="DQ781" s="4" t="s">
        <v>241</v>
      </c>
      <c r="DR781" s="4" t="s">
        <v>241</v>
      </c>
      <c r="DS781" s="4" t="s">
        <v>241</v>
      </c>
      <c r="DV781" s="4" t="s">
        <v>2462</v>
      </c>
      <c r="DW781" s="4" t="s">
        <v>336</v>
      </c>
      <c r="GN781" s="4" t="s">
        <v>2465</v>
      </c>
      <c r="HO781" s="4" t="s">
        <v>300</v>
      </c>
      <c r="HR781" s="4" t="s">
        <v>278</v>
      </c>
      <c r="HS781" s="4" t="s">
        <v>278</v>
      </c>
      <c r="HT781" s="4" t="s">
        <v>241</v>
      </c>
      <c r="HU781" s="4" t="s">
        <v>241</v>
      </c>
      <c r="HV781" s="4" t="s">
        <v>241</v>
      </c>
      <c r="HW781" s="4" t="s">
        <v>241</v>
      </c>
      <c r="HX781" s="4" t="s">
        <v>241</v>
      </c>
      <c r="HY781" s="4" t="s">
        <v>241</v>
      </c>
      <c r="HZ781" s="4" t="s">
        <v>241</v>
      </c>
      <c r="IA781" s="4" t="s">
        <v>241</v>
      </c>
      <c r="IB781" s="4" t="s">
        <v>241</v>
      </c>
      <c r="IC781" s="4" t="s">
        <v>241</v>
      </c>
      <c r="ID781" s="4" t="s">
        <v>241</v>
      </c>
      <c r="IE781" s="4" t="s">
        <v>241</v>
      </c>
      <c r="IF781" s="4" t="s">
        <v>241</v>
      </c>
    </row>
    <row r="782" spans="1:240" x14ac:dyDescent="0.4">
      <c r="A782" s="4">
        <v>2</v>
      </c>
      <c r="B782" s="4" t="s">
        <v>239</v>
      </c>
      <c r="C782" s="4">
        <v>849</v>
      </c>
      <c r="D782" s="4">
        <v>1</v>
      </c>
      <c r="E782" s="4">
        <v>3</v>
      </c>
      <c r="F782" s="4" t="s">
        <v>240</v>
      </c>
      <c r="G782" s="4" t="s">
        <v>241</v>
      </c>
      <c r="H782" s="4" t="s">
        <v>241</v>
      </c>
      <c r="I782" s="4" t="s">
        <v>2460</v>
      </c>
      <c r="J782" s="4" t="s">
        <v>344</v>
      </c>
      <c r="K782" s="4" t="s">
        <v>256</v>
      </c>
      <c r="L782" s="4" t="s">
        <v>2101</v>
      </c>
      <c r="M782" s="5" t="s">
        <v>2461</v>
      </c>
      <c r="N782" s="4" t="s">
        <v>2114</v>
      </c>
      <c r="O782" s="6">
        <f t="shared" si="46"/>
        <v>157.33000000000001</v>
      </c>
      <c r="P782" s="4" t="s">
        <v>276</v>
      </c>
      <c r="Q782" s="6">
        <f t="shared" si="47"/>
        <v>6728692</v>
      </c>
      <c r="R782" s="6">
        <f t="shared" si="48"/>
        <v>25487460</v>
      </c>
      <c r="S782" s="5" t="s">
        <v>1442</v>
      </c>
      <c r="T782" s="4" t="s">
        <v>314</v>
      </c>
      <c r="U782" s="4" t="s">
        <v>348</v>
      </c>
      <c r="V782" s="6">
        <f t="shared" si="49"/>
        <v>1172423</v>
      </c>
      <c r="W782" s="6">
        <f t="shared" si="50"/>
        <v>18758768</v>
      </c>
      <c r="X782" s="4" t="s">
        <v>243</v>
      </c>
      <c r="Y782" s="4" t="s">
        <v>244</v>
      </c>
      <c r="Z782" s="4" t="s">
        <v>338</v>
      </c>
      <c r="AA782" s="4" t="s">
        <v>241</v>
      </c>
      <c r="AD782" s="4" t="s">
        <v>241</v>
      </c>
      <c r="AE782" s="5" t="s">
        <v>241</v>
      </c>
      <c r="AF782" s="5" t="s">
        <v>241</v>
      </c>
      <c r="AH782" s="5" t="s">
        <v>241</v>
      </c>
      <c r="AI782" s="5" t="s">
        <v>249</v>
      </c>
      <c r="AJ782" s="4" t="s">
        <v>251</v>
      </c>
      <c r="AK782" s="4" t="s">
        <v>252</v>
      </c>
      <c r="AQ782" s="4" t="s">
        <v>241</v>
      </c>
      <c r="AR782" s="4" t="s">
        <v>241</v>
      </c>
      <c r="AS782" s="4" t="s">
        <v>241</v>
      </c>
      <c r="AT782" s="5" t="s">
        <v>241</v>
      </c>
      <c r="AU782" s="5" t="s">
        <v>241</v>
      </c>
      <c r="AV782" s="5" t="s">
        <v>241</v>
      </c>
      <c r="AY782" s="4" t="s">
        <v>286</v>
      </c>
      <c r="AZ782" s="4" t="s">
        <v>286</v>
      </c>
      <c r="BA782" s="4" t="s">
        <v>254</v>
      </c>
      <c r="BB782" s="4" t="s">
        <v>287</v>
      </c>
      <c r="BC782" s="4" t="s">
        <v>255</v>
      </c>
      <c r="BD782" s="4" t="s">
        <v>241</v>
      </c>
      <c r="BE782" s="4" t="s">
        <v>257</v>
      </c>
      <c r="BF782" s="4" t="s">
        <v>241</v>
      </c>
      <c r="BJ782" s="4" t="s">
        <v>288</v>
      </c>
      <c r="BK782" s="5" t="s">
        <v>289</v>
      </c>
      <c r="BL782" s="4" t="s">
        <v>290</v>
      </c>
      <c r="BM782" s="4" t="s">
        <v>290</v>
      </c>
      <c r="BN782" s="4" t="s">
        <v>241</v>
      </c>
      <c r="BO782" s="6">
        <f>0</f>
        <v>0</v>
      </c>
      <c r="BP782" s="6">
        <f t="shared" si="51"/>
        <v>-1172423</v>
      </c>
      <c r="BQ782" s="4" t="s">
        <v>263</v>
      </c>
      <c r="BR782" s="4" t="s">
        <v>264</v>
      </c>
      <c r="BS782" s="4" t="s">
        <v>241</v>
      </c>
      <c r="BT782" s="4" t="s">
        <v>241</v>
      </c>
      <c r="BU782" s="4" t="s">
        <v>241</v>
      </c>
      <c r="BV782" s="4" t="s">
        <v>241</v>
      </c>
      <c r="CE782" s="4" t="s">
        <v>264</v>
      </c>
      <c r="CF782" s="4" t="s">
        <v>241</v>
      </c>
      <c r="CG782" s="4" t="s">
        <v>241</v>
      </c>
      <c r="CK782" s="4" t="s">
        <v>291</v>
      </c>
      <c r="CL782" s="4" t="s">
        <v>266</v>
      </c>
      <c r="CM782" s="4" t="s">
        <v>241</v>
      </c>
      <c r="CO782" s="4" t="s">
        <v>1444</v>
      </c>
      <c r="CP782" s="5" t="s">
        <v>268</v>
      </c>
      <c r="CQ782" s="4" t="s">
        <v>269</v>
      </c>
      <c r="CR782" s="4" t="s">
        <v>270</v>
      </c>
      <c r="CS782" s="4" t="s">
        <v>293</v>
      </c>
      <c r="CT782" s="4" t="s">
        <v>241</v>
      </c>
      <c r="CU782" s="4">
        <v>4.5999999999999999E-2</v>
      </c>
      <c r="CV782" s="4" t="s">
        <v>271</v>
      </c>
      <c r="CW782" s="4" t="s">
        <v>411</v>
      </c>
      <c r="CX782" s="4" t="s">
        <v>347</v>
      </c>
      <c r="CY782" s="6">
        <f>0</f>
        <v>0</v>
      </c>
      <c r="CZ782" s="6">
        <f t="shared" si="52"/>
        <v>25487460</v>
      </c>
      <c r="DA782" s="6">
        <f t="shared" si="53"/>
        <v>6728692</v>
      </c>
      <c r="DC782" s="4" t="s">
        <v>241</v>
      </c>
      <c r="DD782" s="4" t="s">
        <v>241</v>
      </c>
      <c r="DF782" s="4" t="s">
        <v>241</v>
      </c>
      <c r="DG782" s="6">
        <f>0</f>
        <v>0</v>
      </c>
      <c r="DI782" s="4" t="s">
        <v>241</v>
      </c>
      <c r="DJ782" s="4" t="s">
        <v>241</v>
      </c>
      <c r="DK782" s="4" t="s">
        <v>241</v>
      </c>
      <c r="DL782" s="4" t="s">
        <v>241</v>
      </c>
      <c r="DM782" s="4" t="s">
        <v>323</v>
      </c>
      <c r="DN782" s="4" t="s">
        <v>278</v>
      </c>
      <c r="DO782" s="6">
        <f t="shared" si="54"/>
        <v>157.33000000000001</v>
      </c>
      <c r="DP782" s="4" t="s">
        <v>241</v>
      </c>
      <c r="DQ782" s="4" t="s">
        <v>241</v>
      </c>
      <c r="DR782" s="4" t="s">
        <v>241</v>
      </c>
      <c r="DS782" s="4" t="s">
        <v>241</v>
      </c>
      <c r="DV782" s="4" t="s">
        <v>2462</v>
      </c>
      <c r="DW782" s="4" t="s">
        <v>351</v>
      </c>
      <c r="GN782" s="4" t="s">
        <v>2464</v>
      </c>
      <c r="HO782" s="4" t="s">
        <v>300</v>
      </c>
      <c r="HR782" s="4" t="s">
        <v>278</v>
      </c>
      <c r="HS782" s="4" t="s">
        <v>278</v>
      </c>
      <c r="HT782" s="4" t="s">
        <v>241</v>
      </c>
      <c r="HU782" s="4" t="s">
        <v>241</v>
      </c>
      <c r="HV782" s="4" t="s">
        <v>241</v>
      </c>
      <c r="HW782" s="4" t="s">
        <v>241</v>
      </c>
      <c r="HX782" s="4" t="s">
        <v>241</v>
      </c>
      <c r="HY782" s="4" t="s">
        <v>241</v>
      </c>
      <c r="HZ782" s="4" t="s">
        <v>241</v>
      </c>
      <c r="IA782" s="4" t="s">
        <v>241</v>
      </c>
      <c r="IB782" s="4" t="s">
        <v>241</v>
      </c>
      <c r="IC782" s="4" t="s">
        <v>241</v>
      </c>
      <c r="ID782" s="4" t="s">
        <v>241</v>
      </c>
      <c r="IE782" s="4" t="s">
        <v>241</v>
      </c>
      <c r="IF782" s="4" t="s">
        <v>241</v>
      </c>
    </row>
    <row r="783" spans="1:240" x14ac:dyDescent="0.4">
      <c r="A783" s="4">
        <v>2</v>
      </c>
      <c r="B783" s="4" t="s">
        <v>239</v>
      </c>
      <c r="C783" s="4">
        <v>850</v>
      </c>
      <c r="D783" s="4">
        <v>1</v>
      </c>
      <c r="E783" s="4">
        <v>3</v>
      </c>
      <c r="F783" s="4" t="s">
        <v>240</v>
      </c>
      <c r="G783" s="4" t="s">
        <v>241</v>
      </c>
      <c r="H783" s="4" t="s">
        <v>241</v>
      </c>
      <c r="I783" s="4" t="s">
        <v>2460</v>
      </c>
      <c r="J783" s="4" t="s">
        <v>344</v>
      </c>
      <c r="K783" s="4" t="s">
        <v>256</v>
      </c>
      <c r="L783" s="4" t="s">
        <v>2101</v>
      </c>
      <c r="M783" s="5" t="s">
        <v>2461</v>
      </c>
      <c r="N783" s="4" t="s">
        <v>2114</v>
      </c>
      <c r="O783" s="6">
        <f t="shared" si="46"/>
        <v>157.33000000000001</v>
      </c>
      <c r="P783" s="4" t="s">
        <v>276</v>
      </c>
      <c r="Q783" s="6">
        <f t="shared" si="47"/>
        <v>6728692</v>
      </c>
      <c r="R783" s="6">
        <f t="shared" si="48"/>
        <v>25487460</v>
      </c>
      <c r="S783" s="5" t="s">
        <v>1442</v>
      </c>
      <c r="T783" s="4" t="s">
        <v>314</v>
      </c>
      <c r="U783" s="4" t="s">
        <v>348</v>
      </c>
      <c r="V783" s="6">
        <f t="shared" si="49"/>
        <v>1172423</v>
      </c>
      <c r="W783" s="6">
        <f t="shared" si="50"/>
        <v>18758768</v>
      </c>
      <c r="X783" s="4" t="s">
        <v>243</v>
      </c>
      <c r="Y783" s="4" t="s">
        <v>244</v>
      </c>
      <c r="Z783" s="4" t="s">
        <v>338</v>
      </c>
      <c r="AA783" s="4" t="s">
        <v>241</v>
      </c>
      <c r="AD783" s="4" t="s">
        <v>241</v>
      </c>
      <c r="AE783" s="5" t="s">
        <v>241</v>
      </c>
      <c r="AF783" s="5" t="s">
        <v>241</v>
      </c>
      <c r="AH783" s="5" t="s">
        <v>241</v>
      </c>
      <c r="AI783" s="5" t="s">
        <v>249</v>
      </c>
      <c r="AJ783" s="4" t="s">
        <v>251</v>
      </c>
      <c r="AK783" s="4" t="s">
        <v>252</v>
      </c>
      <c r="AQ783" s="4" t="s">
        <v>241</v>
      </c>
      <c r="AR783" s="4" t="s">
        <v>241</v>
      </c>
      <c r="AS783" s="4" t="s">
        <v>241</v>
      </c>
      <c r="AT783" s="5" t="s">
        <v>241</v>
      </c>
      <c r="AU783" s="5" t="s">
        <v>241</v>
      </c>
      <c r="AV783" s="5" t="s">
        <v>241</v>
      </c>
      <c r="AY783" s="4" t="s">
        <v>286</v>
      </c>
      <c r="AZ783" s="4" t="s">
        <v>286</v>
      </c>
      <c r="BA783" s="4" t="s">
        <v>254</v>
      </c>
      <c r="BB783" s="4" t="s">
        <v>287</v>
      </c>
      <c r="BC783" s="4" t="s">
        <v>255</v>
      </c>
      <c r="BD783" s="4" t="s">
        <v>241</v>
      </c>
      <c r="BE783" s="4" t="s">
        <v>257</v>
      </c>
      <c r="BF783" s="4" t="s">
        <v>241</v>
      </c>
      <c r="BJ783" s="4" t="s">
        <v>288</v>
      </c>
      <c r="BK783" s="5" t="s">
        <v>289</v>
      </c>
      <c r="BL783" s="4" t="s">
        <v>290</v>
      </c>
      <c r="BM783" s="4" t="s">
        <v>290</v>
      </c>
      <c r="BN783" s="4" t="s">
        <v>241</v>
      </c>
      <c r="BO783" s="6">
        <f>0</f>
        <v>0</v>
      </c>
      <c r="BP783" s="6">
        <f t="shared" si="51"/>
        <v>-1172423</v>
      </c>
      <c r="BQ783" s="4" t="s">
        <v>263</v>
      </c>
      <c r="BR783" s="4" t="s">
        <v>264</v>
      </c>
      <c r="BS783" s="4" t="s">
        <v>241</v>
      </c>
      <c r="BT783" s="4" t="s">
        <v>241</v>
      </c>
      <c r="BU783" s="4" t="s">
        <v>241</v>
      </c>
      <c r="BV783" s="4" t="s">
        <v>241</v>
      </c>
      <c r="CE783" s="4" t="s">
        <v>264</v>
      </c>
      <c r="CF783" s="4" t="s">
        <v>241</v>
      </c>
      <c r="CG783" s="4" t="s">
        <v>241</v>
      </c>
      <c r="CK783" s="4" t="s">
        <v>291</v>
      </c>
      <c r="CL783" s="4" t="s">
        <v>266</v>
      </c>
      <c r="CM783" s="4" t="s">
        <v>241</v>
      </c>
      <c r="CO783" s="4" t="s">
        <v>1444</v>
      </c>
      <c r="CP783" s="5" t="s">
        <v>268</v>
      </c>
      <c r="CQ783" s="4" t="s">
        <v>269</v>
      </c>
      <c r="CR783" s="4" t="s">
        <v>270</v>
      </c>
      <c r="CS783" s="4" t="s">
        <v>293</v>
      </c>
      <c r="CT783" s="4" t="s">
        <v>241</v>
      </c>
      <c r="CU783" s="4">
        <v>4.5999999999999999E-2</v>
      </c>
      <c r="CV783" s="4" t="s">
        <v>271</v>
      </c>
      <c r="CW783" s="4" t="s">
        <v>411</v>
      </c>
      <c r="CX783" s="4" t="s">
        <v>347</v>
      </c>
      <c r="CY783" s="6">
        <f>0</f>
        <v>0</v>
      </c>
      <c r="CZ783" s="6">
        <f t="shared" si="52"/>
        <v>25487460</v>
      </c>
      <c r="DA783" s="6">
        <f t="shared" si="53"/>
        <v>6728692</v>
      </c>
      <c r="DC783" s="4" t="s">
        <v>241</v>
      </c>
      <c r="DD783" s="4" t="s">
        <v>241</v>
      </c>
      <c r="DF783" s="4" t="s">
        <v>241</v>
      </c>
      <c r="DG783" s="6">
        <f>0</f>
        <v>0</v>
      </c>
      <c r="DI783" s="4" t="s">
        <v>241</v>
      </c>
      <c r="DJ783" s="4" t="s">
        <v>241</v>
      </c>
      <c r="DK783" s="4" t="s">
        <v>241</v>
      </c>
      <c r="DL783" s="4" t="s">
        <v>241</v>
      </c>
      <c r="DM783" s="4" t="s">
        <v>323</v>
      </c>
      <c r="DN783" s="4" t="s">
        <v>278</v>
      </c>
      <c r="DO783" s="6">
        <f t="shared" si="54"/>
        <v>157.33000000000001</v>
      </c>
      <c r="DP783" s="4" t="s">
        <v>241</v>
      </c>
      <c r="DQ783" s="4" t="s">
        <v>241</v>
      </c>
      <c r="DR783" s="4" t="s">
        <v>241</v>
      </c>
      <c r="DS783" s="4" t="s">
        <v>241</v>
      </c>
      <c r="DV783" s="4" t="s">
        <v>2462</v>
      </c>
      <c r="DW783" s="4" t="s">
        <v>300</v>
      </c>
      <c r="GN783" s="4" t="s">
        <v>2463</v>
      </c>
      <c r="HO783" s="4" t="s">
        <v>300</v>
      </c>
      <c r="HR783" s="4" t="s">
        <v>278</v>
      </c>
      <c r="HS783" s="4" t="s">
        <v>278</v>
      </c>
      <c r="HT783" s="4" t="s">
        <v>241</v>
      </c>
      <c r="HU783" s="4" t="s">
        <v>241</v>
      </c>
      <c r="HV783" s="4" t="s">
        <v>241</v>
      </c>
      <c r="HW783" s="4" t="s">
        <v>241</v>
      </c>
      <c r="HX783" s="4" t="s">
        <v>241</v>
      </c>
      <c r="HY783" s="4" t="s">
        <v>241</v>
      </c>
      <c r="HZ783" s="4" t="s">
        <v>241</v>
      </c>
      <c r="IA783" s="4" t="s">
        <v>241</v>
      </c>
      <c r="IB783" s="4" t="s">
        <v>241</v>
      </c>
      <c r="IC783" s="4" t="s">
        <v>241</v>
      </c>
      <c r="ID783" s="4" t="s">
        <v>241</v>
      </c>
      <c r="IE783" s="4" t="s">
        <v>241</v>
      </c>
      <c r="IF783" s="4" t="s">
        <v>241</v>
      </c>
    </row>
    <row r="784" spans="1:240" x14ac:dyDescent="0.4">
      <c r="A784" s="4">
        <v>2</v>
      </c>
      <c r="B784" s="4" t="s">
        <v>239</v>
      </c>
      <c r="C784" s="4">
        <v>851</v>
      </c>
      <c r="D784" s="4">
        <v>1</v>
      </c>
      <c r="E784" s="4">
        <v>1</v>
      </c>
      <c r="F784" s="4" t="s">
        <v>240</v>
      </c>
      <c r="G784" s="4" t="s">
        <v>241</v>
      </c>
      <c r="H784" s="4" t="s">
        <v>241</v>
      </c>
      <c r="I784" s="4" t="s">
        <v>2259</v>
      </c>
      <c r="J784" s="4" t="s">
        <v>344</v>
      </c>
      <c r="K784" s="4" t="s">
        <v>256</v>
      </c>
      <c r="L784" s="4" t="s">
        <v>2101</v>
      </c>
      <c r="M784" s="5" t="s">
        <v>2261</v>
      </c>
      <c r="N784" s="4" t="s">
        <v>2114</v>
      </c>
      <c r="O784" s="6">
        <f>31.59</f>
        <v>31.59</v>
      </c>
      <c r="P784" s="4" t="s">
        <v>276</v>
      </c>
      <c r="Q784" s="6">
        <f>1</f>
        <v>1</v>
      </c>
      <c r="R784" s="6">
        <f>3159000</f>
        <v>3159000</v>
      </c>
      <c r="S784" s="5" t="s">
        <v>2164</v>
      </c>
      <c r="T784" s="4" t="s">
        <v>314</v>
      </c>
      <c r="U784" s="4" t="s">
        <v>668</v>
      </c>
      <c r="W784" s="6">
        <f>3158999</f>
        <v>3158999</v>
      </c>
      <c r="X784" s="4" t="s">
        <v>243</v>
      </c>
      <c r="Y784" s="4" t="s">
        <v>244</v>
      </c>
      <c r="Z784" s="4" t="s">
        <v>338</v>
      </c>
      <c r="AA784" s="4" t="s">
        <v>241</v>
      </c>
      <c r="AD784" s="4" t="s">
        <v>241</v>
      </c>
      <c r="AF784" s="5" t="s">
        <v>241</v>
      </c>
      <c r="AI784" s="5" t="s">
        <v>2260</v>
      </c>
      <c r="AJ784" s="4" t="s">
        <v>251</v>
      </c>
      <c r="AK784" s="4" t="s">
        <v>252</v>
      </c>
      <c r="BA784" s="4" t="s">
        <v>254</v>
      </c>
      <c r="BB784" s="4" t="s">
        <v>241</v>
      </c>
      <c r="BC784" s="4" t="s">
        <v>255</v>
      </c>
      <c r="BD784" s="4" t="s">
        <v>241</v>
      </c>
      <c r="BE784" s="4" t="s">
        <v>257</v>
      </c>
      <c r="BF784" s="4" t="s">
        <v>241</v>
      </c>
      <c r="BJ784" s="4" t="s">
        <v>377</v>
      </c>
      <c r="BK784" s="5" t="s">
        <v>2260</v>
      </c>
      <c r="BL784" s="4" t="s">
        <v>261</v>
      </c>
      <c r="BM784" s="4" t="s">
        <v>262</v>
      </c>
      <c r="BN784" s="4" t="s">
        <v>241</v>
      </c>
      <c r="BO784" s="6">
        <f>0</f>
        <v>0</v>
      </c>
      <c r="BP784" s="6">
        <f>0</f>
        <v>0</v>
      </c>
      <c r="BQ784" s="4" t="s">
        <v>263</v>
      </c>
      <c r="BR784" s="4" t="s">
        <v>264</v>
      </c>
      <c r="CF784" s="4" t="s">
        <v>241</v>
      </c>
      <c r="CG784" s="4" t="s">
        <v>241</v>
      </c>
      <c r="CK784" s="4" t="s">
        <v>265</v>
      </c>
      <c r="CL784" s="4" t="s">
        <v>266</v>
      </c>
      <c r="CM784" s="4" t="s">
        <v>241</v>
      </c>
      <c r="CO784" s="4" t="s">
        <v>1021</v>
      </c>
      <c r="CP784" s="5" t="s">
        <v>268</v>
      </c>
      <c r="CQ784" s="4" t="s">
        <v>269</v>
      </c>
      <c r="CR784" s="4" t="s">
        <v>270</v>
      </c>
      <c r="CS784" s="4" t="s">
        <v>241</v>
      </c>
      <c r="CT784" s="4" t="s">
        <v>241</v>
      </c>
      <c r="CU784" s="4">
        <v>0</v>
      </c>
      <c r="CV784" s="4" t="s">
        <v>271</v>
      </c>
      <c r="CW784" s="4" t="s">
        <v>411</v>
      </c>
      <c r="CX784" s="4" t="s">
        <v>347</v>
      </c>
      <c r="CZ784" s="6">
        <f>3159000</f>
        <v>3159000</v>
      </c>
      <c r="DA784" s="6">
        <f>0</f>
        <v>0</v>
      </c>
      <c r="DC784" s="4" t="s">
        <v>241</v>
      </c>
      <c r="DD784" s="4" t="s">
        <v>241</v>
      </c>
      <c r="DF784" s="4" t="s">
        <v>241</v>
      </c>
      <c r="DI784" s="4" t="s">
        <v>241</v>
      </c>
      <c r="DJ784" s="4" t="s">
        <v>241</v>
      </c>
      <c r="DK784" s="4" t="s">
        <v>241</v>
      </c>
      <c r="DL784" s="4" t="s">
        <v>241</v>
      </c>
      <c r="DM784" s="4" t="s">
        <v>277</v>
      </c>
      <c r="DN784" s="4" t="s">
        <v>278</v>
      </c>
      <c r="DO784" s="6">
        <f>31.59</f>
        <v>31.59</v>
      </c>
      <c r="DP784" s="4" t="s">
        <v>241</v>
      </c>
      <c r="DQ784" s="4" t="s">
        <v>241</v>
      </c>
      <c r="DR784" s="4" t="s">
        <v>241</v>
      </c>
      <c r="DS784" s="4" t="s">
        <v>241</v>
      </c>
      <c r="DV784" s="4" t="s">
        <v>2262</v>
      </c>
      <c r="DW784" s="4" t="s">
        <v>277</v>
      </c>
      <c r="HO784" s="4" t="s">
        <v>277</v>
      </c>
      <c r="HR784" s="4" t="s">
        <v>278</v>
      </c>
      <c r="HS784" s="4" t="s">
        <v>278</v>
      </c>
    </row>
    <row r="785" spans="1:240" x14ac:dyDescent="0.4">
      <c r="A785" s="4">
        <v>2</v>
      </c>
      <c r="B785" s="4" t="s">
        <v>239</v>
      </c>
      <c r="C785" s="4">
        <v>852</v>
      </c>
      <c r="D785" s="4">
        <v>1</v>
      </c>
      <c r="E785" s="4">
        <v>1</v>
      </c>
      <c r="F785" s="4" t="s">
        <v>240</v>
      </c>
      <c r="G785" s="4" t="s">
        <v>241</v>
      </c>
      <c r="H785" s="4" t="s">
        <v>241</v>
      </c>
      <c r="I785" s="4" t="s">
        <v>2259</v>
      </c>
      <c r="J785" s="4" t="s">
        <v>344</v>
      </c>
      <c r="K785" s="4" t="s">
        <v>256</v>
      </c>
      <c r="L785" s="4" t="s">
        <v>2101</v>
      </c>
      <c r="M785" s="5" t="s">
        <v>2261</v>
      </c>
      <c r="N785" s="4" t="s">
        <v>2114</v>
      </c>
      <c r="O785" s="6">
        <f>31.59</f>
        <v>31.59</v>
      </c>
      <c r="P785" s="4" t="s">
        <v>276</v>
      </c>
      <c r="Q785" s="6">
        <f>1</f>
        <v>1</v>
      </c>
      <c r="R785" s="6">
        <f>3159000</f>
        <v>3159000</v>
      </c>
      <c r="S785" s="5" t="s">
        <v>2164</v>
      </c>
      <c r="T785" s="4" t="s">
        <v>314</v>
      </c>
      <c r="U785" s="4" t="s">
        <v>668</v>
      </c>
      <c r="W785" s="6">
        <f>3158999</f>
        <v>3158999</v>
      </c>
      <c r="X785" s="4" t="s">
        <v>243</v>
      </c>
      <c r="Y785" s="4" t="s">
        <v>244</v>
      </c>
      <c r="Z785" s="4" t="s">
        <v>338</v>
      </c>
      <c r="AA785" s="4" t="s">
        <v>241</v>
      </c>
      <c r="AD785" s="4" t="s">
        <v>241</v>
      </c>
      <c r="AF785" s="5" t="s">
        <v>241</v>
      </c>
      <c r="AI785" s="5" t="s">
        <v>2260</v>
      </c>
      <c r="AJ785" s="4" t="s">
        <v>251</v>
      </c>
      <c r="AK785" s="4" t="s">
        <v>252</v>
      </c>
      <c r="BA785" s="4" t="s">
        <v>254</v>
      </c>
      <c r="BB785" s="4" t="s">
        <v>241</v>
      </c>
      <c r="BC785" s="4" t="s">
        <v>255</v>
      </c>
      <c r="BD785" s="4" t="s">
        <v>241</v>
      </c>
      <c r="BE785" s="4" t="s">
        <v>257</v>
      </c>
      <c r="BF785" s="4" t="s">
        <v>241</v>
      </c>
      <c r="BJ785" s="4" t="s">
        <v>377</v>
      </c>
      <c r="BK785" s="5" t="s">
        <v>378</v>
      </c>
      <c r="BL785" s="4" t="s">
        <v>261</v>
      </c>
      <c r="BM785" s="4" t="s">
        <v>262</v>
      </c>
      <c r="BN785" s="4" t="s">
        <v>241</v>
      </c>
      <c r="BO785" s="6">
        <f>0</f>
        <v>0</v>
      </c>
      <c r="BP785" s="6">
        <f>0</f>
        <v>0</v>
      </c>
      <c r="BQ785" s="4" t="s">
        <v>263</v>
      </c>
      <c r="BR785" s="4" t="s">
        <v>264</v>
      </c>
      <c r="CF785" s="4" t="s">
        <v>241</v>
      </c>
      <c r="CG785" s="4" t="s">
        <v>241</v>
      </c>
      <c r="CK785" s="4" t="s">
        <v>265</v>
      </c>
      <c r="CL785" s="4" t="s">
        <v>266</v>
      </c>
      <c r="CM785" s="4" t="s">
        <v>241</v>
      </c>
      <c r="CO785" s="4" t="s">
        <v>1021</v>
      </c>
      <c r="CP785" s="5" t="s">
        <v>268</v>
      </c>
      <c r="CQ785" s="4" t="s">
        <v>269</v>
      </c>
      <c r="CR785" s="4" t="s">
        <v>270</v>
      </c>
      <c r="CS785" s="4" t="s">
        <v>241</v>
      </c>
      <c r="CT785" s="4" t="s">
        <v>241</v>
      </c>
      <c r="CU785" s="4">
        <v>0</v>
      </c>
      <c r="CV785" s="4" t="s">
        <v>271</v>
      </c>
      <c r="CW785" s="4" t="s">
        <v>411</v>
      </c>
      <c r="CX785" s="4" t="s">
        <v>347</v>
      </c>
      <c r="CZ785" s="6">
        <f>3159000</f>
        <v>3159000</v>
      </c>
      <c r="DA785" s="6">
        <f>0</f>
        <v>0</v>
      </c>
      <c r="DC785" s="4" t="s">
        <v>241</v>
      </c>
      <c r="DD785" s="4" t="s">
        <v>241</v>
      </c>
      <c r="DF785" s="4" t="s">
        <v>241</v>
      </c>
      <c r="DI785" s="4" t="s">
        <v>241</v>
      </c>
      <c r="DJ785" s="4" t="s">
        <v>241</v>
      </c>
      <c r="DK785" s="4" t="s">
        <v>241</v>
      </c>
      <c r="DL785" s="4" t="s">
        <v>241</v>
      </c>
      <c r="DM785" s="4" t="s">
        <v>277</v>
      </c>
      <c r="DN785" s="4" t="s">
        <v>278</v>
      </c>
      <c r="DO785" s="6">
        <f>31.59</f>
        <v>31.59</v>
      </c>
      <c r="DP785" s="4" t="s">
        <v>241</v>
      </c>
      <c r="DQ785" s="4" t="s">
        <v>241</v>
      </c>
      <c r="DR785" s="4" t="s">
        <v>241</v>
      </c>
      <c r="DS785" s="4" t="s">
        <v>241</v>
      </c>
      <c r="DV785" s="4" t="s">
        <v>2262</v>
      </c>
      <c r="DW785" s="4" t="s">
        <v>323</v>
      </c>
      <c r="HO785" s="4" t="s">
        <v>277</v>
      </c>
      <c r="HR785" s="4" t="s">
        <v>278</v>
      </c>
      <c r="HS785" s="4" t="s">
        <v>278</v>
      </c>
    </row>
    <row r="786" spans="1:240" x14ac:dyDescent="0.4">
      <c r="A786" s="4">
        <v>2</v>
      </c>
      <c r="B786" s="4" t="s">
        <v>239</v>
      </c>
      <c r="C786" s="4">
        <v>853</v>
      </c>
      <c r="D786" s="4">
        <v>1</v>
      </c>
      <c r="E786" s="4">
        <v>1</v>
      </c>
      <c r="F786" s="4" t="s">
        <v>240</v>
      </c>
      <c r="G786" s="4" t="s">
        <v>241</v>
      </c>
      <c r="H786" s="4" t="s">
        <v>241</v>
      </c>
      <c r="I786" s="4" t="s">
        <v>2259</v>
      </c>
      <c r="J786" s="4" t="s">
        <v>344</v>
      </c>
      <c r="K786" s="4" t="s">
        <v>256</v>
      </c>
      <c r="L786" s="4" t="s">
        <v>2101</v>
      </c>
      <c r="M786" s="5" t="s">
        <v>2261</v>
      </c>
      <c r="N786" s="4" t="s">
        <v>2114</v>
      </c>
      <c r="O786" s="6">
        <f>31.59</f>
        <v>31.59</v>
      </c>
      <c r="P786" s="4" t="s">
        <v>276</v>
      </c>
      <c r="Q786" s="6">
        <f>1</f>
        <v>1</v>
      </c>
      <c r="R786" s="6">
        <f>3159000</f>
        <v>3159000</v>
      </c>
      <c r="S786" s="5" t="s">
        <v>2164</v>
      </c>
      <c r="T786" s="4" t="s">
        <v>314</v>
      </c>
      <c r="U786" s="4" t="s">
        <v>668</v>
      </c>
      <c r="W786" s="6">
        <f>3158999</f>
        <v>3158999</v>
      </c>
      <c r="X786" s="4" t="s">
        <v>243</v>
      </c>
      <c r="Y786" s="4" t="s">
        <v>244</v>
      </c>
      <c r="Z786" s="4" t="s">
        <v>338</v>
      </c>
      <c r="AA786" s="4" t="s">
        <v>241</v>
      </c>
      <c r="AD786" s="4" t="s">
        <v>241</v>
      </c>
      <c r="AF786" s="5" t="s">
        <v>241</v>
      </c>
      <c r="AI786" s="5" t="s">
        <v>2260</v>
      </c>
      <c r="AJ786" s="4" t="s">
        <v>251</v>
      </c>
      <c r="AK786" s="4" t="s">
        <v>252</v>
      </c>
      <c r="BA786" s="4" t="s">
        <v>254</v>
      </c>
      <c r="BB786" s="4" t="s">
        <v>241</v>
      </c>
      <c r="BC786" s="4" t="s">
        <v>255</v>
      </c>
      <c r="BD786" s="4" t="s">
        <v>241</v>
      </c>
      <c r="BE786" s="4" t="s">
        <v>257</v>
      </c>
      <c r="BF786" s="4" t="s">
        <v>241</v>
      </c>
      <c r="BJ786" s="4" t="s">
        <v>259</v>
      </c>
      <c r="BK786" s="5" t="s">
        <v>260</v>
      </c>
      <c r="BL786" s="4" t="s">
        <v>261</v>
      </c>
      <c r="BM786" s="4" t="s">
        <v>262</v>
      </c>
      <c r="BN786" s="4" t="s">
        <v>241</v>
      </c>
      <c r="BO786" s="6">
        <f>0</f>
        <v>0</v>
      </c>
      <c r="BP786" s="6">
        <f>0</f>
        <v>0</v>
      </c>
      <c r="BQ786" s="4" t="s">
        <v>263</v>
      </c>
      <c r="BR786" s="4" t="s">
        <v>264</v>
      </c>
      <c r="CF786" s="4" t="s">
        <v>241</v>
      </c>
      <c r="CG786" s="4" t="s">
        <v>241</v>
      </c>
      <c r="CK786" s="4" t="s">
        <v>265</v>
      </c>
      <c r="CL786" s="4" t="s">
        <v>266</v>
      </c>
      <c r="CM786" s="4" t="s">
        <v>241</v>
      </c>
      <c r="CO786" s="4" t="s">
        <v>1021</v>
      </c>
      <c r="CP786" s="5" t="s">
        <v>268</v>
      </c>
      <c r="CQ786" s="4" t="s">
        <v>269</v>
      </c>
      <c r="CR786" s="4" t="s">
        <v>270</v>
      </c>
      <c r="CS786" s="4" t="s">
        <v>241</v>
      </c>
      <c r="CT786" s="4" t="s">
        <v>241</v>
      </c>
      <c r="CU786" s="4">
        <v>0</v>
      </c>
      <c r="CV786" s="4" t="s">
        <v>271</v>
      </c>
      <c r="CW786" s="4" t="s">
        <v>411</v>
      </c>
      <c r="CX786" s="4" t="s">
        <v>347</v>
      </c>
      <c r="CZ786" s="6">
        <f>3159000</f>
        <v>3159000</v>
      </c>
      <c r="DA786" s="6">
        <f>0</f>
        <v>0</v>
      </c>
      <c r="DC786" s="4" t="s">
        <v>241</v>
      </c>
      <c r="DD786" s="4" t="s">
        <v>241</v>
      </c>
      <c r="DF786" s="4" t="s">
        <v>241</v>
      </c>
      <c r="DI786" s="4" t="s">
        <v>241</v>
      </c>
      <c r="DJ786" s="4" t="s">
        <v>241</v>
      </c>
      <c r="DK786" s="4" t="s">
        <v>241</v>
      </c>
      <c r="DL786" s="4" t="s">
        <v>241</v>
      </c>
      <c r="DM786" s="4" t="s">
        <v>277</v>
      </c>
      <c r="DN786" s="4" t="s">
        <v>278</v>
      </c>
      <c r="DO786" s="6">
        <f>31.59</f>
        <v>31.59</v>
      </c>
      <c r="DP786" s="4" t="s">
        <v>241</v>
      </c>
      <c r="DQ786" s="4" t="s">
        <v>241</v>
      </c>
      <c r="DR786" s="4" t="s">
        <v>241</v>
      </c>
      <c r="DS786" s="4" t="s">
        <v>241</v>
      </c>
      <c r="DV786" s="4" t="s">
        <v>2262</v>
      </c>
      <c r="DW786" s="4" t="s">
        <v>297</v>
      </c>
      <c r="HO786" s="4" t="s">
        <v>277</v>
      </c>
      <c r="HR786" s="4" t="s">
        <v>278</v>
      </c>
      <c r="HS786" s="4" t="s">
        <v>278</v>
      </c>
    </row>
    <row r="787" spans="1:240" x14ac:dyDescent="0.4">
      <c r="A787" s="4">
        <v>2</v>
      </c>
      <c r="B787" s="4" t="s">
        <v>239</v>
      </c>
      <c r="C787" s="4">
        <v>854</v>
      </c>
      <c r="D787" s="4">
        <v>1</v>
      </c>
      <c r="E787" s="4">
        <v>1</v>
      </c>
      <c r="F787" s="4" t="s">
        <v>240</v>
      </c>
      <c r="G787" s="4" t="s">
        <v>241</v>
      </c>
      <c r="H787" s="4" t="s">
        <v>241</v>
      </c>
      <c r="I787" s="4" t="s">
        <v>2259</v>
      </c>
      <c r="J787" s="4" t="s">
        <v>344</v>
      </c>
      <c r="K787" s="4" t="s">
        <v>256</v>
      </c>
      <c r="L787" s="4" t="s">
        <v>2101</v>
      </c>
      <c r="M787" s="5" t="s">
        <v>2261</v>
      </c>
      <c r="N787" s="4" t="s">
        <v>2114</v>
      </c>
      <c r="O787" s="6">
        <f>31.59</f>
        <v>31.59</v>
      </c>
      <c r="P787" s="4" t="s">
        <v>276</v>
      </c>
      <c r="Q787" s="6">
        <f>1</f>
        <v>1</v>
      </c>
      <c r="R787" s="6">
        <f>3159000</f>
        <v>3159000</v>
      </c>
      <c r="S787" s="5" t="s">
        <v>2164</v>
      </c>
      <c r="T787" s="4" t="s">
        <v>314</v>
      </c>
      <c r="U787" s="4" t="s">
        <v>668</v>
      </c>
      <c r="W787" s="6">
        <f>3158999</f>
        <v>3158999</v>
      </c>
      <c r="X787" s="4" t="s">
        <v>243</v>
      </c>
      <c r="Y787" s="4" t="s">
        <v>244</v>
      </c>
      <c r="Z787" s="4" t="s">
        <v>338</v>
      </c>
      <c r="AA787" s="4" t="s">
        <v>241</v>
      </c>
      <c r="AD787" s="4" t="s">
        <v>241</v>
      </c>
      <c r="AF787" s="5" t="s">
        <v>241</v>
      </c>
      <c r="AI787" s="5" t="s">
        <v>249</v>
      </c>
      <c r="AJ787" s="4" t="s">
        <v>251</v>
      </c>
      <c r="AK787" s="4" t="s">
        <v>252</v>
      </c>
      <c r="BA787" s="4" t="s">
        <v>254</v>
      </c>
      <c r="BB787" s="4" t="s">
        <v>241</v>
      </c>
      <c r="BC787" s="4" t="s">
        <v>255</v>
      </c>
      <c r="BD787" s="4" t="s">
        <v>241</v>
      </c>
      <c r="BE787" s="4" t="s">
        <v>257</v>
      </c>
      <c r="BF787" s="4" t="s">
        <v>241</v>
      </c>
      <c r="BJ787" s="4" t="s">
        <v>367</v>
      </c>
      <c r="BK787" s="5" t="s">
        <v>249</v>
      </c>
      <c r="BL787" s="4" t="s">
        <v>261</v>
      </c>
      <c r="BM787" s="4" t="s">
        <v>262</v>
      </c>
      <c r="BN787" s="4" t="s">
        <v>241</v>
      </c>
      <c r="BO787" s="6">
        <f>0</f>
        <v>0</v>
      </c>
      <c r="BP787" s="6">
        <f>0</f>
        <v>0</v>
      </c>
      <c r="BQ787" s="4" t="s">
        <v>263</v>
      </c>
      <c r="BR787" s="4" t="s">
        <v>264</v>
      </c>
      <c r="CF787" s="4" t="s">
        <v>241</v>
      </c>
      <c r="CG787" s="4" t="s">
        <v>241</v>
      </c>
      <c r="CK787" s="4" t="s">
        <v>265</v>
      </c>
      <c r="CL787" s="4" t="s">
        <v>266</v>
      </c>
      <c r="CM787" s="4" t="s">
        <v>241</v>
      </c>
      <c r="CO787" s="4" t="s">
        <v>1021</v>
      </c>
      <c r="CP787" s="5" t="s">
        <v>268</v>
      </c>
      <c r="CQ787" s="4" t="s">
        <v>269</v>
      </c>
      <c r="CR787" s="4" t="s">
        <v>270</v>
      </c>
      <c r="CS787" s="4" t="s">
        <v>241</v>
      </c>
      <c r="CT787" s="4" t="s">
        <v>241</v>
      </c>
      <c r="CU787" s="4">
        <v>0</v>
      </c>
      <c r="CV787" s="4" t="s">
        <v>271</v>
      </c>
      <c r="CW787" s="4" t="s">
        <v>411</v>
      </c>
      <c r="CX787" s="4" t="s">
        <v>347</v>
      </c>
      <c r="CZ787" s="6">
        <f>3159000</f>
        <v>3159000</v>
      </c>
      <c r="DA787" s="6">
        <f>0</f>
        <v>0</v>
      </c>
      <c r="DC787" s="4" t="s">
        <v>241</v>
      </c>
      <c r="DD787" s="4" t="s">
        <v>241</v>
      </c>
      <c r="DF787" s="4" t="s">
        <v>241</v>
      </c>
      <c r="DI787" s="4" t="s">
        <v>241</v>
      </c>
      <c r="DJ787" s="4" t="s">
        <v>241</v>
      </c>
      <c r="DK787" s="4" t="s">
        <v>241</v>
      </c>
      <c r="DL787" s="4" t="s">
        <v>241</v>
      </c>
      <c r="DM787" s="4" t="s">
        <v>277</v>
      </c>
      <c r="DN787" s="4" t="s">
        <v>278</v>
      </c>
      <c r="DO787" s="6">
        <f>31.59</f>
        <v>31.59</v>
      </c>
      <c r="DP787" s="4" t="s">
        <v>241</v>
      </c>
      <c r="DQ787" s="4" t="s">
        <v>241</v>
      </c>
      <c r="DR787" s="4" t="s">
        <v>241</v>
      </c>
      <c r="DS787" s="4" t="s">
        <v>241</v>
      </c>
      <c r="DV787" s="4" t="s">
        <v>2262</v>
      </c>
      <c r="DW787" s="4" t="s">
        <v>336</v>
      </c>
      <c r="HO787" s="4" t="s">
        <v>277</v>
      </c>
      <c r="HR787" s="4" t="s">
        <v>278</v>
      </c>
      <c r="HS787" s="4" t="s">
        <v>278</v>
      </c>
    </row>
    <row r="788" spans="1:240" x14ac:dyDescent="0.4">
      <c r="A788" s="4">
        <v>2</v>
      </c>
      <c r="B788" s="4" t="s">
        <v>239</v>
      </c>
      <c r="C788" s="4">
        <v>855</v>
      </c>
      <c r="D788" s="4">
        <v>1</v>
      </c>
      <c r="E788" s="4">
        <v>1</v>
      </c>
      <c r="F788" s="4" t="s">
        <v>240</v>
      </c>
      <c r="G788" s="4" t="s">
        <v>241</v>
      </c>
      <c r="H788" s="4" t="s">
        <v>241</v>
      </c>
      <c r="I788" s="4" t="s">
        <v>2259</v>
      </c>
      <c r="J788" s="4" t="s">
        <v>344</v>
      </c>
      <c r="K788" s="4" t="s">
        <v>256</v>
      </c>
      <c r="L788" s="4" t="s">
        <v>2101</v>
      </c>
      <c r="M788" s="5" t="s">
        <v>2261</v>
      </c>
      <c r="N788" s="4" t="s">
        <v>2232</v>
      </c>
      <c r="O788" s="6">
        <f>63.18</f>
        <v>63.18</v>
      </c>
      <c r="P788" s="4" t="s">
        <v>276</v>
      </c>
      <c r="Q788" s="6">
        <f>1</f>
        <v>1</v>
      </c>
      <c r="R788" s="6">
        <f>6318000</f>
        <v>6318000</v>
      </c>
      <c r="S788" s="5" t="s">
        <v>2164</v>
      </c>
      <c r="T788" s="4" t="s">
        <v>314</v>
      </c>
      <c r="U788" s="4" t="s">
        <v>668</v>
      </c>
      <c r="W788" s="6">
        <f>6317999</f>
        <v>6317999</v>
      </c>
      <c r="X788" s="4" t="s">
        <v>243</v>
      </c>
      <c r="Y788" s="4" t="s">
        <v>244</v>
      </c>
      <c r="Z788" s="4" t="s">
        <v>338</v>
      </c>
      <c r="AA788" s="4" t="s">
        <v>241</v>
      </c>
      <c r="AD788" s="4" t="s">
        <v>241</v>
      </c>
      <c r="AF788" s="5" t="s">
        <v>241</v>
      </c>
      <c r="AI788" s="5" t="s">
        <v>249</v>
      </c>
      <c r="AJ788" s="4" t="s">
        <v>251</v>
      </c>
      <c r="AK788" s="4" t="s">
        <v>252</v>
      </c>
      <c r="BA788" s="4" t="s">
        <v>254</v>
      </c>
      <c r="BB788" s="4" t="s">
        <v>241</v>
      </c>
      <c r="BC788" s="4" t="s">
        <v>255</v>
      </c>
      <c r="BD788" s="4" t="s">
        <v>241</v>
      </c>
      <c r="BE788" s="4" t="s">
        <v>257</v>
      </c>
      <c r="BF788" s="4" t="s">
        <v>241</v>
      </c>
      <c r="BJ788" s="4" t="s">
        <v>374</v>
      </c>
      <c r="BK788" s="5" t="s">
        <v>375</v>
      </c>
      <c r="BL788" s="4" t="s">
        <v>261</v>
      </c>
      <c r="BM788" s="4" t="s">
        <v>262</v>
      </c>
      <c r="BN788" s="4" t="s">
        <v>241</v>
      </c>
      <c r="BO788" s="6">
        <f>0</f>
        <v>0</v>
      </c>
      <c r="BP788" s="6">
        <f>0</f>
        <v>0</v>
      </c>
      <c r="BQ788" s="4" t="s">
        <v>263</v>
      </c>
      <c r="BR788" s="4" t="s">
        <v>264</v>
      </c>
      <c r="CF788" s="4" t="s">
        <v>241</v>
      </c>
      <c r="CG788" s="4" t="s">
        <v>241</v>
      </c>
      <c r="CK788" s="4" t="s">
        <v>265</v>
      </c>
      <c r="CL788" s="4" t="s">
        <v>266</v>
      </c>
      <c r="CM788" s="4" t="s">
        <v>241</v>
      </c>
      <c r="CO788" s="4" t="s">
        <v>1021</v>
      </c>
      <c r="CP788" s="5" t="s">
        <v>268</v>
      </c>
      <c r="CQ788" s="4" t="s">
        <v>269</v>
      </c>
      <c r="CR788" s="4" t="s">
        <v>270</v>
      </c>
      <c r="CS788" s="4" t="s">
        <v>241</v>
      </c>
      <c r="CT788" s="4" t="s">
        <v>241</v>
      </c>
      <c r="CU788" s="4">
        <v>0</v>
      </c>
      <c r="CV788" s="4" t="s">
        <v>271</v>
      </c>
      <c r="CW788" s="4" t="s">
        <v>411</v>
      </c>
      <c r="CX788" s="4" t="s">
        <v>347</v>
      </c>
      <c r="CZ788" s="6">
        <f>6318000</f>
        <v>6318000</v>
      </c>
      <c r="DA788" s="6">
        <f>0</f>
        <v>0</v>
      </c>
      <c r="DC788" s="4" t="s">
        <v>241</v>
      </c>
      <c r="DD788" s="4" t="s">
        <v>241</v>
      </c>
      <c r="DF788" s="4" t="s">
        <v>241</v>
      </c>
      <c r="DI788" s="4" t="s">
        <v>241</v>
      </c>
      <c r="DJ788" s="4" t="s">
        <v>241</v>
      </c>
      <c r="DK788" s="4" t="s">
        <v>241</v>
      </c>
      <c r="DL788" s="4" t="s">
        <v>241</v>
      </c>
      <c r="DM788" s="4" t="s">
        <v>277</v>
      </c>
      <c r="DN788" s="4" t="s">
        <v>278</v>
      </c>
      <c r="DO788" s="6">
        <f>63.18</f>
        <v>63.18</v>
      </c>
      <c r="DP788" s="4" t="s">
        <v>241</v>
      </c>
      <c r="DQ788" s="4" t="s">
        <v>241</v>
      </c>
      <c r="DR788" s="4" t="s">
        <v>241</v>
      </c>
      <c r="DS788" s="4" t="s">
        <v>241</v>
      </c>
      <c r="DV788" s="4" t="s">
        <v>2262</v>
      </c>
      <c r="DW788" s="4" t="s">
        <v>351</v>
      </c>
      <c r="HO788" s="4" t="s">
        <v>277</v>
      </c>
      <c r="HR788" s="4" t="s">
        <v>278</v>
      </c>
      <c r="HS788" s="4" t="s">
        <v>278</v>
      </c>
    </row>
    <row r="789" spans="1:240" x14ac:dyDescent="0.4">
      <c r="A789" s="4">
        <v>2</v>
      </c>
      <c r="B789" s="4" t="s">
        <v>239</v>
      </c>
      <c r="C789" s="4">
        <v>856</v>
      </c>
      <c r="D789" s="4">
        <v>1</v>
      </c>
      <c r="E789" s="4">
        <v>3</v>
      </c>
      <c r="F789" s="4" t="s">
        <v>240</v>
      </c>
      <c r="G789" s="4" t="s">
        <v>241</v>
      </c>
      <c r="H789" s="4" t="s">
        <v>241</v>
      </c>
      <c r="I789" s="4" t="s">
        <v>2455</v>
      </c>
      <c r="J789" s="4" t="s">
        <v>344</v>
      </c>
      <c r="K789" s="4" t="s">
        <v>256</v>
      </c>
      <c r="L789" s="4" t="s">
        <v>2101</v>
      </c>
      <c r="M789" s="5" t="s">
        <v>2456</v>
      </c>
      <c r="N789" s="4" t="s">
        <v>2104</v>
      </c>
      <c r="O789" s="6">
        <f>1105.5</f>
        <v>1105.5</v>
      </c>
      <c r="P789" s="4" t="s">
        <v>276</v>
      </c>
      <c r="Q789" s="6">
        <f>103496910</f>
        <v>103496910</v>
      </c>
      <c r="R789" s="6">
        <f>171352500</f>
        <v>171352500</v>
      </c>
      <c r="S789" s="5" t="s">
        <v>442</v>
      </c>
      <c r="T789" s="4" t="s">
        <v>668</v>
      </c>
      <c r="U789" s="4" t="s">
        <v>401</v>
      </c>
      <c r="V789" s="6">
        <f>3769755</f>
        <v>3769755</v>
      </c>
      <c r="W789" s="6">
        <f>67855590</f>
        <v>67855590</v>
      </c>
      <c r="X789" s="4" t="s">
        <v>243</v>
      </c>
      <c r="Y789" s="4" t="s">
        <v>244</v>
      </c>
      <c r="Z789" s="4" t="s">
        <v>338</v>
      </c>
      <c r="AA789" s="4" t="s">
        <v>241</v>
      </c>
      <c r="AD789" s="4" t="s">
        <v>241</v>
      </c>
      <c r="AE789" s="5" t="s">
        <v>241</v>
      </c>
      <c r="AF789" s="5" t="s">
        <v>241</v>
      </c>
      <c r="AH789" s="5" t="s">
        <v>241</v>
      </c>
      <c r="AI789" s="5" t="s">
        <v>249</v>
      </c>
      <c r="AJ789" s="4" t="s">
        <v>251</v>
      </c>
      <c r="AK789" s="4" t="s">
        <v>252</v>
      </c>
      <c r="AQ789" s="4" t="s">
        <v>241</v>
      </c>
      <c r="AR789" s="4" t="s">
        <v>241</v>
      </c>
      <c r="AS789" s="4" t="s">
        <v>241</v>
      </c>
      <c r="AT789" s="5" t="s">
        <v>241</v>
      </c>
      <c r="AU789" s="5" t="s">
        <v>241</v>
      </c>
      <c r="AV789" s="5" t="s">
        <v>241</v>
      </c>
      <c r="AY789" s="4" t="s">
        <v>286</v>
      </c>
      <c r="AZ789" s="4" t="s">
        <v>286</v>
      </c>
      <c r="BA789" s="4" t="s">
        <v>254</v>
      </c>
      <c r="BB789" s="4" t="s">
        <v>287</v>
      </c>
      <c r="BC789" s="4" t="s">
        <v>255</v>
      </c>
      <c r="BD789" s="4" t="s">
        <v>241</v>
      </c>
      <c r="BE789" s="4" t="s">
        <v>257</v>
      </c>
      <c r="BF789" s="4" t="s">
        <v>241</v>
      </c>
      <c r="BJ789" s="4" t="s">
        <v>288</v>
      </c>
      <c r="BK789" s="5" t="s">
        <v>289</v>
      </c>
      <c r="BL789" s="4" t="s">
        <v>290</v>
      </c>
      <c r="BM789" s="4" t="s">
        <v>290</v>
      </c>
      <c r="BN789" s="4" t="s">
        <v>241</v>
      </c>
      <c r="BO789" s="6">
        <f>0</f>
        <v>0</v>
      </c>
      <c r="BP789" s="6">
        <f>-3769755</f>
        <v>-3769755</v>
      </c>
      <c r="BQ789" s="4" t="s">
        <v>263</v>
      </c>
      <c r="BR789" s="4" t="s">
        <v>264</v>
      </c>
      <c r="BS789" s="4" t="s">
        <v>241</v>
      </c>
      <c r="BT789" s="4" t="s">
        <v>241</v>
      </c>
      <c r="BU789" s="4" t="s">
        <v>241</v>
      </c>
      <c r="BV789" s="4" t="s">
        <v>241</v>
      </c>
      <c r="CE789" s="4" t="s">
        <v>264</v>
      </c>
      <c r="CF789" s="4" t="s">
        <v>241</v>
      </c>
      <c r="CG789" s="4" t="s">
        <v>241</v>
      </c>
      <c r="CK789" s="4" t="s">
        <v>291</v>
      </c>
      <c r="CL789" s="4" t="s">
        <v>266</v>
      </c>
      <c r="CM789" s="4" t="s">
        <v>241</v>
      </c>
      <c r="CO789" s="4" t="s">
        <v>446</v>
      </c>
      <c r="CP789" s="5" t="s">
        <v>268</v>
      </c>
      <c r="CQ789" s="4" t="s">
        <v>269</v>
      </c>
      <c r="CR789" s="4" t="s">
        <v>270</v>
      </c>
      <c r="CS789" s="4" t="s">
        <v>293</v>
      </c>
      <c r="CT789" s="4" t="s">
        <v>241</v>
      </c>
      <c r="CU789" s="4">
        <v>2.1999999999999999E-2</v>
      </c>
      <c r="CV789" s="4" t="s">
        <v>271</v>
      </c>
      <c r="CW789" s="4" t="s">
        <v>411</v>
      </c>
      <c r="CX789" s="4" t="s">
        <v>295</v>
      </c>
      <c r="CY789" s="6">
        <f>0</f>
        <v>0</v>
      </c>
      <c r="CZ789" s="6">
        <f>171352500</f>
        <v>171352500</v>
      </c>
      <c r="DA789" s="6">
        <f>103496910</f>
        <v>103496910</v>
      </c>
      <c r="DC789" s="4" t="s">
        <v>241</v>
      </c>
      <c r="DD789" s="4" t="s">
        <v>241</v>
      </c>
      <c r="DF789" s="4" t="s">
        <v>241</v>
      </c>
      <c r="DG789" s="6">
        <f>0</f>
        <v>0</v>
      </c>
      <c r="DI789" s="4" t="s">
        <v>241</v>
      </c>
      <c r="DJ789" s="4" t="s">
        <v>241</v>
      </c>
      <c r="DK789" s="4" t="s">
        <v>241</v>
      </c>
      <c r="DL789" s="4" t="s">
        <v>241</v>
      </c>
      <c r="DM789" s="4" t="s">
        <v>323</v>
      </c>
      <c r="DN789" s="4" t="s">
        <v>278</v>
      </c>
      <c r="DO789" s="6">
        <f>1105.5</f>
        <v>1105.5</v>
      </c>
      <c r="DP789" s="4" t="s">
        <v>241</v>
      </c>
      <c r="DQ789" s="4" t="s">
        <v>241</v>
      </c>
      <c r="DR789" s="4" t="s">
        <v>241</v>
      </c>
      <c r="DS789" s="4" t="s">
        <v>241</v>
      </c>
      <c r="DV789" s="4" t="s">
        <v>2457</v>
      </c>
      <c r="DW789" s="4" t="s">
        <v>277</v>
      </c>
      <c r="GN789" s="4" t="s">
        <v>2459</v>
      </c>
      <c r="HO789" s="4" t="s">
        <v>300</v>
      </c>
      <c r="HR789" s="4" t="s">
        <v>278</v>
      </c>
      <c r="HS789" s="4" t="s">
        <v>278</v>
      </c>
      <c r="HT789" s="4" t="s">
        <v>241</v>
      </c>
      <c r="HU789" s="4" t="s">
        <v>241</v>
      </c>
      <c r="HV789" s="4" t="s">
        <v>241</v>
      </c>
      <c r="HW789" s="4" t="s">
        <v>241</v>
      </c>
      <c r="HX789" s="4" t="s">
        <v>241</v>
      </c>
      <c r="HY789" s="4" t="s">
        <v>241</v>
      </c>
      <c r="HZ789" s="4" t="s">
        <v>241</v>
      </c>
      <c r="IA789" s="4" t="s">
        <v>241</v>
      </c>
      <c r="IB789" s="4" t="s">
        <v>241</v>
      </c>
      <c r="IC789" s="4" t="s">
        <v>241</v>
      </c>
      <c r="ID789" s="4" t="s">
        <v>241</v>
      </c>
      <c r="IE789" s="4" t="s">
        <v>241</v>
      </c>
      <c r="IF789" s="4" t="s">
        <v>241</v>
      </c>
    </row>
    <row r="790" spans="1:240" x14ac:dyDescent="0.4">
      <c r="A790" s="4">
        <v>2</v>
      </c>
      <c r="B790" s="4" t="s">
        <v>239</v>
      </c>
      <c r="C790" s="4">
        <v>857</v>
      </c>
      <c r="D790" s="4">
        <v>1</v>
      </c>
      <c r="E790" s="4">
        <v>3</v>
      </c>
      <c r="F790" s="4" t="s">
        <v>240</v>
      </c>
      <c r="G790" s="4" t="s">
        <v>241</v>
      </c>
      <c r="H790" s="4" t="s">
        <v>241</v>
      </c>
      <c r="I790" s="4" t="s">
        <v>2455</v>
      </c>
      <c r="J790" s="4" t="s">
        <v>344</v>
      </c>
      <c r="K790" s="4" t="s">
        <v>256</v>
      </c>
      <c r="L790" s="4" t="s">
        <v>2101</v>
      </c>
      <c r="M790" s="5" t="s">
        <v>2456</v>
      </c>
      <c r="N790" s="4" t="s">
        <v>2109</v>
      </c>
      <c r="O790" s="6">
        <f>796.62</f>
        <v>796.62</v>
      </c>
      <c r="P790" s="4" t="s">
        <v>276</v>
      </c>
      <c r="Q790" s="6">
        <f>128020032</f>
        <v>128020032</v>
      </c>
      <c r="R790" s="6">
        <f>197561760</f>
        <v>197561760</v>
      </c>
      <c r="S790" s="5" t="s">
        <v>1442</v>
      </c>
      <c r="T790" s="4" t="s">
        <v>668</v>
      </c>
      <c r="U790" s="4" t="s">
        <v>348</v>
      </c>
      <c r="V790" s="6">
        <f>4346358</f>
        <v>4346358</v>
      </c>
      <c r="W790" s="6">
        <f>69541728</f>
        <v>69541728</v>
      </c>
      <c r="X790" s="4" t="s">
        <v>243</v>
      </c>
      <c r="Y790" s="4" t="s">
        <v>244</v>
      </c>
      <c r="Z790" s="4" t="s">
        <v>338</v>
      </c>
      <c r="AA790" s="4" t="s">
        <v>241</v>
      </c>
      <c r="AD790" s="4" t="s">
        <v>241</v>
      </c>
      <c r="AE790" s="5" t="s">
        <v>241</v>
      </c>
      <c r="AF790" s="5" t="s">
        <v>241</v>
      </c>
      <c r="AH790" s="5" t="s">
        <v>241</v>
      </c>
      <c r="AI790" s="5" t="s">
        <v>249</v>
      </c>
      <c r="AJ790" s="4" t="s">
        <v>251</v>
      </c>
      <c r="AK790" s="4" t="s">
        <v>252</v>
      </c>
      <c r="AQ790" s="4" t="s">
        <v>241</v>
      </c>
      <c r="AR790" s="4" t="s">
        <v>241</v>
      </c>
      <c r="AS790" s="4" t="s">
        <v>241</v>
      </c>
      <c r="AT790" s="5" t="s">
        <v>241</v>
      </c>
      <c r="AU790" s="5" t="s">
        <v>241</v>
      </c>
      <c r="AV790" s="5" t="s">
        <v>241</v>
      </c>
      <c r="AY790" s="4" t="s">
        <v>286</v>
      </c>
      <c r="AZ790" s="4" t="s">
        <v>286</v>
      </c>
      <c r="BA790" s="4" t="s">
        <v>254</v>
      </c>
      <c r="BB790" s="4" t="s">
        <v>287</v>
      </c>
      <c r="BC790" s="4" t="s">
        <v>255</v>
      </c>
      <c r="BD790" s="4" t="s">
        <v>241</v>
      </c>
      <c r="BE790" s="4" t="s">
        <v>257</v>
      </c>
      <c r="BF790" s="4" t="s">
        <v>241</v>
      </c>
      <c r="BJ790" s="4" t="s">
        <v>288</v>
      </c>
      <c r="BK790" s="5" t="s">
        <v>289</v>
      </c>
      <c r="BL790" s="4" t="s">
        <v>290</v>
      </c>
      <c r="BM790" s="4" t="s">
        <v>290</v>
      </c>
      <c r="BN790" s="4" t="s">
        <v>241</v>
      </c>
      <c r="BO790" s="6">
        <f>0</f>
        <v>0</v>
      </c>
      <c r="BP790" s="6">
        <f>-4346358</f>
        <v>-4346358</v>
      </c>
      <c r="BQ790" s="4" t="s">
        <v>263</v>
      </c>
      <c r="BR790" s="4" t="s">
        <v>264</v>
      </c>
      <c r="BS790" s="4" t="s">
        <v>241</v>
      </c>
      <c r="BT790" s="4" t="s">
        <v>241</v>
      </c>
      <c r="BU790" s="4" t="s">
        <v>241</v>
      </c>
      <c r="BV790" s="4" t="s">
        <v>241</v>
      </c>
      <c r="CE790" s="4" t="s">
        <v>264</v>
      </c>
      <c r="CF790" s="4" t="s">
        <v>241</v>
      </c>
      <c r="CG790" s="4" t="s">
        <v>241</v>
      </c>
      <c r="CK790" s="4" t="s">
        <v>291</v>
      </c>
      <c r="CL790" s="4" t="s">
        <v>266</v>
      </c>
      <c r="CM790" s="4" t="s">
        <v>241</v>
      </c>
      <c r="CO790" s="4" t="s">
        <v>1444</v>
      </c>
      <c r="CP790" s="5" t="s">
        <v>268</v>
      </c>
      <c r="CQ790" s="4" t="s">
        <v>269</v>
      </c>
      <c r="CR790" s="4" t="s">
        <v>270</v>
      </c>
      <c r="CS790" s="4" t="s">
        <v>293</v>
      </c>
      <c r="CT790" s="4" t="s">
        <v>241</v>
      </c>
      <c r="CU790" s="4">
        <v>2.1999999999999999E-2</v>
      </c>
      <c r="CV790" s="4" t="s">
        <v>271</v>
      </c>
      <c r="CW790" s="4" t="s">
        <v>411</v>
      </c>
      <c r="CX790" s="4" t="s">
        <v>295</v>
      </c>
      <c r="CY790" s="6">
        <f>0</f>
        <v>0</v>
      </c>
      <c r="CZ790" s="6">
        <f>197561760</f>
        <v>197561760</v>
      </c>
      <c r="DA790" s="6">
        <f>128020032</f>
        <v>128020032</v>
      </c>
      <c r="DC790" s="4" t="s">
        <v>241</v>
      </c>
      <c r="DD790" s="4" t="s">
        <v>241</v>
      </c>
      <c r="DF790" s="4" t="s">
        <v>241</v>
      </c>
      <c r="DG790" s="6">
        <f>0</f>
        <v>0</v>
      </c>
      <c r="DI790" s="4" t="s">
        <v>241</v>
      </c>
      <c r="DJ790" s="4" t="s">
        <v>241</v>
      </c>
      <c r="DK790" s="4" t="s">
        <v>241</v>
      </c>
      <c r="DL790" s="4" t="s">
        <v>241</v>
      </c>
      <c r="DM790" s="4" t="s">
        <v>323</v>
      </c>
      <c r="DN790" s="4" t="s">
        <v>278</v>
      </c>
      <c r="DO790" s="6">
        <f>796.62</f>
        <v>796.62</v>
      </c>
      <c r="DP790" s="4" t="s">
        <v>241</v>
      </c>
      <c r="DQ790" s="4" t="s">
        <v>241</v>
      </c>
      <c r="DR790" s="4" t="s">
        <v>241</v>
      </c>
      <c r="DS790" s="4" t="s">
        <v>241</v>
      </c>
      <c r="DV790" s="4" t="s">
        <v>2457</v>
      </c>
      <c r="DW790" s="4" t="s">
        <v>323</v>
      </c>
      <c r="GN790" s="4" t="s">
        <v>2458</v>
      </c>
      <c r="HO790" s="4" t="s">
        <v>300</v>
      </c>
      <c r="HR790" s="4" t="s">
        <v>278</v>
      </c>
      <c r="HS790" s="4" t="s">
        <v>278</v>
      </c>
      <c r="HT790" s="4" t="s">
        <v>241</v>
      </c>
      <c r="HU790" s="4" t="s">
        <v>241</v>
      </c>
      <c r="HV790" s="4" t="s">
        <v>241</v>
      </c>
      <c r="HW790" s="4" t="s">
        <v>241</v>
      </c>
      <c r="HX790" s="4" t="s">
        <v>241</v>
      </c>
      <c r="HY790" s="4" t="s">
        <v>241</v>
      </c>
      <c r="HZ790" s="4" t="s">
        <v>241</v>
      </c>
      <c r="IA790" s="4" t="s">
        <v>241</v>
      </c>
      <c r="IB790" s="4" t="s">
        <v>241</v>
      </c>
      <c r="IC790" s="4" t="s">
        <v>241</v>
      </c>
      <c r="ID790" s="4" t="s">
        <v>241</v>
      </c>
      <c r="IE790" s="4" t="s">
        <v>241</v>
      </c>
      <c r="IF790" s="4" t="s">
        <v>241</v>
      </c>
    </row>
    <row r="791" spans="1:240" x14ac:dyDescent="0.4">
      <c r="A791" s="4">
        <v>2</v>
      </c>
      <c r="B791" s="4" t="s">
        <v>239</v>
      </c>
      <c r="C791" s="4">
        <v>858</v>
      </c>
      <c r="D791" s="4">
        <v>1</v>
      </c>
      <c r="E791" s="4">
        <v>1</v>
      </c>
      <c r="F791" s="4" t="s">
        <v>240</v>
      </c>
      <c r="G791" s="4" t="s">
        <v>241</v>
      </c>
      <c r="H791" s="4" t="s">
        <v>241</v>
      </c>
      <c r="I791" s="4" t="s">
        <v>2263</v>
      </c>
      <c r="J791" s="4" t="s">
        <v>344</v>
      </c>
      <c r="K791" s="4" t="s">
        <v>256</v>
      </c>
      <c r="L791" s="4" t="s">
        <v>2101</v>
      </c>
      <c r="M791" s="5" t="s">
        <v>2264</v>
      </c>
      <c r="N791" s="4" t="s">
        <v>2104</v>
      </c>
      <c r="O791" s="6">
        <f>332.82</f>
        <v>332.82</v>
      </c>
      <c r="P791" s="4" t="s">
        <v>276</v>
      </c>
      <c r="Q791" s="6">
        <f>1</f>
        <v>1</v>
      </c>
      <c r="R791" s="6">
        <f>34946100</f>
        <v>34946100</v>
      </c>
      <c r="S791" s="5" t="s">
        <v>366</v>
      </c>
      <c r="T791" s="4" t="s">
        <v>333</v>
      </c>
      <c r="U791" s="4" t="s">
        <v>333</v>
      </c>
      <c r="W791" s="6">
        <f>34946099</f>
        <v>34946099</v>
      </c>
      <c r="X791" s="4" t="s">
        <v>243</v>
      </c>
      <c r="Y791" s="4" t="s">
        <v>244</v>
      </c>
      <c r="Z791" s="4" t="s">
        <v>338</v>
      </c>
      <c r="AA791" s="4" t="s">
        <v>241</v>
      </c>
      <c r="AD791" s="4" t="s">
        <v>241</v>
      </c>
      <c r="AF791" s="5" t="s">
        <v>241</v>
      </c>
      <c r="AI791" s="5" t="s">
        <v>249</v>
      </c>
      <c r="AJ791" s="4" t="s">
        <v>251</v>
      </c>
      <c r="AK791" s="4" t="s">
        <v>252</v>
      </c>
      <c r="BA791" s="4" t="s">
        <v>254</v>
      </c>
      <c r="BB791" s="4" t="s">
        <v>241</v>
      </c>
      <c r="BC791" s="4" t="s">
        <v>255</v>
      </c>
      <c r="BD791" s="4" t="s">
        <v>241</v>
      </c>
      <c r="BE791" s="4" t="s">
        <v>257</v>
      </c>
      <c r="BF791" s="4" t="s">
        <v>241</v>
      </c>
      <c r="BJ791" s="4" t="s">
        <v>367</v>
      </c>
      <c r="BK791" s="5" t="s">
        <v>249</v>
      </c>
      <c r="BL791" s="4" t="s">
        <v>261</v>
      </c>
      <c r="BM791" s="4" t="s">
        <v>262</v>
      </c>
      <c r="BN791" s="4" t="s">
        <v>241</v>
      </c>
      <c r="BO791" s="6">
        <f>0</f>
        <v>0</v>
      </c>
      <c r="BP791" s="6">
        <f>0</f>
        <v>0</v>
      </c>
      <c r="BQ791" s="4" t="s">
        <v>263</v>
      </c>
      <c r="BR791" s="4" t="s">
        <v>264</v>
      </c>
      <c r="CF791" s="4" t="s">
        <v>241</v>
      </c>
      <c r="CG791" s="4" t="s">
        <v>241</v>
      </c>
      <c r="CK791" s="4" t="s">
        <v>265</v>
      </c>
      <c r="CL791" s="4" t="s">
        <v>266</v>
      </c>
      <c r="CM791" s="4" t="s">
        <v>241</v>
      </c>
      <c r="CO791" s="4" t="s">
        <v>368</v>
      </c>
      <c r="CP791" s="5" t="s">
        <v>268</v>
      </c>
      <c r="CQ791" s="4" t="s">
        <v>269</v>
      </c>
      <c r="CR791" s="4" t="s">
        <v>270</v>
      </c>
      <c r="CS791" s="4" t="s">
        <v>241</v>
      </c>
      <c r="CT791" s="4" t="s">
        <v>241</v>
      </c>
      <c r="CU791" s="4">
        <v>0</v>
      </c>
      <c r="CV791" s="4" t="s">
        <v>271</v>
      </c>
      <c r="CW791" s="4" t="s">
        <v>411</v>
      </c>
      <c r="CX791" s="4" t="s">
        <v>2130</v>
      </c>
      <c r="CZ791" s="6">
        <f>34946100</f>
        <v>34946100</v>
      </c>
      <c r="DA791" s="6">
        <f>0</f>
        <v>0</v>
      </c>
      <c r="DC791" s="4" t="s">
        <v>241</v>
      </c>
      <c r="DD791" s="4" t="s">
        <v>241</v>
      </c>
      <c r="DF791" s="4" t="s">
        <v>241</v>
      </c>
      <c r="DI791" s="4" t="s">
        <v>241</v>
      </c>
      <c r="DJ791" s="4" t="s">
        <v>241</v>
      </c>
      <c r="DK791" s="4" t="s">
        <v>241</v>
      </c>
      <c r="DL791" s="4" t="s">
        <v>241</v>
      </c>
      <c r="DM791" s="4" t="s">
        <v>323</v>
      </c>
      <c r="DN791" s="4" t="s">
        <v>278</v>
      </c>
      <c r="DO791" s="6">
        <f>332.82</f>
        <v>332.82</v>
      </c>
      <c r="DP791" s="4" t="s">
        <v>241</v>
      </c>
      <c r="DQ791" s="4" t="s">
        <v>241</v>
      </c>
      <c r="DR791" s="4" t="s">
        <v>241</v>
      </c>
      <c r="DS791" s="4" t="s">
        <v>241</v>
      </c>
      <c r="DV791" s="4" t="s">
        <v>2265</v>
      </c>
      <c r="DW791" s="4" t="s">
        <v>277</v>
      </c>
      <c r="HO791" s="4" t="s">
        <v>277</v>
      </c>
      <c r="HR791" s="4" t="s">
        <v>278</v>
      </c>
      <c r="HS791" s="4" t="s">
        <v>278</v>
      </c>
    </row>
    <row r="792" spans="1:240" x14ac:dyDescent="0.4">
      <c r="A792" s="4">
        <v>2</v>
      </c>
      <c r="B792" s="4" t="s">
        <v>239</v>
      </c>
      <c r="C792" s="4">
        <v>859</v>
      </c>
      <c r="D792" s="4">
        <v>1</v>
      </c>
      <c r="E792" s="4">
        <v>1</v>
      </c>
      <c r="F792" s="4" t="s">
        <v>240</v>
      </c>
      <c r="G792" s="4" t="s">
        <v>241</v>
      </c>
      <c r="H792" s="4" t="s">
        <v>241</v>
      </c>
      <c r="I792" s="4" t="s">
        <v>2263</v>
      </c>
      <c r="J792" s="4" t="s">
        <v>344</v>
      </c>
      <c r="K792" s="4" t="s">
        <v>256</v>
      </c>
      <c r="L792" s="4" t="s">
        <v>2101</v>
      </c>
      <c r="M792" s="5" t="s">
        <v>2264</v>
      </c>
      <c r="N792" s="4" t="s">
        <v>2109</v>
      </c>
      <c r="O792" s="6">
        <f>332.82</f>
        <v>332.82</v>
      </c>
      <c r="P792" s="4" t="s">
        <v>276</v>
      </c>
      <c r="Q792" s="6">
        <f>1</f>
        <v>1</v>
      </c>
      <c r="R792" s="6">
        <f>34946100</f>
        <v>34946100</v>
      </c>
      <c r="S792" s="5" t="s">
        <v>366</v>
      </c>
      <c r="T792" s="4" t="s">
        <v>333</v>
      </c>
      <c r="U792" s="4" t="s">
        <v>333</v>
      </c>
      <c r="W792" s="6">
        <f>34946099</f>
        <v>34946099</v>
      </c>
      <c r="X792" s="4" t="s">
        <v>243</v>
      </c>
      <c r="Y792" s="4" t="s">
        <v>244</v>
      </c>
      <c r="Z792" s="4" t="s">
        <v>338</v>
      </c>
      <c r="AA792" s="4" t="s">
        <v>241</v>
      </c>
      <c r="AD792" s="4" t="s">
        <v>241</v>
      </c>
      <c r="AF792" s="5" t="s">
        <v>241</v>
      </c>
      <c r="AI792" s="5" t="s">
        <v>249</v>
      </c>
      <c r="AJ792" s="4" t="s">
        <v>251</v>
      </c>
      <c r="AK792" s="4" t="s">
        <v>252</v>
      </c>
      <c r="BA792" s="4" t="s">
        <v>254</v>
      </c>
      <c r="BB792" s="4" t="s">
        <v>241</v>
      </c>
      <c r="BC792" s="4" t="s">
        <v>255</v>
      </c>
      <c r="BD792" s="4" t="s">
        <v>241</v>
      </c>
      <c r="BE792" s="4" t="s">
        <v>257</v>
      </c>
      <c r="BF792" s="4" t="s">
        <v>241</v>
      </c>
      <c r="BJ792" s="4" t="s">
        <v>374</v>
      </c>
      <c r="BK792" s="5" t="s">
        <v>375</v>
      </c>
      <c r="BL792" s="4" t="s">
        <v>261</v>
      </c>
      <c r="BM792" s="4" t="s">
        <v>262</v>
      </c>
      <c r="BN792" s="4" t="s">
        <v>241</v>
      </c>
      <c r="BO792" s="6">
        <f>0</f>
        <v>0</v>
      </c>
      <c r="BP792" s="6">
        <f>0</f>
        <v>0</v>
      </c>
      <c r="BQ792" s="4" t="s">
        <v>263</v>
      </c>
      <c r="BR792" s="4" t="s">
        <v>264</v>
      </c>
      <c r="CF792" s="4" t="s">
        <v>241</v>
      </c>
      <c r="CG792" s="4" t="s">
        <v>241</v>
      </c>
      <c r="CK792" s="4" t="s">
        <v>265</v>
      </c>
      <c r="CL792" s="4" t="s">
        <v>266</v>
      </c>
      <c r="CM792" s="4" t="s">
        <v>241</v>
      </c>
      <c r="CO792" s="4" t="s">
        <v>368</v>
      </c>
      <c r="CP792" s="5" t="s">
        <v>268</v>
      </c>
      <c r="CQ792" s="4" t="s">
        <v>269</v>
      </c>
      <c r="CR792" s="4" t="s">
        <v>270</v>
      </c>
      <c r="CS792" s="4" t="s">
        <v>241</v>
      </c>
      <c r="CT792" s="4" t="s">
        <v>241</v>
      </c>
      <c r="CU792" s="4">
        <v>0</v>
      </c>
      <c r="CV792" s="4" t="s">
        <v>271</v>
      </c>
      <c r="CW792" s="4" t="s">
        <v>411</v>
      </c>
      <c r="CX792" s="4" t="s">
        <v>2130</v>
      </c>
      <c r="CZ792" s="6">
        <f>34946100</f>
        <v>34946100</v>
      </c>
      <c r="DA792" s="6">
        <f>0</f>
        <v>0</v>
      </c>
      <c r="DC792" s="4" t="s">
        <v>241</v>
      </c>
      <c r="DD792" s="4" t="s">
        <v>241</v>
      </c>
      <c r="DF792" s="4" t="s">
        <v>241</v>
      </c>
      <c r="DI792" s="4" t="s">
        <v>241</v>
      </c>
      <c r="DJ792" s="4" t="s">
        <v>241</v>
      </c>
      <c r="DK792" s="4" t="s">
        <v>241</v>
      </c>
      <c r="DL792" s="4" t="s">
        <v>241</v>
      </c>
      <c r="DM792" s="4" t="s">
        <v>323</v>
      </c>
      <c r="DN792" s="4" t="s">
        <v>278</v>
      </c>
      <c r="DO792" s="6">
        <f>332.82</f>
        <v>332.82</v>
      </c>
      <c r="DP792" s="4" t="s">
        <v>241</v>
      </c>
      <c r="DQ792" s="4" t="s">
        <v>241</v>
      </c>
      <c r="DR792" s="4" t="s">
        <v>241</v>
      </c>
      <c r="DS792" s="4" t="s">
        <v>241</v>
      </c>
      <c r="DV792" s="4" t="s">
        <v>2265</v>
      </c>
      <c r="DW792" s="4" t="s">
        <v>323</v>
      </c>
      <c r="HO792" s="4" t="s">
        <v>277</v>
      </c>
      <c r="HR792" s="4" t="s">
        <v>278</v>
      </c>
      <c r="HS792" s="4" t="s">
        <v>278</v>
      </c>
    </row>
    <row r="793" spans="1:240" x14ac:dyDescent="0.4">
      <c r="A793" s="4">
        <v>2</v>
      </c>
      <c r="B793" s="4" t="s">
        <v>239</v>
      </c>
      <c r="C793" s="4">
        <v>860</v>
      </c>
      <c r="D793" s="4">
        <v>1</v>
      </c>
      <c r="E793" s="4">
        <v>1</v>
      </c>
      <c r="F793" s="4" t="s">
        <v>240</v>
      </c>
      <c r="G793" s="4" t="s">
        <v>241</v>
      </c>
      <c r="H793" s="4" t="s">
        <v>241</v>
      </c>
      <c r="I793" s="4" t="s">
        <v>2266</v>
      </c>
      <c r="J793" s="4" t="s">
        <v>344</v>
      </c>
      <c r="K793" s="4" t="s">
        <v>256</v>
      </c>
      <c r="L793" s="4" t="s">
        <v>2101</v>
      </c>
      <c r="M793" s="5" t="s">
        <v>2267</v>
      </c>
      <c r="N793" s="4" t="s">
        <v>2104</v>
      </c>
      <c r="O793" s="6">
        <f>297.66</f>
        <v>297.66000000000003</v>
      </c>
      <c r="P793" s="4" t="s">
        <v>276</v>
      </c>
      <c r="Q793" s="6">
        <f>1</f>
        <v>1</v>
      </c>
      <c r="R793" s="6">
        <f>31254300</f>
        <v>31254300</v>
      </c>
      <c r="S793" s="5" t="s">
        <v>372</v>
      </c>
      <c r="T793" s="4" t="s">
        <v>333</v>
      </c>
      <c r="U793" s="4" t="s">
        <v>373</v>
      </c>
      <c r="W793" s="6">
        <f>31254299</f>
        <v>31254299</v>
      </c>
      <c r="X793" s="4" t="s">
        <v>243</v>
      </c>
      <c r="Y793" s="4" t="s">
        <v>244</v>
      </c>
      <c r="Z793" s="4" t="s">
        <v>338</v>
      </c>
      <c r="AA793" s="4" t="s">
        <v>241</v>
      </c>
      <c r="AD793" s="4" t="s">
        <v>241</v>
      </c>
      <c r="AF793" s="5" t="s">
        <v>241</v>
      </c>
      <c r="AI793" s="5" t="s">
        <v>249</v>
      </c>
      <c r="AJ793" s="4" t="s">
        <v>251</v>
      </c>
      <c r="AK793" s="4" t="s">
        <v>252</v>
      </c>
      <c r="BA793" s="4" t="s">
        <v>254</v>
      </c>
      <c r="BB793" s="4" t="s">
        <v>241</v>
      </c>
      <c r="BC793" s="4" t="s">
        <v>255</v>
      </c>
      <c r="BD793" s="4" t="s">
        <v>241</v>
      </c>
      <c r="BE793" s="4" t="s">
        <v>257</v>
      </c>
      <c r="BF793" s="4" t="s">
        <v>241</v>
      </c>
      <c r="BJ793" s="4" t="s">
        <v>377</v>
      </c>
      <c r="BK793" s="5" t="s">
        <v>378</v>
      </c>
      <c r="BL793" s="4" t="s">
        <v>261</v>
      </c>
      <c r="BM793" s="4" t="s">
        <v>262</v>
      </c>
      <c r="BN793" s="4" t="s">
        <v>241</v>
      </c>
      <c r="BO793" s="6">
        <f>0</f>
        <v>0</v>
      </c>
      <c r="BP793" s="6">
        <f>0</f>
        <v>0</v>
      </c>
      <c r="BQ793" s="4" t="s">
        <v>263</v>
      </c>
      <c r="BR793" s="4" t="s">
        <v>264</v>
      </c>
      <c r="CF793" s="4" t="s">
        <v>241</v>
      </c>
      <c r="CG793" s="4" t="s">
        <v>241</v>
      </c>
      <c r="CK793" s="4" t="s">
        <v>265</v>
      </c>
      <c r="CL793" s="4" t="s">
        <v>266</v>
      </c>
      <c r="CM793" s="4" t="s">
        <v>241</v>
      </c>
      <c r="CO793" s="4" t="s">
        <v>305</v>
      </c>
      <c r="CP793" s="5" t="s">
        <v>268</v>
      </c>
      <c r="CQ793" s="4" t="s">
        <v>269</v>
      </c>
      <c r="CR793" s="4" t="s">
        <v>270</v>
      </c>
      <c r="CS793" s="4" t="s">
        <v>241</v>
      </c>
      <c r="CT793" s="4" t="s">
        <v>241</v>
      </c>
      <c r="CU793" s="4">
        <v>0</v>
      </c>
      <c r="CV793" s="4" t="s">
        <v>271</v>
      </c>
      <c r="CW793" s="4" t="s">
        <v>411</v>
      </c>
      <c r="CX793" s="4" t="s">
        <v>2130</v>
      </c>
      <c r="CZ793" s="6">
        <f>31254300</f>
        <v>31254300</v>
      </c>
      <c r="DA793" s="6">
        <f>0</f>
        <v>0</v>
      </c>
      <c r="DC793" s="4" t="s">
        <v>241</v>
      </c>
      <c r="DD793" s="4" t="s">
        <v>241</v>
      </c>
      <c r="DF793" s="4" t="s">
        <v>241</v>
      </c>
      <c r="DI793" s="4" t="s">
        <v>241</v>
      </c>
      <c r="DJ793" s="4" t="s">
        <v>241</v>
      </c>
      <c r="DK793" s="4" t="s">
        <v>241</v>
      </c>
      <c r="DL793" s="4" t="s">
        <v>241</v>
      </c>
      <c r="DM793" s="4" t="s">
        <v>323</v>
      </c>
      <c r="DN793" s="4" t="s">
        <v>278</v>
      </c>
      <c r="DO793" s="6">
        <f>297.66</f>
        <v>297.66000000000003</v>
      </c>
      <c r="DP793" s="4" t="s">
        <v>241</v>
      </c>
      <c r="DQ793" s="4" t="s">
        <v>241</v>
      </c>
      <c r="DR793" s="4" t="s">
        <v>241</v>
      </c>
      <c r="DS793" s="4" t="s">
        <v>241</v>
      </c>
      <c r="DV793" s="4" t="s">
        <v>2268</v>
      </c>
      <c r="DW793" s="4" t="s">
        <v>277</v>
      </c>
      <c r="HO793" s="4" t="s">
        <v>277</v>
      </c>
      <c r="HR793" s="4" t="s">
        <v>278</v>
      </c>
      <c r="HS793" s="4" t="s">
        <v>278</v>
      </c>
    </row>
    <row r="794" spans="1:240" x14ac:dyDescent="0.4">
      <c r="A794" s="4">
        <v>2</v>
      </c>
      <c r="B794" s="4" t="s">
        <v>239</v>
      </c>
      <c r="C794" s="4">
        <v>861</v>
      </c>
      <c r="D794" s="4">
        <v>1</v>
      </c>
      <c r="E794" s="4">
        <v>1</v>
      </c>
      <c r="F794" s="4" t="s">
        <v>240</v>
      </c>
      <c r="G794" s="4" t="s">
        <v>241</v>
      </c>
      <c r="H794" s="4" t="s">
        <v>241</v>
      </c>
      <c r="I794" s="4" t="s">
        <v>2266</v>
      </c>
      <c r="J794" s="4" t="s">
        <v>344</v>
      </c>
      <c r="K794" s="4" t="s">
        <v>256</v>
      </c>
      <c r="L794" s="4" t="s">
        <v>2101</v>
      </c>
      <c r="M794" s="5" t="s">
        <v>2267</v>
      </c>
      <c r="N794" s="4" t="s">
        <v>2109</v>
      </c>
      <c r="O794" s="6">
        <f>297.66</f>
        <v>297.66000000000003</v>
      </c>
      <c r="P794" s="4" t="s">
        <v>276</v>
      </c>
      <c r="Q794" s="6">
        <f>1</f>
        <v>1</v>
      </c>
      <c r="R794" s="6">
        <f>31254300</f>
        <v>31254300</v>
      </c>
      <c r="S794" s="5" t="s">
        <v>372</v>
      </c>
      <c r="T794" s="4" t="s">
        <v>333</v>
      </c>
      <c r="U794" s="4" t="s">
        <v>373</v>
      </c>
      <c r="W794" s="6">
        <f>31254299</f>
        <v>31254299</v>
      </c>
      <c r="X794" s="4" t="s">
        <v>243</v>
      </c>
      <c r="Y794" s="4" t="s">
        <v>244</v>
      </c>
      <c r="Z794" s="4" t="s">
        <v>338</v>
      </c>
      <c r="AA794" s="4" t="s">
        <v>241</v>
      </c>
      <c r="AD794" s="4" t="s">
        <v>241</v>
      </c>
      <c r="AF794" s="5" t="s">
        <v>241</v>
      </c>
      <c r="AI794" s="5" t="s">
        <v>249</v>
      </c>
      <c r="AJ794" s="4" t="s">
        <v>251</v>
      </c>
      <c r="AK794" s="4" t="s">
        <v>252</v>
      </c>
      <c r="BA794" s="4" t="s">
        <v>254</v>
      </c>
      <c r="BB794" s="4" t="s">
        <v>241</v>
      </c>
      <c r="BC794" s="4" t="s">
        <v>255</v>
      </c>
      <c r="BD794" s="4" t="s">
        <v>241</v>
      </c>
      <c r="BE794" s="4" t="s">
        <v>257</v>
      </c>
      <c r="BF794" s="4" t="s">
        <v>241</v>
      </c>
      <c r="BJ794" s="4" t="s">
        <v>259</v>
      </c>
      <c r="BK794" s="5" t="s">
        <v>260</v>
      </c>
      <c r="BL794" s="4" t="s">
        <v>261</v>
      </c>
      <c r="BM794" s="4" t="s">
        <v>262</v>
      </c>
      <c r="BN794" s="4" t="s">
        <v>241</v>
      </c>
      <c r="BO794" s="6">
        <f>0</f>
        <v>0</v>
      </c>
      <c r="BP794" s="6">
        <f>0</f>
        <v>0</v>
      </c>
      <c r="BQ794" s="4" t="s">
        <v>263</v>
      </c>
      <c r="BR794" s="4" t="s">
        <v>264</v>
      </c>
      <c r="CF794" s="4" t="s">
        <v>241</v>
      </c>
      <c r="CG794" s="4" t="s">
        <v>241</v>
      </c>
      <c r="CK794" s="4" t="s">
        <v>265</v>
      </c>
      <c r="CL794" s="4" t="s">
        <v>266</v>
      </c>
      <c r="CM794" s="4" t="s">
        <v>241</v>
      </c>
      <c r="CO794" s="4" t="s">
        <v>305</v>
      </c>
      <c r="CP794" s="5" t="s">
        <v>268</v>
      </c>
      <c r="CQ794" s="4" t="s">
        <v>269</v>
      </c>
      <c r="CR794" s="4" t="s">
        <v>270</v>
      </c>
      <c r="CS794" s="4" t="s">
        <v>241</v>
      </c>
      <c r="CT794" s="4" t="s">
        <v>241</v>
      </c>
      <c r="CU794" s="4">
        <v>0</v>
      </c>
      <c r="CV794" s="4" t="s">
        <v>271</v>
      </c>
      <c r="CW794" s="4" t="s">
        <v>411</v>
      </c>
      <c r="CX794" s="4" t="s">
        <v>2130</v>
      </c>
      <c r="CZ794" s="6">
        <f>31254300</f>
        <v>31254300</v>
      </c>
      <c r="DA794" s="6">
        <f>0</f>
        <v>0</v>
      </c>
      <c r="DC794" s="4" t="s">
        <v>241</v>
      </c>
      <c r="DD794" s="4" t="s">
        <v>241</v>
      </c>
      <c r="DF794" s="4" t="s">
        <v>241</v>
      </c>
      <c r="DI794" s="4" t="s">
        <v>241</v>
      </c>
      <c r="DJ794" s="4" t="s">
        <v>241</v>
      </c>
      <c r="DK794" s="4" t="s">
        <v>241</v>
      </c>
      <c r="DL794" s="4" t="s">
        <v>241</v>
      </c>
      <c r="DM794" s="4" t="s">
        <v>323</v>
      </c>
      <c r="DN794" s="4" t="s">
        <v>278</v>
      </c>
      <c r="DO794" s="6">
        <f>297.66</f>
        <v>297.66000000000003</v>
      </c>
      <c r="DP794" s="4" t="s">
        <v>241</v>
      </c>
      <c r="DQ794" s="4" t="s">
        <v>241</v>
      </c>
      <c r="DR794" s="4" t="s">
        <v>241</v>
      </c>
      <c r="DS794" s="4" t="s">
        <v>241</v>
      </c>
      <c r="DV794" s="4" t="s">
        <v>2268</v>
      </c>
      <c r="DW794" s="4" t="s">
        <v>323</v>
      </c>
      <c r="HO794" s="4" t="s">
        <v>277</v>
      </c>
      <c r="HR794" s="4" t="s">
        <v>278</v>
      </c>
      <c r="HS794" s="4" t="s">
        <v>278</v>
      </c>
    </row>
    <row r="795" spans="1:240" x14ac:dyDescent="0.4">
      <c r="A795" s="4">
        <v>2</v>
      </c>
      <c r="B795" s="4" t="s">
        <v>239</v>
      </c>
      <c r="C795" s="4">
        <v>862</v>
      </c>
      <c r="D795" s="4">
        <v>1</v>
      </c>
      <c r="E795" s="4">
        <v>1</v>
      </c>
      <c r="F795" s="4" t="s">
        <v>240</v>
      </c>
      <c r="G795" s="4" t="s">
        <v>241</v>
      </c>
      <c r="H795" s="4" t="s">
        <v>241</v>
      </c>
      <c r="I795" s="4" t="s">
        <v>2266</v>
      </c>
      <c r="J795" s="4" t="s">
        <v>344</v>
      </c>
      <c r="K795" s="4" t="s">
        <v>256</v>
      </c>
      <c r="L795" s="4" t="s">
        <v>2101</v>
      </c>
      <c r="M795" s="5" t="s">
        <v>2267</v>
      </c>
      <c r="N795" s="4" t="s">
        <v>2110</v>
      </c>
      <c r="O795" s="6">
        <f>332.82</f>
        <v>332.82</v>
      </c>
      <c r="P795" s="4" t="s">
        <v>276</v>
      </c>
      <c r="Q795" s="6">
        <f>1</f>
        <v>1</v>
      </c>
      <c r="R795" s="6">
        <f>34946100</f>
        <v>34946100</v>
      </c>
      <c r="S795" s="5" t="s">
        <v>372</v>
      </c>
      <c r="T795" s="4" t="s">
        <v>333</v>
      </c>
      <c r="U795" s="4" t="s">
        <v>373</v>
      </c>
      <c r="W795" s="6">
        <f>34946099</f>
        <v>34946099</v>
      </c>
      <c r="X795" s="4" t="s">
        <v>243</v>
      </c>
      <c r="Y795" s="4" t="s">
        <v>244</v>
      </c>
      <c r="Z795" s="4" t="s">
        <v>338</v>
      </c>
      <c r="AA795" s="4" t="s">
        <v>241</v>
      </c>
      <c r="AD795" s="4" t="s">
        <v>241</v>
      </c>
      <c r="AF795" s="5" t="s">
        <v>241</v>
      </c>
      <c r="AI795" s="5" t="s">
        <v>249</v>
      </c>
      <c r="AJ795" s="4" t="s">
        <v>251</v>
      </c>
      <c r="AK795" s="4" t="s">
        <v>252</v>
      </c>
      <c r="BA795" s="4" t="s">
        <v>254</v>
      </c>
      <c r="BB795" s="4" t="s">
        <v>241</v>
      </c>
      <c r="BC795" s="4" t="s">
        <v>255</v>
      </c>
      <c r="BD795" s="4" t="s">
        <v>241</v>
      </c>
      <c r="BE795" s="4" t="s">
        <v>257</v>
      </c>
      <c r="BF795" s="4" t="s">
        <v>241</v>
      </c>
      <c r="BJ795" s="4" t="s">
        <v>367</v>
      </c>
      <c r="BK795" s="5" t="s">
        <v>249</v>
      </c>
      <c r="BL795" s="4" t="s">
        <v>261</v>
      </c>
      <c r="BM795" s="4" t="s">
        <v>262</v>
      </c>
      <c r="BN795" s="4" t="s">
        <v>241</v>
      </c>
      <c r="BO795" s="6">
        <f>0</f>
        <v>0</v>
      </c>
      <c r="BP795" s="6">
        <f>0</f>
        <v>0</v>
      </c>
      <c r="BQ795" s="4" t="s">
        <v>263</v>
      </c>
      <c r="BR795" s="4" t="s">
        <v>264</v>
      </c>
      <c r="CF795" s="4" t="s">
        <v>241</v>
      </c>
      <c r="CG795" s="4" t="s">
        <v>241</v>
      </c>
      <c r="CK795" s="4" t="s">
        <v>265</v>
      </c>
      <c r="CL795" s="4" t="s">
        <v>266</v>
      </c>
      <c r="CM795" s="4" t="s">
        <v>241</v>
      </c>
      <c r="CO795" s="4" t="s">
        <v>305</v>
      </c>
      <c r="CP795" s="5" t="s">
        <v>268</v>
      </c>
      <c r="CQ795" s="4" t="s">
        <v>269</v>
      </c>
      <c r="CR795" s="4" t="s">
        <v>270</v>
      </c>
      <c r="CS795" s="4" t="s">
        <v>241</v>
      </c>
      <c r="CT795" s="4" t="s">
        <v>241</v>
      </c>
      <c r="CU795" s="4">
        <v>0</v>
      </c>
      <c r="CV795" s="4" t="s">
        <v>271</v>
      </c>
      <c r="CW795" s="4" t="s">
        <v>411</v>
      </c>
      <c r="CX795" s="4" t="s">
        <v>2130</v>
      </c>
      <c r="CZ795" s="6">
        <f>34946100</f>
        <v>34946100</v>
      </c>
      <c r="DA795" s="6">
        <f>0</f>
        <v>0</v>
      </c>
      <c r="DC795" s="4" t="s">
        <v>241</v>
      </c>
      <c r="DD795" s="4" t="s">
        <v>241</v>
      </c>
      <c r="DF795" s="4" t="s">
        <v>241</v>
      </c>
      <c r="DI795" s="4" t="s">
        <v>241</v>
      </c>
      <c r="DJ795" s="4" t="s">
        <v>241</v>
      </c>
      <c r="DK795" s="4" t="s">
        <v>241</v>
      </c>
      <c r="DL795" s="4" t="s">
        <v>241</v>
      </c>
      <c r="DM795" s="4" t="s">
        <v>323</v>
      </c>
      <c r="DN795" s="4" t="s">
        <v>278</v>
      </c>
      <c r="DO795" s="6">
        <f>332.82</f>
        <v>332.82</v>
      </c>
      <c r="DP795" s="4" t="s">
        <v>241</v>
      </c>
      <c r="DQ795" s="4" t="s">
        <v>241</v>
      </c>
      <c r="DR795" s="4" t="s">
        <v>241</v>
      </c>
      <c r="DS795" s="4" t="s">
        <v>241</v>
      </c>
      <c r="DV795" s="4" t="s">
        <v>2268</v>
      </c>
      <c r="DW795" s="4" t="s">
        <v>297</v>
      </c>
      <c r="HO795" s="4" t="s">
        <v>277</v>
      </c>
      <c r="HR795" s="4" t="s">
        <v>278</v>
      </c>
      <c r="HS795" s="4" t="s">
        <v>278</v>
      </c>
    </row>
    <row r="796" spans="1:240" x14ac:dyDescent="0.4">
      <c r="A796" s="4">
        <v>2</v>
      </c>
      <c r="B796" s="4" t="s">
        <v>239</v>
      </c>
      <c r="C796" s="4">
        <v>863</v>
      </c>
      <c r="D796" s="4">
        <v>1</v>
      </c>
      <c r="E796" s="4">
        <v>1</v>
      </c>
      <c r="F796" s="4" t="s">
        <v>240</v>
      </c>
      <c r="G796" s="4" t="s">
        <v>241</v>
      </c>
      <c r="H796" s="4" t="s">
        <v>241</v>
      </c>
      <c r="I796" s="4" t="s">
        <v>2266</v>
      </c>
      <c r="J796" s="4" t="s">
        <v>344</v>
      </c>
      <c r="K796" s="4" t="s">
        <v>256</v>
      </c>
      <c r="L796" s="4" t="s">
        <v>2101</v>
      </c>
      <c r="M796" s="5" t="s">
        <v>2267</v>
      </c>
      <c r="N796" s="4" t="s">
        <v>2122</v>
      </c>
      <c r="O796" s="6">
        <f>221.88</f>
        <v>221.88</v>
      </c>
      <c r="P796" s="4" t="s">
        <v>276</v>
      </c>
      <c r="Q796" s="6">
        <f>1</f>
        <v>1</v>
      </c>
      <c r="R796" s="6">
        <f>23297400</f>
        <v>23297400</v>
      </c>
      <c r="S796" s="5" t="s">
        <v>2235</v>
      </c>
      <c r="T796" s="4" t="s">
        <v>333</v>
      </c>
      <c r="U796" s="4" t="s">
        <v>393</v>
      </c>
      <c r="W796" s="6">
        <f>23297399</f>
        <v>23297399</v>
      </c>
      <c r="X796" s="4" t="s">
        <v>243</v>
      </c>
      <c r="Y796" s="4" t="s">
        <v>244</v>
      </c>
      <c r="Z796" s="4" t="s">
        <v>338</v>
      </c>
      <c r="AA796" s="4" t="s">
        <v>241</v>
      </c>
      <c r="AD796" s="4" t="s">
        <v>241</v>
      </c>
      <c r="AF796" s="5" t="s">
        <v>241</v>
      </c>
      <c r="AI796" s="5" t="s">
        <v>249</v>
      </c>
      <c r="AJ796" s="4" t="s">
        <v>251</v>
      </c>
      <c r="AK796" s="4" t="s">
        <v>252</v>
      </c>
      <c r="BA796" s="4" t="s">
        <v>254</v>
      </c>
      <c r="BB796" s="4" t="s">
        <v>241</v>
      </c>
      <c r="BC796" s="4" t="s">
        <v>255</v>
      </c>
      <c r="BD796" s="4" t="s">
        <v>241</v>
      </c>
      <c r="BE796" s="4" t="s">
        <v>257</v>
      </c>
      <c r="BF796" s="4" t="s">
        <v>241</v>
      </c>
      <c r="BJ796" s="4" t="s">
        <v>367</v>
      </c>
      <c r="BK796" s="5" t="s">
        <v>249</v>
      </c>
      <c r="BL796" s="4" t="s">
        <v>261</v>
      </c>
      <c r="BM796" s="4" t="s">
        <v>262</v>
      </c>
      <c r="BN796" s="4" t="s">
        <v>241</v>
      </c>
      <c r="BO796" s="6">
        <f>0</f>
        <v>0</v>
      </c>
      <c r="BP796" s="6">
        <f>0</f>
        <v>0</v>
      </c>
      <c r="BQ796" s="4" t="s">
        <v>263</v>
      </c>
      <c r="BR796" s="4" t="s">
        <v>264</v>
      </c>
      <c r="CF796" s="4" t="s">
        <v>241</v>
      </c>
      <c r="CG796" s="4" t="s">
        <v>241</v>
      </c>
      <c r="CK796" s="4" t="s">
        <v>265</v>
      </c>
      <c r="CL796" s="4" t="s">
        <v>266</v>
      </c>
      <c r="CM796" s="4" t="s">
        <v>241</v>
      </c>
      <c r="CO796" s="4" t="s">
        <v>392</v>
      </c>
      <c r="CP796" s="5" t="s">
        <v>268</v>
      </c>
      <c r="CQ796" s="4" t="s">
        <v>269</v>
      </c>
      <c r="CR796" s="4" t="s">
        <v>270</v>
      </c>
      <c r="CS796" s="4" t="s">
        <v>241</v>
      </c>
      <c r="CT796" s="4" t="s">
        <v>241</v>
      </c>
      <c r="CU796" s="4">
        <v>0</v>
      </c>
      <c r="CV796" s="4" t="s">
        <v>271</v>
      </c>
      <c r="CW796" s="4" t="s">
        <v>411</v>
      </c>
      <c r="CX796" s="4" t="s">
        <v>2130</v>
      </c>
      <c r="CZ796" s="6">
        <f>23297400</f>
        <v>23297400</v>
      </c>
      <c r="DA796" s="6">
        <f>0</f>
        <v>0</v>
      </c>
      <c r="DC796" s="4" t="s">
        <v>241</v>
      </c>
      <c r="DD796" s="4" t="s">
        <v>241</v>
      </c>
      <c r="DF796" s="4" t="s">
        <v>241</v>
      </c>
      <c r="DI796" s="4" t="s">
        <v>241</v>
      </c>
      <c r="DJ796" s="4" t="s">
        <v>241</v>
      </c>
      <c r="DK796" s="4" t="s">
        <v>241</v>
      </c>
      <c r="DL796" s="4" t="s">
        <v>241</v>
      </c>
      <c r="DM796" s="4" t="s">
        <v>323</v>
      </c>
      <c r="DN796" s="4" t="s">
        <v>278</v>
      </c>
      <c r="DO796" s="6">
        <f>221.88</f>
        <v>221.88</v>
      </c>
      <c r="DP796" s="4" t="s">
        <v>241</v>
      </c>
      <c r="DQ796" s="4" t="s">
        <v>241</v>
      </c>
      <c r="DR796" s="4" t="s">
        <v>241</v>
      </c>
      <c r="DS796" s="4" t="s">
        <v>241</v>
      </c>
      <c r="DV796" s="4" t="s">
        <v>2268</v>
      </c>
      <c r="DW796" s="4" t="s">
        <v>336</v>
      </c>
      <c r="HO796" s="4" t="s">
        <v>277</v>
      </c>
      <c r="HR796" s="4" t="s">
        <v>278</v>
      </c>
      <c r="HS796" s="4" t="s">
        <v>278</v>
      </c>
    </row>
    <row r="797" spans="1:240" x14ac:dyDescent="0.4">
      <c r="A797" s="4">
        <v>2</v>
      </c>
      <c r="B797" s="4" t="s">
        <v>239</v>
      </c>
      <c r="C797" s="4">
        <v>864</v>
      </c>
      <c r="D797" s="4">
        <v>1</v>
      </c>
      <c r="E797" s="4">
        <v>1</v>
      </c>
      <c r="F797" s="4" t="s">
        <v>240</v>
      </c>
      <c r="G797" s="4" t="s">
        <v>241</v>
      </c>
      <c r="H797" s="4" t="s">
        <v>241</v>
      </c>
      <c r="I797" s="4" t="s">
        <v>2266</v>
      </c>
      <c r="J797" s="4" t="s">
        <v>344</v>
      </c>
      <c r="K797" s="4" t="s">
        <v>256</v>
      </c>
      <c r="L797" s="4" t="s">
        <v>2101</v>
      </c>
      <c r="M797" s="5" t="s">
        <v>2267</v>
      </c>
      <c r="N797" s="4" t="s">
        <v>2098</v>
      </c>
      <c r="O797" s="6">
        <f>166.41</f>
        <v>166.41</v>
      </c>
      <c r="P797" s="4" t="s">
        <v>276</v>
      </c>
      <c r="Q797" s="6">
        <f>1</f>
        <v>1</v>
      </c>
      <c r="R797" s="6">
        <f>17473050</f>
        <v>17473050</v>
      </c>
      <c r="S797" s="5" t="s">
        <v>2235</v>
      </c>
      <c r="T797" s="4" t="s">
        <v>333</v>
      </c>
      <c r="U797" s="4" t="s">
        <v>393</v>
      </c>
      <c r="W797" s="6">
        <f>17473049</f>
        <v>17473049</v>
      </c>
      <c r="X797" s="4" t="s">
        <v>243</v>
      </c>
      <c r="Y797" s="4" t="s">
        <v>244</v>
      </c>
      <c r="Z797" s="4" t="s">
        <v>338</v>
      </c>
      <c r="AA797" s="4" t="s">
        <v>241</v>
      </c>
      <c r="AD797" s="4" t="s">
        <v>241</v>
      </c>
      <c r="AF797" s="5" t="s">
        <v>241</v>
      </c>
      <c r="AI797" s="5" t="s">
        <v>249</v>
      </c>
      <c r="AJ797" s="4" t="s">
        <v>251</v>
      </c>
      <c r="AK797" s="4" t="s">
        <v>252</v>
      </c>
      <c r="BA797" s="4" t="s">
        <v>254</v>
      </c>
      <c r="BB797" s="4" t="s">
        <v>241</v>
      </c>
      <c r="BC797" s="4" t="s">
        <v>255</v>
      </c>
      <c r="BD797" s="4" t="s">
        <v>241</v>
      </c>
      <c r="BE797" s="4" t="s">
        <v>257</v>
      </c>
      <c r="BF797" s="4" t="s">
        <v>241</v>
      </c>
      <c r="BJ797" s="4" t="s">
        <v>367</v>
      </c>
      <c r="BK797" s="5" t="s">
        <v>249</v>
      </c>
      <c r="BL797" s="4" t="s">
        <v>261</v>
      </c>
      <c r="BM797" s="4" t="s">
        <v>262</v>
      </c>
      <c r="BN797" s="4" t="s">
        <v>241</v>
      </c>
      <c r="BO797" s="6">
        <f>0</f>
        <v>0</v>
      </c>
      <c r="BP797" s="6">
        <f>0</f>
        <v>0</v>
      </c>
      <c r="BQ797" s="4" t="s">
        <v>263</v>
      </c>
      <c r="BR797" s="4" t="s">
        <v>264</v>
      </c>
      <c r="CF797" s="4" t="s">
        <v>241</v>
      </c>
      <c r="CG797" s="4" t="s">
        <v>241</v>
      </c>
      <c r="CK797" s="4" t="s">
        <v>265</v>
      </c>
      <c r="CL797" s="4" t="s">
        <v>266</v>
      </c>
      <c r="CM797" s="4" t="s">
        <v>241</v>
      </c>
      <c r="CO797" s="4" t="s">
        <v>392</v>
      </c>
      <c r="CP797" s="5" t="s">
        <v>268</v>
      </c>
      <c r="CQ797" s="4" t="s">
        <v>269</v>
      </c>
      <c r="CR797" s="4" t="s">
        <v>270</v>
      </c>
      <c r="CS797" s="4" t="s">
        <v>241</v>
      </c>
      <c r="CT797" s="4" t="s">
        <v>241</v>
      </c>
      <c r="CU797" s="4">
        <v>0</v>
      </c>
      <c r="CV797" s="4" t="s">
        <v>271</v>
      </c>
      <c r="CW797" s="4" t="s">
        <v>411</v>
      </c>
      <c r="CX797" s="4" t="s">
        <v>2130</v>
      </c>
      <c r="CZ797" s="6">
        <f>17473050</f>
        <v>17473050</v>
      </c>
      <c r="DA797" s="6">
        <f>0</f>
        <v>0</v>
      </c>
      <c r="DC797" s="4" t="s">
        <v>241</v>
      </c>
      <c r="DD797" s="4" t="s">
        <v>241</v>
      </c>
      <c r="DF797" s="4" t="s">
        <v>241</v>
      </c>
      <c r="DI797" s="4" t="s">
        <v>241</v>
      </c>
      <c r="DJ797" s="4" t="s">
        <v>241</v>
      </c>
      <c r="DK797" s="4" t="s">
        <v>241</v>
      </c>
      <c r="DL797" s="4" t="s">
        <v>241</v>
      </c>
      <c r="DM797" s="4" t="s">
        <v>323</v>
      </c>
      <c r="DN797" s="4" t="s">
        <v>278</v>
      </c>
      <c r="DO797" s="6">
        <f>166.41</f>
        <v>166.41</v>
      </c>
      <c r="DP797" s="4" t="s">
        <v>241</v>
      </c>
      <c r="DQ797" s="4" t="s">
        <v>241</v>
      </c>
      <c r="DR797" s="4" t="s">
        <v>241</v>
      </c>
      <c r="DS797" s="4" t="s">
        <v>241</v>
      </c>
      <c r="DV797" s="4" t="s">
        <v>2268</v>
      </c>
      <c r="DW797" s="4" t="s">
        <v>351</v>
      </c>
      <c r="HO797" s="4" t="s">
        <v>277</v>
      </c>
      <c r="HR797" s="4" t="s">
        <v>278</v>
      </c>
      <c r="HS797" s="4" t="s">
        <v>278</v>
      </c>
    </row>
    <row r="798" spans="1:240" x14ac:dyDescent="0.4">
      <c r="A798" s="4">
        <v>2</v>
      </c>
      <c r="B798" s="4" t="s">
        <v>239</v>
      </c>
      <c r="C798" s="4">
        <v>865</v>
      </c>
      <c r="D798" s="4">
        <v>1</v>
      </c>
      <c r="E798" s="4">
        <v>1</v>
      </c>
      <c r="F798" s="4" t="s">
        <v>240</v>
      </c>
      <c r="G798" s="4" t="s">
        <v>241</v>
      </c>
      <c r="H798" s="4" t="s">
        <v>241</v>
      </c>
      <c r="I798" s="4" t="s">
        <v>2266</v>
      </c>
      <c r="J798" s="4" t="s">
        <v>344</v>
      </c>
      <c r="K798" s="4" t="s">
        <v>256</v>
      </c>
      <c r="L798" s="4" t="s">
        <v>2101</v>
      </c>
      <c r="M798" s="5" t="s">
        <v>2267</v>
      </c>
      <c r="N798" s="4" t="s">
        <v>2191</v>
      </c>
      <c r="O798" s="6">
        <f>166.41</f>
        <v>166.41</v>
      </c>
      <c r="P798" s="4" t="s">
        <v>276</v>
      </c>
      <c r="Q798" s="6">
        <f>1</f>
        <v>1</v>
      </c>
      <c r="R798" s="6">
        <f>17473050</f>
        <v>17473050</v>
      </c>
      <c r="S798" s="5" t="s">
        <v>954</v>
      </c>
      <c r="T798" s="4" t="s">
        <v>333</v>
      </c>
      <c r="U798" s="4" t="s">
        <v>333</v>
      </c>
      <c r="W798" s="6">
        <f>17473049</f>
        <v>17473049</v>
      </c>
      <c r="X798" s="4" t="s">
        <v>243</v>
      </c>
      <c r="Y798" s="4" t="s">
        <v>244</v>
      </c>
      <c r="Z798" s="4" t="s">
        <v>338</v>
      </c>
      <c r="AA798" s="4" t="s">
        <v>241</v>
      </c>
      <c r="AD798" s="4" t="s">
        <v>241</v>
      </c>
      <c r="AF798" s="5" t="s">
        <v>241</v>
      </c>
      <c r="AI798" s="5" t="s">
        <v>249</v>
      </c>
      <c r="AJ798" s="4" t="s">
        <v>251</v>
      </c>
      <c r="AK798" s="4" t="s">
        <v>252</v>
      </c>
      <c r="BA798" s="4" t="s">
        <v>254</v>
      </c>
      <c r="BB798" s="4" t="s">
        <v>241</v>
      </c>
      <c r="BC798" s="4" t="s">
        <v>255</v>
      </c>
      <c r="BD798" s="4" t="s">
        <v>241</v>
      </c>
      <c r="BE798" s="4" t="s">
        <v>257</v>
      </c>
      <c r="BF798" s="4" t="s">
        <v>241</v>
      </c>
      <c r="BJ798" s="4" t="s">
        <v>367</v>
      </c>
      <c r="BK798" s="5" t="s">
        <v>249</v>
      </c>
      <c r="BL798" s="4" t="s">
        <v>261</v>
      </c>
      <c r="BM798" s="4" t="s">
        <v>290</v>
      </c>
      <c r="BN798" s="4" t="s">
        <v>241</v>
      </c>
      <c r="BO798" s="6">
        <f>0</f>
        <v>0</v>
      </c>
      <c r="BP798" s="6">
        <f>0</f>
        <v>0</v>
      </c>
      <c r="BQ798" s="4" t="s">
        <v>263</v>
      </c>
      <c r="BR798" s="4" t="s">
        <v>264</v>
      </c>
      <c r="CF798" s="4" t="s">
        <v>241</v>
      </c>
      <c r="CG798" s="4" t="s">
        <v>241</v>
      </c>
      <c r="CK798" s="4" t="s">
        <v>265</v>
      </c>
      <c r="CL798" s="4" t="s">
        <v>266</v>
      </c>
      <c r="CM798" s="4" t="s">
        <v>241</v>
      </c>
      <c r="CO798" s="4" t="s">
        <v>956</v>
      </c>
      <c r="CP798" s="5" t="s">
        <v>268</v>
      </c>
      <c r="CQ798" s="4" t="s">
        <v>269</v>
      </c>
      <c r="CR798" s="4" t="s">
        <v>270</v>
      </c>
      <c r="CS798" s="4" t="s">
        <v>241</v>
      </c>
      <c r="CT798" s="4" t="s">
        <v>241</v>
      </c>
      <c r="CU798" s="4">
        <v>0</v>
      </c>
      <c r="CV798" s="4" t="s">
        <v>271</v>
      </c>
      <c r="CW798" s="4" t="s">
        <v>411</v>
      </c>
      <c r="CX798" s="4" t="s">
        <v>2130</v>
      </c>
      <c r="CZ798" s="6">
        <f>17473050</f>
        <v>17473050</v>
      </c>
      <c r="DA798" s="6">
        <f>0</f>
        <v>0</v>
      </c>
      <c r="DC798" s="4" t="s">
        <v>241</v>
      </c>
      <c r="DD798" s="4" t="s">
        <v>241</v>
      </c>
      <c r="DF798" s="4" t="s">
        <v>241</v>
      </c>
      <c r="DI798" s="4" t="s">
        <v>241</v>
      </c>
      <c r="DJ798" s="4" t="s">
        <v>241</v>
      </c>
      <c r="DK798" s="4" t="s">
        <v>241</v>
      </c>
      <c r="DL798" s="4" t="s">
        <v>241</v>
      </c>
      <c r="DM798" s="4" t="s">
        <v>323</v>
      </c>
      <c r="DN798" s="4" t="s">
        <v>278</v>
      </c>
      <c r="DO798" s="6">
        <f>166.41</f>
        <v>166.41</v>
      </c>
      <c r="DP798" s="4" t="s">
        <v>241</v>
      </c>
      <c r="DQ798" s="4" t="s">
        <v>241</v>
      </c>
      <c r="DR798" s="4" t="s">
        <v>241</v>
      </c>
      <c r="DS798" s="4" t="s">
        <v>241</v>
      </c>
      <c r="DV798" s="4" t="s">
        <v>2268</v>
      </c>
      <c r="DW798" s="4" t="s">
        <v>300</v>
      </c>
      <c r="HO798" s="4" t="s">
        <v>323</v>
      </c>
      <c r="HR798" s="4" t="s">
        <v>278</v>
      </c>
      <c r="HS798" s="4" t="s">
        <v>278</v>
      </c>
    </row>
    <row r="799" spans="1:240" x14ac:dyDescent="0.4">
      <c r="A799" s="4">
        <v>2</v>
      </c>
      <c r="B799" s="4" t="s">
        <v>239</v>
      </c>
      <c r="C799" s="4">
        <v>866</v>
      </c>
      <c r="D799" s="4">
        <v>1</v>
      </c>
      <c r="E799" s="4">
        <v>1</v>
      </c>
      <c r="F799" s="4" t="s">
        <v>240</v>
      </c>
      <c r="G799" s="4" t="s">
        <v>241</v>
      </c>
      <c r="H799" s="4" t="s">
        <v>241</v>
      </c>
      <c r="I799" s="4" t="s">
        <v>2266</v>
      </c>
      <c r="J799" s="4" t="s">
        <v>344</v>
      </c>
      <c r="K799" s="4" t="s">
        <v>256</v>
      </c>
      <c r="L799" s="4" t="s">
        <v>2101</v>
      </c>
      <c r="M799" s="5" t="s">
        <v>2267</v>
      </c>
      <c r="N799" s="4" t="s">
        <v>2192</v>
      </c>
      <c r="O799" s="6">
        <f>110.94</f>
        <v>110.94</v>
      </c>
      <c r="P799" s="4" t="s">
        <v>276</v>
      </c>
      <c r="Q799" s="6">
        <f>1</f>
        <v>1</v>
      </c>
      <c r="R799" s="6">
        <f>11648700</f>
        <v>11648700</v>
      </c>
      <c r="S799" s="5" t="s">
        <v>954</v>
      </c>
      <c r="T799" s="4" t="s">
        <v>333</v>
      </c>
      <c r="U799" s="4" t="s">
        <v>333</v>
      </c>
      <c r="W799" s="6">
        <f>11648699</f>
        <v>11648699</v>
      </c>
      <c r="X799" s="4" t="s">
        <v>243</v>
      </c>
      <c r="Y799" s="4" t="s">
        <v>244</v>
      </c>
      <c r="Z799" s="4" t="s">
        <v>338</v>
      </c>
      <c r="AA799" s="4" t="s">
        <v>241</v>
      </c>
      <c r="AD799" s="4" t="s">
        <v>241</v>
      </c>
      <c r="AF799" s="5" t="s">
        <v>241</v>
      </c>
      <c r="AI799" s="5" t="s">
        <v>249</v>
      </c>
      <c r="AJ799" s="4" t="s">
        <v>251</v>
      </c>
      <c r="AK799" s="4" t="s">
        <v>252</v>
      </c>
      <c r="BA799" s="4" t="s">
        <v>254</v>
      </c>
      <c r="BB799" s="4" t="s">
        <v>241</v>
      </c>
      <c r="BC799" s="4" t="s">
        <v>255</v>
      </c>
      <c r="BD799" s="4" t="s">
        <v>241</v>
      </c>
      <c r="BE799" s="4" t="s">
        <v>257</v>
      </c>
      <c r="BF799" s="4" t="s">
        <v>241</v>
      </c>
      <c r="BJ799" s="4" t="s">
        <v>367</v>
      </c>
      <c r="BK799" s="5" t="s">
        <v>249</v>
      </c>
      <c r="BL799" s="4" t="s">
        <v>261</v>
      </c>
      <c r="BM799" s="4" t="s">
        <v>290</v>
      </c>
      <c r="BN799" s="4" t="s">
        <v>241</v>
      </c>
      <c r="BO799" s="6">
        <f>0</f>
        <v>0</v>
      </c>
      <c r="BP799" s="6">
        <f>0</f>
        <v>0</v>
      </c>
      <c r="BQ799" s="4" t="s">
        <v>263</v>
      </c>
      <c r="BR799" s="4" t="s">
        <v>264</v>
      </c>
      <c r="CF799" s="4" t="s">
        <v>241</v>
      </c>
      <c r="CG799" s="4" t="s">
        <v>241</v>
      </c>
      <c r="CK799" s="4" t="s">
        <v>265</v>
      </c>
      <c r="CL799" s="4" t="s">
        <v>266</v>
      </c>
      <c r="CM799" s="4" t="s">
        <v>241</v>
      </c>
      <c r="CO799" s="4" t="s">
        <v>956</v>
      </c>
      <c r="CP799" s="5" t="s">
        <v>268</v>
      </c>
      <c r="CQ799" s="4" t="s">
        <v>269</v>
      </c>
      <c r="CR799" s="4" t="s">
        <v>270</v>
      </c>
      <c r="CS799" s="4" t="s">
        <v>241</v>
      </c>
      <c r="CT799" s="4" t="s">
        <v>241</v>
      </c>
      <c r="CU799" s="4">
        <v>0</v>
      </c>
      <c r="CV799" s="4" t="s">
        <v>271</v>
      </c>
      <c r="CW799" s="4" t="s">
        <v>411</v>
      </c>
      <c r="CX799" s="4" t="s">
        <v>2130</v>
      </c>
      <c r="CZ799" s="6">
        <f>11648700</f>
        <v>11648700</v>
      </c>
      <c r="DA799" s="6">
        <f>0</f>
        <v>0</v>
      </c>
      <c r="DC799" s="4" t="s">
        <v>241</v>
      </c>
      <c r="DD799" s="4" t="s">
        <v>241</v>
      </c>
      <c r="DF799" s="4" t="s">
        <v>241</v>
      </c>
      <c r="DI799" s="4" t="s">
        <v>241</v>
      </c>
      <c r="DJ799" s="4" t="s">
        <v>241</v>
      </c>
      <c r="DK799" s="4" t="s">
        <v>241</v>
      </c>
      <c r="DL799" s="4" t="s">
        <v>241</v>
      </c>
      <c r="DM799" s="4" t="s">
        <v>323</v>
      </c>
      <c r="DN799" s="4" t="s">
        <v>278</v>
      </c>
      <c r="DO799" s="6">
        <f>110.94</f>
        <v>110.94</v>
      </c>
      <c r="DP799" s="4" t="s">
        <v>241</v>
      </c>
      <c r="DQ799" s="4" t="s">
        <v>241</v>
      </c>
      <c r="DR799" s="4" t="s">
        <v>241</v>
      </c>
      <c r="DS799" s="4" t="s">
        <v>241</v>
      </c>
      <c r="DV799" s="4" t="s">
        <v>2268</v>
      </c>
      <c r="DW799" s="4" t="s">
        <v>341</v>
      </c>
      <c r="HO799" s="4" t="s">
        <v>323</v>
      </c>
      <c r="HR799" s="4" t="s">
        <v>278</v>
      </c>
      <c r="HS799" s="4" t="s">
        <v>278</v>
      </c>
    </row>
    <row r="800" spans="1:240" x14ac:dyDescent="0.4">
      <c r="A800" s="4">
        <v>2</v>
      </c>
      <c r="B800" s="4" t="s">
        <v>239</v>
      </c>
      <c r="C800" s="4">
        <v>867</v>
      </c>
      <c r="D800" s="4">
        <v>1</v>
      </c>
      <c r="E800" s="4">
        <v>1</v>
      </c>
      <c r="F800" s="4" t="s">
        <v>240</v>
      </c>
      <c r="G800" s="4" t="s">
        <v>241</v>
      </c>
      <c r="H800" s="4" t="s">
        <v>241</v>
      </c>
      <c r="I800" s="4" t="s">
        <v>2266</v>
      </c>
      <c r="J800" s="4" t="s">
        <v>344</v>
      </c>
      <c r="K800" s="4" t="s">
        <v>256</v>
      </c>
      <c r="L800" s="4" t="s">
        <v>2101</v>
      </c>
      <c r="M800" s="5" t="s">
        <v>2267</v>
      </c>
      <c r="N800" s="4" t="s">
        <v>2114</v>
      </c>
      <c r="O800" s="6">
        <f>69.86</f>
        <v>69.86</v>
      </c>
      <c r="P800" s="4" t="s">
        <v>276</v>
      </c>
      <c r="Q800" s="6">
        <f>1</f>
        <v>1</v>
      </c>
      <c r="R800" s="6">
        <f>6986000</f>
        <v>6986000</v>
      </c>
      <c r="S800" s="5" t="s">
        <v>366</v>
      </c>
      <c r="T800" s="4" t="s">
        <v>314</v>
      </c>
      <c r="U800" s="4" t="s">
        <v>333</v>
      </c>
      <c r="W800" s="6">
        <f>6985999</f>
        <v>6985999</v>
      </c>
      <c r="X800" s="4" t="s">
        <v>243</v>
      </c>
      <c r="Y800" s="4" t="s">
        <v>244</v>
      </c>
      <c r="Z800" s="4" t="s">
        <v>338</v>
      </c>
      <c r="AA800" s="4" t="s">
        <v>241</v>
      </c>
      <c r="AD800" s="4" t="s">
        <v>241</v>
      </c>
      <c r="AF800" s="5" t="s">
        <v>241</v>
      </c>
      <c r="AI800" s="5" t="s">
        <v>1209</v>
      </c>
      <c r="AJ800" s="4" t="s">
        <v>251</v>
      </c>
      <c r="AK800" s="4" t="s">
        <v>252</v>
      </c>
      <c r="BA800" s="4" t="s">
        <v>254</v>
      </c>
      <c r="BB800" s="4" t="s">
        <v>241</v>
      </c>
      <c r="BC800" s="4" t="s">
        <v>255</v>
      </c>
      <c r="BD800" s="4" t="s">
        <v>241</v>
      </c>
      <c r="BE800" s="4" t="s">
        <v>257</v>
      </c>
      <c r="BF800" s="4" t="s">
        <v>241</v>
      </c>
      <c r="BJ800" s="4" t="s">
        <v>259</v>
      </c>
      <c r="BK800" s="5" t="s">
        <v>1209</v>
      </c>
      <c r="BL800" s="4" t="s">
        <v>261</v>
      </c>
      <c r="BM800" s="4" t="s">
        <v>262</v>
      </c>
      <c r="BN800" s="4" t="s">
        <v>241</v>
      </c>
      <c r="BO800" s="6">
        <f>0</f>
        <v>0</v>
      </c>
      <c r="BP800" s="6">
        <f>0</f>
        <v>0</v>
      </c>
      <c r="BQ800" s="4" t="s">
        <v>263</v>
      </c>
      <c r="BR800" s="4" t="s">
        <v>264</v>
      </c>
      <c r="CF800" s="4" t="s">
        <v>241</v>
      </c>
      <c r="CG800" s="4" t="s">
        <v>241</v>
      </c>
      <c r="CK800" s="4" t="s">
        <v>265</v>
      </c>
      <c r="CL800" s="4" t="s">
        <v>266</v>
      </c>
      <c r="CM800" s="4" t="s">
        <v>241</v>
      </c>
      <c r="CO800" s="4" t="s">
        <v>368</v>
      </c>
      <c r="CP800" s="5" t="s">
        <v>268</v>
      </c>
      <c r="CQ800" s="4" t="s">
        <v>269</v>
      </c>
      <c r="CR800" s="4" t="s">
        <v>270</v>
      </c>
      <c r="CS800" s="4" t="s">
        <v>241</v>
      </c>
      <c r="CT800" s="4" t="s">
        <v>241</v>
      </c>
      <c r="CU800" s="4">
        <v>0</v>
      </c>
      <c r="CV800" s="4" t="s">
        <v>271</v>
      </c>
      <c r="CW800" s="4" t="s">
        <v>411</v>
      </c>
      <c r="CX800" s="4" t="s">
        <v>347</v>
      </c>
      <c r="CZ800" s="6">
        <f>6986000</f>
        <v>6986000</v>
      </c>
      <c r="DA800" s="6">
        <f>0</f>
        <v>0</v>
      </c>
      <c r="DC800" s="4" t="s">
        <v>241</v>
      </c>
      <c r="DD800" s="4" t="s">
        <v>241</v>
      </c>
      <c r="DF800" s="4" t="s">
        <v>241</v>
      </c>
      <c r="DI800" s="4" t="s">
        <v>241</v>
      </c>
      <c r="DJ800" s="4" t="s">
        <v>241</v>
      </c>
      <c r="DK800" s="4" t="s">
        <v>241</v>
      </c>
      <c r="DL800" s="4" t="s">
        <v>241</v>
      </c>
      <c r="DM800" s="4" t="s">
        <v>277</v>
      </c>
      <c r="DN800" s="4" t="s">
        <v>278</v>
      </c>
      <c r="DO800" s="6">
        <f>69.86</f>
        <v>69.86</v>
      </c>
      <c r="DP800" s="4" t="s">
        <v>241</v>
      </c>
      <c r="DQ800" s="4" t="s">
        <v>241</v>
      </c>
      <c r="DR800" s="4" t="s">
        <v>241</v>
      </c>
      <c r="DS800" s="4" t="s">
        <v>241</v>
      </c>
      <c r="DV800" s="4" t="s">
        <v>2268</v>
      </c>
      <c r="DW800" s="4" t="s">
        <v>343</v>
      </c>
      <c r="HO800" s="4" t="s">
        <v>277</v>
      </c>
      <c r="HR800" s="4" t="s">
        <v>278</v>
      </c>
      <c r="HS800" s="4" t="s">
        <v>278</v>
      </c>
    </row>
    <row r="801" spans="1:240" x14ac:dyDescent="0.4">
      <c r="A801" s="4">
        <v>2</v>
      </c>
      <c r="B801" s="4" t="s">
        <v>239</v>
      </c>
      <c r="C801" s="4">
        <v>868</v>
      </c>
      <c r="D801" s="4">
        <v>1</v>
      </c>
      <c r="E801" s="4">
        <v>1</v>
      </c>
      <c r="F801" s="4" t="s">
        <v>240</v>
      </c>
      <c r="G801" s="4" t="s">
        <v>241</v>
      </c>
      <c r="H801" s="4" t="s">
        <v>241</v>
      </c>
      <c r="I801" s="4" t="s">
        <v>2188</v>
      </c>
      <c r="J801" s="4" t="s">
        <v>344</v>
      </c>
      <c r="K801" s="4" t="s">
        <v>256</v>
      </c>
      <c r="L801" s="4" t="s">
        <v>2101</v>
      </c>
      <c r="M801" s="5" t="s">
        <v>2189</v>
      </c>
      <c r="N801" s="4" t="s">
        <v>2104</v>
      </c>
      <c r="O801" s="6">
        <f>142.02</f>
        <v>142.02000000000001</v>
      </c>
      <c r="P801" s="4" t="s">
        <v>276</v>
      </c>
      <c r="Q801" s="6">
        <f>1</f>
        <v>1</v>
      </c>
      <c r="R801" s="6">
        <f>22013100</f>
        <v>22013100</v>
      </c>
      <c r="S801" s="5" t="s">
        <v>868</v>
      </c>
      <c r="T801" s="4" t="s">
        <v>314</v>
      </c>
      <c r="U801" s="4" t="s">
        <v>404</v>
      </c>
      <c r="W801" s="6">
        <f>22013099</f>
        <v>22013099</v>
      </c>
      <c r="X801" s="4" t="s">
        <v>243</v>
      </c>
      <c r="Y801" s="4" t="s">
        <v>244</v>
      </c>
      <c r="Z801" s="4" t="s">
        <v>338</v>
      </c>
      <c r="AA801" s="4" t="s">
        <v>241</v>
      </c>
      <c r="AD801" s="4" t="s">
        <v>241</v>
      </c>
      <c r="AF801" s="5" t="s">
        <v>241</v>
      </c>
      <c r="AI801" s="5" t="s">
        <v>1209</v>
      </c>
      <c r="AJ801" s="4" t="s">
        <v>251</v>
      </c>
      <c r="AK801" s="4" t="s">
        <v>252</v>
      </c>
      <c r="BA801" s="4" t="s">
        <v>254</v>
      </c>
      <c r="BB801" s="4" t="s">
        <v>241</v>
      </c>
      <c r="BC801" s="4" t="s">
        <v>255</v>
      </c>
      <c r="BD801" s="4" t="s">
        <v>241</v>
      </c>
      <c r="BE801" s="4" t="s">
        <v>257</v>
      </c>
      <c r="BF801" s="4" t="s">
        <v>241</v>
      </c>
      <c r="BH801" s="4" t="s">
        <v>2107</v>
      </c>
      <c r="BJ801" s="4" t="s">
        <v>259</v>
      </c>
      <c r="BK801" s="5" t="s">
        <v>260</v>
      </c>
      <c r="BL801" s="4" t="s">
        <v>261</v>
      </c>
      <c r="BM801" s="4" t="s">
        <v>262</v>
      </c>
      <c r="BN801" s="4" t="s">
        <v>241</v>
      </c>
      <c r="BO801" s="6">
        <f>0</f>
        <v>0</v>
      </c>
      <c r="BP801" s="6">
        <f>0</f>
        <v>0</v>
      </c>
      <c r="BQ801" s="4" t="s">
        <v>263</v>
      </c>
      <c r="BR801" s="4" t="s">
        <v>264</v>
      </c>
      <c r="CF801" s="4" t="s">
        <v>241</v>
      </c>
      <c r="CG801" s="4" t="s">
        <v>241</v>
      </c>
      <c r="CK801" s="4" t="s">
        <v>291</v>
      </c>
      <c r="CL801" s="4" t="s">
        <v>266</v>
      </c>
      <c r="CM801" s="4" t="s">
        <v>241</v>
      </c>
      <c r="CO801" s="4" t="s">
        <v>468</v>
      </c>
      <c r="CP801" s="5" t="s">
        <v>268</v>
      </c>
      <c r="CQ801" s="4" t="s">
        <v>269</v>
      </c>
      <c r="CR801" s="4" t="s">
        <v>270</v>
      </c>
      <c r="CS801" s="4" t="s">
        <v>241</v>
      </c>
      <c r="CT801" s="4" t="s">
        <v>241</v>
      </c>
      <c r="CU801" s="4">
        <v>0</v>
      </c>
      <c r="CV801" s="4" t="s">
        <v>271</v>
      </c>
      <c r="CW801" s="4" t="s">
        <v>411</v>
      </c>
      <c r="CX801" s="4" t="s">
        <v>347</v>
      </c>
      <c r="CZ801" s="6">
        <f>22013100</f>
        <v>22013100</v>
      </c>
      <c r="DA801" s="6">
        <f>0</f>
        <v>0</v>
      </c>
      <c r="DC801" s="4" t="s">
        <v>241</v>
      </c>
      <c r="DD801" s="4" t="s">
        <v>241</v>
      </c>
      <c r="DF801" s="4" t="s">
        <v>241</v>
      </c>
      <c r="DI801" s="4" t="s">
        <v>241</v>
      </c>
      <c r="DJ801" s="4" t="s">
        <v>241</v>
      </c>
      <c r="DK801" s="4" t="s">
        <v>241</v>
      </c>
      <c r="DL801" s="4" t="s">
        <v>241</v>
      </c>
      <c r="DM801" s="4" t="s">
        <v>323</v>
      </c>
      <c r="DN801" s="4" t="s">
        <v>278</v>
      </c>
      <c r="DO801" s="6">
        <f>142.02</f>
        <v>142.02000000000001</v>
      </c>
      <c r="DP801" s="4" t="s">
        <v>241</v>
      </c>
      <c r="DQ801" s="4" t="s">
        <v>241</v>
      </c>
      <c r="DR801" s="4" t="s">
        <v>241</v>
      </c>
      <c r="DS801" s="4" t="s">
        <v>241</v>
      </c>
      <c r="DV801" s="4" t="s">
        <v>2190</v>
      </c>
      <c r="DW801" s="4" t="s">
        <v>277</v>
      </c>
      <c r="HO801" s="4" t="s">
        <v>277</v>
      </c>
      <c r="HR801" s="4" t="s">
        <v>278</v>
      </c>
      <c r="HS801" s="4" t="s">
        <v>278</v>
      </c>
    </row>
    <row r="802" spans="1:240" x14ac:dyDescent="0.4">
      <c r="A802" s="4">
        <v>2</v>
      </c>
      <c r="B802" s="4" t="s">
        <v>239</v>
      </c>
      <c r="C802" s="4">
        <v>869</v>
      </c>
      <c r="D802" s="4">
        <v>1</v>
      </c>
      <c r="E802" s="4">
        <v>1</v>
      </c>
      <c r="F802" s="4" t="s">
        <v>240</v>
      </c>
      <c r="G802" s="4" t="s">
        <v>241</v>
      </c>
      <c r="H802" s="4" t="s">
        <v>241</v>
      </c>
      <c r="I802" s="4" t="s">
        <v>2188</v>
      </c>
      <c r="J802" s="4" t="s">
        <v>344</v>
      </c>
      <c r="K802" s="4" t="s">
        <v>256</v>
      </c>
      <c r="L802" s="4" t="s">
        <v>2101</v>
      </c>
      <c r="M802" s="5" t="s">
        <v>2189</v>
      </c>
      <c r="N802" s="4" t="s">
        <v>2109</v>
      </c>
      <c r="O802" s="6">
        <f>142.02</f>
        <v>142.02000000000001</v>
      </c>
      <c r="P802" s="4" t="s">
        <v>276</v>
      </c>
      <c r="Q802" s="6">
        <f>1</f>
        <v>1</v>
      </c>
      <c r="R802" s="6">
        <f>22013100</f>
        <v>22013100</v>
      </c>
      <c r="S802" s="5" t="s">
        <v>868</v>
      </c>
      <c r="T802" s="4" t="s">
        <v>314</v>
      </c>
      <c r="U802" s="4" t="s">
        <v>404</v>
      </c>
      <c r="W802" s="6">
        <f>22013099</f>
        <v>22013099</v>
      </c>
      <c r="X802" s="4" t="s">
        <v>243</v>
      </c>
      <c r="Y802" s="4" t="s">
        <v>244</v>
      </c>
      <c r="Z802" s="4" t="s">
        <v>338</v>
      </c>
      <c r="AA802" s="4" t="s">
        <v>241</v>
      </c>
      <c r="AD802" s="4" t="s">
        <v>241</v>
      </c>
      <c r="AF802" s="5" t="s">
        <v>241</v>
      </c>
      <c r="AI802" s="5" t="s">
        <v>249</v>
      </c>
      <c r="AJ802" s="4" t="s">
        <v>251</v>
      </c>
      <c r="AK802" s="4" t="s">
        <v>252</v>
      </c>
      <c r="BA802" s="4" t="s">
        <v>254</v>
      </c>
      <c r="BB802" s="4" t="s">
        <v>241</v>
      </c>
      <c r="BC802" s="4" t="s">
        <v>255</v>
      </c>
      <c r="BD802" s="4" t="s">
        <v>241</v>
      </c>
      <c r="BE802" s="4" t="s">
        <v>257</v>
      </c>
      <c r="BF802" s="4" t="s">
        <v>241</v>
      </c>
      <c r="BJ802" s="4" t="s">
        <v>367</v>
      </c>
      <c r="BK802" s="5" t="s">
        <v>249</v>
      </c>
      <c r="BL802" s="4" t="s">
        <v>261</v>
      </c>
      <c r="BM802" s="4" t="s">
        <v>262</v>
      </c>
      <c r="BN802" s="4" t="s">
        <v>241</v>
      </c>
      <c r="BO802" s="6">
        <f>0</f>
        <v>0</v>
      </c>
      <c r="BP802" s="6">
        <f>0</f>
        <v>0</v>
      </c>
      <c r="BQ802" s="4" t="s">
        <v>263</v>
      </c>
      <c r="BR802" s="4" t="s">
        <v>264</v>
      </c>
      <c r="CF802" s="4" t="s">
        <v>241</v>
      </c>
      <c r="CG802" s="4" t="s">
        <v>241</v>
      </c>
      <c r="CK802" s="4" t="s">
        <v>291</v>
      </c>
      <c r="CL802" s="4" t="s">
        <v>266</v>
      </c>
      <c r="CM802" s="4" t="s">
        <v>241</v>
      </c>
      <c r="CO802" s="4" t="s">
        <v>468</v>
      </c>
      <c r="CP802" s="5" t="s">
        <v>268</v>
      </c>
      <c r="CQ802" s="4" t="s">
        <v>269</v>
      </c>
      <c r="CR802" s="4" t="s">
        <v>270</v>
      </c>
      <c r="CS802" s="4" t="s">
        <v>241</v>
      </c>
      <c r="CT802" s="4" t="s">
        <v>241</v>
      </c>
      <c r="CU802" s="4">
        <v>0</v>
      </c>
      <c r="CV802" s="4" t="s">
        <v>271</v>
      </c>
      <c r="CW802" s="4" t="s">
        <v>411</v>
      </c>
      <c r="CX802" s="4" t="s">
        <v>347</v>
      </c>
      <c r="CZ802" s="6">
        <f>22013100</f>
        <v>22013100</v>
      </c>
      <c r="DA802" s="6">
        <f>0</f>
        <v>0</v>
      </c>
      <c r="DC802" s="4" t="s">
        <v>241</v>
      </c>
      <c r="DD802" s="4" t="s">
        <v>241</v>
      </c>
      <c r="DF802" s="4" t="s">
        <v>241</v>
      </c>
      <c r="DI802" s="4" t="s">
        <v>241</v>
      </c>
      <c r="DJ802" s="4" t="s">
        <v>241</v>
      </c>
      <c r="DK802" s="4" t="s">
        <v>241</v>
      </c>
      <c r="DL802" s="4" t="s">
        <v>241</v>
      </c>
      <c r="DM802" s="4" t="s">
        <v>323</v>
      </c>
      <c r="DN802" s="4" t="s">
        <v>278</v>
      </c>
      <c r="DO802" s="6">
        <f>142.02</f>
        <v>142.02000000000001</v>
      </c>
      <c r="DP802" s="4" t="s">
        <v>241</v>
      </c>
      <c r="DQ802" s="4" t="s">
        <v>241</v>
      </c>
      <c r="DR802" s="4" t="s">
        <v>241</v>
      </c>
      <c r="DS802" s="4" t="s">
        <v>241</v>
      </c>
      <c r="DV802" s="4" t="s">
        <v>2190</v>
      </c>
      <c r="DW802" s="4" t="s">
        <v>323</v>
      </c>
      <c r="HO802" s="4" t="s">
        <v>277</v>
      </c>
      <c r="HR802" s="4" t="s">
        <v>278</v>
      </c>
      <c r="HS802" s="4" t="s">
        <v>278</v>
      </c>
    </row>
    <row r="803" spans="1:240" x14ac:dyDescent="0.4">
      <c r="A803" s="4">
        <v>2</v>
      </c>
      <c r="B803" s="4" t="s">
        <v>239</v>
      </c>
      <c r="C803" s="4">
        <v>870</v>
      </c>
      <c r="D803" s="4">
        <v>1</v>
      </c>
      <c r="E803" s="4">
        <v>1</v>
      </c>
      <c r="F803" s="4" t="s">
        <v>240</v>
      </c>
      <c r="G803" s="4" t="s">
        <v>241</v>
      </c>
      <c r="H803" s="4" t="s">
        <v>241</v>
      </c>
      <c r="I803" s="4" t="s">
        <v>2188</v>
      </c>
      <c r="J803" s="4" t="s">
        <v>344</v>
      </c>
      <c r="K803" s="4" t="s">
        <v>256</v>
      </c>
      <c r="L803" s="4" t="s">
        <v>2101</v>
      </c>
      <c r="M803" s="5" t="s">
        <v>2189</v>
      </c>
      <c r="N803" s="4" t="s">
        <v>2110</v>
      </c>
      <c r="O803" s="6">
        <f>142.02</f>
        <v>142.02000000000001</v>
      </c>
      <c r="P803" s="4" t="s">
        <v>276</v>
      </c>
      <c r="Q803" s="6">
        <f>1</f>
        <v>1</v>
      </c>
      <c r="R803" s="6">
        <f>22013100</f>
        <v>22013100</v>
      </c>
      <c r="S803" s="5" t="s">
        <v>868</v>
      </c>
      <c r="T803" s="4" t="s">
        <v>314</v>
      </c>
      <c r="U803" s="4" t="s">
        <v>404</v>
      </c>
      <c r="W803" s="6">
        <f>22013099</f>
        <v>22013099</v>
      </c>
      <c r="X803" s="4" t="s">
        <v>243</v>
      </c>
      <c r="Y803" s="4" t="s">
        <v>244</v>
      </c>
      <c r="Z803" s="4" t="s">
        <v>338</v>
      </c>
      <c r="AA803" s="4" t="s">
        <v>241</v>
      </c>
      <c r="AD803" s="4" t="s">
        <v>241</v>
      </c>
      <c r="AF803" s="5" t="s">
        <v>241</v>
      </c>
      <c r="AI803" s="5" t="s">
        <v>249</v>
      </c>
      <c r="AJ803" s="4" t="s">
        <v>251</v>
      </c>
      <c r="AK803" s="4" t="s">
        <v>252</v>
      </c>
      <c r="BA803" s="4" t="s">
        <v>254</v>
      </c>
      <c r="BB803" s="4" t="s">
        <v>241</v>
      </c>
      <c r="BC803" s="4" t="s">
        <v>255</v>
      </c>
      <c r="BD803" s="4" t="s">
        <v>241</v>
      </c>
      <c r="BE803" s="4" t="s">
        <v>257</v>
      </c>
      <c r="BF803" s="4" t="s">
        <v>241</v>
      </c>
      <c r="BJ803" s="4" t="s">
        <v>367</v>
      </c>
      <c r="BK803" s="5" t="s">
        <v>249</v>
      </c>
      <c r="BL803" s="4" t="s">
        <v>261</v>
      </c>
      <c r="BM803" s="4" t="s">
        <v>262</v>
      </c>
      <c r="BN803" s="4" t="s">
        <v>241</v>
      </c>
      <c r="BO803" s="6">
        <f>0</f>
        <v>0</v>
      </c>
      <c r="BP803" s="6">
        <f>0</f>
        <v>0</v>
      </c>
      <c r="BQ803" s="4" t="s">
        <v>263</v>
      </c>
      <c r="BR803" s="4" t="s">
        <v>264</v>
      </c>
      <c r="CF803" s="4" t="s">
        <v>241</v>
      </c>
      <c r="CG803" s="4" t="s">
        <v>241</v>
      </c>
      <c r="CK803" s="4" t="s">
        <v>291</v>
      </c>
      <c r="CL803" s="4" t="s">
        <v>266</v>
      </c>
      <c r="CM803" s="4" t="s">
        <v>241</v>
      </c>
      <c r="CO803" s="4" t="s">
        <v>468</v>
      </c>
      <c r="CP803" s="5" t="s">
        <v>268</v>
      </c>
      <c r="CQ803" s="4" t="s">
        <v>269</v>
      </c>
      <c r="CR803" s="4" t="s">
        <v>270</v>
      </c>
      <c r="CS803" s="4" t="s">
        <v>241</v>
      </c>
      <c r="CT803" s="4" t="s">
        <v>241</v>
      </c>
      <c r="CU803" s="4">
        <v>0</v>
      </c>
      <c r="CV803" s="4" t="s">
        <v>271</v>
      </c>
      <c r="CW803" s="4" t="s">
        <v>411</v>
      </c>
      <c r="CX803" s="4" t="s">
        <v>347</v>
      </c>
      <c r="CZ803" s="6">
        <f>22013100</f>
        <v>22013100</v>
      </c>
      <c r="DA803" s="6">
        <f>0</f>
        <v>0</v>
      </c>
      <c r="DC803" s="4" t="s">
        <v>241</v>
      </c>
      <c r="DD803" s="4" t="s">
        <v>241</v>
      </c>
      <c r="DF803" s="4" t="s">
        <v>241</v>
      </c>
      <c r="DI803" s="4" t="s">
        <v>241</v>
      </c>
      <c r="DJ803" s="4" t="s">
        <v>241</v>
      </c>
      <c r="DK803" s="4" t="s">
        <v>241</v>
      </c>
      <c r="DL803" s="4" t="s">
        <v>241</v>
      </c>
      <c r="DM803" s="4" t="s">
        <v>323</v>
      </c>
      <c r="DN803" s="4" t="s">
        <v>278</v>
      </c>
      <c r="DO803" s="6">
        <f>142.02</f>
        <v>142.02000000000001</v>
      </c>
      <c r="DP803" s="4" t="s">
        <v>241</v>
      </c>
      <c r="DQ803" s="4" t="s">
        <v>241</v>
      </c>
      <c r="DR803" s="4" t="s">
        <v>241</v>
      </c>
      <c r="DS803" s="4" t="s">
        <v>241</v>
      </c>
      <c r="DV803" s="4" t="s">
        <v>2190</v>
      </c>
      <c r="DW803" s="4" t="s">
        <v>297</v>
      </c>
      <c r="HO803" s="4" t="s">
        <v>277</v>
      </c>
      <c r="HR803" s="4" t="s">
        <v>278</v>
      </c>
      <c r="HS803" s="4" t="s">
        <v>278</v>
      </c>
    </row>
    <row r="804" spans="1:240" x14ac:dyDescent="0.4">
      <c r="A804" s="4">
        <v>2</v>
      </c>
      <c r="B804" s="4" t="s">
        <v>239</v>
      </c>
      <c r="C804" s="4">
        <v>871</v>
      </c>
      <c r="D804" s="4">
        <v>1</v>
      </c>
      <c r="E804" s="4">
        <v>1</v>
      </c>
      <c r="F804" s="4" t="s">
        <v>240</v>
      </c>
      <c r="G804" s="4" t="s">
        <v>241</v>
      </c>
      <c r="H804" s="4" t="s">
        <v>241</v>
      </c>
      <c r="I804" s="4" t="s">
        <v>2188</v>
      </c>
      <c r="J804" s="4" t="s">
        <v>344</v>
      </c>
      <c r="K804" s="4" t="s">
        <v>256</v>
      </c>
      <c r="L804" s="4" t="s">
        <v>2101</v>
      </c>
      <c r="M804" s="5" t="s">
        <v>2189</v>
      </c>
      <c r="N804" s="4" t="s">
        <v>2122</v>
      </c>
      <c r="O804" s="6">
        <f>142.02</f>
        <v>142.02000000000001</v>
      </c>
      <c r="P804" s="4" t="s">
        <v>276</v>
      </c>
      <c r="Q804" s="6">
        <f>1</f>
        <v>1</v>
      </c>
      <c r="R804" s="6">
        <f>22013100</f>
        <v>22013100</v>
      </c>
      <c r="S804" s="5" t="s">
        <v>868</v>
      </c>
      <c r="T804" s="4" t="s">
        <v>314</v>
      </c>
      <c r="U804" s="4" t="s">
        <v>404</v>
      </c>
      <c r="W804" s="6">
        <f>22013099</f>
        <v>22013099</v>
      </c>
      <c r="X804" s="4" t="s">
        <v>243</v>
      </c>
      <c r="Y804" s="4" t="s">
        <v>244</v>
      </c>
      <c r="Z804" s="4" t="s">
        <v>338</v>
      </c>
      <c r="AA804" s="4" t="s">
        <v>241</v>
      </c>
      <c r="AD804" s="4" t="s">
        <v>241</v>
      </c>
      <c r="AF804" s="5" t="s">
        <v>241</v>
      </c>
      <c r="AI804" s="5" t="s">
        <v>249</v>
      </c>
      <c r="AJ804" s="4" t="s">
        <v>251</v>
      </c>
      <c r="AK804" s="4" t="s">
        <v>252</v>
      </c>
      <c r="BA804" s="4" t="s">
        <v>254</v>
      </c>
      <c r="BB804" s="4" t="s">
        <v>241</v>
      </c>
      <c r="BC804" s="4" t="s">
        <v>255</v>
      </c>
      <c r="BD804" s="4" t="s">
        <v>241</v>
      </c>
      <c r="BE804" s="4" t="s">
        <v>257</v>
      </c>
      <c r="BF804" s="4" t="s">
        <v>241</v>
      </c>
      <c r="BJ804" s="4" t="s">
        <v>374</v>
      </c>
      <c r="BK804" s="5" t="s">
        <v>375</v>
      </c>
      <c r="BL804" s="4" t="s">
        <v>261</v>
      </c>
      <c r="BM804" s="4" t="s">
        <v>262</v>
      </c>
      <c r="BN804" s="4" t="s">
        <v>241</v>
      </c>
      <c r="BO804" s="6">
        <f>0</f>
        <v>0</v>
      </c>
      <c r="BP804" s="6">
        <f>0</f>
        <v>0</v>
      </c>
      <c r="BQ804" s="4" t="s">
        <v>263</v>
      </c>
      <c r="BR804" s="4" t="s">
        <v>264</v>
      </c>
      <c r="CF804" s="4" t="s">
        <v>241</v>
      </c>
      <c r="CG804" s="4" t="s">
        <v>241</v>
      </c>
      <c r="CK804" s="4" t="s">
        <v>291</v>
      </c>
      <c r="CL804" s="4" t="s">
        <v>266</v>
      </c>
      <c r="CM804" s="4" t="s">
        <v>241</v>
      </c>
      <c r="CO804" s="4" t="s">
        <v>468</v>
      </c>
      <c r="CP804" s="5" t="s">
        <v>268</v>
      </c>
      <c r="CQ804" s="4" t="s">
        <v>269</v>
      </c>
      <c r="CR804" s="4" t="s">
        <v>270</v>
      </c>
      <c r="CS804" s="4" t="s">
        <v>241</v>
      </c>
      <c r="CT804" s="4" t="s">
        <v>241</v>
      </c>
      <c r="CU804" s="4">
        <v>0</v>
      </c>
      <c r="CV804" s="4" t="s">
        <v>271</v>
      </c>
      <c r="CW804" s="4" t="s">
        <v>411</v>
      </c>
      <c r="CX804" s="4" t="s">
        <v>347</v>
      </c>
      <c r="CZ804" s="6">
        <f>22013100</f>
        <v>22013100</v>
      </c>
      <c r="DA804" s="6">
        <f>0</f>
        <v>0</v>
      </c>
      <c r="DC804" s="4" t="s">
        <v>241</v>
      </c>
      <c r="DD804" s="4" t="s">
        <v>241</v>
      </c>
      <c r="DF804" s="4" t="s">
        <v>241</v>
      </c>
      <c r="DI804" s="4" t="s">
        <v>241</v>
      </c>
      <c r="DJ804" s="4" t="s">
        <v>241</v>
      </c>
      <c r="DK804" s="4" t="s">
        <v>241</v>
      </c>
      <c r="DL804" s="4" t="s">
        <v>241</v>
      </c>
      <c r="DM804" s="4" t="s">
        <v>323</v>
      </c>
      <c r="DN804" s="4" t="s">
        <v>278</v>
      </c>
      <c r="DO804" s="6">
        <f>142.02</f>
        <v>142.02000000000001</v>
      </c>
      <c r="DP804" s="4" t="s">
        <v>241</v>
      </c>
      <c r="DQ804" s="4" t="s">
        <v>241</v>
      </c>
      <c r="DR804" s="4" t="s">
        <v>241</v>
      </c>
      <c r="DS804" s="4" t="s">
        <v>241</v>
      </c>
      <c r="DV804" s="4" t="s">
        <v>2190</v>
      </c>
      <c r="DW804" s="4" t="s">
        <v>336</v>
      </c>
      <c r="HO804" s="4" t="s">
        <v>277</v>
      </c>
      <c r="HR804" s="4" t="s">
        <v>278</v>
      </c>
      <c r="HS804" s="4" t="s">
        <v>278</v>
      </c>
    </row>
    <row r="805" spans="1:240" x14ac:dyDescent="0.4">
      <c r="A805" s="4">
        <v>2</v>
      </c>
      <c r="B805" s="4" t="s">
        <v>239</v>
      </c>
      <c r="C805" s="4">
        <v>872</v>
      </c>
      <c r="D805" s="4">
        <v>1</v>
      </c>
      <c r="E805" s="4">
        <v>1</v>
      </c>
      <c r="F805" s="4" t="s">
        <v>240</v>
      </c>
      <c r="G805" s="4" t="s">
        <v>241</v>
      </c>
      <c r="H805" s="4" t="s">
        <v>241</v>
      </c>
      <c r="I805" s="4" t="s">
        <v>2188</v>
      </c>
      <c r="J805" s="4" t="s">
        <v>344</v>
      </c>
      <c r="K805" s="4" t="s">
        <v>256</v>
      </c>
      <c r="L805" s="4" t="s">
        <v>2101</v>
      </c>
      <c r="M805" s="5" t="s">
        <v>2189</v>
      </c>
      <c r="N805" s="4" t="s">
        <v>2098</v>
      </c>
      <c r="O805" s="6">
        <f t="shared" ref="O805:O812" si="55">133.66</f>
        <v>133.66</v>
      </c>
      <c r="P805" s="4" t="s">
        <v>276</v>
      </c>
      <c r="Q805" s="6">
        <f>1</f>
        <v>1</v>
      </c>
      <c r="R805" s="6">
        <f t="shared" ref="R805:R812" si="56">20717300</f>
        <v>20717300</v>
      </c>
      <c r="S805" s="5" t="s">
        <v>868</v>
      </c>
      <c r="T805" s="4" t="s">
        <v>314</v>
      </c>
      <c r="U805" s="4" t="s">
        <v>404</v>
      </c>
      <c r="W805" s="6">
        <f t="shared" ref="W805:W812" si="57">20717299</f>
        <v>20717299</v>
      </c>
      <c r="X805" s="4" t="s">
        <v>243</v>
      </c>
      <c r="Y805" s="4" t="s">
        <v>244</v>
      </c>
      <c r="Z805" s="4" t="s">
        <v>338</v>
      </c>
      <c r="AA805" s="4" t="s">
        <v>241</v>
      </c>
      <c r="AD805" s="4" t="s">
        <v>241</v>
      </c>
      <c r="AF805" s="5" t="s">
        <v>241</v>
      </c>
      <c r="AI805" s="5" t="s">
        <v>249</v>
      </c>
      <c r="AJ805" s="4" t="s">
        <v>251</v>
      </c>
      <c r="AK805" s="4" t="s">
        <v>252</v>
      </c>
      <c r="BA805" s="4" t="s">
        <v>254</v>
      </c>
      <c r="BB805" s="4" t="s">
        <v>241</v>
      </c>
      <c r="BC805" s="4" t="s">
        <v>255</v>
      </c>
      <c r="BD805" s="4" t="s">
        <v>241</v>
      </c>
      <c r="BE805" s="4" t="s">
        <v>257</v>
      </c>
      <c r="BF805" s="4" t="s">
        <v>241</v>
      </c>
      <c r="BJ805" s="4" t="s">
        <v>377</v>
      </c>
      <c r="BK805" s="5" t="s">
        <v>378</v>
      </c>
      <c r="BL805" s="4" t="s">
        <v>261</v>
      </c>
      <c r="BM805" s="4" t="s">
        <v>262</v>
      </c>
      <c r="BN805" s="4" t="s">
        <v>241</v>
      </c>
      <c r="BO805" s="6">
        <f>0</f>
        <v>0</v>
      </c>
      <c r="BP805" s="6">
        <f>0</f>
        <v>0</v>
      </c>
      <c r="BQ805" s="4" t="s">
        <v>263</v>
      </c>
      <c r="BR805" s="4" t="s">
        <v>264</v>
      </c>
      <c r="CF805" s="4" t="s">
        <v>241</v>
      </c>
      <c r="CG805" s="4" t="s">
        <v>241</v>
      </c>
      <c r="CK805" s="4" t="s">
        <v>291</v>
      </c>
      <c r="CL805" s="4" t="s">
        <v>266</v>
      </c>
      <c r="CM805" s="4" t="s">
        <v>241</v>
      </c>
      <c r="CO805" s="4" t="s">
        <v>468</v>
      </c>
      <c r="CP805" s="5" t="s">
        <v>268</v>
      </c>
      <c r="CQ805" s="4" t="s">
        <v>269</v>
      </c>
      <c r="CR805" s="4" t="s">
        <v>270</v>
      </c>
      <c r="CS805" s="4" t="s">
        <v>241</v>
      </c>
      <c r="CT805" s="4" t="s">
        <v>241</v>
      </c>
      <c r="CU805" s="4">
        <v>0</v>
      </c>
      <c r="CV805" s="4" t="s">
        <v>271</v>
      </c>
      <c r="CW805" s="4" t="s">
        <v>411</v>
      </c>
      <c r="CX805" s="4" t="s">
        <v>347</v>
      </c>
      <c r="CZ805" s="6">
        <f t="shared" ref="CZ805:CZ812" si="58">20717300</f>
        <v>20717300</v>
      </c>
      <c r="DA805" s="6">
        <f>0</f>
        <v>0</v>
      </c>
      <c r="DC805" s="4" t="s">
        <v>241</v>
      </c>
      <c r="DD805" s="4" t="s">
        <v>241</v>
      </c>
      <c r="DF805" s="4" t="s">
        <v>241</v>
      </c>
      <c r="DI805" s="4" t="s">
        <v>241</v>
      </c>
      <c r="DJ805" s="4" t="s">
        <v>241</v>
      </c>
      <c r="DK805" s="4" t="s">
        <v>241</v>
      </c>
      <c r="DL805" s="4" t="s">
        <v>241</v>
      </c>
      <c r="DM805" s="4" t="s">
        <v>323</v>
      </c>
      <c r="DN805" s="4" t="s">
        <v>278</v>
      </c>
      <c r="DO805" s="6">
        <f t="shared" ref="DO805:DO812" si="59">133.66</f>
        <v>133.66</v>
      </c>
      <c r="DP805" s="4" t="s">
        <v>241</v>
      </c>
      <c r="DQ805" s="4" t="s">
        <v>241</v>
      </c>
      <c r="DR805" s="4" t="s">
        <v>241</v>
      </c>
      <c r="DS805" s="4" t="s">
        <v>241</v>
      </c>
      <c r="DV805" s="4" t="s">
        <v>2190</v>
      </c>
      <c r="DW805" s="4" t="s">
        <v>351</v>
      </c>
      <c r="HO805" s="4" t="s">
        <v>277</v>
      </c>
      <c r="HR805" s="4" t="s">
        <v>278</v>
      </c>
      <c r="HS805" s="4" t="s">
        <v>278</v>
      </c>
    </row>
    <row r="806" spans="1:240" x14ac:dyDescent="0.4">
      <c r="A806" s="4">
        <v>2</v>
      </c>
      <c r="B806" s="4" t="s">
        <v>239</v>
      </c>
      <c r="C806" s="4">
        <v>873</v>
      </c>
      <c r="D806" s="4">
        <v>1</v>
      </c>
      <c r="E806" s="4">
        <v>1</v>
      </c>
      <c r="F806" s="4" t="s">
        <v>240</v>
      </c>
      <c r="G806" s="4" t="s">
        <v>241</v>
      </c>
      <c r="H806" s="4" t="s">
        <v>241</v>
      </c>
      <c r="I806" s="4" t="s">
        <v>2188</v>
      </c>
      <c r="J806" s="4" t="s">
        <v>344</v>
      </c>
      <c r="K806" s="4" t="s">
        <v>256</v>
      </c>
      <c r="L806" s="4" t="s">
        <v>2101</v>
      </c>
      <c r="M806" s="5" t="s">
        <v>2189</v>
      </c>
      <c r="N806" s="4" t="s">
        <v>2191</v>
      </c>
      <c r="O806" s="6">
        <f t="shared" si="55"/>
        <v>133.66</v>
      </c>
      <c r="P806" s="4" t="s">
        <v>276</v>
      </c>
      <c r="Q806" s="6">
        <f>1</f>
        <v>1</v>
      </c>
      <c r="R806" s="6">
        <f t="shared" si="56"/>
        <v>20717300</v>
      </c>
      <c r="S806" s="5" t="s">
        <v>868</v>
      </c>
      <c r="T806" s="4" t="s">
        <v>314</v>
      </c>
      <c r="U806" s="4" t="s">
        <v>404</v>
      </c>
      <c r="W806" s="6">
        <f t="shared" si="57"/>
        <v>20717299</v>
      </c>
      <c r="X806" s="4" t="s">
        <v>243</v>
      </c>
      <c r="Y806" s="4" t="s">
        <v>244</v>
      </c>
      <c r="Z806" s="4" t="s">
        <v>338</v>
      </c>
      <c r="AA806" s="4" t="s">
        <v>241</v>
      </c>
      <c r="AD806" s="4" t="s">
        <v>241</v>
      </c>
      <c r="AF806" s="5" t="s">
        <v>241</v>
      </c>
      <c r="AI806" s="5" t="s">
        <v>249</v>
      </c>
      <c r="AJ806" s="4" t="s">
        <v>251</v>
      </c>
      <c r="AK806" s="4" t="s">
        <v>252</v>
      </c>
      <c r="BA806" s="4" t="s">
        <v>254</v>
      </c>
      <c r="BB806" s="4" t="s">
        <v>241</v>
      </c>
      <c r="BC806" s="4" t="s">
        <v>255</v>
      </c>
      <c r="BD806" s="4" t="s">
        <v>241</v>
      </c>
      <c r="BE806" s="4" t="s">
        <v>257</v>
      </c>
      <c r="BF806" s="4" t="s">
        <v>241</v>
      </c>
      <c r="BJ806" s="4" t="s">
        <v>259</v>
      </c>
      <c r="BK806" s="5" t="s">
        <v>260</v>
      </c>
      <c r="BL806" s="4" t="s">
        <v>261</v>
      </c>
      <c r="BM806" s="4" t="s">
        <v>262</v>
      </c>
      <c r="BN806" s="4" t="s">
        <v>241</v>
      </c>
      <c r="BO806" s="6">
        <f>0</f>
        <v>0</v>
      </c>
      <c r="BP806" s="6">
        <f>0</f>
        <v>0</v>
      </c>
      <c r="BQ806" s="4" t="s">
        <v>263</v>
      </c>
      <c r="BR806" s="4" t="s">
        <v>264</v>
      </c>
      <c r="CF806" s="4" t="s">
        <v>241</v>
      </c>
      <c r="CG806" s="4" t="s">
        <v>241</v>
      </c>
      <c r="CK806" s="4" t="s">
        <v>291</v>
      </c>
      <c r="CL806" s="4" t="s">
        <v>266</v>
      </c>
      <c r="CM806" s="4" t="s">
        <v>241</v>
      </c>
      <c r="CO806" s="4" t="s">
        <v>468</v>
      </c>
      <c r="CP806" s="5" t="s">
        <v>268</v>
      </c>
      <c r="CQ806" s="4" t="s">
        <v>269</v>
      </c>
      <c r="CR806" s="4" t="s">
        <v>270</v>
      </c>
      <c r="CS806" s="4" t="s">
        <v>241</v>
      </c>
      <c r="CT806" s="4" t="s">
        <v>241</v>
      </c>
      <c r="CU806" s="4">
        <v>0</v>
      </c>
      <c r="CV806" s="4" t="s">
        <v>271</v>
      </c>
      <c r="CW806" s="4" t="s">
        <v>411</v>
      </c>
      <c r="CX806" s="4" t="s">
        <v>347</v>
      </c>
      <c r="CZ806" s="6">
        <f t="shared" si="58"/>
        <v>20717300</v>
      </c>
      <c r="DA806" s="6">
        <f>0</f>
        <v>0</v>
      </c>
      <c r="DC806" s="4" t="s">
        <v>241</v>
      </c>
      <c r="DD806" s="4" t="s">
        <v>241</v>
      </c>
      <c r="DF806" s="4" t="s">
        <v>241</v>
      </c>
      <c r="DI806" s="4" t="s">
        <v>241</v>
      </c>
      <c r="DJ806" s="4" t="s">
        <v>241</v>
      </c>
      <c r="DK806" s="4" t="s">
        <v>241</v>
      </c>
      <c r="DL806" s="4" t="s">
        <v>241</v>
      </c>
      <c r="DM806" s="4" t="s">
        <v>323</v>
      </c>
      <c r="DN806" s="4" t="s">
        <v>278</v>
      </c>
      <c r="DO806" s="6">
        <f t="shared" si="59"/>
        <v>133.66</v>
      </c>
      <c r="DP806" s="4" t="s">
        <v>241</v>
      </c>
      <c r="DQ806" s="4" t="s">
        <v>241</v>
      </c>
      <c r="DR806" s="4" t="s">
        <v>241</v>
      </c>
      <c r="DS806" s="4" t="s">
        <v>241</v>
      </c>
      <c r="DV806" s="4" t="s">
        <v>2190</v>
      </c>
      <c r="DW806" s="4" t="s">
        <v>300</v>
      </c>
      <c r="HO806" s="4" t="s">
        <v>277</v>
      </c>
      <c r="HR806" s="4" t="s">
        <v>278</v>
      </c>
      <c r="HS806" s="4" t="s">
        <v>278</v>
      </c>
    </row>
    <row r="807" spans="1:240" x14ac:dyDescent="0.4">
      <c r="A807" s="4">
        <v>2</v>
      </c>
      <c r="B807" s="4" t="s">
        <v>239</v>
      </c>
      <c r="C807" s="4">
        <v>874</v>
      </c>
      <c r="D807" s="4">
        <v>1</v>
      </c>
      <c r="E807" s="4">
        <v>1</v>
      </c>
      <c r="F807" s="4" t="s">
        <v>240</v>
      </c>
      <c r="G807" s="4" t="s">
        <v>241</v>
      </c>
      <c r="H807" s="4" t="s">
        <v>241</v>
      </c>
      <c r="I807" s="4" t="s">
        <v>2188</v>
      </c>
      <c r="J807" s="4" t="s">
        <v>344</v>
      </c>
      <c r="K807" s="4" t="s">
        <v>256</v>
      </c>
      <c r="L807" s="4" t="s">
        <v>2101</v>
      </c>
      <c r="M807" s="5" t="s">
        <v>2189</v>
      </c>
      <c r="N807" s="4" t="s">
        <v>2192</v>
      </c>
      <c r="O807" s="6">
        <f t="shared" si="55"/>
        <v>133.66</v>
      </c>
      <c r="P807" s="4" t="s">
        <v>276</v>
      </c>
      <c r="Q807" s="6">
        <f>1</f>
        <v>1</v>
      </c>
      <c r="R807" s="6">
        <f t="shared" si="56"/>
        <v>20717300</v>
      </c>
      <c r="S807" s="5" t="s">
        <v>868</v>
      </c>
      <c r="T807" s="4" t="s">
        <v>314</v>
      </c>
      <c r="U807" s="4" t="s">
        <v>404</v>
      </c>
      <c r="W807" s="6">
        <f t="shared" si="57"/>
        <v>20717299</v>
      </c>
      <c r="X807" s="4" t="s">
        <v>243</v>
      </c>
      <c r="Y807" s="4" t="s">
        <v>244</v>
      </c>
      <c r="Z807" s="4" t="s">
        <v>338</v>
      </c>
      <c r="AA807" s="4" t="s">
        <v>241</v>
      </c>
      <c r="AD807" s="4" t="s">
        <v>241</v>
      </c>
      <c r="AF807" s="5" t="s">
        <v>241</v>
      </c>
      <c r="AI807" s="5" t="s">
        <v>249</v>
      </c>
      <c r="AJ807" s="4" t="s">
        <v>251</v>
      </c>
      <c r="AK807" s="4" t="s">
        <v>252</v>
      </c>
      <c r="BA807" s="4" t="s">
        <v>254</v>
      </c>
      <c r="BB807" s="4" t="s">
        <v>241</v>
      </c>
      <c r="BC807" s="4" t="s">
        <v>255</v>
      </c>
      <c r="BD807" s="4" t="s">
        <v>241</v>
      </c>
      <c r="BE807" s="4" t="s">
        <v>257</v>
      </c>
      <c r="BF807" s="4" t="s">
        <v>241</v>
      </c>
      <c r="BJ807" s="4" t="s">
        <v>367</v>
      </c>
      <c r="BK807" s="5" t="s">
        <v>249</v>
      </c>
      <c r="BL807" s="4" t="s">
        <v>261</v>
      </c>
      <c r="BM807" s="4" t="s">
        <v>262</v>
      </c>
      <c r="BN807" s="4" t="s">
        <v>241</v>
      </c>
      <c r="BO807" s="6">
        <f>0</f>
        <v>0</v>
      </c>
      <c r="BP807" s="6">
        <f>0</f>
        <v>0</v>
      </c>
      <c r="BQ807" s="4" t="s">
        <v>263</v>
      </c>
      <c r="BR807" s="4" t="s">
        <v>264</v>
      </c>
      <c r="CF807" s="4" t="s">
        <v>241</v>
      </c>
      <c r="CG807" s="4" t="s">
        <v>241</v>
      </c>
      <c r="CK807" s="4" t="s">
        <v>291</v>
      </c>
      <c r="CL807" s="4" t="s">
        <v>266</v>
      </c>
      <c r="CM807" s="4" t="s">
        <v>241</v>
      </c>
      <c r="CO807" s="4" t="s">
        <v>468</v>
      </c>
      <c r="CP807" s="5" t="s">
        <v>268</v>
      </c>
      <c r="CQ807" s="4" t="s">
        <v>269</v>
      </c>
      <c r="CR807" s="4" t="s">
        <v>270</v>
      </c>
      <c r="CS807" s="4" t="s">
        <v>241</v>
      </c>
      <c r="CT807" s="4" t="s">
        <v>241</v>
      </c>
      <c r="CU807" s="4">
        <v>0</v>
      </c>
      <c r="CV807" s="4" t="s">
        <v>271</v>
      </c>
      <c r="CW807" s="4" t="s">
        <v>411</v>
      </c>
      <c r="CX807" s="4" t="s">
        <v>347</v>
      </c>
      <c r="CZ807" s="6">
        <f t="shared" si="58"/>
        <v>20717300</v>
      </c>
      <c r="DA807" s="6">
        <f>0</f>
        <v>0</v>
      </c>
      <c r="DC807" s="4" t="s">
        <v>241</v>
      </c>
      <c r="DD807" s="4" t="s">
        <v>241</v>
      </c>
      <c r="DF807" s="4" t="s">
        <v>241</v>
      </c>
      <c r="DI807" s="4" t="s">
        <v>241</v>
      </c>
      <c r="DJ807" s="4" t="s">
        <v>241</v>
      </c>
      <c r="DK807" s="4" t="s">
        <v>241</v>
      </c>
      <c r="DL807" s="4" t="s">
        <v>241</v>
      </c>
      <c r="DM807" s="4" t="s">
        <v>323</v>
      </c>
      <c r="DN807" s="4" t="s">
        <v>278</v>
      </c>
      <c r="DO807" s="6">
        <f t="shared" si="59"/>
        <v>133.66</v>
      </c>
      <c r="DP807" s="4" t="s">
        <v>241</v>
      </c>
      <c r="DQ807" s="4" t="s">
        <v>241</v>
      </c>
      <c r="DR807" s="4" t="s">
        <v>241</v>
      </c>
      <c r="DS807" s="4" t="s">
        <v>241</v>
      </c>
      <c r="DV807" s="4" t="s">
        <v>2190</v>
      </c>
      <c r="DW807" s="4" t="s">
        <v>341</v>
      </c>
      <c r="HO807" s="4" t="s">
        <v>277</v>
      </c>
      <c r="HR807" s="4" t="s">
        <v>278</v>
      </c>
      <c r="HS807" s="4" t="s">
        <v>278</v>
      </c>
    </row>
    <row r="808" spans="1:240" x14ac:dyDescent="0.4">
      <c r="A808" s="4">
        <v>2</v>
      </c>
      <c r="B808" s="4" t="s">
        <v>239</v>
      </c>
      <c r="C808" s="4">
        <v>875</v>
      </c>
      <c r="D808" s="4">
        <v>1</v>
      </c>
      <c r="E808" s="4">
        <v>1</v>
      </c>
      <c r="F808" s="4" t="s">
        <v>240</v>
      </c>
      <c r="G808" s="4" t="s">
        <v>241</v>
      </c>
      <c r="H808" s="4" t="s">
        <v>241</v>
      </c>
      <c r="I808" s="4" t="s">
        <v>2188</v>
      </c>
      <c r="J808" s="4" t="s">
        <v>344</v>
      </c>
      <c r="K808" s="4" t="s">
        <v>256</v>
      </c>
      <c r="L808" s="4" t="s">
        <v>2101</v>
      </c>
      <c r="M808" s="5" t="s">
        <v>2189</v>
      </c>
      <c r="N808" s="4" t="s">
        <v>2173</v>
      </c>
      <c r="O808" s="6">
        <f t="shared" si="55"/>
        <v>133.66</v>
      </c>
      <c r="P808" s="4" t="s">
        <v>276</v>
      </c>
      <c r="Q808" s="6">
        <f>1</f>
        <v>1</v>
      </c>
      <c r="R808" s="6">
        <f t="shared" si="56"/>
        <v>20717300</v>
      </c>
      <c r="S808" s="5" t="s">
        <v>868</v>
      </c>
      <c r="T808" s="4" t="s">
        <v>314</v>
      </c>
      <c r="U808" s="4" t="s">
        <v>404</v>
      </c>
      <c r="W808" s="6">
        <f t="shared" si="57"/>
        <v>20717299</v>
      </c>
      <c r="X808" s="4" t="s">
        <v>243</v>
      </c>
      <c r="Y808" s="4" t="s">
        <v>244</v>
      </c>
      <c r="Z808" s="4" t="s">
        <v>338</v>
      </c>
      <c r="AA808" s="4" t="s">
        <v>241</v>
      </c>
      <c r="AD808" s="4" t="s">
        <v>241</v>
      </c>
      <c r="AF808" s="5" t="s">
        <v>241</v>
      </c>
      <c r="AI808" s="5" t="s">
        <v>249</v>
      </c>
      <c r="AJ808" s="4" t="s">
        <v>251</v>
      </c>
      <c r="AK808" s="4" t="s">
        <v>252</v>
      </c>
      <c r="BA808" s="4" t="s">
        <v>254</v>
      </c>
      <c r="BB808" s="4" t="s">
        <v>241</v>
      </c>
      <c r="BC808" s="4" t="s">
        <v>255</v>
      </c>
      <c r="BD808" s="4" t="s">
        <v>241</v>
      </c>
      <c r="BE808" s="4" t="s">
        <v>257</v>
      </c>
      <c r="BF808" s="4" t="s">
        <v>241</v>
      </c>
      <c r="BJ808" s="4" t="s">
        <v>367</v>
      </c>
      <c r="BK808" s="5" t="s">
        <v>249</v>
      </c>
      <c r="BL808" s="4" t="s">
        <v>261</v>
      </c>
      <c r="BM808" s="4" t="s">
        <v>262</v>
      </c>
      <c r="BN808" s="4" t="s">
        <v>241</v>
      </c>
      <c r="BO808" s="6">
        <f>0</f>
        <v>0</v>
      </c>
      <c r="BP808" s="6">
        <f>0</f>
        <v>0</v>
      </c>
      <c r="BQ808" s="4" t="s">
        <v>263</v>
      </c>
      <c r="BR808" s="4" t="s">
        <v>264</v>
      </c>
      <c r="CF808" s="4" t="s">
        <v>241</v>
      </c>
      <c r="CG808" s="4" t="s">
        <v>241</v>
      </c>
      <c r="CK808" s="4" t="s">
        <v>291</v>
      </c>
      <c r="CL808" s="4" t="s">
        <v>266</v>
      </c>
      <c r="CM808" s="4" t="s">
        <v>241</v>
      </c>
      <c r="CO808" s="4" t="s">
        <v>468</v>
      </c>
      <c r="CP808" s="5" t="s">
        <v>268</v>
      </c>
      <c r="CQ808" s="4" t="s">
        <v>269</v>
      </c>
      <c r="CR808" s="4" t="s">
        <v>270</v>
      </c>
      <c r="CS808" s="4" t="s">
        <v>241</v>
      </c>
      <c r="CT808" s="4" t="s">
        <v>241</v>
      </c>
      <c r="CU808" s="4">
        <v>0</v>
      </c>
      <c r="CV808" s="4" t="s">
        <v>271</v>
      </c>
      <c r="CW808" s="4" t="s">
        <v>411</v>
      </c>
      <c r="CX808" s="4" t="s">
        <v>347</v>
      </c>
      <c r="CZ808" s="6">
        <f t="shared" si="58"/>
        <v>20717300</v>
      </c>
      <c r="DA808" s="6">
        <f>0</f>
        <v>0</v>
      </c>
      <c r="DC808" s="4" t="s">
        <v>241</v>
      </c>
      <c r="DD808" s="4" t="s">
        <v>241</v>
      </c>
      <c r="DF808" s="4" t="s">
        <v>241</v>
      </c>
      <c r="DI808" s="4" t="s">
        <v>241</v>
      </c>
      <c r="DJ808" s="4" t="s">
        <v>241</v>
      </c>
      <c r="DK808" s="4" t="s">
        <v>241</v>
      </c>
      <c r="DL808" s="4" t="s">
        <v>241</v>
      </c>
      <c r="DM808" s="4" t="s">
        <v>323</v>
      </c>
      <c r="DN808" s="4" t="s">
        <v>278</v>
      </c>
      <c r="DO808" s="6">
        <f t="shared" si="59"/>
        <v>133.66</v>
      </c>
      <c r="DP808" s="4" t="s">
        <v>241</v>
      </c>
      <c r="DQ808" s="4" t="s">
        <v>241</v>
      </c>
      <c r="DR808" s="4" t="s">
        <v>241</v>
      </c>
      <c r="DS808" s="4" t="s">
        <v>241</v>
      </c>
      <c r="DV808" s="4" t="s">
        <v>2190</v>
      </c>
      <c r="DW808" s="4" t="s">
        <v>343</v>
      </c>
      <c r="HO808" s="4" t="s">
        <v>277</v>
      </c>
      <c r="HR808" s="4" t="s">
        <v>278</v>
      </c>
      <c r="HS808" s="4" t="s">
        <v>278</v>
      </c>
    </row>
    <row r="809" spans="1:240" x14ac:dyDescent="0.4">
      <c r="A809" s="4">
        <v>2</v>
      </c>
      <c r="B809" s="4" t="s">
        <v>239</v>
      </c>
      <c r="C809" s="4">
        <v>876</v>
      </c>
      <c r="D809" s="4">
        <v>1</v>
      </c>
      <c r="E809" s="4">
        <v>1</v>
      </c>
      <c r="F809" s="4" t="s">
        <v>240</v>
      </c>
      <c r="G809" s="4" t="s">
        <v>241</v>
      </c>
      <c r="H809" s="4" t="s">
        <v>241</v>
      </c>
      <c r="I809" s="4" t="s">
        <v>2188</v>
      </c>
      <c r="J809" s="4" t="s">
        <v>344</v>
      </c>
      <c r="K809" s="4" t="s">
        <v>256</v>
      </c>
      <c r="L809" s="4" t="s">
        <v>2101</v>
      </c>
      <c r="M809" s="5" t="s">
        <v>2189</v>
      </c>
      <c r="N809" s="4" t="s">
        <v>2174</v>
      </c>
      <c r="O809" s="6">
        <f t="shared" si="55"/>
        <v>133.66</v>
      </c>
      <c r="P809" s="4" t="s">
        <v>276</v>
      </c>
      <c r="Q809" s="6">
        <f>1</f>
        <v>1</v>
      </c>
      <c r="R809" s="6">
        <f t="shared" si="56"/>
        <v>20717300</v>
      </c>
      <c r="S809" s="5" t="s">
        <v>868</v>
      </c>
      <c r="T809" s="4" t="s">
        <v>314</v>
      </c>
      <c r="U809" s="4" t="s">
        <v>404</v>
      </c>
      <c r="W809" s="6">
        <f t="shared" si="57"/>
        <v>20717299</v>
      </c>
      <c r="X809" s="4" t="s">
        <v>243</v>
      </c>
      <c r="Y809" s="4" t="s">
        <v>244</v>
      </c>
      <c r="Z809" s="4" t="s">
        <v>338</v>
      </c>
      <c r="AA809" s="4" t="s">
        <v>241</v>
      </c>
      <c r="AD809" s="4" t="s">
        <v>241</v>
      </c>
      <c r="AF809" s="5" t="s">
        <v>241</v>
      </c>
      <c r="AI809" s="5" t="s">
        <v>249</v>
      </c>
      <c r="AJ809" s="4" t="s">
        <v>251</v>
      </c>
      <c r="AK809" s="4" t="s">
        <v>252</v>
      </c>
      <c r="BA809" s="4" t="s">
        <v>254</v>
      </c>
      <c r="BB809" s="4" t="s">
        <v>241</v>
      </c>
      <c r="BC809" s="4" t="s">
        <v>255</v>
      </c>
      <c r="BD809" s="4" t="s">
        <v>241</v>
      </c>
      <c r="BE809" s="4" t="s">
        <v>257</v>
      </c>
      <c r="BF809" s="4" t="s">
        <v>241</v>
      </c>
      <c r="BJ809" s="4" t="s">
        <v>367</v>
      </c>
      <c r="BK809" s="5" t="s">
        <v>249</v>
      </c>
      <c r="BL809" s="4" t="s">
        <v>261</v>
      </c>
      <c r="BM809" s="4" t="s">
        <v>262</v>
      </c>
      <c r="BN809" s="4" t="s">
        <v>241</v>
      </c>
      <c r="BO809" s="6">
        <f>0</f>
        <v>0</v>
      </c>
      <c r="BP809" s="6">
        <f>0</f>
        <v>0</v>
      </c>
      <c r="BQ809" s="4" t="s">
        <v>263</v>
      </c>
      <c r="BR809" s="4" t="s">
        <v>264</v>
      </c>
      <c r="CF809" s="4" t="s">
        <v>241</v>
      </c>
      <c r="CG809" s="4" t="s">
        <v>241</v>
      </c>
      <c r="CK809" s="4" t="s">
        <v>291</v>
      </c>
      <c r="CL809" s="4" t="s">
        <v>266</v>
      </c>
      <c r="CM809" s="4" t="s">
        <v>241</v>
      </c>
      <c r="CO809" s="4" t="s">
        <v>468</v>
      </c>
      <c r="CP809" s="5" t="s">
        <v>268</v>
      </c>
      <c r="CQ809" s="4" t="s">
        <v>269</v>
      </c>
      <c r="CR809" s="4" t="s">
        <v>270</v>
      </c>
      <c r="CS809" s="4" t="s">
        <v>241</v>
      </c>
      <c r="CT809" s="4" t="s">
        <v>241</v>
      </c>
      <c r="CU809" s="4">
        <v>0</v>
      </c>
      <c r="CV809" s="4" t="s">
        <v>271</v>
      </c>
      <c r="CW809" s="4" t="s">
        <v>411</v>
      </c>
      <c r="CX809" s="4" t="s">
        <v>347</v>
      </c>
      <c r="CZ809" s="6">
        <f t="shared" si="58"/>
        <v>20717300</v>
      </c>
      <c r="DA809" s="6">
        <f>0</f>
        <v>0</v>
      </c>
      <c r="DC809" s="4" t="s">
        <v>241</v>
      </c>
      <c r="DD809" s="4" t="s">
        <v>241</v>
      </c>
      <c r="DF809" s="4" t="s">
        <v>241</v>
      </c>
      <c r="DI809" s="4" t="s">
        <v>241</v>
      </c>
      <c r="DJ809" s="4" t="s">
        <v>241</v>
      </c>
      <c r="DK809" s="4" t="s">
        <v>241</v>
      </c>
      <c r="DL809" s="4" t="s">
        <v>241</v>
      </c>
      <c r="DM809" s="4" t="s">
        <v>323</v>
      </c>
      <c r="DN809" s="4" t="s">
        <v>278</v>
      </c>
      <c r="DO809" s="6">
        <f t="shared" si="59"/>
        <v>133.66</v>
      </c>
      <c r="DP809" s="4" t="s">
        <v>241</v>
      </c>
      <c r="DQ809" s="4" t="s">
        <v>241</v>
      </c>
      <c r="DR809" s="4" t="s">
        <v>241</v>
      </c>
      <c r="DS809" s="4" t="s">
        <v>241</v>
      </c>
      <c r="DV809" s="4" t="s">
        <v>2190</v>
      </c>
      <c r="DW809" s="4" t="s">
        <v>417</v>
      </c>
      <c r="HO809" s="4" t="s">
        <v>277</v>
      </c>
      <c r="HR809" s="4" t="s">
        <v>278</v>
      </c>
      <c r="HS809" s="4" t="s">
        <v>278</v>
      </c>
    </row>
    <row r="810" spans="1:240" x14ac:dyDescent="0.4">
      <c r="A810" s="4">
        <v>2</v>
      </c>
      <c r="B810" s="4" t="s">
        <v>239</v>
      </c>
      <c r="C810" s="4">
        <v>877</v>
      </c>
      <c r="D810" s="4">
        <v>1</v>
      </c>
      <c r="E810" s="4">
        <v>1</v>
      </c>
      <c r="F810" s="4" t="s">
        <v>240</v>
      </c>
      <c r="G810" s="4" t="s">
        <v>241</v>
      </c>
      <c r="H810" s="4" t="s">
        <v>241</v>
      </c>
      <c r="I810" s="4" t="s">
        <v>2188</v>
      </c>
      <c r="J810" s="4" t="s">
        <v>344</v>
      </c>
      <c r="K810" s="4" t="s">
        <v>256</v>
      </c>
      <c r="L810" s="4" t="s">
        <v>2101</v>
      </c>
      <c r="M810" s="5" t="s">
        <v>2189</v>
      </c>
      <c r="N810" s="4" t="s">
        <v>2154</v>
      </c>
      <c r="O810" s="6">
        <f t="shared" si="55"/>
        <v>133.66</v>
      </c>
      <c r="P810" s="4" t="s">
        <v>276</v>
      </c>
      <c r="Q810" s="6">
        <f>1</f>
        <v>1</v>
      </c>
      <c r="R810" s="6">
        <f t="shared" si="56"/>
        <v>20717300</v>
      </c>
      <c r="S810" s="5" t="s">
        <v>868</v>
      </c>
      <c r="T810" s="4" t="s">
        <v>314</v>
      </c>
      <c r="U810" s="4" t="s">
        <v>404</v>
      </c>
      <c r="W810" s="6">
        <f t="shared" si="57"/>
        <v>20717299</v>
      </c>
      <c r="X810" s="4" t="s">
        <v>243</v>
      </c>
      <c r="Y810" s="4" t="s">
        <v>244</v>
      </c>
      <c r="Z810" s="4" t="s">
        <v>338</v>
      </c>
      <c r="AA810" s="4" t="s">
        <v>241</v>
      </c>
      <c r="AD810" s="4" t="s">
        <v>241</v>
      </c>
      <c r="AF810" s="5" t="s">
        <v>241</v>
      </c>
      <c r="AI810" s="5" t="s">
        <v>249</v>
      </c>
      <c r="AJ810" s="4" t="s">
        <v>251</v>
      </c>
      <c r="AK810" s="4" t="s">
        <v>252</v>
      </c>
      <c r="BA810" s="4" t="s">
        <v>254</v>
      </c>
      <c r="BB810" s="4" t="s">
        <v>241</v>
      </c>
      <c r="BC810" s="4" t="s">
        <v>255</v>
      </c>
      <c r="BD810" s="4" t="s">
        <v>241</v>
      </c>
      <c r="BE810" s="4" t="s">
        <v>257</v>
      </c>
      <c r="BF810" s="4" t="s">
        <v>241</v>
      </c>
      <c r="BJ810" s="4" t="s">
        <v>367</v>
      </c>
      <c r="BK810" s="5" t="s">
        <v>249</v>
      </c>
      <c r="BL810" s="4" t="s">
        <v>261</v>
      </c>
      <c r="BM810" s="4" t="s">
        <v>262</v>
      </c>
      <c r="BN810" s="4" t="s">
        <v>241</v>
      </c>
      <c r="BO810" s="6">
        <f>0</f>
        <v>0</v>
      </c>
      <c r="BP810" s="6">
        <f>0</f>
        <v>0</v>
      </c>
      <c r="BQ810" s="4" t="s">
        <v>263</v>
      </c>
      <c r="BR810" s="4" t="s">
        <v>264</v>
      </c>
      <c r="CF810" s="4" t="s">
        <v>241</v>
      </c>
      <c r="CG810" s="4" t="s">
        <v>241</v>
      </c>
      <c r="CK810" s="4" t="s">
        <v>291</v>
      </c>
      <c r="CL810" s="4" t="s">
        <v>266</v>
      </c>
      <c r="CM810" s="4" t="s">
        <v>241</v>
      </c>
      <c r="CO810" s="4" t="s">
        <v>468</v>
      </c>
      <c r="CP810" s="5" t="s">
        <v>268</v>
      </c>
      <c r="CQ810" s="4" t="s">
        <v>269</v>
      </c>
      <c r="CR810" s="4" t="s">
        <v>270</v>
      </c>
      <c r="CS810" s="4" t="s">
        <v>241</v>
      </c>
      <c r="CT810" s="4" t="s">
        <v>241</v>
      </c>
      <c r="CU810" s="4">
        <v>0</v>
      </c>
      <c r="CV810" s="4" t="s">
        <v>271</v>
      </c>
      <c r="CW810" s="4" t="s">
        <v>411</v>
      </c>
      <c r="CX810" s="4" t="s">
        <v>347</v>
      </c>
      <c r="CZ810" s="6">
        <f t="shared" si="58"/>
        <v>20717300</v>
      </c>
      <c r="DA810" s="6">
        <f>0</f>
        <v>0</v>
      </c>
      <c r="DC810" s="4" t="s">
        <v>241</v>
      </c>
      <c r="DD810" s="4" t="s">
        <v>241</v>
      </c>
      <c r="DF810" s="4" t="s">
        <v>241</v>
      </c>
      <c r="DI810" s="4" t="s">
        <v>241</v>
      </c>
      <c r="DJ810" s="4" t="s">
        <v>241</v>
      </c>
      <c r="DK810" s="4" t="s">
        <v>241</v>
      </c>
      <c r="DL810" s="4" t="s">
        <v>241</v>
      </c>
      <c r="DM810" s="4" t="s">
        <v>323</v>
      </c>
      <c r="DN810" s="4" t="s">
        <v>278</v>
      </c>
      <c r="DO810" s="6">
        <f t="shared" si="59"/>
        <v>133.66</v>
      </c>
      <c r="DP810" s="4" t="s">
        <v>241</v>
      </c>
      <c r="DQ810" s="4" t="s">
        <v>241</v>
      </c>
      <c r="DR810" s="4" t="s">
        <v>241</v>
      </c>
      <c r="DS810" s="4" t="s">
        <v>241</v>
      </c>
      <c r="DV810" s="4" t="s">
        <v>2190</v>
      </c>
      <c r="DW810" s="4" t="s">
        <v>427</v>
      </c>
      <c r="HO810" s="4" t="s">
        <v>277</v>
      </c>
      <c r="HR810" s="4" t="s">
        <v>278</v>
      </c>
      <c r="HS810" s="4" t="s">
        <v>278</v>
      </c>
    </row>
    <row r="811" spans="1:240" x14ac:dyDescent="0.4">
      <c r="A811" s="4">
        <v>2</v>
      </c>
      <c r="B811" s="4" t="s">
        <v>239</v>
      </c>
      <c r="C811" s="4">
        <v>878</v>
      </c>
      <c r="D811" s="4">
        <v>1</v>
      </c>
      <c r="E811" s="4">
        <v>1</v>
      </c>
      <c r="F811" s="4" t="s">
        <v>240</v>
      </c>
      <c r="G811" s="4" t="s">
        <v>241</v>
      </c>
      <c r="H811" s="4" t="s">
        <v>241</v>
      </c>
      <c r="I811" s="4" t="s">
        <v>2188</v>
      </c>
      <c r="J811" s="4" t="s">
        <v>344</v>
      </c>
      <c r="K811" s="4" t="s">
        <v>256</v>
      </c>
      <c r="L811" s="4" t="s">
        <v>2101</v>
      </c>
      <c r="M811" s="5" t="s">
        <v>2189</v>
      </c>
      <c r="N811" s="4" t="s">
        <v>2232</v>
      </c>
      <c r="O811" s="6">
        <f t="shared" si="55"/>
        <v>133.66</v>
      </c>
      <c r="P811" s="4" t="s">
        <v>276</v>
      </c>
      <c r="Q811" s="6">
        <f>1</f>
        <v>1</v>
      </c>
      <c r="R811" s="6">
        <f t="shared" si="56"/>
        <v>20717300</v>
      </c>
      <c r="S811" s="5" t="s">
        <v>868</v>
      </c>
      <c r="T811" s="4" t="s">
        <v>314</v>
      </c>
      <c r="U811" s="4" t="s">
        <v>404</v>
      </c>
      <c r="W811" s="6">
        <f t="shared" si="57"/>
        <v>20717299</v>
      </c>
      <c r="X811" s="4" t="s">
        <v>243</v>
      </c>
      <c r="Y811" s="4" t="s">
        <v>244</v>
      </c>
      <c r="Z811" s="4" t="s">
        <v>338</v>
      </c>
      <c r="AA811" s="4" t="s">
        <v>241</v>
      </c>
      <c r="AD811" s="4" t="s">
        <v>241</v>
      </c>
      <c r="AF811" s="5" t="s">
        <v>241</v>
      </c>
      <c r="AI811" s="5" t="s">
        <v>249</v>
      </c>
      <c r="AJ811" s="4" t="s">
        <v>251</v>
      </c>
      <c r="AK811" s="4" t="s">
        <v>252</v>
      </c>
      <c r="BA811" s="4" t="s">
        <v>254</v>
      </c>
      <c r="BB811" s="4" t="s">
        <v>241</v>
      </c>
      <c r="BC811" s="4" t="s">
        <v>255</v>
      </c>
      <c r="BD811" s="4" t="s">
        <v>241</v>
      </c>
      <c r="BE811" s="4" t="s">
        <v>257</v>
      </c>
      <c r="BF811" s="4" t="s">
        <v>241</v>
      </c>
      <c r="BJ811" s="4" t="s">
        <v>367</v>
      </c>
      <c r="BK811" s="5" t="s">
        <v>249</v>
      </c>
      <c r="BL811" s="4" t="s">
        <v>261</v>
      </c>
      <c r="BM811" s="4" t="s">
        <v>262</v>
      </c>
      <c r="BN811" s="4" t="s">
        <v>241</v>
      </c>
      <c r="BO811" s="6">
        <f>0</f>
        <v>0</v>
      </c>
      <c r="BP811" s="6">
        <f>0</f>
        <v>0</v>
      </c>
      <c r="BQ811" s="4" t="s">
        <v>263</v>
      </c>
      <c r="BR811" s="4" t="s">
        <v>264</v>
      </c>
      <c r="CF811" s="4" t="s">
        <v>241</v>
      </c>
      <c r="CG811" s="4" t="s">
        <v>241</v>
      </c>
      <c r="CK811" s="4" t="s">
        <v>291</v>
      </c>
      <c r="CL811" s="4" t="s">
        <v>266</v>
      </c>
      <c r="CM811" s="4" t="s">
        <v>241</v>
      </c>
      <c r="CO811" s="4" t="s">
        <v>468</v>
      </c>
      <c r="CP811" s="5" t="s">
        <v>268</v>
      </c>
      <c r="CQ811" s="4" t="s">
        <v>269</v>
      </c>
      <c r="CR811" s="4" t="s">
        <v>270</v>
      </c>
      <c r="CS811" s="4" t="s">
        <v>241</v>
      </c>
      <c r="CT811" s="4" t="s">
        <v>241</v>
      </c>
      <c r="CU811" s="4">
        <v>0</v>
      </c>
      <c r="CV811" s="4" t="s">
        <v>271</v>
      </c>
      <c r="CW811" s="4" t="s">
        <v>411</v>
      </c>
      <c r="CX811" s="4" t="s">
        <v>347</v>
      </c>
      <c r="CZ811" s="6">
        <f t="shared" si="58"/>
        <v>20717300</v>
      </c>
      <c r="DA811" s="6">
        <f>0</f>
        <v>0</v>
      </c>
      <c r="DC811" s="4" t="s">
        <v>241</v>
      </c>
      <c r="DD811" s="4" t="s">
        <v>241</v>
      </c>
      <c r="DF811" s="4" t="s">
        <v>241</v>
      </c>
      <c r="DI811" s="4" t="s">
        <v>241</v>
      </c>
      <c r="DJ811" s="4" t="s">
        <v>241</v>
      </c>
      <c r="DK811" s="4" t="s">
        <v>241</v>
      </c>
      <c r="DL811" s="4" t="s">
        <v>241</v>
      </c>
      <c r="DM811" s="4" t="s">
        <v>323</v>
      </c>
      <c r="DN811" s="4" t="s">
        <v>278</v>
      </c>
      <c r="DO811" s="6">
        <f t="shared" si="59"/>
        <v>133.66</v>
      </c>
      <c r="DP811" s="4" t="s">
        <v>241</v>
      </c>
      <c r="DQ811" s="4" t="s">
        <v>241</v>
      </c>
      <c r="DR811" s="4" t="s">
        <v>241</v>
      </c>
      <c r="DS811" s="4" t="s">
        <v>241</v>
      </c>
      <c r="DV811" s="4" t="s">
        <v>2190</v>
      </c>
      <c r="DW811" s="4" t="s">
        <v>353</v>
      </c>
      <c r="HO811" s="4" t="s">
        <v>277</v>
      </c>
      <c r="HR811" s="4" t="s">
        <v>278</v>
      </c>
      <c r="HS811" s="4" t="s">
        <v>278</v>
      </c>
    </row>
    <row r="812" spans="1:240" x14ac:dyDescent="0.4">
      <c r="A812" s="4">
        <v>2</v>
      </c>
      <c r="B812" s="4" t="s">
        <v>239</v>
      </c>
      <c r="C812" s="4">
        <v>879</v>
      </c>
      <c r="D812" s="4">
        <v>1</v>
      </c>
      <c r="E812" s="4">
        <v>1</v>
      </c>
      <c r="F812" s="4" t="s">
        <v>240</v>
      </c>
      <c r="G812" s="4" t="s">
        <v>241</v>
      </c>
      <c r="H812" s="4" t="s">
        <v>241</v>
      </c>
      <c r="I812" s="4" t="s">
        <v>2188</v>
      </c>
      <c r="J812" s="4" t="s">
        <v>344</v>
      </c>
      <c r="K812" s="4" t="s">
        <v>256</v>
      </c>
      <c r="L812" s="4" t="s">
        <v>2101</v>
      </c>
      <c r="M812" s="5" t="s">
        <v>2189</v>
      </c>
      <c r="N812" s="4" t="s">
        <v>2233</v>
      </c>
      <c r="O812" s="6">
        <f t="shared" si="55"/>
        <v>133.66</v>
      </c>
      <c r="P812" s="4" t="s">
        <v>276</v>
      </c>
      <c r="Q812" s="6">
        <f>1</f>
        <v>1</v>
      </c>
      <c r="R812" s="6">
        <f t="shared" si="56"/>
        <v>20717300</v>
      </c>
      <c r="S812" s="5" t="s">
        <v>868</v>
      </c>
      <c r="T812" s="4" t="s">
        <v>314</v>
      </c>
      <c r="U812" s="4" t="s">
        <v>404</v>
      </c>
      <c r="W812" s="6">
        <f t="shared" si="57"/>
        <v>20717299</v>
      </c>
      <c r="X812" s="4" t="s">
        <v>243</v>
      </c>
      <c r="Y812" s="4" t="s">
        <v>244</v>
      </c>
      <c r="Z812" s="4" t="s">
        <v>338</v>
      </c>
      <c r="AA812" s="4" t="s">
        <v>241</v>
      </c>
      <c r="AD812" s="4" t="s">
        <v>241</v>
      </c>
      <c r="AF812" s="5" t="s">
        <v>241</v>
      </c>
      <c r="AI812" s="5" t="s">
        <v>249</v>
      </c>
      <c r="AJ812" s="4" t="s">
        <v>251</v>
      </c>
      <c r="AK812" s="4" t="s">
        <v>252</v>
      </c>
      <c r="BA812" s="4" t="s">
        <v>254</v>
      </c>
      <c r="BB812" s="4" t="s">
        <v>241</v>
      </c>
      <c r="BC812" s="4" t="s">
        <v>255</v>
      </c>
      <c r="BD812" s="4" t="s">
        <v>241</v>
      </c>
      <c r="BE812" s="4" t="s">
        <v>257</v>
      </c>
      <c r="BF812" s="4" t="s">
        <v>241</v>
      </c>
      <c r="BJ812" s="4" t="s">
        <v>374</v>
      </c>
      <c r="BK812" s="5" t="s">
        <v>375</v>
      </c>
      <c r="BL812" s="4" t="s">
        <v>261</v>
      </c>
      <c r="BM812" s="4" t="s">
        <v>262</v>
      </c>
      <c r="BN812" s="4" t="s">
        <v>241</v>
      </c>
      <c r="BO812" s="6">
        <f>0</f>
        <v>0</v>
      </c>
      <c r="BP812" s="6">
        <f>0</f>
        <v>0</v>
      </c>
      <c r="BQ812" s="4" t="s">
        <v>263</v>
      </c>
      <c r="BR812" s="4" t="s">
        <v>264</v>
      </c>
      <c r="CF812" s="4" t="s">
        <v>241</v>
      </c>
      <c r="CG812" s="4" t="s">
        <v>241</v>
      </c>
      <c r="CK812" s="4" t="s">
        <v>291</v>
      </c>
      <c r="CL812" s="4" t="s">
        <v>266</v>
      </c>
      <c r="CM812" s="4" t="s">
        <v>241</v>
      </c>
      <c r="CO812" s="4" t="s">
        <v>468</v>
      </c>
      <c r="CP812" s="5" t="s">
        <v>268</v>
      </c>
      <c r="CQ812" s="4" t="s">
        <v>269</v>
      </c>
      <c r="CR812" s="4" t="s">
        <v>270</v>
      </c>
      <c r="CS812" s="4" t="s">
        <v>241</v>
      </c>
      <c r="CT812" s="4" t="s">
        <v>241</v>
      </c>
      <c r="CU812" s="4">
        <v>0</v>
      </c>
      <c r="CV812" s="4" t="s">
        <v>271</v>
      </c>
      <c r="CW812" s="4" t="s">
        <v>411</v>
      </c>
      <c r="CX812" s="4" t="s">
        <v>347</v>
      </c>
      <c r="CZ812" s="6">
        <f t="shared" si="58"/>
        <v>20717300</v>
      </c>
      <c r="DA812" s="6">
        <f>0</f>
        <v>0</v>
      </c>
      <c r="DC812" s="4" t="s">
        <v>241</v>
      </c>
      <c r="DD812" s="4" t="s">
        <v>241</v>
      </c>
      <c r="DF812" s="4" t="s">
        <v>241</v>
      </c>
      <c r="DI812" s="4" t="s">
        <v>241</v>
      </c>
      <c r="DJ812" s="4" t="s">
        <v>241</v>
      </c>
      <c r="DK812" s="4" t="s">
        <v>241</v>
      </c>
      <c r="DL812" s="4" t="s">
        <v>241</v>
      </c>
      <c r="DM812" s="4" t="s">
        <v>323</v>
      </c>
      <c r="DN812" s="4" t="s">
        <v>278</v>
      </c>
      <c r="DO812" s="6">
        <f t="shared" si="59"/>
        <v>133.66</v>
      </c>
      <c r="DP812" s="4" t="s">
        <v>241</v>
      </c>
      <c r="DQ812" s="4" t="s">
        <v>241</v>
      </c>
      <c r="DR812" s="4" t="s">
        <v>241</v>
      </c>
      <c r="DS812" s="4" t="s">
        <v>241</v>
      </c>
      <c r="DV812" s="4" t="s">
        <v>2190</v>
      </c>
      <c r="DW812" s="4" t="s">
        <v>409</v>
      </c>
      <c r="HO812" s="4" t="s">
        <v>277</v>
      </c>
      <c r="HR812" s="4" t="s">
        <v>278</v>
      </c>
      <c r="HS812" s="4" t="s">
        <v>278</v>
      </c>
    </row>
    <row r="813" spans="1:240" x14ac:dyDescent="0.4">
      <c r="A813" s="4">
        <v>2</v>
      </c>
      <c r="B813" s="4" t="s">
        <v>239</v>
      </c>
      <c r="C813" s="4">
        <v>880</v>
      </c>
      <c r="D813" s="4">
        <v>1</v>
      </c>
      <c r="E813" s="4">
        <v>3</v>
      </c>
      <c r="F813" s="4" t="s">
        <v>240</v>
      </c>
      <c r="G813" s="4" t="s">
        <v>241</v>
      </c>
      <c r="H813" s="4" t="s">
        <v>241</v>
      </c>
      <c r="I813" s="4" t="s">
        <v>2449</v>
      </c>
      <c r="J813" s="4" t="s">
        <v>344</v>
      </c>
      <c r="K813" s="4" t="s">
        <v>256</v>
      </c>
      <c r="L813" s="4" t="s">
        <v>2101</v>
      </c>
      <c r="M813" s="5" t="s">
        <v>2451</v>
      </c>
      <c r="N813" s="4" t="s">
        <v>2114</v>
      </c>
      <c r="O813" s="6">
        <f>1273.5</f>
        <v>1273.5</v>
      </c>
      <c r="P813" s="4" t="s">
        <v>276</v>
      </c>
      <c r="Q813" s="6">
        <f>32372370</f>
        <v>32372370</v>
      </c>
      <c r="R813" s="6">
        <f>197392500</f>
        <v>197392500</v>
      </c>
      <c r="S813" s="5" t="s">
        <v>2450</v>
      </c>
      <c r="T813" s="4" t="s">
        <v>668</v>
      </c>
      <c r="U813" s="4" t="s">
        <v>777</v>
      </c>
      <c r="V813" s="6">
        <f>4342635</f>
        <v>4342635</v>
      </c>
      <c r="W813" s="6">
        <f>165020130</f>
        <v>165020130</v>
      </c>
      <c r="X813" s="4" t="s">
        <v>243</v>
      </c>
      <c r="Y813" s="4" t="s">
        <v>244</v>
      </c>
      <c r="Z813" s="4" t="s">
        <v>338</v>
      </c>
      <c r="AA813" s="4" t="s">
        <v>241</v>
      </c>
      <c r="AD813" s="4" t="s">
        <v>241</v>
      </c>
      <c r="AE813" s="5" t="s">
        <v>241</v>
      </c>
      <c r="AF813" s="5" t="s">
        <v>241</v>
      </c>
      <c r="AH813" s="5" t="s">
        <v>241</v>
      </c>
      <c r="AI813" s="5" t="s">
        <v>249</v>
      </c>
      <c r="AJ813" s="4" t="s">
        <v>251</v>
      </c>
      <c r="AK813" s="4" t="s">
        <v>252</v>
      </c>
      <c r="AQ813" s="4" t="s">
        <v>241</v>
      </c>
      <c r="AR813" s="4" t="s">
        <v>241</v>
      </c>
      <c r="AS813" s="4" t="s">
        <v>241</v>
      </c>
      <c r="AT813" s="5" t="s">
        <v>241</v>
      </c>
      <c r="AU813" s="5" t="s">
        <v>241</v>
      </c>
      <c r="AV813" s="5" t="s">
        <v>241</v>
      </c>
      <c r="AY813" s="4" t="s">
        <v>286</v>
      </c>
      <c r="AZ813" s="4" t="s">
        <v>286</v>
      </c>
      <c r="BA813" s="4" t="s">
        <v>254</v>
      </c>
      <c r="BB813" s="4" t="s">
        <v>287</v>
      </c>
      <c r="BC813" s="4" t="s">
        <v>255</v>
      </c>
      <c r="BD813" s="4" t="s">
        <v>241</v>
      </c>
      <c r="BE813" s="4" t="s">
        <v>257</v>
      </c>
      <c r="BF813" s="4" t="s">
        <v>241</v>
      </c>
      <c r="BJ813" s="4" t="s">
        <v>288</v>
      </c>
      <c r="BK813" s="5" t="s">
        <v>289</v>
      </c>
      <c r="BL813" s="4" t="s">
        <v>290</v>
      </c>
      <c r="BM813" s="4" t="s">
        <v>290</v>
      </c>
      <c r="BN813" s="4" t="s">
        <v>241</v>
      </c>
      <c r="BO813" s="6">
        <f>0</f>
        <v>0</v>
      </c>
      <c r="BP813" s="6">
        <f>-4342635</f>
        <v>-4342635</v>
      </c>
      <c r="BQ813" s="4" t="s">
        <v>263</v>
      </c>
      <c r="BR813" s="4" t="s">
        <v>264</v>
      </c>
      <c r="BS813" s="4" t="s">
        <v>241</v>
      </c>
      <c r="BT813" s="4" t="s">
        <v>241</v>
      </c>
      <c r="BU813" s="4" t="s">
        <v>241</v>
      </c>
      <c r="BV813" s="4" t="s">
        <v>241</v>
      </c>
      <c r="CE813" s="4" t="s">
        <v>264</v>
      </c>
      <c r="CF813" s="4" t="s">
        <v>241</v>
      </c>
      <c r="CG813" s="4" t="s">
        <v>241</v>
      </c>
      <c r="CK813" s="4" t="s">
        <v>265</v>
      </c>
      <c r="CL813" s="4" t="s">
        <v>266</v>
      </c>
      <c r="CM813" s="4" t="s">
        <v>241</v>
      </c>
      <c r="CO813" s="4" t="s">
        <v>662</v>
      </c>
      <c r="CP813" s="5" t="s">
        <v>268</v>
      </c>
      <c r="CQ813" s="4" t="s">
        <v>269</v>
      </c>
      <c r="CR813" s="4" t="s">
        <v>270</v>
      </c>
      <c r="CS813" s="4" t="s">
        <v>293</v>
      </c>
      <c r="CT813" s="4" t="s">
        <v>241</v>
      </c>
      <c r="CU813" s="4">
        <v>2.1999999999999999E-2</v>
      </c>
      <c r="CV813" s="4" t="s">
        <v>271</v>
      </c>
      <c r="CW813" s="4" t="s">
        <v>411</v>
      </c>
      <c r="CX813" s="4" t="s">
        <v>295</v>
      </c>
      <c r="CY813" s="6">
        <f>0</f>
        <v>0</v>
      </c>
      <c r="CZ813" s="6">
        <f>197392500</f>
        <v>197392500</v>
      </c>
      <c r="DA813" s="6">
        <f>32372370</f>
        <v>32372370</v>
      </c>
      <c r="DC813" s="4" t="s">
        <v>241</v>
      </c>
      <c r="DD813" s="4" t="s">
        <v>241</v>
      </c>
      <c r="DF813" s="4" t="s">
        <v>241</v>
      </c>
      <c r="DG813" s="6">
        <f>0</f>
        <v>0</v>
      </c>
      <c r="DI813" s="4" t="s">
        <v>241</v>
      </c>
      <c r="DJ813" s="4" t="s">
        <v>241</v>
      </c>
      <c r="DK813" s="4" t="s">
        <v>241</v>
      </c>
      <c r="DL813" s="4" t="s">
        <v>241</v>
      </c>
      <c r="DM813" s="4" t="s">
        <v>297</v>
      </c>
      <c r="DN813" s="4" t="s">
        <v>278</v>
      </c>
      <c r="DO813" s="6">
        <f>1273.5</f>
        <v>1273.5</v>
      </c>
      <c r="DP813" s="4" t="s">
        <v>241</v>
      </c>
      <c r="DQ813" s="4" t="s">
        <v>241</v>
      </c>
      <c r="DR813" s="4" t="s">
        <v>241</v>
      </c>
      <c r="DS813" s="4" t="s">
        <v>241</v>
      </c>
      <c r="DV813" s="4" t="s">
        <v>2452</v>
      </c>
      <c r="DW813" s="4" t="s">
        <v>277</v>
      </c>
      <c r="GN813" s="4" t="s">
        <v>2454</v>
      </c>
      <c r="HO813" s="4" t="s">
        <v>300</v>
      </c>
      <c r="HR813" s="4" t="s">
        <v>278</v>
      </c>
      <c r="HS813" s="4" t="s">
        <v>278</v>
      </c>
      <c r="HT813" s="4" t="s">
        <v>241</v>
      </c>
      <c r="HU813" s="4" t="s">
        <v>241</v>
      </c>
      <c r="HV813" s="4" t="s">
        <v>241</v>
      </c>
      <c r="HW813" s="4" t="s">
        <v>241</v>
      </c>
      <c r="HX813" s="4" t="s">
        <v>241</v>
      </c>
      <c r="HY813" s="4" t="s">
        <v>241</v>
      </c>
      <c r="HZ813" s="4" t="s">
        <v>241</v>
      </c>
      <c r="IA813" s="4" t="s">
        <v>241</v>
      </c>
      <c r="IB813" s="4" t="s">
        <v>241</v>
      </c>
      <c r="IC813" s="4" t="s">
        <v>241</v>
      </c>
      <c r="ID813" s="4" t="s">
        <v>241</v>
      </c>
      <c r="IE813" s="4" t="s">
        <v>241</v>
      </c>
      <c r="IF813" s="4" t="s">
        <v>241</v>
      </c>
    </row>
    <row r="814" spans="1:240" x14ac:dyDescent="0.4">
      <c r="A814" s="4">
        <v>2</v>
      </c>
      <c r="B814" s="4" t="s">
        <v>239</v>
      </c>
      <c r="C814" s="4">
        <v>881</v>
      </c>
      <c r="D814" s="4">
        <v>1</v>
      </c>
      <c r="E814" s="4">
        <v>3</v>
      </c>
      <c r="F814" s="4" t="s">
        <v>240</v>
      </c>
      <c r="G814" s="4" t="s">
        <v>241</v>
      </c>
      <c r="H814" s="4" t="s">
        <v>241</v>
      </c>
      <c r="I814" s="4" t="s">
        <v>2449</v>
      </c>
      <c r="J814" s="4" t="s">
        <v>344</v>
      </c>
      <c r="K814" s="4" t="s">
        <v>256</v>
      </c>
      <c r="L814" s="4" t="s">
        <v>2101</v>
      </c>
      <c r="M814" s="5" t="s">
        <v>2451</v>
      </c>
      <c r="N814" s="4" t="s">
        <v>2114</v>
      </c>
      <c r="O814" s="6">
        <f>849</f>
        <v>849</v>
      </c>
      <c r="P814" s="4" t="s">
        <v>276</v>
      </c>
      <c r="Q814" s="6">
        <f>21581580</f>
        <v>21581580</v>
      </c>
      <c r="R814" s="6">
        <f>131595000</f>
        <v>131595000</v>
      </c>
      <c r="S814" s="5" t="s">
        <v>2450</v>
      </c>
      <c r="T814" s="4" t="s">
        <v>668</v>
      </c>
      <c r="U814" s="4" t="s">
        <v>777</v>
      </c>
      <c r="V814" s="6">
        <f>2895090</f>
        <v>2895090</v>
      </c>
      <c r="W814" s="6">
        <f>110013420</f>
        <v>110013420</v>
      </c>
      <c r="X814" s="4" t="s">
        <v>243</v>
      </c>
      <c r="Y814" s="4" t="s">
        <v>244</v>
      </c>
      <c r="Z814" s="4" t="s">
        <v>338</v>
      </c>
      <c r="AA814" s="4" t="s">
        <v>241</v>
      </c>
      <c r="AD814" s="4" t="s">
        <v>241</v>
      </c>
      <c r="AE814" s="5" t="s">
        <v>241</v>
      </c>
      <c r="AF814" s="5" t="s">
        <v>241</v>
      </c>
      <c r="AH814" s="5" t="s">
        <v>241</v>
      </c>
      <c r="AI814" s="5" t="s">
        <v>249</v>
      </c>
      <c r="AJ814" s="4" t="s">
        <v>251</v>
      </c>
      <c r="AK814" s="4" t="s">
        <v>252</v>
      </c>
      <c r="AQ814" s="4" t="s">
        <v>241</v>
      </c>
      <c r="AR814" s="4" t="s">
        <v>241</v>
      </c>
      <c r="AS814" s="4" t="s">
        <v>241</v>
      </c>
      <c r="AT814" s="5" t="s">
        <v>241</v>
      </c>
      <c r="AU814" s="5" t="s">
        <v>241</v>
      </c>
      <c r="AV814" s="5" t="s">
        <v>241</v>
      </c>
      <c r="AY814" s="4" t="s">
        <v>286</v>
      </c>
      <c r="AZ814" s="4" t="s">
        <v>286</v>
      </c>
      <c r="BA814" s="4" t="s">
        <v>254</v>
      </c>
      <c r="BB814" s="4" t="s">
        <v>287</v>
      </c>
      <c r="BC814" s="4" t="s">
        <v>255</v>
      </c>
      <c r="BD814" s="4" t="s">
        <v>241</v>
      </c>
      <c r="BE814" s="4" t="s">
        <v>257</v>
      </c>
      <c r="BF814" s="4" t="s">
        <v>241</v>
      </c>
      <c r="BJ814" s="4" t="s">
        <v>288</v>
      </c>
      <c r="BK814" s="5" t="s">
        <v>289</v>
      </c>
      <c r="BL814" s="4" t="s">
        <v>290</v>
      </c>
      <c r="BM814" s="4" t="s">
        <v>290</v>
      </c>
      <c r="BN814" s="4" t="s">
        <v>241</v>
      </c>
      <c r="BO814" s="6">
        <f>0</f>
        <v>0</v>
      </c>
      <c r="BP814" s="6">
        <f>-2895090</f>
        <v>-2895090</v>
      </c>
      <c r="BQ814" s="4" t="s">
        <v>263</v>
      </c>
      <c r="BR814" s="4" t="s">
        <v>264</v>
      </c>
      <c r="BS814" s="4" t="s">
        <v>241</v>
      </c>
      <c r="BT814" s="4" t="s">
        <v>241</v>
      </c>
      <c r="BU814" s="4" t="s">
        <v>241</v>
      </c>
      <c r="BV814" s="4" t="s">
        <v>241</v>
      </c>
      <c r="CE814" s="4" t="s">
        <v>264</v>
      </c>
      <c r="CF814" s="4" t="s">
        <v>241</v>
      </c>
      <c r="CG814" s="4" t="s">
        <v>241</v>
      </c>
      <c r="CK814" s="4" t="s">
        <v>265</v>
      </c>
      <c r="CL814" s="4" t="s">
        <v>266</v>
      </c>
      <c r="CM814" s="4" t="s">
        <v>241</v>
      </c>
      <c r="CO814" s="4" t="s">
        <v>662</v>
      </c>
      <c r="CP814" s="5" t="s">
        <v>268</v>
      </c>
      <c r="CQ814" s="4" t="s">
        <v>269</v>
      </c>
      <c r="CR814" s="4" t="s">
        <v>270</v>
      </c>
      <c r="CS814" s="4" t="s">
        <v>293</v>
      </c>
      <c r="CT814" s="4" t="s">
        <v>241</v>
      </c>
      <c r="CU814" s="4">
        <v>2.1999999999999999E-2</v>
      </c>
      <c r="CV814" s="4" t="s">
        <v>271</v>
      </c>
      <c r="CW814" s="4" t="s">
        <v>411</v>
      </c>
      <c r="CX814" s="4" t="s">
        <v>295</v>
      </c>
      <c r="CY814" s="6">
        <f>0</f>
        <v>0</v>
      </c>
      <c r="CZ814" s="6">
        <f>131595000</f>
        <v>131595000</v>
      </c>
      <c r="DA814" s="6">
        <f>21581580</f>
        <v>21581580</v>
      </c>
      <c r="DC814" s="4" t="s">
        <v>241</v>
      </c>
      <c r="DD814" s="4" t="s">
        <v>241</v>
      </c>
      <c r="DF814" s="4" t="s">
        <v>241</v>
      </c>
      <c r="DG814" s="6">
        <f>0</f>
        <v>0</v>
      </c>
      <c r="DI814" s="4" t="s">
        <v>241</v>
      </c>
      <c r="DJ814" s="4" t="s">
        <v>241</v>
      </c>
      <c r="DK814" s="4" t="s">
        <v>241</v>
      </c>
      <c r="DL814" s="4" t="s">
        <v>241</v>
      </c>
      <c r="DM814" s="4" t="s">
        <v>297</v>
      </c>
      <c r="DN814" s="4" t="s">
        <v>278</v>
      </c>
      <c r="DO814" s="6">
        <f>849</f>
        <v>849</v>
      </c>
      <c r="DP814" s="4" t="s">
        <v>241</v>
      </c>
      <c r="DQ814" s="4" t="s">
        <v>241</v>
      </c>
      <c r="DR814" s="4" t="s">
        <v>241</v>
      </c>
      <c r="DS814" s="4" t="s">
        <v>241</v>
      </c>
      <c r="DV814" s="4" t="s">
        <v>2452</v>
      </c>
      <c r="DW814" s="4" t="s">
        <v>323</v>
      </c>
      <c r="GN814" s="4" t="s">
        <v>2453</v>
      </c>
      <c r="HO814" s="4" t="s">
        <v>300</v>
      </c>
      <c r="HR814" s="4" t="s">
        <v>278</v>
      </c>
      <c r="HS814" s="4" t="s">
        <v>278</v>
      </c>
      <c r="HT814" s="4" t="s">
        <v>241</v>
      </c>
      <c r="HU814" s="4" t="s">
        <v>241</v>
      </c>
      <c r="HV814" s="4" t="s">
        <v>241</v>
      </c>
      <c r="HW814" s="4" t="s">
        <v>241</v>
      </c>
      <c r="HX814" s="4" t="s">
        <v>241</v>
      </c>
      <c r="HY814" s="4" t="s">
        <v>241</v>
      </c>
      <c r="HZ814" s="4" t="s">
        <v>241</v>
      </c>
      <c r="IA814" s="4" t="s">
        <v>241</v>
      </c>
      <c r="IB814" s="4" t="s">
        <v>241</v>
      </c>
      <c r="IC814" s="4" t="s">
        <v>241</v>
      </c>
      <c r="ID814" s="4" t="s">
        <v>241</v>
      </c>
      <c r="IE814" s="4" t="s">
        <v>241</v>
      </c>
      <c r="IF814" s="4" t="s">
        <v>241</v>
      </c>
    </row>
    <row r="815" spans="1:240" x14ac:dyDescent="0.4">
      <c r="A815" s="4">
        <v>2</v>
      </c>
      <c r="B815" s="4" t="s">
        <v>239</v>
      </c>
      <c r="C815" s="4">
        <v>882</v>
      </c>
      <c r="D815" s="4">
        <v>1</v>
      </c>
      <c r="E815" s="4">
        <v>3</v>
      </c>
      <c r="F815" s="4" t="s">
        <v>240</v>
      </c>
      <c r="G815" s="4" t="s">
        <v>241</v>
      </c>
      <c r="H815" s="4" t="s">
        <v>241</v>
      </c>
      <c r="I815" s="4" t="s">
        <v>2439</v>
      </c>
      <c r="J815" s="4" t="s">
        <v>344</v>
      </c>
      <c r="K815" s="4" t="s">
        <v>256</v>
      </c>
      <c r="L815" s="4" t="s">
        <v>2101</v>
      </c>
      <c r="M815" s="5" t="s">
        <v>2440</v>
      </c>
      <c r="N815" s="4" t="s">
        <v>2447</v>
      </c>
      <c r="O815" s="6">
        <f>208.65</f>
        <v>208.65</v>
      </c>
      <c r="P815" s="4" t="s">
        <v>276</v>
      </c>
      <c r="Q815" s="6">
        <f>5562618</f>
        <v>5562618</v>
      </c>
      <c r="R815" s="6">
        <f>32340750</f>
        <v>32340750</v>
      </c>
      <c r="S815" s="5" t="s">
        <v>442</v>
      </c>
      <c r="T815" s="4" t="s">
        <v>314</v>
      </c>
      <c r="U815" s="4" t="s">
        <v>401</v>
      </c>
      <c r="V815" s="6">
        <f>1487674</f>
        <v>1487674</v>
      </c>
      <c r="W815" s="6">
        <f>26778132</f>
        <v>26778132</v>
      </c>
      <c r="X815" s="4" t="s">
        <v>243</v>
      </c>
      <c r="Y815" s="4" t="s">
        <v>244</v>
      </c>
      <c r="Z815" s="4" t="s">
        <v>338</v>
      </c>
      <c r="AA815" s="4" t="s">
        <v>241</v>
      </c>
      <c r="AD815" s="4" t="s">
        <v>241</v>
      </c>
      <c r="AE815" s="5" t="s">
        <v>241</v>
      </c>
      <c r="AF815" s="5" t="s">
        <v>241</v>
      </c>
      <c r="AH815" s="5" t="s">
        <v>241</v>
      </c>
      <c r="AI815" s="5" t="s">
        <v>249</v>
      </c>
      <c r="AJ815" s="4" t="s">
        <v>251</v>
      </c>
      <c r="AK815" s="4" t="s">
        <v>252</v>
      </c>
      <c r="AQ815" s="4" t="s">
        <v>241</v>
      </c>
      <c r="AR815" s="4" t="s">
        <v>241</v>
      </c>
      <c r="AS815" s="4" t="s">
        <v>241</v>
      </c>
      <c r="AT815" s="5" t="s">
        <v>241</v>
      </c>
      <c r="AU815" s="5" t="s">
        <v>241</v>
      </c>
      <c r="AV815" s="5" t="s">
        <v>241</v>
      </c>
      <c r="AY815" s="4" t="s">
        <v>286</v>
      </c>
      <c r="AZ815" s="4" t="s">
        <v>286</v>
      </c>
      <c r="BA815" s="4" t="s">
        <v>254</v>
      </c>
      <c r="BB815" s="4" t="s">
        <v>287</v>
      </c>
      <c r="BC815" s="4" t="s">
        <v>255</v>
      </c>
      <c r="BD815" s="4" t="s">
        <v>241</v>
      </c>
      <c r="BE815" s="4" t="s">
        <v>257</v>
      </c>
      <c r="BF815" s="4" t="s">
        <v>241</v>
      </c>
      <c r="BJ815" s="4" t="s">
        <v>288</v>
      </c>
      <c r="BK815" s="5" t="s">
        <v>289</v>
      </c>
      <c r="BL815" s="4" t="s">
        <v>290</v>
      </c>
      <c r="BM815" s="4" t="s">
        <v>290</v>
      </c>
      <c r="BN815" s="4" t="s">
        <v>241</v>
      </c>
      <c r="BO815" s="6">
        <f>0</f>
        <v>0</v>
      </c>
      <c r="BP815" s="6">
        <f>-1487674</f>
        <v>-1487674</v>
      </c>
      <c r="BQ815" s="4" t="s">
        <v>263</v>
      </c>
      <c r="BR815" s="4" t="s">
        <v>264</v>
      </c>
      <c r="BS815" s="4" t="s">
        <v>241</v>
      </c>
      <c r="BT815" s="4" t="s">
        <v>241</v>
      </c>
      <c r="BU815" s="4" t="s">
        <v>241</v>
      </c>
      <c r="BV815" s="4" t="s">
        <v>241</v>
      </c>
      <c r="CE815" s="4" t="s">
        <v>264</v>
      </c>
      <c r="CF815" s="4" t="s">
        <v>241</v>
      </c>
      <c r="CG815" s="4" t="s">
        <v>241</v>
      </c>
      <c r="CK815" s="4" t="s">
        <v>291</v>
      </c>
      <c r="CL815" s="4" t="s">
        <v>266</v>
      </c>
      <c r="CM815" s="4" t="s">
        <v>241</v>
      </c>
      <c r="CO815" s="4" t="s">
        <v>446</v>
      </c>
      <c r="CP815" s="5" t="s">
        <v>268</v>
      </c>
      <c r="CQ815" s="4" t="s">
        <v>269</v>
      </c>
      <c r="CR815" s="4" t="s">
        <v>270</v>
      </c>
      <c r="CS815" s="4" t="s">
        <v>293</v>
      </c>
      <c r="CT815" s="4" t="s">
        <v>241</v>
      </c>
      <c r="CU815" s="4">
        <v>4.5999999999999999E-2</v>
      </c>
      <c r="CV815" s="4" t="s">
        <v>271</v>
      </c>
      <c r="CW815" s="4" t="s">
        <v>411</v>
      </c>
      <c r="CX815" s="4" t="s">
        <v>347</v>
      </c>
      <c r="CY815" s="6">
        <f>0</f>
        <v>0</v>
      </c>
      <c r="CZ815" s="6">
        <f>32340750</f>
        <v>32340750</v>
      </c>
      <c r="DA815" s="6">
        <f>5562618</f>
        <v>5562618</v>
      </c>
      <c r="DC815" s="4" t="s">
        <v>241</v>
      </c>
      <c r="DD815" s="4" t="s">
        <v>241</v>
      </c>
      <c r="DF815" s="4" t="s">
        <v>241</v>
      </c>
      <c r="DG815" s="6">
        <f>0</f>
        <v>0</v>
      </c>
      <c r="DI815" s="4" t="s">
        <v>241</v>
      </c>
      <c r="DJ815" s="4" t="s">
        <v>241</v>
      </c>
      <c r="DK815" s="4" t="s">
        <v>241</v>
      </c>
      <c r="DL815" s="4" t="s">
        <v>241</v>
      </c>
      <c r="DM815" s="4" t="s">
        <v>323</v>
      </c>
      <c r="DN815" s="4" t="s">
        <v>278</v>
      </c>
      <c r="DO815" s="6">
        <f>208.65</f>
        <v>208.65</v>
      </c>
      <c r="DP815" s="4" t="s">
        <v>241</v>
      </c>
      <c r="DQ815" s="4" t="s">
        <v>241</v>
      </c>
      <c r="DR815" s="4" t="s">
        <v>241</v>
      </c>
      <c r="DS815" s="4" t="s">
        <v>241</v>
      </c>
      <c r="DV815" s="4" t="s">
        <v>2441</v>
      </c>
      <c r="DW815" s="4" t="s">
        <v>277</v>
      </c>
      <c r="GN815" s="4" t="s">
        <v>2448</v>
      </c>
      <c r="HO815" s="4" t="s">
        <v>300</v>
      </c>
      <c r="HR815" s="4" t="s">
        <v>278</v>
      </c>
      <c r="HS815" s="4" t="s">
        <v>278</v>
      </c>
      <c r="HT815" s="4" t="s">
        <v>241</v>
      </c>
      <c r="HU815" s="4" t="s">
        <v>241</v>
      </c>
      <c r="HV815" s="4" t="s">
        <v>241</v>
      </c>
      <c r="HW815" s="4" t="s">
        <v>241</v>
      </c>
      <c r="HX815" s="4" t="s">
        <v>241</v>
      </c>
      <c r="HY815" s="4" t="s">
        <v>241</v>
      </c>
      <c r="HZ815" s="4" t="s">
        <v>241</v>
      </c>
      <c r="IA815" s="4" t="s">
        <v>241</v>
      </c>
      <c r="IB815" s="4" t="s">
        <v>241</v>
      </c>
      <c r="IC815" s="4" t="s">
        <v>241</v>
      </c>
      <c r="ID815" s="4" t="s">
        <v>241</v>
      </c>
      <c r="IE815" s="4" t="s">
        <v>241</v>
      </c>
      <c r="IF815" s="4" t="s">
        <v>241</v>
      </c>
    </row>
    <row r="816" spans="1:240" x14ac:dyDescent="0.4">
      <c r="A816" s="4">
        <v>2</v>
      </c>
      <c r="B816" s="4" t="s">
        <v>239</v>
      </c>
      <c r="C816" s="4">
        <v>883</v>
      </c>
      <c r="D816" s="4">
        <v>1</v>
      </c>
      <c r="E816" s="4">
        <v>3</v>
      </c>
      <c r="F816" s="4" t="s">
        <v>240</v>
      </c>
      <c r="G816" s="4" t="s">
        <v>241</v>
      </c>
      <c r="H816" s="4" t="s">
        <v>241</v>
      </c>
      <c r="I816" s="4" t="s">
        <v>2439</v>
      </c>
      <c r="J816" s="4" t="s">
        <v>344</v>
      </c>
      <c r="K816" s="4" t="s">
        <v>256</v>
      </c>
      <c r="L816" s="4" t="s">
        <v>2101</v>
      </c>
      <c r="M816" s="5" t="s">
        <v>2440</v>
      </c>
      <c r="N816" s="4" t="s">
        <v>2445</v>
      </c>
      <c r="O816" s="6">
        <f>208.65</f>
        <v>208.65</v>
      </c>
      <c r="P816" s="4" t="s">
        <v>276</v>
      </c>
      <c r="Q816" s="6">
        <f>7050292</f>
        <v>7050292</v>
      </c>
      <c r="R816" s="6">
        <f>32340750</f>
        <v>32340750</v>
      </c>
      <c r="S816" s="5" t="s">
        <v>771</v>
      </c>
      <c r="T816" s="4" t="s">
        <v>314</v>
      </c>
      <c r="U816" s="4" t="s">
        <v>371</v>
      </c>
      <c r="V816" s="6">
        <f>1487674</f>
        <v>1487674</v>
      </c>
      <c r="W816" s="6">
        <f>25290458</f>
        <v>25290458</v>
      </c>
      <c r="X816" s="4" t="s">
        <v>243</v>
      </c>
      <c r="Y816" s="4" t="s">
        <v>244</v>
      </c>
      <c r="Z816" s="4" t="s">
        <v>338</v>
      </c>
      <c r="AA816" s="4" t="s">
        <v>241</v>
      </c>
      <c r="AD816" s="4" t="s">
        <v>241</v>
      </c>
      <c r="AE816" s="5" t="s">
        <v>241</v>
      </c>
      <c r="AF816" s="5" t="s">
        <v>241</v>
      </c>
      <c r="AH816" s="5" t="s">
        <v>241</v>
      </c>
      <c r="AI816" s="5" t="s">
        <v>249</v>
      </c>
      <c r="AJ816" s="4" t="s">
        <v>251</v>
      </c>
      <c r="AK816" s="4" t="s">
        <v>252</v>
      </c>
      <c r="AQ816" s="4" t="s">
        <v>241</v>
      </c>
      <c r="AR816" s="4" t="s">
        <v>241</v>
      </c>
      <c r="AS816" s="4" t="s">
        <v>241</v>
      </c>
      <c r="AT816" s="5" t="s">
        <v>241</v>
      </c>
      <c r="AU816" s="5" t="s">
        <v>241</v>
      </c>
      <c r="AV816" s="5" t="s">
        <v>241</v>
      </c>
      <c r="AY816" s="4" t="s">
        <v>286</v>
      </c>
      <c r="AZ816" s="4" t="s">
        <v>286</v>
      </c>
      <c r="BA816" s="4" t="s">
        <v>254</v>
      </c>
      <c r="BB816" s="4" t="s">
        <v>287</v>
      </c>
      <c r="BC816" s="4" t="s">
        <v>255</v>
      </c>
      <c r="BD816" s="4" t="s">
        <v>241</v>
      </c>
      <c r="BE816" s="4" t="s">
        <v>257</v>
      </c>
      <c r="BF816" s="4" t="s">
        <v>241</v>
      </c>
      <c r="BJ816" s="4" t="s">
        <v>288</v>
      </c>
      <c r="BK816" s="5" t="s">
        <v>289</v>
      </c>
      <c r="BL816" s="4" t="s">
        <v>290</v>
      </c>
      <c r="BM816" s="4" t="s">
        <v>290</v>
      </c>
      <c r="BN816" s="4" t="s">
        <v>241</v>
      </c>
      <c r="BO816" s="6">
        <f>0</f>
        <v>0</v>
      </c>
      <c r="BP816" s="6">
        <f>-1487674</f>
        <v>-1487674</v>
      </c>
      <c r="BQ816" s="4" t="s">
        <v>263</v>
      </c>
      <c r="BR816" s="4" t="s">
        <v>264</v>
      </c>
      <c r="BS816" s="4" t="s">
        <v>241</v>
      </c>
      <c r="BT816" s="4" t="s">
        <v>241</v>
      </c>
      <c r="BU816" s="4" t="s">
        <v>241</v>
      </c>
      <c r="BV816" s="4" t="s">
        <v>241</v>
      </c>
      <c r="CE816" s="4" t="s">
        <v>264</v>
      </c>
      <c r="CF816" s="4" t="s">
        <v>241</v>
      </c>
      <c r="CG816" s="4" t="s">
        <v>241</v>
      </c>
      <c r="CK816" s="4" t="s">
        <v>291</v>
      </c>
      <c r="CL816" s="4" t="s">
        <v>266</v>
      </c>
      <c r="CM816" s="4" t="s">
        <v>241</v>
      </c>
      <c r="CO816" s="4" t="s">
        <v>407</v>
      </c>
      <c r="CP816" s="5" t="s">
        <v>268</v>
      </c>
      <c r="CQ816" s="4" t="s">
        <v>269</v>
      </c>
      <c r="CR816" s="4" t="s">
        <v>270</v>
      </c>
      <c r="CS816" s="4" t="s">
        <v>293</v>
      </c>
      <c r="CT816" s="4" t="s">
        <v>241</v>
      </c>
      <c r="CU816" s="4">
        <v>4.5999999999999999E-2</v>
      </c>
      <c r="CV816" s="4" t="s">
        <v>271</v>
      </c>
      <c r="CW816" s="4" t="s">
        <v>411</v>
      </c>
      <c r="CX816" s="4" t="s">
        <v>347</v>
      </c>
      <c r="CY816" s="6">
        <f>0</f>
        <v>0</v>
      </c>
      <c r="CZ816" s="6">
        <f>32340750</f>
        <v>32340750</v>
      </c>
      <c r="DA816" s="6">
        <f>7050292</f>
        <v>7050292</v>
      </c>
      <c r="DC816" s="4" t="s">
        <v>241</v>
      </c>
      <c r="DD816" s="4" t="s">
        <v>241</v>
      </c>
      <c r="DF816" s="4" t="s">
        <v>241</v>
      </c>
      <c r="DG816" s="6">
        <f>0</f>
        <v>0</v>
      </c>
      <c r="DI816" s="4" t="s">
        <v>241</v>
      </c>
      <c r="DJ816" s="4" t="s">
        <v>241</v>
      </c>
      <c r="DK816" s="4" t="s">
        <v>241</v>
      </c>
      <c r="DL816" s="4" t="s">
        <v>241</v>
      </c>
      <c r="DM816" s="4" t="s">
        <v>323</v>
      </c>
      <c r="DN816" s="4" t="s">
        <v>278</v>
      </c>
      <c r="DO816" s="6">
        <f>208.65</f>
        <v>208.65</v>
      </c>
      <c r="DP816" s="4" t="s">
        <v>241</v>
      </c>
      <c r="DQ816" s="4" t="s">
        <v>241</v>
      </c>
      <c r="DR816" s="4" t="s">
        <v>241</v>
      </c>
      <c r="DS816" s="4" t="s">
        <v>241</v>
      </c>
      <c r="DV816" s="4" t="s">
        <v>2441</v>
      </c>
      <c r="DW816" s="4" t="s">
        <v>323</v>
      </c>
      <c r="GN816" s="4" t="s">
        <v>2446</v>
      </c>
      <c r="HO816" s="4" t="s">
        <v>300</v>
      </c>
      <c r="HR816" s="4" t="s">
        <v>278</v>
      </c>
      <c r="HS816" s="4" t="s">
        <v>278</v>
      </c>
      <c r="HT816" s="4" t="s">
        <v>241</v>
      </c>
      <c r="HU816" s="4" t="s">
        <v>241</v>
      </c>
      <c r="HV816" s="4" t="s">
        <v>241</v>
      </c>
      <c r="HW816" s="4" t="s">
        <v>241</v>
      </c>
      <c r="HX816" s="4" t="s">
        <v>241</v>
      </c>
      <c r="HY816" s="4" t="s">
        <v>241</v>
      </c>
      <c r="HZ816" s="4" t="s">
        <v>241</v>
      </c>
      <c r="IA816" s="4" t="s">
        <v>241</v>
      </c>
      <c r="IB816" s="4" t="s">
        <v>241</v>
      </c>
      <c r="IC816" s="4" t="s">
        <v>241</v>
      </c>
      <c r="ID816" s="4" t="s">
        <v>241</v>
      </c>
      <c r="IE816" s="4" t="s">
        <v>241</v>
      </c>
      <c r="IF816" s="4" t="s">
        <v>241</v>
      </c>
    </row>
    <row r="817" spans="1:240" x14ac:dyDescent="0.4">
      <c r="A817" s="4">
        <v>2</v>
      </c>
      <c r="B817" s="4" t="s">
        <v>239</v>
      </c>
      <c r="C817" s="4">
        <v>884</v>
      </c>
      <c r="D817" s="4">
        <v>1</v>
      </c>
      <c r="E817" s="4">
        <v>3</v>
      </c>
      <c r="F817" s="4" t="s">
        <v>240</v>
      </c>
      <c r="G817" s="4" t="s">
        <v>241</v>
      </c>
      <c r="H817" s="4" t="s">
        <v>241</v>
      </c>
      <c r="I817" s="4" t="s">
        <v>2439</v>
      </c>
      <c r="J817" s="4" t="s">
        <v>344</v>
      </c>
      <c r="K817" s="4" t="s">
        <v>256</v>
      </c>
      <c r="L817" s="4" t="s">
        <v>2101</v>
      </c>
      <c r="M817" s="5" t="s">
        <v>2440</v>
      </c>
      <c r="N817" s="4" t="s">
        <v>2443</v>
      </c>
      <c r="O817" s="6">
        <f>208.65</f>
        <v>208.65</v>
      </c>
      <c r="P817" s="4" t="s">
        <v>276</v>
      </c>
      <c r="Q817" s="6">
        <f>7050292</f>
        <v>7050292</v>
      </c>
      <c r="R817" s="6">
        <f>32340750</f>
        <v>32340750</v>
      </c>
      <c r="S817" s="5" t="s">
        <v>771</v>
      </c>
      <c r="T817" s="4" t="s">
        <v>314</v>
      </c>
      <c r="U817" s="4" t="s">
        <v>371</v>
      </c>
      <c r="V817" s="6">
        <f>1487674</f>
        <v>1487674</v>
      </c>
      <c r="W817" s="6">
        <f>25290458</f>
        <v>25290458</v>
      </c>
      <c r="X817" s="4" t="s">
        <v>243</v>
      </c>
      <c r="Y817" s="4" t="s">
        <v>244</v>
      </c>
      <c r="Z817" s="4" t="s">
        <v>338</v>
      </c>
      <c r="AA817" s="4" t="s">
        <v>241</v>
      </c>
      <c r="AD817" s="4" t="s">
        <v>241</v>
      </c>
      <c r="AE817" s="5" t="s">
        <v>241</v>
      </c>
      <c r="AF817" s="5" t="s">
        <v>241</v>
      </c>
      <c r="AH817" s="5" t="s">
        <v>241</v>
      </c>
      <c r="AI817" s="5" t="s">
        <v>884</v>
      </c>
      <c r="AJ817" s="4" t="s">
        <v>251</v>
      </c>
      <c r="AK817" s="4" t="s">
        <v>252</v>
      </c>
      <c r="AQ817" s="4" t="s">
        <v>241</v>
      </c>
      <c r="AR817" s="4" t="s">
        <v>241</v>
      </c>
      <c r="AS817" s="4" t="s">
        <v>241</v>
      </c>
      <c r="AT817" s="5" t="s">
        <v>241</v>
      </c>
      <c r="AU817" s="5" t="s">
        <v>241</v>
      </c>
      <c r="AV817" s="5" t="s">
        <v>241</v>
      </c>
      <c r="AY817" s="4" t="s">
        <v>286</v>
      </c>
      <c r="AZ817" s="4" t="s">
        <v>286</v>
      </c>
      <c r="BA817" s="4" t="s">
        <v>254</v>
      </c>
      <c r="BB817" s="4" t="s">
        <v>287</v>
      </c>
      <c r="BC817" s="4" t="s">
        <v>255</v>
      </c>
      <c r="BD817" s="4" t="s">
        <v>241</v>
      </c>
      <c r="BE817" s="4" t="s">
        <v>257</v>
      </c>
      <c r="BF817" s="4" t="s">
        <v>241</v>
      </c>
      <c r="BJ817" s="4" t="s">
        <v>288</v>
      </c>
      <c r="BK817" s="5" t="s">
        <v>289</v>
      </c>
      <c r="BL817" s="4" t="s">
        <v>290</v>
      </c>
      <c r="BM817" s="4" t="s">
        <v>290</v>
      </c>
      <c r="BN817" s="4" t="s">
        <v>241</v>
      </c>
      <c r="BO817" s="6">
        <f>0</f>
        <v>0</v>
      </c>
      <c r="BP817" s="6">
        <f>-1487674</f>
        <v>-1487674</v>
      </c>
      <c r="BQ817" s="4" t="s">
        <v>263</v>
      </c>
      <c r="BR817" s="4" t="s">
        <v>264</v>
      </c>
      <c r="BS817" s="4" t="s">
        <v>241</v>
      </c>
      <c r="BT817" s="4" t="s">
        <v>241</v>
      </c>
      <c r="BU817" s="4" t="s">
        <v>241</v>
      </c>
      <c r="BV817" s="4" t="s">
        <v>241</v>
      </c>
      <c r="CE817" s="4" t="s">
        <v>264</v>
      </c>
      <c r="CF817" s="4" t="s">
        <v>241</v>
      </c>
      <c r="CG817" s="4" t="s">
        <v>241</v>
      </c>
      <c r="CK817" s="4" t="s">
        <v>291</v>
      </c>
      <c r="CL817" s="4" t="s">
        <v>266</v>
      </c>
      <c r="CM817" s="4" t="s">
        <v>241</v>
      </c>
      <c r="CO817" s="4" t="s">
        <v>407</v>
      </c>
      <c r="CP817" s="5" t="s">
        <v>268</v>
      </c>
      <c r="CQ817" s="4" t="s">
        <v>269</v>
      </c>
      <c r="CR817" s="4" t="s">
        <v>270</v>
      </c>
      <c r="CS817" s="4" t="s">
        <v>293</v>
      </c>
      <c r="CT817" s="4" t="s">
        <v>241</v>
      </c>
      <c r="CU817" s="4">
        <v>4.5999999999999999E-2</v>
      </c>
      <c r="CV817" s="4" t="s">
        <v>271</v>
      </c>
      <c r="CW817" s="4" t="s">
        <v>411</v>
      </c>
      <c r="CX817" s="4" t="s">
        <v>347</v>
      </c>
      <c r="CY817" s="6">
        <f>0</f>
        <v>0</v>
      </c>
      <c r="CZ817" s="6">
        <f>32340750</f>
        <v>32340750</v>
      </c>
      <c r="DA817" s="6">
        <f>7050292</f>
        <v>7050292</v>
      </c>
      <c r="DC817" s="4" t="s">
        <v>241</v>
      </c>
      <c r="DD817" s="4" t="s">
        <v>241</v>
      </c>
      <c r="DF817" s="4" t="s">
        <v>241</v>
      </c>
      <c r="DG817" s="6">
        <f>0</f>
        <v>0</v>
      </c>
      <c r="DI817" s="4" t="s">
        <v>241</v>
      </c>
      <c r="DJ817" s="4" t="s">
        <v>241</v>
      </c>
      <c r="DK817" s="4" t="s">
        <v>241</v>
      </c>
      <c r="DL817" s="4" t="s">
        <v>241</v>
      </c>
      <c r="DM817" s="4" t="s">
        <v>323</v>
      </c>
      <c r="DN817" s="4" t="s">
        <v>278</v>
      </c>
      <c r="DO817" s="6">
        <f>208.65</f>
        <v>208.65</v>
      </c>
      <c r="DP817" s="4" t="s">
        <v>241</v>
      </c>
      <c r="DQ817" s="4" t="s">
        <v>241</v>
      </c>
      <c r="DR817" s="4" t="s">
        <v>241</v>
      </c>
      <c r="DS817" s="4" t="s">
        <v>241</v>
      </c>
      <c r="DV817" s="4" t="s">
        <v>2441</v>
      </c>
      <c r="DW817" s="4" t="s">
        <v>297</v>
      </c>
      <c r="GN817" s="4" t="s">
        <v>2444</v>
      </c>
      <c r="HO817" s="4" t="s">
        <v>300</v>
      </c>
      <c r="HR817" s="4" t="s">
        <v>278</v>
      </c>
      <c r="HS817" s="4" t="s">
        <v>278</v>
      </c>
      <c r="HT817" s="4" t="s">
        <v>241</v>
      </c>
      <c r="HU817" s="4" t="s">
        <v>241</v>
      </c>
      <c r="HV817" s="4" t="s">
        <v>241</v>
      </c>
      <c r="HW817" s="4" t="s">
        <v>241</v>
      </c>
      <c r="HX817" s="4" t="s">
        <v>241</v>
      </c>
      <c r="HY817" s="4" t="s">
        <v>241</v>
      </c>
      <c r="HZ817" s="4" t="s">
        <v>241</v>
      </c>
      <c r="IA817" s="4" t="s">
        <v>241</v>
      </c>
      <c r="IB817" s="4" t="s">
        <v>241</v>
      </c>
      <c r="IC817" s="4" t="s">
        <v>241</v>
      </c>
      <c r="ID817" s="4" t="s">
        <v>241</v>
      </c>
      <c r="IE817" s="4" t="s">
        <v>241</v>
      </c>
      <c r="IF817" s="4" t="s">
        <v>241</v>
      </c>
    </row>
    <row r="818" spans="1:240" x14ac:dyDescent="0.4">
      <c r="A818" s="4">
        <v>2</v>
      </c>
      <c r="B818" s="4" t="s">
        <v>239</v>
      </c>
      <c r="C818" s="4">
        <v>885</v>
      </c>
      <c r="D818" s="4">
        <v>1</v>
      </c>
      <c r="E818" s="4">
        <v>3</v>
      </c>
      <c r="F818" s="4" t="s">
        <v>240</v>
      </c>
      <c r="G818" s="4" t="s">
        <v>241</v>
      </c>
      <c r="H818" s="4" t="s">
        <v>241</v>
      </c>
      <c r="I818" s="4" t="s">
        <v>2439</v>
      </c>
      <c r="J818" s="4" t="s">
        <v>344</v>
      </c>
      <c r="K818" s="4" t="s">
        <v>256</v>
      </c>
      <c r="L818" s="4" t="s">
        <v>2101</v>
      </c>
      <c r="M818" s="5" t="s">
        <v>2440</v>
      </c>
      <c r="N818" s="4" t="s">
        <v>2438</v>
      </c>
      <c r="O818" s="6">
        <f>279.21</f>
        <v>279.20999999999998</v>
      </c>
      <c r="P818" s="4" t="s">
        <v>276</v>
      </c>
      <c r="Q818" s="6">
        <f>19879752</f>
        <v>19879752</v>
      </c>
      <c r="R818" s="6">
        <f>55842000</f>
        <v>55842000</v>
      </c>
      <c r="S818" s="5" t="s">
        <v>319</v>
      </c>
      <c r="T818" s="4" t="s">
        <v>314</v>
      </c>
      <c r="U818" s="4" t="s">
        <v>322</v>
      </c>
      <c r="V818" s="6">
        <f>2568732</f>
        <v>2568732</v>
      </c>
      <c r="W818" s="6">
        <f>35962248</f>
        <v>35962248</v>
      </c>
      <c r="X818" s="4" t="s">
        <v>243</v>
      </c>
      <c r="Y818" s="4" t="s">
        <v>244</v>
      </c>
      <c r="Z818" s="4" t="s">
        <v>338</v>
      </c>
      <c r="AA818" s="4" t="s">
        <v>241</v>
      </c>
      <c r="AD818" s="4" t="s">
        <v>241</v>
      </c>
      <c r="AE818" s="5" t="s">
        <v>241</v>
      </c>
      <c r="AF818" s="5" t="s">
        <v>241</v>
      </c>
      <c r="AH818" s="5" t="s">
        <v>241</v>
      </c>
      <c r="AI818" s="5" t="s">
        <v>884</v>
      </c>
      <c r="AJ818" s="4" t="s">
        <v>251</v>
      </c>
      <c r="AK818" s="4" t="s">
        <v>252</v>
      </c>
      <c r="AQ818" s="4" t="s">
        <v>241</v>
      </c>
      <c r="AR818" s="4" t="s">
        <v>241</v>
      </c>
      <c r="AS818" s="4" t="s">
        <v>241</v>
      </c>
      <c r="AT818" s="5" t="s">
        <v>241</v>
      </c>
      <c r="AU818" s="5" t="s">
        <v>241</v>
      </c>
      <c r="AV818" s="5" t="s">
        <v>241</v>
      </c>
      <c r="AY818" s="4" t="s">
        <v>286</v>
      </c>
      <c r="AZ818" s="4" t="s">
        <v>286</v>
      </c>
      <c r="BA818" s="4" t="s">
        <v>254</v>
      </c>
      <c r="BB818" s="4" t="s">
        <v>287</v>
      </c>
      <c r="BC818" s="4" t="s">
        <v>255</v>
      </c>
      <c r="BD818" s="4" t="s">
        <v>241</v>
      </c>
      <c r="BE818" s="4" t="s">
        <v>257</v>
      </c>
      <c r="BF818" s="4" t="s">
        <v>241</v>
      </c>
      <c r="BJ818" s="4" t="s">
        <v>288</v>
      </c>
      <c r="BK818" s="5" t="s">
        <v>289</v>
      </c>
      <c r="BL818" s="4" t="s">
        <v>290</v>
      </c>
      <c r="BM818" s="4" t="s">
        <v>290</v>
      </c>
      <c r="BN818" s="4" t="s">
        <v>241</v>
      </c>
      <c r="BO818" s="6">
        <f>0</f>
        <v>0</v>
      </c>
      <c r="BP818" s="6">
        <f>-2568732</f>
        <v>-2568732</v>
      </c>
      <c r="BQ818" s="4" t="s">
        <v>263</v>
      </c>
      <c r="BR818" s="4" t="s">
        <v>264</v>
      </c>
      <c r="BS818" s="4" t="s">
        <v>241</v>
      </c>
      <c r="BT818" s="4" t="s">
        <v>241</v>
      </c>
      <c r="BU818" s="4" t="s">
        <v>241</v>
      </c>
      <c r="BV818" s="4" t="s">
        <v>241</v>
      </c>
      <c r="CE818" s="4" t="s">
        <v>264</v>
      </c>
      <c r="CF818" s="4" t="s">
        <v>241</v>
      </c>
      <c r="CG818" s="4" t="s">
        <v>241</v>
      </c>
      <c r="CK818" s="4" t="s">
        <v>291</v>
      </c>
      <c r="CL818" s="4" t="s">
        <v>266</v>
      </c>
      <c r="CM818" s="4" t="s">
        <v>241</v>
      </c>
      <c r="CO818" s="4" t="s">
        <v>321</v>
      </c>
      <c r="CP818" s="5" t="s">
        <v>268</v>
      </c>
      <c r="CQ818" s="4" t="s">
        <v>269</v>
      </c>
      <c r="CR818" s="4" t="s">
        <v>270</v>
      </c>
      <c r="CS818" s="4" t="s">
        <v>293</v>
      </c>
      <c r="CT818" s="4" t="s">
        <v>241</v>
      </c>
      <c r="CU818" s="4">
        <v>4.5999999999999999E-2</v>
      </c>
      <c r="CV818" s="4" t="s">
        <v>271</v>
      </c>
      <c r="CW818" s="4" t="s">
        <v>411</v>
      </c>
      <c r="CX818" s="4" t="s">
        <v>347</v>
      </c>
      <c r="CY818" s="6">
        <f>0</f>
        <v>0</v>
      </c>
      <c r="CZ818" s="6">
        <f>55842000</f>
        <v>55842000</v>
      </c>
      <c r="DA818" s="6">
        <f>19879752</f>
        <v>19879752</v>
      </c>
      <c r="DC818" s="4" t="s">
        <v>241</v>
      </c>
      <c r="DD818" s="4" t="s">
        <v>241</v>
      </c>
      <c r="DF818" s="4" t="s">
        <v>241</v>
      </c>
      <c r="DG818" s="6">
        <f>0</f>
        <v>0</v>
      </c>
      <c r="DI818" s="4" t="s">
        <v>241</v>
      </c>
      <c r="DJ818" s="4" t="s">
        <v>241</v>
      </c>
      <c r="DK818" s="4" t="s">
        <v>241</v>
      </c>
      <c r="DL818" s="4" t="s">
        <v>241</v>
      </c>
      <c r="DM818" s="4" t="s">
        <v>323</v>
      </c>
      <c r="DN818" s="4" t="s">
        <v>278</v>
      </c>
      <c r="DO818" s="6">
        <f>279.21</f>
        <v>279.20999999999998</v>
      </c>
      <c r="DP818" s="4" t="s">
        <v>241</v>
      </c>
      <c r="DQ818" s="4" t="s">
        <v>241</v>
      </c>
      <c r="DR818" s="4" t="s">
        <v>241</v>
      </c>
      <c r="DS818" s="4" t="s">
        <v>241</v>
      </c>
      <c r="DV818" s="4" t="s">
        <v>2441</v>
      </c>
      <c r="DW818" s="4" t="s">
        <v>336</v>
      </c>
      <c r="GN818" s="4" t="s">
        <v>2442</v>
      </c>
      <c r="HO818" s="4" t="s">
        <v>300</v>
      </c>
      <c r="HR818" s="4" t="s">
        <v>278</v>
      </c>
      <c r="HS818" s="4" t="s">
        <v>278</v>
      </c>
      <c r="HT818" s="4" t="s">
        <v>241</v>
      </c>
      <c r="HU818" s="4" t="s">
        <v>241</v>
      </c>
      <c r="HV818" s="4" t="s">
        <v>241</v>
      </c>
      <c r="HW818" s="4" t="s">
        <v>241</v>
      </c>
      <c r="HX818" s="4" t="s">
        <v>241</v>
      </c>
      <c r="HY818" s="4" t="s">
        <v>241</v>
      </c>
      <c r="HZ818" s="4" t="s">
        <v>241</v>
      </c>
      <c r="IA818" s="4" t="s">
        <v>241</v>
      </c>
      <c r="IB818" s="4" t="s">
        <v>241</v>
      </c>
      <c r="IC818" s="4" t="s">
        <v>241</v>
      </c>
      <c r="ID818" s="4" t="s">
        <v>241</v>
      </c>
      <c r="IE818" s="4" t="s">
        <v>241</v>
      </c>
      <c r="IF818" s="4" t="s">
        <v>241</v>
      </c>
    </row>
    <row r="819" spans="1:240" x14ac:dyDescent="0.4">
      <c r="A819" s="4">
        <v>2</v>
      </c>
      <c r="B819" s="4" t="s">
        <v>239</v>
      </c>
      <c r="C819" s="4">
        <v>886</v>
      </c>
      <c r="D819" s="4">
        <v>1</v>
      </c>
      <c r="E819" s="4">
        <v>1</v>
      </c>
      <c r="F819" s="4" t="s">
        <v>240</v>
      </c>
      <c r="G819" s="4" t="s">
        <v>241</v>
      </c>
      <c r="H819" s="4" t="s">
        <v>241</v>
      </c>
      <c r="I819" s="4" t="s">
        <v>2269</v>
      </c>
      <c r="J819" s="4" t="s">
        <v>344</v>
      </c>
      <c r="K819" s="4" t="s">
        <v>256</v>
      </c>
      <c r="L819" s="4" t="s">
        <v>2101</v>
      </c>
      <c r="M819" s="5" t="s">
        <v>2270</v>
      </c>
      <c r="N819" s="4" t="s">
        <v>2104</v>
      </c>
      <c r="O819" s="6">
        <f>146.08</f>
        <v>146.08000000000001</v>
      </c>
      <c r="P819" s="4" t="s">
        <v>276</v>
      </c>
      <c r="Q819" s="6">
        <f>1</f>
        <v>1</v>
      </c>
      <c r="R819" s="6">
        <f>15338400</f>
        <v>15338400</v>
      </c>
      <c r="S819" s="5" t="s">
        <v>748</v>
      </c>
      <c r="T819" s="4" t="s">
        <v>333</v>
      </c>
      <c r="U819" s="4" t="s">
        <v>835</v>
      </c>
      <c r="W819" s="6">
        <f>15338399</f>
        <v>15338399</v>
      </c>
      <c r="X819" s="4" t="s">
        <v>243</v>
      </c>
      <c r="Y819" s="4" t="s">
        <v>244</v>
      </c>
      <c r="Z819" s="4" t="s">
        <v>338</v>
      </c>
      <c r="AA819" s="4" t="s">
        <v>241</v>
      </c>
      <c r="AD819" s="4" t="s">
        <v>241</v>
      </c>
      <c r="AF819" s="5" t="s">
        <v>241</v>
      </c>
      <c r="AI819" s="5" t="s">
        <v>249</v>
      </c>
      <c r="AJ819" s="4" t="s">
        <v>251</v>
      </c>
      <c r="AK819" s="4" t="s">
        <v>252</v>
      </c>
      <c r="BA819" s="4" t="s">
        <v>254</v>
      </c>
      <c r="BB819" s="4" t="s">
        <v>241</v>
      </c>
      <c r="BC819" s="4" t="s">
        <v>255</v>
      </c>
      <c r="BD819" s="4" t="s">
        <v>241</v>
      </c>
      <c r="BE819" s="4" t="s">
        <v>257</v>
      </c>
      <c r="BF819" s="4" t="s">
        <v>241</v>
      </c>
      <c r="BJ819" s="4" t="s">
        <v>367</v>
      </c>
      <c r="BK819" s="5" t="s">
        <v>249</v>
      </c>
      <c r="BL819" s="4" t="s">
        <v>261</v>
      </c>
      <c r="BM819" s="4" t="s">
        <v>262</v>
      </c>
      <c r="BN819" s="4" t="s">
        <v>241</v>
      </c>
      <c r="BO819" s="6">
        <f>0</f>
        <v>0</v>
      </c>
      <c r="BP819" s="6">
        <f>0</f>
        <v>0</v>
      </c>
      <c r="BQ819" s="4" t="s">
        <v>263</v>
      </c>
      <c r="BR819" s="4" t="s">
        <v>264</v>
      </c>
      <c r="CF819" s="4" t="s">
        <v>241</v>
      </c>
      <c r="CG819" s="4" t="s">
        <v>241</v>
      </c>
      <c r="CK819" s="4" t="s">
        <v>265</v>
      </c>
      <c r="CL819" s="4" t="s">
        <v>266</v>
      </c>
      <c r="CM819" s="4" t="s">
        <v>241</v>
      </c>
      <c r="CO819" s="4" t="s">
        <v>513</v>
      </c>
      <c r="CP819" s="5" t="s">
        <v>268</v>
      </c>
      <c r="CQ819" s="4" t="s">
        <v>269</v>
      </c>
      <c r="CR819" s="4" t="s">
        <v>270</v>
      </c>
      <c r="CS819" s="4" t="s">
        <v>241</v>
      </c>
      <c r="CT819" s="4" t="s">
        <v>241</v>
      </c>
      <c r="CU819" s="4">
        <v>0</v>
      </c>
      <c r="CV819" s="4" t="s">
        <v>271</v>
      </c>
      <c r="CW819" s="4" t="s">
        <v>411</v>
      </c>
      <c r="CX819" s="4" t="s">
        <v>2130</v>
      </c>
      <c r="CZ819" s="6">
        <f>15338400</f>
        <v>15338400</v>
      </c>
      <c r="DA819" s="6">
        <f>0</f>
        <v>0</v>
      </c>
      <c r="DC819" s="4" t="s">
        <v>241</v>
      </c>
      <c r="DD819" s="4" t="s">
        <v>241</v>
      </c>
      <c r="DF819" s="4" t="s">
        <v>241</v>
      </c>
      <c r="DI819" s="4" t="s">
        <v>241</v>
      </c>
      <c r="DJ819" s="4" t="s">
        <v>241</v>
      </c>
      <c r="DK819" s="4" t="s">
        <v>241</v>
      </c>
      <c r="DL819" s="4" t="s">
        <v>241</v>
      </c>
      <c r="DM819" s="4" t="s">
        <v>277</v>
      </c>
      <c r="DN819" s="4" t="s">
        <v>278</v>
      </c>
      <c r="DO819" s="6">
        <f>146.08</f>
        <v>146.08000000000001</v>
      </c>
      <c r="DP819" s="4" t="s">
        <v>241</v>
      </c>
      <c r="DQ819" s="4" t="s">
        <v>241</v>
      </c>
      <c r="DR819" s="4" t="s">
        <v>241</v>
      </c>
      <c r="DS819" s="4" t="s">
        <v>241</v>
      </c>
      <c r="DV819" s="4" t="s">
        <v>2271</v>
      </c>
      <c r="DW819" s="4" t="s">
        <v>277</v>
      </c>
      <c r="HO819" s="4" t="s">
        <v>277</v>
      </c>
      <c r="HR819" s="4" t="s">
        <v>278</v>
      </c>
      <c r="HS819" s="4" t="s">
        <v>278</v>
      </c>
    </row>
    <row r="820" spans="1:240" x14ac:dyDescent="0.4">
      <c r="A820" s="4">
        <v>2</v>
      </c>
      <c r="B820" s="4" t="s">
        <v>239</v>
      </c>
      <c r="C820" s="4">
        <v>887</v>
      </c>
      <c r="D820" s="4">
        <v>1</v>
      </c>
      <c r="E820" s="4">
        <v>1</v>
      </c>
      <c r="F820" s="4" t="s">
        <v>240</v>
      </c>
      <c r="G820" s="4" t="s">
        <v>241</v>
      </c>
      <c r="H820" s="4" t="s">
        <v>241</v>
      </c>
      <c r="I820" s="4" t="s">
        <v>2269</v>
      </c>
      <c r="J820" s="4" t="s">
        <v>344</v>
      </c>
      <c r="K820" s="4" t="s">
        <v>256</v>
      </c>
      <c r="L820" s="4" t="s">
        <v>2101</v>
      </c>
      <c r="M820" s="5" t="s">
        <v>2270</v>
      </c>
      <c r="N820" s="4" t="s">
        <v>2109</v>
      </c>
      <c r="O820" s="6">
        <f>146.08</f>
        <v>146.08000000000001</v>
      </c>
      <c r="P820" s="4" t="s">
        <v>276</v>
      </c>
      <c r="Q820" s="6">
        <f>1</f>
        <v>1</v>
      </c>
      <c r="R820" s="6">
        <f>15338400</f>
        <v>15338400</v>
      </c>
      <c r="S820" s="5" t="s">
        <v>748</v>
      </c>
      <c r="T820" s="4" t="s">
        <v>333</v>
      </c>
      <c r="U820" s="4" t="s">
        <v>835</v>
      </c>
      <c r="W820" s="6">
        <f>15338399</f>
        <v>15338399</v>
      </c>
      <c r="X820" s="4" t="s">
        <v>243</v>
      </c>
      <c r="Y820" s="4" t="s">
        <v>244</v>
      </c>
      <c r="Z820" s="4" t="s">
        <v>338</v>
      </c>
      <c r="AA820" s="4" t="s">
        <v>241</v>
      </c>
      <c r="AD820" s="4" t="s">
        <v>241</v>
      </c>
      <c r="AF820" s="5" t="s">
        <v>241</v>
      </c>
      <c r="AI820" s="5" t="s">
        <v>249</v>
      </c>
      <c r="AJ820" s="4" t="s">
        <v>251</v>
      </c>
      <c r="AK820" s="4" t="s">
        <v>252</v>
      </c>
      <c r="BA820" s="4" t="s">
        <v>254</v>
      </c>
      <c r="BB820" s="4" t="s">
        <v>241</v>
      </c>
      <c r="BC820" s="4" t="s">
        <v>255</v>
      </c>
      <c r="BD820" s="4" t="s">
        <v>241</v>
      </c>
      <c r="BE820" s="4" t="s">
        <v>257</v>
      </c>
      <c r="BF820" s="4" t="s">
        <v>241</v>
      </c>
      <c r="BJ820" s="4" t="s">
        <v>374</v>
      </c>
      <c r="BK820" s="5" t="s">
        <v>375</v>
      </c>
      <c r="BL820" s="4" t="s">
        <v>261</v>
      </c>
      <c r="BM820" s="4" t="s">
        <v>262</v>
      </c>
      <c r="BN820" s="4" t="s">
        <v>241</v>
      </c>
      <c r="BO820" s="6">
        <f>0</f>
        <v>0</v>
      </c>
      <c r="BP820" s="6">
        <f>0</f>
        <v>0</v>
      </c>
      <c r="BQ820" s="4" t="s">
        <v>263</v>
      </c>
      <c r="BR820" s="4" t="s">
        <v>264</v>
      </c>
      <c r="CF820" s="4" t="s">
        <v>241</v>
      </c>
      <c r="CG820" s="4" t="s">
        <v>241</v>
      </c>
      <c r="CK820" s="4" t="s">
        <v>265</v>
      </c>
      <c r="CL820" s="4" t="s">
        <v>266</v>
      </c>
      <c r="CM820" s="4" t="s">
        <v>241</v>
      </c>
      <c r="CO820" s="4" t="s">
        <v>513</v>
      </c>
      <c r="CP820" s="5" t="s">
        <v>268</v>
      </c>
      <c r="CQ820" s="4" t="s">
        <v>269</v>
      </c>
      <c r="CR820" s="4" t="s">
        <v>270</v>
      </c>
      <c r="CS820" s="4" t="s">
        <v>241</v>
      </c>
      <c r="CT820" s="4" t="s">
        <v>241</v>
      </c>
      <c r="CU820" s="4">
        <v>0</v>
      </c>
      <c r="CV820" s="4" t="s">
        <v>271</v>
      </c>
      <c r="CW820" s="4" t="s">
        <v>411</v>
      </c>
      <c r="CX820" s="4" t="s">
        <v>2130</v>
      </c>
      <c r="CZ820" s="6">
        <f>15338400</f>
        <v>15338400</v>
      </c>
      <c r="DA820" s="6">
        <f>0</f>
        <v>0</v>
      </c>
      <c r="DC820" s="4" t="s">
        <v>241</v>
      </c>
      <c r="DD820" s="4" t="s">
        <v>241</v>
      </c>
      <c r="DF820" s="4" t="s">
        <v>241</v>
      </c>
      <c r="DI820" s="4" t="s">
        <v>241</v>
      </c>
      <c r="DJ820" s="4" t="s">
        <v>241</v>
      </c>
      <c r="DK820" s="4" t="s">
        <v>241</v>
      </c>
      <c r="DL820" s="4" t="s">
        <v>241</v>
      </c>
      <c r="DM820" s="4" t="s">
        <v>277</v>
      </c>
      <c r="DN820" s="4" t="s">
        <v>278</v>
      </c>
      <c r="DO820" s="6">
        <f>146.08</f>
        <v>146.08000000000001</v>
      </c>
      <c r="DP820" s="4" t="s">
        <v>241</v>
      </c>
      <c r="DQ820" s="4" t="s">
        <v>241</v>
      </c>
      <c r="DR820" s="4" t="s">
        <v>241</v>
      </c>
      <c r="DS820" s="4" t="s">
        <v>241</v>
      </c>
      <c r="DV820" s="4" t="s">
        <v>2271</v>
      </c>
      <c r="DW820" s="4" t="s">
        <v>323</v>
      </c>
      <c r="HO820" s="4" t="s">
        <v>277</v>
      </c>
      <c r="HR820" s="4" t="s">
        <v>278</v>
      </c>
      <c r="HS820" s="4" t="s">
        <v>278</v>
      </c>
    </row>
    <row r="821" spans="1:240" x14ac:dyDescent="0.4">
      <c r="A821" s="4">
        <v>2</v>
      </c>
      <c r="B821" s="4" t="s">
        <v>239</v>
      </c>
      <c r="C821" s="4">
        <v>888</v>
      </c>
      <c r="D821" s="4">
        <v>1</v>
      </c>
      <c r="E821" s="4">
        <v>1</v>
      </c>
      <c r="F821" s="4" t="s">
        <v>240</v>
      </c>
      <c r="G821" s="4" t="s">
        <v>241</v>
      </c>
      <c r="H821" s="4" t="s">
        <v>241</v>
      </c>
      <c r="I821" s="4" t="s">
        <v>2269</v>
      </c>
      <c r="J821" s="4" t="s">
        <v>344</v>
      </c>
      <c r="K821" s="4" t="s">
        <v>256</v>
      </c>
      <c r="L821" s="4" t="s">
        <v>2101</v>
      </c>
      <c r="M821" s="5" t="s">
        <v>2270</v>
      </c>
      <c r="N821" s="4" t="s">
        <v>2110</v>
      </c>
      <c r="O821" s="6">
        <f>136</f>
        <v>136</v>
      </c>
      <c r="P821" s="4" t="s">
        <v>276</v>
      </c>
      <c r="Q821" s="6">
        <f>1</f>
        <v>1</v>
      </c>
      <c r="R821" s="6">
        <f>14280000</f>
        <v>14280000</v>
      </c>
      <c r="S821" s="5" t="s">
        <v>748</v>
      </c>
      <c r="T821" s="4" t="s">
        <v>333</v>
      </c>
      <c r="U821" s="4" t="s">
        <v>835</v>
      </c>
      <c r="W821" s="6">
        <f>14279999</f>
        <v>14279999</v>
      </c>
      <c r="X821" s="4" t="s">
        <v>243</v>
      </c>
      <c r="Y821" s="4" t="s">
        <v>244</v>
      </c>
      <c r="Z821" s="4" t="s">
        <v>338</v>
      </c>
      <c r="AA821" s="4" t="s">
        <v>241</v>
      </c>
      <c r="AD821" s="4" t="s">
        <v>241</v>
      </c>
      <c r="AF821" s="5" t="s">
        <v>241</v>
      </c>
      <c r="AI821" s="5" t="s">
        <v>249</v>
      </c>
      <c r="AJ821" s="4" t="s">
        <v>251</v>
      </c>
      <c r="AK821" s="4" t="s">
        <v>252</v>
      </c>
      <c r="BA821" s="4" t="s">
        <v>254</v>
      </c>
      <c r="BB821" s="4" t="s">
        <v>241</v>
      </c>
      <c r="BC821" s="4" t="s">
        <v>255</v>
      </c>
      <c r="BD821" s="4" t="s">
        <v>241</v>
      </c>
      <c r="BE821" s="4" t="s">
        <v>257</v>
      </c>
      <c r="BF821" s="4" t="s">
        <v>241</v>
      </c>
      <c r="BJ821" s="4" t="s">
        <v>377</v>
      </c>
      <c r="BK821" s="5" t="s">
        <v>378</v>
      </c>
      <c r="BL821" s="4" t="s">
        <v>261</v>
      </c>
      <c r="BM821" s="4" t="s">
        <v>262</v>
      </c>
      <c r="BN821" s="4" t="s">
        <v>241</v>
      </c>
      <c r="BO821" s="6">
        <f>0</f>
        <v>0</v>
      </c>
      <c r="BP821" s="6">
        <f>0</f>
        <v>0</v>
      </c>
      <c r="BQ821" s="4" t="s">
        <v>263</v>
      </c>
      <c r="BR821" s="4" t="s">
        <v>264</v>
      </c>
      <c r="CF821" s="4" t="s">
        <v>241</v>
      </c>
      <c r="CG821" s="4" t="s">
        <v>241</v>
      </c>
      <c r="CK821" s="4" t="s">
        <v>265</v>
      </c>
      <c r="CL821" s="4" t="s">
        <v>266</v>
      </c>
      <c r="CM821" s="4" t="s">
        <v>241</v>
      </c>
      <c r="CO821" s="4" t="s">
        <v>513</v>
      </c>
      <c r="CP821" s="5" t="s">
        <v>268</v>
      </c>
      <c r="CQ821" s="4" t="s">
        <v>269</v>
      </c>
      <c r="CR821" s="4" t="s">
        <v>270</v>
      </c>
      <c r="CS821" s="4" t="s">
        <v>241</v>
      </c>
      <c r="CT821" s="4" t="s">
        <v>241</v>
      </c>
      <c r="CU821" s="4">
        <v>0</v>
      </c>
      <c r="CV821" s="4" t="s">
        <v>271</v>
      </c>
      <c r="CW821" s="4" t="s">
        <v>411</v>
      </c>
      <c r="CX821" s="4" t="s">
        <v>2130</v>
      </c>
      <c r="CZ821" s="6">
        <f>14280000</f>
        <v>14280000</v>
      </c>
      <c r="DA821" s="6">
        <f>0</f>
        <v>0</v>
      </c>
      <c r="DC821" s="4" t="s">
        <v>241</v>
      </c>
      <c r="DD821" s="4" t="s">
        <v>241</v>
      </c>
      <c r="DF821" s="4" t="s">
        <v>241</v>
      </c>
      <c r="DI821" s="4" t="s">
        <v>241</v>
      </c>
      <c r="DJ821" s="4" t="s">
        <v>241</v>
      </c>
      <c r="DK821" s="4" t="s">
        <v>241</v>
      </c>
      <c r="DL821" s="4" t="s">
        <v>241</v>
      </c>
      <c r="DM821" s="4" t="s">
        <v>277</v>
      </c>
      <c r="DN821" s="4" t="s">
        <v>278</v>
      </c>
      <c r="DO821" s="6">
        <f>136</f>
        <v>136</v>
      </c>
      <c r="DP821" s="4" t="s">
        <v>241</v>
      </c>
      <c r="DQ821" s="4" t="s">
        <v>241</v>
      </c>
      <c r="DR821" s="4" t="s">
        <v>241</v>
      </c>
      <c r="DS821" s="4" t="s">
        <v>241</v>
      </c>
      <c r="DV821" s="4" t="s">
        <v>2271</v>
      </c>
      <c r="DW821" s="4" t="s">
        <v>297</v>
      </c>
      <c r="HO821" s="4" t="s">
        <v>277</v>
      </c>
      <c r="HR821" s="4" t="s">
        <v>278</v>
      </c>
      <c r="HS821" s="4" t="s">
        <v>278</v>
      </c>
    </row>
    <row r="822" spans="1:240" x14ac:dyDescent="0.4">
      <c r="A822" s="4">
        <v>2</v>
      </c>
      <c r="B822" s="4" t="s">
        <v>239</v>
      </c>
      <c r="C822" s="4">
        <v>889</v>
      </c>
      <c r="D822" s="4">
        <v>1</v>
      </c>
      <c r="E822" s="4">
        <v>1</v>
      </c>
      <c r="F822" s="4" t="s">
        <v>240</v>
      </c>
      <c r="G822" s="4" t="s">
        <v>241</v>
      </c>
      <c r="H822" s="4" t="s">
        <v>241</v>
      </c>
      <c r="I822" s="4" t="s">
        <v>2269</v>
      </c>
      <c r="J822" s="4" t="s">
        <v>344</v>
      </c>
      <c r="K822" s="4" t="s">
        <v>256</v>
      </c>
      <c r="L822" s="4" t="s">
        <v>2101</v>
      </c>
      <c r="M822" s="5" t="s">
        <v>2270</v>
      </c>
      <c r="N822" s="4" t="s">
        <v>2122</v>
      </c>
      <c r="O822" s="6">
        <f>146.08</f>
        <v>146.08000000000001</v>
      </c>
      <c r="P822" s="4" t="s">
        <v>276</v>
      </c>
      <c r="Q822" s="6">
        <f>1</f>
        <v>1</v>
      </c>
      <c r="R822" s="6">
        <f>15338400</f>
        <v>15338400</v>
      </c>
      <c r="S822" s="5" t="s">
        <v>748</v>
      </c>
      <c r="T822" s="4" t="s">
        <v>333</v>
      </c>
      <c r="U822" s="4" t="s">
        <v>835</v>
      </c>
      <c r="W822" s="6">
        <f>15338399</f>
        <v>15338399</v>
      </c>
      <c r="X822" s="4" t="s">
        <v>243</v>
      </c>
      <c r="Y822" s="4" t="s">
        <v>244</v>
      </c>
      <c r="Z822" s="4" t="s">
        <v>338</v>
      </c>
      <c r="AA822" s="4" t="s">
        <v>241</v>
      </c>
      <c r="AD822" s="4" t="s">
        <v>241</v>
      </c>
      <c r="AF822" s="5" t="s">
        <v>241</v>
      </c>
      <c r="AI822" s="5" t="s">
        <v>249</v>
      </c>
      <c r="AJ822" s="4" t="s">
        <v>251</v>
      </c>
      <c r="AK822" s="4" t="s">
        <v>252</v>
      </c>
      <c r="BA822" s="4" t="s">
        <v>254</v>
      </c>
      <c r="BB822" s="4" t="s">
        <v>241</v>
      </c>
      <c r="BC822" s="4" t="s">
        <v>255</v>
      </c>
      <c r="BD822" s="4" t="s">
        <v>241</v>
      </c>
      <c r="BE822" s="4" t="s">
        <v>257</v>
      </c>
      <c r="BF822" s="4" t="s">
        <v>241</v>
      </c>
      <c r="BJ822" s="4" t="s">
        <v>259</v>
      </c>
      <c r="BK822" s="5" t="s">
        <v>260</v>
      </c>
      <c r="BL822" s="4" t="s">
        <v>261</v>
      </c>
      <c r="BM822" s="4" t="s">
        <v>262</v>
      </c>
      <c r="BN822" s="4" t="s">
        <v>241</v>
      </c>
      <c r="BO822" s="6">
        <f>0</f>
        <v>0</v>
      </c>
      <c r="BP822" s="6">
        <f>0</f>
        <v>0</v>
      </c>
      <c r="BQ822" s="4" t="s">
        <v>263</v>
      </c>
      <c r="BR822" s="4" t="s">
        <v>264</v>
      </c>
      <c r="CF822" s="4" t="s">
        <v>241</v>
      </c>
      <c r="CG822" s="4" t="s">
        <v>241</v>
      </c>
      <c r="CK822" s="4" t="s">
        <v>265</v>
      </c>
      <c r="CL822" s="4" t="s">
        <v>266</v>
      </c>
      <c r="CM822" s="4" t="s">
        <v>241</v>
      </c>
      <c r="CO822" s="4" t="s">
        <v>513</v>
      </c>
      <c r="CP822" s="5" t="s">
        <v>268</v>
      </c>
      <c r="CQ822" s="4" t="s">
        <v>269</v>
      </c>
      <c r="CR822" s="4" t="s">
        <v>270</v>
      </c>
      <c r="CS822" s="4" t="s">
        <v>241</v>
      </c>
      <c r="CT822" s="4" t="s">
        <v>241</v>
      </c>
      <c r="CU822" s="4">
        <v>0</v>
      </c>
      <c r="CV822" s="4" t="s">
        <v>271</v>
      </c>
      <c r="CW822" s="4" t="s">
        <v>411</v>
      </c>
      <c r="CX822" s="4" t="s">
        <v>2130</v>
      </c>
      <c r="CZ822" s="6">
        <f>15338400</f>
        <v>15338400</v>
      </c>
      <c r="DA822" s="6">
        <f>0</f>
        <v>0</v>
      </c>
      <c r="DC822" s="4" t="s">
        <v>241</v>
      </c>
      <c r="DD822" s="4" t="s">
        <v>241</v>
      </c>
      <c r="DF822" s="4" t="s">
        <v>241</v>
      </c>
      <c r="DI822" s="4" t="s">
        <v>241</v>
      </c>
      <c r="DJ822" s="4" t="s">
        <v>241</v>
      </c>
      <c r="DK822" s="4" t="s">
        <v>241</v>
      </c>
      <c r="DL822" s="4" t="s">
        <v>241</v>
      </c>
      <c r="DM822" s="4" t="s">
        <v>277</v>
      </c>
      <c r="DN822" s="4" t="s">
        <v>278</v>
      </c>
      <c r="DO822" s="6">
        <f>146.08</f>
        <v>146.08000000000001</v>
      </c>
      <c r="DP822" s="4" t="s">
        <v>241</v>
      </c>
      <c r="DQ822" s="4" t="s">
        <v>241</v>
      </c>
      <c r="DR822" s="4" t="s">
        <v>241</v>
      </c>
      <c r="DS822" s="4" t="s">
        <v>241</v>
      </c>
      <c r="DV822" s="4" t="s">
        <v>2271</v>
      </c>
      <c r="DW822" s="4" t="s">
        <v>336</v>
      </c>
      <c r="HO822" s="4" t="s">
        <v>277</v>
      </c>
      <c r="HR822" s="4" t="s">
        <v>278</v>
      </c>
      <c r="HS822" s="4" t="s">
        <v>278</v>
      </c>
    </row>
    <row r="823" spans="1:240" x14ac:dyDescent="0.4">
      <c r="A823" s="4">
        <v>2</v>
      </c>
      <c r="B823" s="4" t="s">
        <v>239</v>
      </c>
      <c r="C823" s="4">
        <v>890</v>
      </c>
      <c r="D823" s="4">
        <v>1</v>
      </c>
      <c r="E823" s="4">
        <v>1</v>
      </c>
      <c r="F823" s="4" t="s">
        <v>240</v>
      </c>
      <c r="G823" s="4" t="s">
        <v>241</v>
      </c>
      <c r="H823" s="4" t="s">
        <v>241</v>
      </c>
      <c r="I823" s="4" t="s">
        <v>2272</v>
      </c>
      <c r="J823" s="4" t="s">
        <v>344</v>
      </c>
      <c r="K823" s="4" t="s">
        <v>256</v>
      </c>
      <c r="L823" s="4" t="s">
        <v>2101</v>
      </c>
      <c r="M823" s="5" t="s">
        <v>2273</v>
      </c>
      <c r="N823" s="4" t="s">
        <v>2104</v>
      </c>
      <c r="O823" s="6">
        <f>157.8</f>
        <v>157.80000000000001</v>
      </c>
      <c r="P823" s="4" t="s">
        <v>276</v>
      </c>
      <c r="Q823" s="6">
        <f>1</f>
        <v>1</v>
      </c>
      <c r="R823" s="6">
        <f>16569000</f>
        <v>16569000</v>
      </c>
      <c r="S823" s="5" t="s">
        <v>434</v>
      </c>
      <c r="T823" s="4" t="s">
        <v>333</v>
      </c>
      <c r="U823" s="4" t="s">
        <v>437</v>
      </c>
      <c r="W823" s="6">
        <f>16568999</f>
        <v>16568999</v>
      </c>
      <c r="X823" s="4" t="s">
        <v>243</v>
      </c>
      <c r="Y823" s="4" t="s">
        <v>244</v>
      </c>
      <c r="Z823" s="4" t="s">
        <v>338</v>
      </c>
      <c r="AA823" s="4" t="s">
        <v>241</v>
      </c>
      <c r="AD823" s="4" t="s">
        <v>241</v>
      </c>
      <c r="AF823" s="5" t="s">
        <v>241</v>
      </c>
      <c r="AI823" s="5" t="s">
        <v>249</v>
      </c>
      <c r="AJ823" s="4" t="s">
        <v>251</v>
      </c>
      <c r="AK823" s="4" t="s">
        <v>252</v>
      </c>
      <c r="BA823" s="4" t="s">
        <v>254</v>
      </c>
      <c r="BB823" s="4" t="s">
        <v>241</v>
      </c>
      <c r="BC823" s="4" t="s">
        <v>255</v>
      </c>
      <c r="BD823" s="4" t="s">
        <v>241</v>
      </c>
      <c r="BE823" s="4" t="s">
        <v>257</v>
      </c>
      <c r="BF823" s="4" t="s">
        <v>241</v>
      </c>
      <c r="BJ823" s="4" t="s">
        <v>367</v>
      </c>
      <c r="BK823" s="5" t="s">
        <v>249</v>
      </c>
      <c r="BL823" s="4" t="s">
        <v>261</v>
      </c>
      <c r="BM823" s="4" t="s">
        <v>262</v>
      </c>
      <c r="BN823" s="4" t="s">
        <v>241</v>
      </c>
      <c r="BO823" s="6">
        <f>0</f>
        <v>0</v>
      </c>
      <c r="BP823" s="6">
        <f>0</f>
        <v>0</v>
      </c>
      <c r="BQ823" s="4" t="s">
        <v>263</v>
      </c>
      <c r="BR823" s="4" t="s">
        <v>264</v>
      </c>
      <c r="CF823" s="4" t="s">
        <v>241</v>
      </c>
      <c r="CG823" s="4" t="s">
        <v>241</v>
      </c>
      <c r="CK823" s="4" t="s">
        <v>265</v>
      </c>
      <c r="CL823" s="4" t="s">
        <v>266</v>
      </c>
      <c r="CM823" s="4" t="s">
        <v>241</v>
      </c>
      <c r="CO823" s="4" t="s">
        <v>436</v>
      </c>
      <c r="CP823" s="5" t="s">
        <v>268</v>
      </c>
      <c r="CQ823" s="4" t="s">
        <v>269</v>
      </c>
      <c r="CR823" s="4" t="s">
        <v>270</v>
      </c>
      <c r="CS823" s="4" t="s">
        <v>241</v>
      </c>
      <c r="CT823" s="4" t="s">
        <v>241</v>
      </c>
      <c r="CU823" s="4">
        <v>0</v>
      </c>
      <c r="CV823" s="4" t="s">
        <v>271</v>
      </c>
      <c r="CW823" s="4" t="s">
        <v>411</v>
      </c>
      <c r="CX823" s="4" t="s">
        <v>2130</v>
      </c>
      <c r="CZ823" s="6">
        <f>16569000</f>
        <v>16569000</v>
      </c>
      <c r="DA823" s="6">
        <f>0</f>
        <v>0</v>
      </c>
      <c r="DC823" s="4" t="s">
        <v>241</v>
      </c>
      <c r="DD823" s="4" t="s">
        <v>241</v>
      </c>
      <c r="DF823" s="4" t="s">
        <v>241</v>
      </c>
      <c r="DI823" s="4" t="s">
        <v>241</v>
      </c>
      <c r="DJ823" s="4" t="s">
        <v>241</v>
      </c>
      <c r="DK823" s="4" t="s">
        <v>241</v>
      </c>
      <c r="DL823" s="4" t="s">
        <v>241</v>
      </c>
      <c r="DM823" s="4" t="s">
        <v>277</v>
      </c>
      <c r="DN823" s="4" t="s">
        <v>278</v>
      </c>
      <c r="DO823" s="6">
        <f>157.8</f>
        <v>157.80000000000001</v>
      </c>
      <c r="DP823" s="4" t="s">
        <v>241</v>
      </c>
      <c r="DQ823" s="4" t="s">
        <v>241</v>
      </c>
      <c r="DR823" s="4" t="s">
        <v>241</v>
      </c>
      <c r="DS823" s="4" t="s">
        <v>241</v>
      </c>
      <c r="DV823" s="4" t="s">
        <v>2274</v>
      </c>
      <c r="DW823" s="4" t="s">
        <v>277</v>
      </c>
      <c r="HO823" s="4" t="s">
        <v>277</v>
      </c>
      <c r="HR823" s="4" t="s">
        <v>278</v>
      </c>
      <c r="HS823" s="4" t="s">
        <v>278</v>
      </c>
    </row>
    <row r="824" spans="1:240" x14ac:dyDescent="0.4">
      <c r="A824" s="4">
        <v>2</v>
      </c>
      <c r="B824" s="4" t="s">
        <v>239</v>
      </c>
      <c r="C824" s="4">
        <v>891</v>
      </c>
      <c r="D824" s="4">
        <v>1</v>
      </c>
      <c r="E824" s="4">
        <v>1</v>
      </c>
      <c r="F824" s="4" t="s">
        <v>240</v>
      </c>
      <c r="G824" s="4" t="s">
        <v>241</v>
      </c>
      <c r="H824" s="4" t="s">
        <v>241</v>
      </c>
      <c r="I824" s="4" t="s">
        <v>2272</v>
      </c>
      <c r="J824" s="4" t="s">
        <v>344</v>
      </c>
      <c r="K824" s="4" t="s">
        <v>256</v>
      </c>
      <c r="L824" s="4" t="s">
        <v>2101</v>
      </c>
      <c r="M824" s="5" t="s">
        <v>2273</v>
      </c>
      <c r="N824" s="4" t="s">
        <v>2109</v>
      </c>
      <c r="O824" s="6">
        <f>146.08</f>
        <v>146.08000000000001</v>
      </c>
      <c r="P824" s="4" t="s">
        <v>276</v>
      </c>
      <c r="Q824" s="6">
        <f>1</f>
        <v>1</v>
      </c>
      <c r="R824" s="6">
        <f>15338400</f>
        <v>15338400</v>
      </c>
      <c r="S824" s="5" t="s">
        <v>434</v>
      </c>
      <c r="T824" s="4" t="s">
        <v>333</v>
      </c>
      <c r="U824" s="4" t="s">
        <v>437</v>
      </c>
      <c r="W824" s="6">
        <f>15338399</f>
        <v>15338399</v>
      </c>
      <c r="X824" s="4" t="s">
        <v>243</v>
      </c>
      <c r="Y824" s="4" t="s">
        <v>244</v>
      </c>
      <c r="Z824" s="4" t="s">
        <v>338</v>
      </c>
      <c r="AA824" s="4" t="s">
        <v>241</v>
      </c>
      <c r="AD824" s="4" t="s">
        <v>241</v>
      </c>
      <c r="AF824" s="5" t="s">
        <v>241</v>
      </c>
      <c r="AI824" s="5" t="s">
        <v>249</v>
      </c>
      <c r="AJ824" s="4" t="s">
        <v>251</v>
      </c>
      <c r="AK824" s="4" t="s">
        <v>252</v>
      </c>
      <c r="BA824" s="4" t="s">
        <v>254</v>
      </c>
      <c r="BB824" s="4" t="s">
        <v>241</v>
      </c>
      <c r="BC824" s="4" t="s">
        <v>255</v>
      </c>
      <c r="BD824" s="4" t="s">
        <v>241</v>
      </c>
      <c r="BE824" s="4" t="s">
        <v>257</v>
      </c>
      <c r="BF824" s="4" t="s">
        <v>241</v>
      </c>
      <c r="BJ824" s="4" t="s">
        <v>374</v>
      </c>
      <c r="BK824" s="5" t="s">
        <v>375</v>
      </c>
      <c r="BL824" s="4" t="s">
        <v>261</v>
      </c>
      <c r="BM824" s="4" t="s">
        <v>262</v>
      </c>
      <c r="BN824" s="4" t="s">
        <v>241</v>
      </c>
      <c r="BO824" s="6">
        <f>0</f>
        <v>0</v>
      </c>
      <c r="BP824" s="6">
        <f>0</f>
        <v>0</v>
      </c>
      <c r="BQ824" s="4" t="s">
        <v>263</v>
      </c>
      <c r="BR824" s="4" t="s">
        <v>264</v>
      </c>
      <c r="CF824" s="4" t="s">
        <v>241</v>
      </c>
      <c r="CG824" s="4" t="s">
        <v>241</v>
      </c>
      <c r="CK824" s="4" t="s">
        <v>265</v>
      </c>
      <c r="CL824" s="4" t="s">
        <v>266</v>
      </c>
      <c r="CM824" s="4" t="s">
        <v>241</v>
      </c>
      <c r="CO824" s="4" t="s">
        <v>436</v>
      </c>
      <c r="CP824" s="5" t="s">
        <v>268</v>
      </c>
      <c r="CQ824" s="4" t="s">
        <v>269</v>
      </c>
      <c r="CR824" s="4" t="s">
        <v>270</v>
      </c>
      <c r="CS824" s="4" t="s">
        <v>241</v>
      </c>
      <c r="CT824" s="4" t="s">
        <v>241</v>
      </c>
      <c r="CU824" s="4">
        <v>0</v>
      </c>
      <c r="CV824" s="4" t="s">
        <v>271</v>
      </c>
      <c r="CW824" s="4" t="s">
        <v>411</v>
      </c>
      <c r="CX824" s="4" t="s">
        <v>2130</v>
      </c>
      <c r="CZ824" s="6">
        <f>15338400</f>
        <v>15338400</v>
      </c>
      <c r="DA824" s="6">
        <f>0</f>
        <v>0</v>
      </c>
      <c r="DC824" s="4" t="s">
        <v>241</v>
      </c>
      <c r="DD824" s="4" t="s">
        <v>241</v>
      </c>
      <c r="DF824" s="4" t="s">
        <v>241</v>
      </c>
      <c r="DI824" s="4" t="s">
        <v>241</v>
      </c>
      <c r="DJ824" s="4" t="s">
        <v>241</v>
      </c>
      <c r="DK824" s="4" t="s">
        <v>241</v>
      </c>
      <c r="DL824" s="4" t="s">
        <v>241</v>
      </c>
      <c r="DM824" s="4" t="s">
        <v>277</v>
      </c>
      <c r="DN824" s="4" t="s">
        <v>278</v>
      </c>
      <c r="DO824" s="6">
        <f>146.08</f>
        <v>146.08000000000001</v>
      </c>
      <c r="DP824" s="4" t="s">
        <v>241</v>
      </c>
      <c r="DQ824" s="4" t="s">
        <v>241</v>
      </c>
      <c r="DR824" s="4" t="s">
        <v>241</v>
      </c>
      <c r="DS824" s="4" t="s">
        <v>241</v>
      </c>
      <c r="DV824" s="4" t="s">
        <v>2274</v>
      </c>
      <c r="DW824" s="4" t="s">
        <v>323</v>
      </c>
      <c r="HO824" s="4" t="s">
        <v>277</v>
      </c>
      <c r="HR824" s="4" t="s">
        <v>278</v>
      </c>
      <c r="HS824" s="4" t="s">
        <v>278</v>
      </c>
    </row>
    <row r="825" spans="1:240" x14ac:dyDescent="0.4">
      <c r="A825" s="4">
        <v>2</v>
      </c>
      <c r="B825" s="4" t="s">
        <v>239</v>
      </c>
      <c r="C825" s="4">
        <v>892</v>
      </c>
      <c r="D825" s="4">
        <v>1</v>
      </c>
      <c r="E825" s="4">
        <v>1</v>
      </c>
      <c r="F825" s="4" t="s">
        <v>240</v>
      </c>
      <c r="G825" s="4" t="s">
        <v>241</v>
      </c>
      <c r="H825" s="4" t="s">
        <v>241</v>
      </c>
      <c r="I825" s="4" t="s">
        <v>2272</v>
      </c>
      <c r="J825" s="4" t="s">
        <v>344</v>
      </c>
      <c r="K825" s="4" t="s">
        <v>256</v>
      </c>
      <c r="L825" s="4" t="s">
        <v>2101</v>
      </c>
      <c r="M825" s="5" t="s">
        <v>2273</v>
      </c>
      <c r="N825" s="4" t="s">
        <v>2110</v>
      </c>
      <c r="O825" s="6">
        <f>146.08</f>
        <v>146.08000000000001</v>
      </c>
      <c r="P825" s="4" t="s">
        <v>276</v>
      </c>
      <c r="Q825" s="6">
        <f>1</f>
        <v>1</v>
      </c>
      <c r="R825" s="6">
        <f>15338400</f>
        <v>15338400</v>
      </c>
      <c r="S825" s="5" t="s">
        <v>434</v>
      </c>
      <c r="T825" s="4" t="s">
        <v>333</v>
      </c>
      <c r="U825" s="4" t="s">
        <v>437</v>
      </c>
      <c r="W825" s="6">
        <f>15338399</f>
        <v>15338399</v>
      </c>
      <c r="X825" s="4" t="s">
        <v>243</v>
      </c>
      <c r="Y825" s="4" t="s">
        <v>244</v>
      </c>
      <c r="Z825" s="4" t="s">
        <v>338</v>
      </c>
      <c r="AA825" s="4" t="s">
        <v>241</v>
      </c>
      <c r="AD825" s="4" t="s">
        <v>241</v>
      </c>
      <c r="AF825" s="5" t="s">
        <v>241</v>
      </c>
      <c r="AI825" s="5" t="s">
        <v>249</v>
      </c>
      <c r="AJ825" s="4" t="s">
        <v>251</v>
      </c>
      <c r="AK825" s="4" t="s">
        <v>252</v>
      </c>
      <c r="BA825" s="4" t="s">
        <v>254</v>
      </c>
      <c r="BB825" s="4" t="s">
        <v>241</v>
      </c>
      <c r="BC825" s="4" t="s">
        <v>255</v>
      </c>
      <c r="BD825" s="4" t="s">
        <v>241</v>
      </c>
      <c r="BE825" s="4" t="s">
        <v>257</v>
      </c>
      <c r="BF825" s="4" t="s">
        <v>241</v>
      </c>
      <c r="BJ825" s="4" t="s">
        <v>377</v>
      </c>
      <c r="BK825" s="5" t="s">
        <v>378</v>
      </c>
      <c r="BL825" s="4" t="s">
        <v>261</v>
      </c>
      <c r="BM825" s="4" t="s">
        <v>262</v>
      </c>
      <c r="BN825" s="4" t="s">
        <v>241</v>
      </c>
      <c r="BO825" s="6">
        <f>0</f>
        <v>0</v>
      </c>
      <c r="BP825" s="6">
        <f>0</f>
        <v>0</v>
      </c>
      <c r="BQ825" s="4" t="s">
        <v>263</v>
      </c>
      <c r="BR825" s="4" t="s">
        <v>264</v>
      </c>
      <c r="CF825" s="4" t="s">
        <v>241</v>
      </c>
      <c r="CG825" s="4" t="s">
        <v>241</v>
      </c>
      <c r="CK825" s="4" t="s">
        <v>265</v>
      </c>
      <c r="CL825" s="4" t="s">
        <v>266</v>
      </c>
      <c r="CM825" s="4" t="s">
        <v>241</v>
      </c>
      <c r="CO825" s="4" t="s">
        <v>436</v>
      </c>
      <c r="CP825" s="5" t="s">
        <v>268</v>
      </c>
      <c r="CQ825" s="4" t="s">
        <v>269</v>
      </c>
      <c r="CR825" s="4" t="s">
        <v>270</v>
      </c>
      <c r="CS825" s="4" t="s">
        <v>241</v>
      </c>
      <c r="CT825" s="4" t="s">
        <v>241</v>
      </c>
      <c r="CU825" s="4">
        <v>0</v>
      </c>
      <c r="CV825" s="4" t="s">
        <v>271</v>
      </c>
      <c r="CW825" s="4" t="s">
        <v>411</v>
      </c>
      <c r="CX825" s="4" t="s">
        <v>2130</v>
      </c>
      <c r="CZ825" s="6">
        <f>15338400</f>
        <v>15338400</v>
      </c>
      <c r="DA825" s="6">
        <f>0</f>
        <v>0</v>
      </c>
      <c r="DC825" s="4" t="s">
        <v>241</v>
      </c>
      <c r="DD825" s="4" t="s">
        <v>241</v>
      </c>
      <c r="DF825" s="4" t="s">
        <v>241</v>
      </c>
      <c r="DI825" s="4" t="s">
        <v>241</v>
      </c>
      <c r="DJ825" s="4" t="s">
        <v>241</v>
      </c>
      <c r="DK825" s="4" t="s">
        <v>241</v>
      </c>
      <c r="DL825" s="4" t="s">
        <v>241</v>
      </c>
      <c r="DM825" s="4" t="s">
        <v>277</v>
      </c>
      <c r="DN825" s="4" t="s">
        <v>278</v>
      </c>
      <c r="DO825" s="6">
        <f>146.08</f>
        <v>146.08000000000001</v>
      </c>
      <c r="DP825" s="4" t="s">
        <v>241</v>
      </c>
      <c r="DQ825" s="4" t="s">
        <v>241</v>
      </c>
      <c r="DR825" s="4" t="s">
        <v>241</v>
      </c>
      <c r="DS825" s="4" t="s">
        <v>241</v>
      </c>
      <c r="DV825" s="4" t="s">
        <v>2274</v>
      </c>
      <c r="DW825" s="4" t="s">
        <v>297</v>
      </c>
      <c r="HO825" s="4" t="s">
        <v>277</v>
      </c>
      <c r="HR825" s="4" t="s">
        <v>278</v>
      </c>
      <c r="HS825" s="4" t="s">
        <v>278</v>
      </c>
    </row>
    <row r="826" spans="1:240" x14ac:dyDescent="0.4">
      <c r="A826" s="4">
        <v>2</v>
      </c>
      <c r="B826" s="4" t="s">
        <v>239</v>
      </c>
      <c r="C826" s="4">
        <v>893</v>
      </c>
      <c r="D826" s="4">
        <v>1</v>
      </c>
      <c r="E826" s="4">
        <v>1</v>
      </c>
      <c r="F826" s="4" t="s">
        <v>240</v>
      </c>
      <c r="G826" s="4" t="s">
        <v>241</v>
      </c>
      <c r="H826" s="4" t="s">
        <v>241</v>
      </c>
      <c r="I826" s="4" t="s">
        <v>2272</v>
      </c>
      <c r="J826" s="4" t="s">
        <v>344</v>
      </c>
      <c r="K826" s="4" t="s">
        <v>256</v>
      </c>
      <c r="L826" s="4" t="s">
        <v>2101</v>
      </c>
      <c r="M826" s="5" t="s">
        <v>2273</v>
      </c>
      <c r="N826" s="4" t="s">
        <v>2122</v>
      </c>
      <c r="O826" s="6">
        <f>83.14</f>
        <v>83.14</v>
      </c>
      <c r="P826" s="4" t="s">
        <v>276</v>
      </c>
      <c r="Q826" s="6">
        <f>1</f>
        <v>1</v>
      </c>
      <c r="R826" s="6">
        <f>8729700</f>
        <v>8729700</v>
      </c>
      <c r="S826" s="5" t="s">
        <v>372</v>
      </c>
      <c r="T826" s="4" t="s">
        <v>333</v>
      </c>
      <c r="U826" s="4" t="s">
        <v>373</v>
      </c>
      <c r="W826" s="6">
        <f>8729699</f>
        <v>8729699</v>
      </c>
      <c r="X826" s="4" t="s">
        <v>243</v>
      </c>
      <c r="Y826" s="4" t="s">
        <v>244</v>
      </c>
      <c r="Z826" s="4" t="s">
        <v>338</v>
      </c>
      <c r="AA826" s="4" t="s">
        <v>241</v>
      </c>
      <c r="AD826" s="4" t="s">
        <v>241</v>
      </c>
      <c r="AF826" s="5" t="s">
        <v>241</v>
      </c>
      <c r="AI826" s="5" t="s">
        <v>249</v>
      </c>
      <c r="AJ826" s="4" t="s">
        <v>251</v>
      </c>
      <c r="AK826" s="4" t="s">
        <v>252</v>
      </c>
      <c r="BA826" s="4" t="s">
        <v>254</v>
      </c>
      <c r="BB826" s="4" t="s">
        <v>241</v>
      </c>
      <c r="BC826" s="4" t="s">
        <v>255</v>
      </c>
      <c r="BD826" s="4" t="s">
        <v>241</v>
      </c>
      <c r="BE826" s="4" t="s">
        <v>257</v>
      </c>
      <c r="BF826" s="4" t="s">
        <v>241</v>
      </c>
      <c r="BJ826" s="4" t="s">
        <v>259</v>
      </c>
      <c r="BK826" s="5" t="s">
        <v>260</v>
      </c>
      <c r="BL826" s="4" t="s">
        <v>261</v>
      </c>
      <c r="BM826" s="4" t="s">
        <v>262</v>
      </c>
      <c r="BN826" s="4" t="s">
        <v>241</v>
      </c>
      <c r="BO826" s="6">
        <f>0</f>
        <v>0</v>
      </c>
      <c r="BP826" s="6">
        <f>0</f>
        <v>0</v>
      </c>
      <c r="BQ826" s="4" t="s">
        <v>263</v>
      </c>
      <c r="BR826" s="4" t="s">
        <v>264</v>
      </c>
      <c r="CF826" s="4" t="s">
        <v>241</v>
      </c>
      <c r="CG826" s="4" t="s">
        <v>241</v>
      </c>
      <c r="CK826" s="4" t="s">
        <v>265</v>
      </c>
      <c r="CL826" s="4" t="s">
        <v>266</v>
      </c>
      <c r="CM826" s="4" t="s">
        <v>241</v>
      </c>
      <c r="CO826" s="4" t="s">
        <v>305</v>
      </c>
      <c r="CP826" s="5" t="s">
        <v>268</v>
      </c>
      <c r="CQ826" s="4" t="s">
        <v>269</v>
      </c>
      <c r="CR826" s="4" t="s">
        <v>270</v>
      </c>
      <c r="CS826" s="4" t="s">
        <v>241</v>
      </c>
      <c r="CT826" s="4" t="s">
        <v>241</v>
      </c>
      <c r="CU826" s="4">
        <v>0</v>
      </c>
      <c r="CV826" s="4" t="s">
        <v>271</v>
      </c>
      <c r="CW826" s="4" t="s">
        <v>411</v>
      </c>
      <c r="CX826" s="4" t="s">
        <v>2130</v>
      </c>
      <c r="CZ826" s="6">
        <f>8729700</f>
        <v>8729700</v>
      </c>
      <c r="DA826" s="6">
        <f>0</f>
        <v>0</v>
      </c>
      <c r="DC826" s="4" t="s">
        <v>241</v>
      </c>
      <c r="DD826" s="4" t="s">
        <v>241</v>
      </c>
      <c r="DF826" s="4" t="s">
        <v>241</v>
      </c>
      <c r="DI826" s="4" t="s">
        <v>241</v>
      </c>
      <c r="DJ826" s="4" t="s">
        <v>241</v>
      </c>
      <c r="DK826" s="4" t="s">
        <v>241</v>
      </c>
      <c r="DL826" s="4" t="s">
        <v>241</v>
      </c>
      <c r="DM826" s="4" t="s">
        <v>277</v>
      </c>
      <c r="DN826" s="4" t="s">
        <v>278</v>
      </c>
      <c r="DO826" s="6">
        <f>83.14</f>
        <v>83.14</v>
      </c>
      <c r="DP826" s="4" t="s">
        <v>241</v>
      </c>
      <c r="DQ826" s="4" t="s">
        <v>241</v>
      </c>
      <c r="DR826" s="4" t="s">
        <v>241</v>
      </c>
      <c r="DS826" s="4" t="s">
        <v>241</v>
      </c>
      <c r="DV826" s="4" t="s">
        <v>2274</v>
      </c>
      <c r="DW826" s="4" t="s">
        <v>336</v>
      </c>
      <c r="HO826" s="4" t="s">
        <v>277</v>
      </c>
      <c r="HR826" s="4" t="s">
        <v>278</v>
      </c>
      <c r="HS826" s="4" t="s">
        <v>278</v>
      </c>
    </row>
    <row r="827" spans="1:240" x14ac:dyDescent="0.4">
      <c r="A827" s="4">
        <v>2</v>
      </c>
      <c r="B827" s="4" t="s">
        <v>239</v>
      </c>
      <c r="C827" s="4">
        <v>894</v>
      </c>
      <c r="D827" s="4">
        <v>1</v>
      </c>
      <c r="E827" s="4">
        <v>1</v>
      </c>
      <c r="F827" s="4" t="s">
        <v>240</v>
      </c>
      <c r="G827" s="4" t="s">
        <v>241</v>
      </c>
      <c r="H827" s="4" t="s">
        <v>241</v>
      </c>
      <c r="I827" s="4" t="s">
        <v>2272</v>
      </c>
      <c r="J827" s="4" t="s">
        <v>344</v>
      </c>
      <c r="K827" s="4" t="s">
        <v>256</v>
      </c>
      <c r="L827" s="4" t="s">
        <v>2101</v>
      </c>
      <c r="M827" s="5" t="s">
        <v>2273</v>
      </c>
      <c r="N827" s="4" t="s">
        <v>2098</v>
      </c>
      <c r="O827" s="6">
        <f>83.14</f>
        <v>83.14</v>
      </c>
      <c r="P827" s="4" t="s">
        <v>276</v>
      </c>
      <c r="Q827" s="6">
        <f>1</f>
        <v>1</v>
      </c>
      <c r="R827" s="6">
        <f>8729700</f>
        <v>8729700</v>
      </c>
      <c r="S827" s="5" t="s">
        <v>372</v>
      </c>
      <c r="T827" s="4" t="s">
        <v>333</v>
      </c>
      <c r="U827" s="4" t="s">
        <v>373</v>
      </c>
      <c r="W827" s="6">
        <f>8729699</f>
        <v>8729699</v>
      </c>
      <c r="X827" s="4" t="s">
        <v>243</v>
      </c>
      <c r="Y827" s="4" t="s">
        <v>244</v>
      </c>
      <c r="Z827" s="4" t="s">
        <v>338</v>
      </c>
      <c r="AA827" s="4" t="s">
        <v>241</v>
      </c>
      <c r="AD827" s="4" t="s">
        <v>241</v>
      </c>
      <c r="AF827" s="5" t="s">
        <v>241</v>
      </c>
      <c r="AI827" s="5" t="s">
        <v>249</v>
      </c>
      <c r="AJ827" s="4" t="s">
        <v>251</v>
      </c>
      <c r="AK827" s="4" t="s">
        <v>252</v>
      </c>
      <c r="BA827" s="4" t="s">
        <v>254</v>
      </c>
      <c r="BB827" s="4" t="s">
        <v>241</v>
      </c>
      <c r="BC827" s="4" t="s">
        <v>255</v>
      </c>
      <c r="BD827" s="4" t="s">
        <v>241</v>
      </c>
      <c r="BE827" s="4" t="s">
        <v>257</v>
      </c>
      <c r="BF827" s="4" t="s">
        <v>241</v>
      </c>
      <c r="BJ827" s="4" t="s">
        <v>367</v>
      </c>
      <c r="BK827" s="5" t="s">
        <v>249</v>
      </c>
      <c r="BL827" s="4" t="s">
        <v>261</v>
      </c>
      <c r="BM827" s="4" t="s">
        <v>262</v>
      </c>
      <c r="BN827" s="4" t="s">
        <v>241</v>
      </c>
      <c r="BO827" s="6">
        <f>0</f>
        <v>0</v>
      </c>
      <c r="BP827" s="6">
        <f>0</f>
        <v>0</v>
      </c>
      <c r="BQ827" s="4" t="s">
        <v>263</v>
      </c>
      <c r="BR827" s="4" t="s">
        <v>264</v>
      </c>
      <c r="CF827" s="4" t="s">
        <v>241</v>
      </c>
      <c r="CG827" s="4" t="s">
        <v>241</v>
      </c>
      <c r="CK827" s="4" t="s">
        <v>265</v>
      </c>
      <c r="CL827" s="4" t="s">
        <v>266</v>
      </c>
      <c r="CM827" s="4" t="s">
        <v>241</v>
      </c>
      <c r="CO827" s="4" t="s">
        <v>305</v>
      </c>
      <c r="CP827" s="5" t="s">
        <v>268</v>
      </c>
      <c r="CQ827" s="4" t="s">
        <v>269</v>
      </c>
      <c r="CR827" s="4" t="s">
        <v>270</v>
      </c>
      <c r="CS827" s="4" t="s">
        <v>241</v>
      </c>
      <c r="CT827" s="4" t="s">
        <v>241</v>
      </c>
      <c r="CU827" s="4">
        <v>0</v>
      </c>
      <c r="CV827" s="4" t="s">
        <v>271</v>
      </c>
      <c r="CW827" s="4" t="s">
        <v>411</v>
      </c>
      <c r="CX827" s="4" t="s">
        <v>2130</v>
      </c>
      <c r="CZ827" s="6">
        <f>8729700</f>
        <v>8729700</v>
      </c>
      <c r="DA827" s="6">
        <f>0</f>
        <v>0</v>
      </c>
      <c r="DC827" s="4" t="s">
        <v>241</v>
      </c>
      <c r="DD827" s="4" t="s">
        <v>241</v>
      </c>
      <c r="DF827" s="4" t="s">
        <v>241</v>
      </c>
      <c r="DI827" s="4" t="s">
        <v>241</v>
      </c>
      <c r="DJ827" s="4" t="s">
        <v>241</v>
      </c>
      <c r="DK827" s="4" t="s">
        <v>241</v>
      </c>
      <c r="DL827" s="4" t="s">
        <v>241</v>
      </c>
      <c r="DM827" s="4" t="s">
        <v>277</v>
      </c>
      <c r="DN827" s="4" t="s">
        <v>278</v>
      </c>
      <c r="DO827" s="6">
        <f>83.14</f>
        <v>83.14</v>
      </c>
      <c r="DP827" s="4" t="s">
        <v>241</v>
      </c>
      <c r="DQ827" s="4" t="s">
        <v>241</v>
      </c>
      <c r="DR827" s="4" t="s">
        <v>241</v>
      </c>
      <c r="DS827" s="4" t="s">
        <v>241</v>
      </c>
      <c r="DV827" s="4" t="s">
        <v>2274</v>
      </c>
      <c r="DW827" s="4" t="s">
        <v>351</v>
      </c>
      <c r="HO827" s="4" t="s">
        <v>277</v>
      </c>
      <c r="HR827" s="4" t="s">
        <v>278</v>
      </c>
      <c r="HS827" s="4" t="s">
        <v>278</v>
      </c>
    </row>
    <row r="828" spans="1:240" x14ac:dyDescent="0.4">
      <c r="A828" s="4">
        <v>2</v>
      </c>
      <c r="B828" s="4" t="s">
        <v>239</v>
      </c>
      <c r="C828" s="4">
        <v>895</v>
      </c>
      <c r="D828" s="4">
        <v>1</v>
      </c>
      <c r="E828" s="4">
        <v>1</v>
      </c>
      <c r="F828" s="4" t="s">
        <v>240</v>
      </c>
      <c r="G828" s="4" t="s">
        <v>241</v>
      </c>
      <c r="H828" s="4" t="s">
        <v>241</v>
      </c>
      <c r="I828" s="4" t="s">
        <v>2272</v>
      </c>
      <c r="J828" s="4" t="s">
        <v>344</v>
      </c>
      <c r="K828" s="4" t="s">
        <v>256</v>
      </c>
      <c r="L828" s="4" t="s">
        <v>2101</v>
      </c>
      <c r="M828" s="5" t="s">
        <v>2273</v>
      </c>
      <c r="N828" s="4" t="s">
        <v>2191</v>
      </c>
      <c r="O828" s="6">
        <f>83.14</f>
        <v>83.14</v>
      </c>
      <c r="P828" s="4" t="s">
        <v>276</v>
      </c>
      <c r="Q828" s="6">
        <f>1</f>
        <v>1</v>
      </c>
      <c r="R828" s="6">
        <f>8729700</f>
        <v>8729700</v>
      </c>
      <c r="S828" s="5" t="s">
        <v>372</v>
      </c>
      <c r="T828" s="4" t="s">
        <v>333</v>
      </c>
      <c r="U828" s="4" t="s">
        <v>373</v>
      </c>
      <c r="W828" s="6">
        <f>8729699</f>
        <v>8729699</v>
      </c>
      <c r="X828" s="4" t="s">
        <v>243</v>
      </c>
      <c r="Y828" s="4" t="s">
        <v>244</v>
      </c>
      <c r="Z828" s="4" t="s">
        <v>338</v>
      </c>
      <c r="AA828" s="4" t="s">
        <v>241</v>
      </c>
      <c r="AD828" s="4" t="s">
        <v>241</v>
      </c>
      <c r="AF828" s="5" t="s">
        <v>241</v>
      </c>
      <c r="AI828" s="5" t="s">
        <v>380</v>
      </c>
      <c r="AJ828" s="4" t="s">
        <v>251</v>
      </c>
      <c r="AK828" s="4" t="s">
        <v>252</v>
      </c>
      <c r="BA828" s="4" t="s">
        <v>254</v>
      </c>
      <c r="BB828" s="4" t="s">
        <v>241</v>
      </c>
      <c r="BC828" s="4" t="s">
        <v>255</v>
      </c>
      <c r="BD828" s="4" t="s">
        <v>241</v>
      </c>
      <c r="BE828" s="4" t="s">
        <v>257</v>
      </c>
      <c r="BF828" s="4" t="s">
        <v>241</v>
      </c>
      <c r="BJ828" s="4" t="s">
        <v>377</v>
      </c>
      <c r="BK828" s="5" t="s">
        <v>380</v>
      </c>
      <c r="BL828" s="4" t="s">
        <v>261</v>
      </c>
      <c r="BM828" s="4" t="s">
        <v>262</v>
      </c>
      <c r="BN828" s="4" t="s">
        <v>241</v>
      </c>
      <c r="BO828" s="6">
        <f>0</f>
        <v>0</v>
      </c>
      <c r="BP828" s="6">
        <f>0</f>
        <v>0</v>
      </c>
      <c r="BQ828" s="4" t="s">
        <v>263</v>
      </c>
      <c r="BR828" s="4" t="s">
        <v>264</v>
      </c>
      <c r="CF828" s="4" t="s">
        <v>241</v>
      </c>
      <c r="CG828" s="4" t="s">
        <v>241</v>
      </c>
      <c r="CK828" s="4" t="s">
        <v>265</v>
      </c>
      <c r="CL828" s="4" t="s">
        <v>266</v>
      </c>
      <c r="CM828" s="4" t="s">
        <v>241</v>
      </c>
      <c r="CO828" s="4" t="s">
        <v>305</v>
      </c>
      <c r="CP828" s="5" t="s">
        <v>268</v>
      </c>
      <c r="CQ828" s="4" t="s">
        <v>269</v>
      </c>
      <c r="CR828" s="4" t="s">
        <v>270</v>
      </c>
      <c r="CS828" s="4" t="s">
        <v>241</v>
      </c>
      <c r="CT828" s="4" t="s">
        <v>241</v>
      </c>
      <c r="CU828" s="4">
        <v>0</v>
      </c>
      <c r="CV828" s="4" t="s">
        <v>271</v>
      </c>
      <c r="CW828" s="4" t="s">
        <v>411</v>
      </c>
      <c r="CX828" s="4" t="s">
        <v>2130</v>
      </c>
      <c r="CZ828" s="6">
        <f>8729700</f>
        <v>8729700</v>
      </c>
      <c r="DA828" s="6">
        <f>0</f>
        <v>0</v>
      </c>
      <c r="DC828" s="4" t="s">
        <v>241</v>
      </c>
      <c r="DD828" s="4" t="s">
        <v>241</v>
      </c>
      <c r="DF828" s="4" t="s">
        <v>241</v>
      </c>
      <c r="DI828" s="4" t="s">
        <v>241</v>
      </c>
      <c r="DJ828" s="4" t="s">
        <v>241</v>
      </c>
      <c r="DK828" s="4" t="s">
        <v>241</v>
      </c>
      <c r="DL828" s="4" t="s">
        <v>241</v>
      </c>
      <c r="DM828" s="4" t="s">
        <v>277</v>
      </c>
      <c r="DN828" s="4" t="s">
        <v>278</v>
      </c>
      <c r="DO828" s="6">
        <f>83.14</f>
        <v>83.14</v>
      </c>
      <c r="DP828" s="4" t="s">
        <v>241</v>
      </c>
      <c r="DQ828" s="4" t="s">
        <v>241</v>
      </c>
      <c r="DR828" s="4" t="s">
        <v>241</v>
      </c>
      <c r="DS828" s="4" t="s">
        <v>241</v>
      </c>
      <c r="DV828" s="4" t="s">
        <v>2274</v>
      </c>
      <c r="DW828" s="4" t="s">
        <v>300</v>
      </c>
      <c r="HO828" s="4" t="s">
        <v>277</v>
      </c>
      <c r="HR828" s="4" t="s">
        <v>278</v>
      </c>
      <c r="HS828" s="4" t="s">
        <v>278</v>
      </c>
    </row>
    <row r="829" spans="1:240" x14ac:dyDescent="0.4">
      <c r="A829" s="4">
        <v>2</v>
      </c>
      <c r="B829" s="4" t="s">
        <v>239</v>
      </c>
      <c r="C829" s="4">
        <v>896</v>
      </c>
      <c r="D829" s="4">
        <v>1</v>
      </c>
      <c r="E829" s="4">
        <v>1</v>
      </c>
      <c r="F829" s="4" t="s">
        <v>240</v>
      </c>
      <c r="G829" s="4" t="s">
        <v>241</v>
      </c>
      <c r="H829" s="4" t="s">
        <v>241</v>
      </c>
      <c r="I829" s="4" t="s">
        <v>2272</v>
      </c>
      <c r="J829" s="4" t="s">
        <v>344</v>
      </c>
      <c r="K829" s="4" t="s">
        <v>256</v>
      </c>
      <c r="L829" s="4" t="s">
        <v>2101</v>
      </c>
      <c r="M829" s="5" t="s">
        <v>2273</v>
      </c>
      <c r="N829" s="4" t="s">
        <v>2192</v>
      </c>
      <c r="O829" s="6">
        <f>89.8</f>
        <v>89.8</v>
      </c>
      <c r="P829" s="4" t="s">
        <v>276</v>
      </c>
      <c r="Q829" s="6">
        <f>1</f>
        <v>1</v>
      </c>
      <c r="R829" s="6">
        <f>9429000</f>
        <v>9429000</v>
      </c>
      <c r="S829" s="5" t="s">
        <v>372</v>
      </c>
      <c r="T829" s="4" t="s">
        <v>333</v>
      </c>
      <c r="U829" s="4" t="s">
        <v>373</v>
      </c>
      <c r="W829" s="6">
        <f>9428999</f>
        <v>9428999</v>
      </c>
      <c r="X829" s="4" t="s">
        <v>243</v>
      </c>
      <c r="Y829" s="4" t="s">
        <v>244</v>
      </c>
      <c r="Z829" s="4" t="s">
        <v>338</v>
      </c>
      <c r="AA829" s="4" t="s">
        <v>241</v>
      </c>
      <c r="AD829" s="4" t="s">
        <v>241</v>
      </c>
      <c r="AF829" s="5" t="s">
        <v>241</v>
      </c>
      <c r="AI829" s="5" t="s">
        <v>380</v>
      </c>
      <c r="AJ829" s="4" t="s">
        <v>251</v>
      </c>
      <c r="AK829" s="4" t="s">
        <v>252</v>
      </c>
      <c r="BA829" s="4" t="s">
        <v>254</v>
      </c>
      <c r="BB829" s="4" t="s">
        <v>241</v>
      </c>
      <c r="BC829" s="4" t="s">
        <v>255</v>
      </c>
      <c r="BD829" s="4" t="s">
        <v>241</v>
      </c>
      <c r="BE829" s="4" t="s">
        <v>257</v>
      </c>
      <c r="BF829" s="4" t="s">
        <v>241</v>
      </c>
      <c r="BJ829" s="4" t="s">
        <v>377</v>
      </c>
      <c r="BK829" s="5" t="s">
        <v>378</v>
      </c>
      <c r="BL829" s="4" t="s">
        <v>261</v>
      </c>
      <c r="BM829" s="4" t="s">
        <v>262</v>
      </c>
      <c r="BN829" s="4" t="s">
        <v>241</v>
      </c>
      <c r="BO829" s="6">
        <f>0</f>
        <v>0</v>
      </c>
      <c r="BP829" s="6">
        <f>0</f>
        <v>0</v>
      </c>
      <c r="BQ829" s="4" t="s">
        <v>263</v>
      </c>
      <c r="BR829" s="4" t="s">
        <v>264</v>
      </c>
      <c r="CF829" s="4" t="s">
        <v>241</v>
      </c>
      <c r="CG829" s="4" t="s">
        <v>241</v>
      </c>
      <c r="CK829" s="4" t="s">
        <v>265</v>
      </c>
      <c r="CL829" s="4" t="s">
        <v>266</v>
      </c>
      <c r="CM829" s="4" t="s">
        <v>241</v>
      </c>
      <c r="CO829" s="4" t="s">
        <v>305</v>
      </c>
      <c r="CP829" s="5" t="s">
        <v>268</v>
      </c>
      <c r="CQ829" s="4" t="s">
        <v>269</v>
      </c>
      <c r="CR829" s="4" t="s">
        <v>270</v>
      </c>
      <c r="CS829" s="4" t="s">
        <v>241</v>
      </c>
      <c r="CT829" s="4" t="s">
        <v>241</v>
      </c>
      <c r="CU829" s="4">
        <v>0</v>
      </c>
      <c r="CV829" s="4" t="s">
        <v>271</v>
      </c>
      <c r="CW829" s="4" t="s">
        <v>411</v>
      </c>
      <c r="CX829" s="4" t="s">
        <v>2130</v>
      </c>
      <c r="CZ829" s="6">
        <f>9429000</f>
        <v>9429000</v>
      </c>
      <c r="DA829" s="6">
        <f>0</f>
        <v>0</v>
      </c>
      <c r="DC829" s="4" t="s">
        <v>241</v>
      </c>
      <c r="DD829" s="4" t="s">
        <v>241</v>
      </c>
      <c r="DF829" s="4" t="s">
        <v>241</v>
      </c>
      <c r="DI829" s="4" t="s">
        <v>241</v>
      </c>
      <c r="DJ829" s="4" t="s">
        <v>241</v>
      </c>
      <c r="DK829" s="4" t="s">
        <v>241</v>
      </c>
      <c r="DL829" s="4" t="s">
        <v>241</v>
      </c>
      <c r="DM829" s="4" t="s">
        <v>277</v>
      </c>
      <c r="DN829" s="4" t="s">
        <v>278</v>
      </c>
      <c r="DO829" s="6">
        <f>89.8</f>
        <v>89.8</v>
      </c>
      <c r="DP829" s="4" t="s">
        <v>241</v>
      </c>
      <c r="DQ829" s="4" t="s">
        <v>241</v>
      </c>
      <c r="DR829" s="4" t="s">
        <v>241</v>
      </c>
      <c r="DS829" s="4" t="s">
        <v>241</v>
      </c>
      <c r="DV829" s="4" t="s">
        <v>2274</v>
      </c>
      <c r="DW829" s="4" t="s">
        <v>341</v>
      </c>
      <c r="HO829" s="4" t="s">
        <v>277</v>
      </c>
      <c r="HR829" s="4" t="s">
        <v>278</v>
      </c>
      <c r="HS829" s="4" t="s">
        <v>278</v>
      </c>
    </row>
    <row r="830" spans="1:240" x14ac:dyDescent="0.4">
      <c r="A830" s="4">
        <v>2</v>
      </c>
      <c r="B830" s="4" t="s">
        <v>239</v>
      </c>
      <c r="C830" s="4">
        <v>897</v>
      </c>
      <c r="D830" s="4">
        <v>1</v>
      </c>
      <c r="E830" s="4">
        <v>1</v>
      </c>
      <c r="F830" s="4" t="s">
        <v>240</v>
      </c>
      <c r="G830" s="4" t="s">
        <v>241</v>
      </c>
      <c r="H830" s="4" t="s">
        <v>241</v>
      </c>
      <c r="I830" s="4" t="s">
        <v>2510</v>
      </c>
      <c r="J830" s="4" t="s">
        <v>344</v>
      </c>
      <c r="K830" s="4" t="s">
        <v>256</v>
      </c>
      <c r="L830" s="4" t="s">
        <v>2101</v>
      </c>
      <c r="M830" s="5" t="s">
        <v>2511</v>
      </c>
      <c r="N830" s="4" t="s">
        <v>2104</v>
      </c>
      <c r="O830" s="6">
        <f>332.82</f>
        <v>332.82</v>
      </c>
      <c r="P830" s="4" t="s">
        <v>276</v>
      </c>
      <c r="Q830" s="6">
        <f>1</f>
        <v>1</v>
      </c>
      <c r="R830" s="6">
        <f>34946100</f>
        <v>34946100</v>
      </c>
      <c r="S830" s="5" t="s">
        <v>954</v>
      </c>
      <c r="T830" s="4" t="s">
        <v>333</v>
      </c>
      <c r="U830" s="4" t="s">
        <v>333</v>
      </c>
      <c r="W830" s="6">
        <f>34946099</f>
        <v>34946099</v>
      </c>
      <c r="X830" s="4" t="s">
        <v>243</v>
      </c>
      <c r="Y830" s="4" t="s">
        <v>244</v>
      </c>
      <c r="Z830" s="4" t="s">
        <v>338</v>
      </c>
      <c r="AA830" s="4" t="s">
        <v>241</v>
      </c>
      <c r="AD830" s="4" t="s">
        <v>241</v>
      </c>
      <c r="AF830" s="5" t="s">
        <v>241</v>
      </c>
      <c r="AI830" s="5" t="s">
        <v>380</v>
      </c>
      <c r="AJ830" s="4" t="s">
        <v>251</v>
      </c>
      <c r="AK830" s="4" t="s">
        <v>252</v>
      </c>
      <c r="BA830" s="4" t="s">
        <v>254</v>
      </c>
      <c r="BB830" s="4" t="s">
        <v>241</v>
      </c>
      <c r="BC830" s="4" t="s">
        <v>255</v>
      </c>
      <c r="BD830" s="4" t="s">
        <v>241</v>
      </c>
      <c r="BE830" s="4" t="s">
        <v>257</v>
      </c>
      <c r="BF830" s="4" t="s">
        <v>241</v>
      </c>
      <c r="BJ830" s="4" t="s">
        <v>259</v>
      </c>
      <c r="BK830" s="5" t="s">
        <v>260</v>
      </c>
      <c r="BL830" s="4" t="s">
        <v>261</v>
      </c>
      <c r="BM830" s="4" t="s">
        <v>290</v>
      </c>
      <c r="BN830" s="4" t="s">
        <v>241</v>
      </c>
      <c r="BO830" s="6">
        <f>0</f>
        <v>0</v>
      </c>
      <c r="BP830" s="6">
        <f>0</f>
        <v>0</v>
      </c>
      <c r="BQ830" s="4" t="s">
        <v>263</v>
      </c>
      <c r="BR830" s="4" t="s">
        <v>264</v>
      </c>
      <c r="CF830" s="4" t="s">
        <v>241</v>
      </c>
      <c r="CG830" s="4" t="s">
        <v>241</v>
      </c>
      <c r="CK830" s="4" t="s">
        <v>265</v>
      </c>
      <c r="CL830" s="4" t="s">
        <v>266</v>
      </c>
      <c r="CM830" s="4" t="s">
        <v>241</v>
      </c>
      <c r="CO830" s="4" t="s">
        <v>956</v>
      </c>
      <c r="CP830" s="5" t="s">
        <v>268</v>
      </c>
      <c r="CQ830" s="4" t="s">
        <v>269</v>
      </c>
      <c r="CR830" s="4" t="s">
        <v>270</v>
      </c>
      <c r="CS830" s="4" t="s">
        <v>241</v>
      </c>
      <c r="CT830" s="4" t="s">
        <v>241</v>
      </c>
      <c r="CU830" s="4">
        <v>0</v>
      </c>
      <c r="CV830" s="4" t="s">
        <v>271</v>
      </c>
      <c r="CW830" s="4" t="s">
        <v>411</v>
      </c>
      <c r="CX830" s="4" t="s">
        <v>2130</v>
      </c>
      <c r="CZ830" s="6">
        <f>34946100</f>
        <v>34946100</v>
      </c>
      <c r="DA830" s="6">
        <f>0</f>
        <v>0</v>
      </c>
      <c r="DC830" s="4" t="s">
        <v>241</v>
      </c>
      <c r="DD830" s="4" t="s">
        <v>241</v>
      </c>
      <c r="DF830" s="4" t="s">
        <v>241</v>
      </c>
      <c r="DI830" s="4" t="s">
        <v>241</v>
      </c>
      <c r="DJ830" s="4" t="s">
        <v>241</v>
      </c>
      <c r="DK830" s="4" t="s">
        <v>241</v>
      </c>
      <c r="DL830" s="4" t="s">
        <v>241</v>
      </c>
      <c r="DM830" s="4" t="s">
        <v>323</v>
      </c>
      <c r="DN830" s="4" t="s">
        <v>278</v>
      </c>
      <c r="DO830" s="6">
        <f>332.82</f>
        <v>332.82</v>
      </c>
      <c r="DP830" s="4" t="s">
        <v>241</v>
      </c>
      <c r="DQ830" s="4" t="s">
        <v>241</v>
      </c>
      <c r="DR830" s="4" t="s">
        <v>241</v>
      </c>
      <c r="DS830" s="4" t="s">
        <v>241</v>
      </c>
      <c r="DV830" s="4" t="s">
        <v>2512</v>
      </c>
      <c r="DW830" s="4" t="s">
        <v>277</v>
      </c>
      <c r="HO830" s="4" t="s">
        <v>323</v>
      </c>
      <c r="HR830" s="4" t="s">
        <v>278</v>
      </c>
      <c r="HS830" s="4" t="s">
        <v>278</v>
      </c>
    </row>
    <row r="831" spans="1:240" x14ac:dyDescent="0.4">
      <c r="A831" s="4">
        <v>2</v>
      </c>
      <c r="B831" s="4" t="s">
        <v>239</v>
      </c>
      <c r="C831" s="4">
        <v>898</v>
      </c>
      <c r="D831" s="4">
        <v>1</v>
      </c>
      <c r="E831" s="4">
        <v>1</v>
      </c>
      <c r="F831" s="4" t="s">
        <v>240</v>
      </c>
      <c r="G831" s="4" t="s">
        <v>241</v>
      </c>
      <c r="H831" s="4" t="s">
        <v>241</v>
      </c>
      <c r="I831" s="4" t="s">
        <v>2510</v>
      </c>
      <c r="J831" s="4" t="s">
        <v>344</v>
      </c>
      <c r="K831" s="4" t="s">
        <v>256</v>
      </c>
      <c r="L831" s="4" t="s">
        <v>2101</v>
      </c>
      <c r="M831" s="5" t="s">
        <v>2511</v>
      </c>
      <c r="N831" s="4" t="s">
        <v>2109</v>
      </c>
      <c r="O831" s="6">
        <f>221.88</f>
        <v>221.88</v>
      </c>
      <c r="P831" s="4" t="s">
        <v>276</v>
      </c>
      <c r="Q831" s="6">
        <f>1</f>
        <v>1</v>
      </c>
      <c r="R831" s="6">
        <f>23297400</f>
        <v>23297400</v>
      </c>
      <c r="S831" s="5" t="s">
        <v>954</v>
      </c>
      <c r="T831" s="4" t="s">
        <v>333</v>
      </c>
      <c r="U831" s="4" t="s">
        <v>333</v>
      </c>
      <c r="W831" s="6">
        <f>23297399</f>
        <v>23297399</v>
      </c>
      <c r="X831" s="4" t="s">
        <v>243</v>
      </c>
      <c r="Y831" s="4" t="s">
        <v>244</v>
      </c>
      <c r="Z831" s="4" t="s">
        <v>338</v>
      </c>
      <c r="AA831" s="4" t="s">
        <v>241</v>
      </c>
      <c r="AD831" s="4" t="s">
        <v>241</v>
      </c>
      <c r="AF831" s="5" t="s">
        <v>241</v>
      </c>
      <c r="AI831" s="5" t="s">
        <v>249</v>
      </c>
      <c r="AJ831" s="4" t="s">
        <v>251</v>
      </c>
      <c r="AK831" s="4" t="s">
        <v>252</v>
      </c>
      <c r="BA831" s="4" t="s">
        <v>254</v>
      </c>
      <c r="BB831" s="4" t="s">
        <v>241</v>
      </c>
      <c r="BC831" s="4" t="s">
        <v>255</v>
      </c>
      <c r="BD831" s="4" t="s">
        <v>241</v>
      </c>
      <c r="BE831" s="4" t="s">
        <v>257</v>
      </c>
      <c r="BF831" s="4" t="s">
        <v>241</v>
      </c>
      <c r="BJ831" s="4" t="s">
        <v>367</v>
      </c>
      <c r="BK831" s="5" t="s">
        <v>249</v>
      </c>
      <c r="BL831" s="4" t="s">
        <v>261</v>
      </c>
      <c r="BM831" s="4" t="s">
        <v>290</v>
      </c>
      <c r="BN831" s="4" t="s">
        <v>241</v>
      </c>
      <c r="BO831" s="6">
        <f>0</f>
        <v>0</v>
      </c>
      <c r="BP831" s="6">
        <f>0</f>
        <v>0</v>
      </c>
      <c r="BQ831" s="4" t="s">
        <v>263</v>
      </c>
      <c r="BR831" s="4" t="s">
        <v>264</v>
      </c>
      <c r="CF831" s="4" t="s">
        <v>241</v>
      </c>
      <c r="CG831" s="4" t="s">
        <v>241</v>
      </c>
      <c r="CK831" s="4" t="s">
        <v>265</v>
      </c>
      <c r="CL831" s="4" t="s">
        <v>266</v>
      </c>
      <c r="CM831" s="4" t="s">
        <v>241</v>
      </c>
      <c r="CO831" s="4" t="s">
        <v>956</v>
      </c>
      <c r="CP831" s="5" t="s">
        <v>268</v>
      </c>
      <c r="CQ831" s="4" t="s">
        <v>269</v>
      </c>
      <c r="CR831" s="4" t="s">
        <v>270</v>
      </c>
      <c r="CS831" s="4" t="s">
        <v>241</v>
      </c>
      <c r="CT831" s="4" t="s">
        <v>241</v>
      </c>
      <c r="CU831" s="4">
        <v>0</v>
      </c>
      <c r="CV831" s="4" t="s">
        <v>271</v>
      </c>
      <c r="CW831" s="4" t="s">
        <v>411</v>
      </c>
      <c r="CX831" s="4" t="s">
        <v>2130</v>
      </c>
      <c r="CZ831" s="6">
        <f>23297400</f>
        <v>23297400</v>
      </c>
      <c r="DA831" s="6">
        <f>0</f>
        <v>0</v>
      </c>
      <c r="DC831" s="4" t="s">
        <v>241</v>
      </c>
      <c r="DD831" s="4" t="s">
        <v>241</v>
      </c>
      <c r="DF831" s="4" t="s">
        <v>241</v>
      </c>
      <c r="DI831" s="4" t="s">
        <v>241</v>
      </c>
      <c r="DJ831" s="4" t="s">
        <v>241</v>
      </c>
      <c r="DK831" s="4" t="s">
        <v>241</v>
      </c>
      <c r="DL831" s="4" t="s">
        <v>241</v>
      </c>
      <c r="DM831" s="4" t="s">
        <v>323</v>
      </c>
      <c r="DN831" s="4" t="s">
        <v>278</v>
      </c>
      <c r="DO831" s="6">
        <f>221.88</f>
        <v>221.88</v>
      </c>
      <c r="DP831" s="4" t="s">
        <v>241</v>
      </c>
      <c r="DQ831" s="4" t="s">
        <v>241</v>
      </c>
      <c r="DR831" s="4" t="s">
        <v>241</v>
      </c>
      <c r="DS831" s="4" t="s">
        <v>241</v>
      </c>
      <c r="DV831" s="4" t="s">
        <v>2512</v>
      </c>
      <c r="DW831" s="4" t="s">
        <v>323</v>
      </c>
      <c r="HO831" s="4" t="s">
        <v>323</v>
      </c>
      <c r="HR831" s="4" t="s">
        <v>278</v>
      </c>
      <c r="HS831" s="4" t="s">
        <v>278</v>
      </c>
    </row>
    <row r="832" spans="1:240" x14ac:dyDescent="0.4">
      <c r="A832" s="4">
        <v>2</v>
      </c>
      <c r="B832" s="4" t="s">
        <v>239</v>
      </c>
      <c r="C832" s="4">
        <v>899</v>
      </c>
      <c r="D832" s="4">
        <v>1</v>
      </c>
      <c r="E832" s="4">
        <v>1</v>
      </c>
      <c r="F832" s="4" t="s">
        <v>240</v>
      </c>
      <c r="G832" s="4" t="s">
        <v>241</v>
      </c>
      <c r="H832" s="4" t="s">
        <v>241</v>
      </c>
      <c r="I832" s="4" t="s">
        <v>2510</v>
      </c>
      <c r="J832" s="4" t="s">
        <v>344</v>
      </c>
      <c r="K832" s="4" t="s">
        <v>256</v>
      </c>
      <c r="L832" s="4" t="s">
        <v>2101</v>
      </c>
      <c r="M832" s="5" t="s">
        <v>2511</v>
      </c>
      <c r="N832" s="4" t="s">
        <v>2110</v>
      </c>
      <c r="O832" s="6">
        <f>183.96</f>
        <v>183.96</v>
      </c>
      <c r="P832" s="4" t="s">
        <v>276</v>
      </c>
      <c r="Q832" s="6">
        <f>1</f>
        <v>1</v>
      </c>
      <c r="R832" s="6">
        <f>19315800</f>
        <v>19315800</v>
      </c>
      <c r="S832" s="5" t="s">
        <v>954</v>
      </c>
      <c r="T832" s="4" t="s">
        <v>333</v>
      </c>
      <c r="U832" s="4" t="s">
        <v>333</v>
      </c>
      <c r="W832" s="6">
        <f>19315799</f>
        <v>19315799</v>
      </c>
      <c r="X832" s="4" t="s">
        <v>243</v>
      </c>
      <c r="Y832" s="4" t="s">
        <v>244</v>
      </c>
      <c r="Z832" s="4" t="s">
        <v>338</v>
      </c>
      <c r="AA832" s="4" t="s">
        <v>241</v>
      </c>
      <c r="AD832" s="4" t="s">
        <v>241</v>
      </c>
      <c r="AF832" s="5" t="s">
        <v>241</v>
      </c>
      <c r="AI832" s="5" t="s">
        <v>249</v>
      </c>
      <c r="AJ832" s="4" t="s">
        <v>251</v>
      </c>
      <c r="AK832" s="4" t="s">
        <v>252</v>
      </c>
      <c r="BA832" s="4" t="s">
        <v>254</v>
      </c>
      <c r="BB832" s="4" t="s">
        <v>241</v>
      </c>
      <c r="BC832" s="4" t="s">
        <v>255</v>
      </c>
      <c r="BD832" s="4" t="s">
        <v>241</v>
      </c>
      <c r="BE832" s="4" t="s">
        <v>257</v>
      </c>
      <c r="BF832" s="4" t="s">
        <v>241</v>
      </c>
      <c r="BJ832" s="4" t="s">
        <v>374</v>
      </c>
      <c r="BK832" s="5" t="s">
        <v>375</v>
      </c>
      <c r="BL832" s="4" t="s">
        <v>261</v>
      </c>
      <c r="BM832" s="4" t="s">
        <v>290</v>
      </c>
      <c r="BN832" s="4" t="s">
        <v>241</v>
      </c>
      <c r="BO832" s="6">
        <f>0</f>
        <v>0</v>
      </c>
      <c r="BP832" s="6">
        <f>0</f>
        <v>0</v>
      </c>
      <c r="BQ832" s="4" t="s">
        <v>263</v>
      </c>
      <c r="BR832" s="4" t="s">
        <v>264</v>
      </c>
      <c r="CF832" s="4" t="s">
        <v>241</v>
      </c>
      <c r="CG832" s="4" t="s">
        <v>241</v>
      </c>
      <c r="CK832" s="4" t="s">
        <v>265</v>
      </c>
      <c r="CL832" s="4" t="s">
        <v>266</v>
      </c>
      <c r="CM832" s="4" t="s">
        <v>241</v>
      </c>
      <c r="CO832" s="4" t="s">
        <v>956</v>
      </c>
      <c r="CP832" s="5" t="s">
        <v>268</v>
      </c>
      <c r="CQ832" s="4" t="s">
        <v>269</v>
      </c>
      <c r="CR832" s="4" t="s">
        <v>270</v>
      </c>
      <c r="CS832" s="4" t="s">
        <v>241</v>
      </c>
      <c r="CT832" s="4" t="s">
        <v>241</v>
      </c>
      <c r="CU832" s="4">
        <v>0</v>
      </c>
      <c r="CV832" s="4" t="s">
        <v>271</v>
      </c>
      <c r="CW832" s="4" t="s">
        <v>411</v>
      </c>
      <c r="CX832" s="4" t="s">
        <v>2130</v>
      </c>
      <c r="CZ832" s="6">
        <f>19315800</f>
        <v>19315800</v>
      </c>
      <c r="DA832" s="6">
        <f>0</f>
        <v>0</v>
      </c>
      <c r="DC832" s="4" t="s">
        <v>241</v>
      </c>
      <c r="DD832" s="4" t="s">
        <v>241</v>
      </c>
      <c r="DF832" s="4" t="s">
        <v>241</v>
      </c>
      <c r="DI832" s="4" t="s">
        <v>241</v>
      </c>
      <c r="DJ832" s="4" t="s">
        <v>241</v>
      </c>
      <c r="DK832" s="4" t="s">
        <v>241</v>
      </c>
      <c r="DL832" s="4" t="s">
        <v>241</v>
      </c>
      <c r="DM832" s="4" t="s">
        <v>323</v>
      </c>
      <c r="DN832" s="4" t="s">
        <v>278</v>
      </c>
      <c r="DO832" s="6">
        <f>183.96</f>
        <v>183.96</v>
      </c>
      <c r="DP832" s="4" t="s">
        <v>241</v>
      </c>
      <c r="DQ832" s="4" t="s">
        <v>241</v>
      </c>
      <c r="DR832" s="4" t="s">
        <v>241</v>
      </c>
      <c r="DS832" s="4" t="s">
        <v>241</v>
      </c>
      <c r="DV832" s="4" t="s">
        <v>2512</v>
      </c>
      <c r="DW832" s="4" t="s">
        <v>297</v>
      </c>
      <c r="HO832" s="4" t="s">
        <v>323</v>
      </c>
      <c r="HR832" s="4" t="s">
        <v>278</v>
      </c>
      <c r="HS832" s="4" t="s">
        <v>278</v>
      </c>
    </row>
    <row r="833" spans="1:240" x14ac:dyDescent="0.4">
      <c r="A833" s="4">
        <v>2</v>
      </c>
      <c r="B833" s="4" t="s">
        <v>239</v>
      </c>
      <c r="C833" s="4">
        <v>900</v>
      </c>
      <c r="D833" s="4">
        <v>1</v>
      </c>
      <c r="E833" s="4">
        <v>1</v>
      </c>
      <c r="F833" s="4" t="s">
        <v>240</v>
      </c>
      <c r="G833" s="4" t="s">
        <v>241</v>
      </c>
      <c r="H833" s="4" t="s">
        <v>241</v>
      </c>
      <c r="I833" s="4" t="s">
        <v>2510</v>
      </c>
      <c r="J833" s="4" t="s">
        <v>344</v>
      </c>
      <c r="K833" s="4" t="s">
        <v>256</v>
      </c>
      <c r="L833" s="4" t="s">
        <v>2101</v>
      </c>
      <c r="M833" s="5" t="s">
        <v>2511</v>
      </c>
      <c r="N833" s="4" t="s">
        <v>2122</v>
      </c>
      <c r="O833" s="6">
        <f>429.24</f>
        <v>429.24</v>
      </c>
      <c r="P833" s="4" t="s">
        <v>276</v>
      </c>
      <c r="Q833" s="6">
        <f>1</f>
        <v>1</v>
      </c>
      <c r="R833" s="6">
        <f>45070200</f>
        <v>45070200</v>
      </c>
      <c r="S833" s="5" t="s">
        <v>954</v>
      </c>
      <c r="T833" s="4" t="s">
        <v>333</v>
      </c>
      <c r="U833" s="4" t="s">
        <v>333</v>
      </c>
      <c r="W833" s="6">
        <f>45070199</f>
        <v>45070199</v>
      </c>
      <c r="X833" s="4" t="s">
        <v>243</v>
      </c>
      <c r="Y833" s="4" t="s">
        <v>244</v>
      </c>
      <c r="Z833" s="4" t="s">
        <v>338</v>
      </c>
      <c r="AA833" s="4" t="s">
        <v>241</v>
      </c>
      <c r="AD833" s="4" t="s">
        <v>241</v>
      </c>
      <c r="AF833" s="5" t="s">
        <v>241</v>
      </c>
      <c r="AI833" s="5" t="s">
        <v>249</v>
      </c>
      <c r="AJ833" s="4" t="s">
        <v>251</v>
      </c>
      <c r="AK833" s="4" t="s">
        <v>252</v>
      </c>
      <c r="BA833" s="4" t="s">
        <v>254</v>
      </c>
      <c r="BB833" s="4" t="s">
        <v>241</v>
      </c>
      <c r="BC833" s="4" t="s">
        <v>255</v>
      </c>
      <c r="BD833" s="4" t="s">
        <v>241</v>
      </c>
      <c r="BE833" s="4" t="s">
        <v>257</v>
      </c>
      <c r="BF833" s="4" t="s">
        <v>241</v>
      </c>
      <c r="BJ833" s="4" t="s">
        <v>377</v>
      </c>
      <c r="BK833" s="5" t="s">
        <v>378</v>
      </c>
      <c r="BL833" s="4" t="s">
        <v>261</v>
      </c>
      <c r="BM833" s="4" t="s">
        <v>290</v>
      </c>
      <c r="BN833" s="4" t="s">
        <v>241</v>
      </c>
      <c r="BO833" s="6">
        <f>0</f>
        <v>0</v>
      </c>
      <c r="BP833" s="6">
        <f>0</f>
        <v>0</v>
      </c>
      <c r="BQ833" s="4" t="s">
        <v>263</v>
      </c>
      <c r="BR833" s="4" t="s">
        <v>264</v>
      </c>
      <c r="CF833" s="4" t="s">
        <v>241</v>
      </c>
      <c r="CG833" s="4" t="s">
        <v>241</v>
      </c>
      <c r="CK833" s="4" t="s">
        <v>265</v>
      </c>
      <c r="CL833" s="4" t="s">
        <v>266</v>
      </c>
      <c r="CM833" s="4" t="s">
        <v>241</v>
      </c>
      <c r="CO833" s="4" t="s">
        <v>956</v>
      </c>
      <c r="CP833" s="5" t="s">
        <v>268</v>
      </c>
      <c r="CQ833" s="4" t="s">
        <v>269</v>
      </c>
      <c r="CR833" s="4" t="s">
        <v>270</v>
      </c>
      <c r="CS833" s="4" t="s">
        <v>241</v>
      </c>
      <c r="CT833" s="4" t="s">
        <v>241</v>
      </c>
      <c r="CU833" s="4">
        <v>0</v>
      </c>
      <c r="CV833" s="4" t="s">
        <v>271</v>
      </c>
      <c r="CW833" s="4" t="s">
        <v>411</v>
      </c>
      <c r="CX833" s="4" t="s">
        <v>2130</v>
      </c>
      <c r="CZ833" s="6">
        <f>45070200</f>
        <v>45070200</v>
      </c>
      <c r="DA833" s="6">
        <f>0</f>
        <v>0</v>
      </c>
      <c r="DC833" s="4" t="s">
        <v>241</v>
      </c>
      <c r="DD833" s="4" t="s">
        <v>241</v>
      </c>
      <c r="DF833" s="4" t="s">
        <v>241</v>
      </c>
      <c r="DI833" s="4" t="s">
        <v>241</v>
      </c>
      <c r="DJ833" s="4" t="s">
        <v>241</v>
      </c>
      <c r="DK833" s="4" t="s">
        <v>241</v>
      </c>
      <c r="DL833" s="4" t="s">
        <v>241</v>
      </c>
      <c r="DM833" s="4" t="s">
        <v>323</v>
      </c>
      <c r="DN833" s="4" t="s">
        <v>278</v>
      </c>
      <c r="DO833" s="6">
        <f>429.24</f>
        <v>429.24</v>
      </c>
      <c r="DP833" s="4" t="s">
        <v>241</v>
      </c>
      <c r="DQ833" s="4" t="s">
        <v>241</v>
      </c>
      <c r="DR833" s="4" t="s">
        <v>241</v>
      </c>
      <c r="DS833" s="4" t="s">
        <v>241</v>
      </c>
      <c r="DV833" s="4" t="s">
        <v>2512</v>
      </c>
      <c r="DW833" s="4" t="s">
        <v>336</v>
      </c>
      <c r="HO833" s="4" t="s">
        <v>323</v>
      </c>
      <c r="HR833" s="4" t="s">
        <v>278</v>
      </c>
      <c r="HS833" s="4" t="s">
        <v>278</v>
      </c>
    </row>
    <row r="834" spans="1:240" x14ac:dyDescent="0.4">
      <c r="A834" s="4">
        <v>2</v>
      </c>
      <c r="B834" s="4" t="s">
        <v>239</v>
      </c>
      <c r="C834" s="4">
        <v>901</v>
      </c>
      <c r="D834" s="4">
        <v>1</v>
      </c>
      <c r="E834" s="4">
        <v>1</v>
      </c>
      <c r="F834" s="4" t="s">
        <v>240</v>
      </c>
      <c r="G834" s="4" t="s">
        <v>241</v>
      </c>
      <c r="H834" s="4" t="s">
        <v>241</v>
      </c>
      <c r="I834" s="4" t="s">
        <v>2510</v>
      </c>
      <c r="J834" s="4" t="s">
        <v>344</v>
      </c>
      <c r="K834" s="4" t="s">
        <v>256</v>
      </c>
      <c r="L834" s="4" t="s">
        <v>2101</v>
      </c>
      <c r="M834" s="5" t="s">
        <v>2511</v>
      </c>
      <c r="N834" s="4" t="s">
        <v>2098</v>
      </c>
      <c r="O834" s="6">
        <f>263.96</f>
        <v>263.95999999999998</v>
      </c>
      <c r="P834" s="4" t="s">
        <v>276</v>
      </c>
      <c r="Q834" s="6">
        <f>1</f>
        <v>1</v>
      </c>
      <c r="R834" s="6">
        <f>27715800</f>
        <v>27715800</v>
      </c>
      <c r="S834" s="5" t="s">
        <v>1088</v>
      </c>
      <c r="T834" s="4" t="s">
        <v>333</v>
      </c>
      <c r="U834" s="4" t="s">
        <v>333</v>
      </c>
      <c r="W834" s="6">
        <f>27715799</f>
        <v>27715799</v>
      </c>
      <c r="X834" s="4" t="s">
        <v>243</v>
      </c>
      <c r="Y834" s="4" t="s">
        <v>244</v>
      </c>
      <c r="Z834" s="4" t="s">
        <v>338</v>
      </c>
      <c r="AA834" s="4" t="s">
        <v>241</v>
      </c>
      <c r="AD834" s="4" t="s">
        <v>241</v>
      </c>
      <c r="AF834" s="5" t="s">
        <v>241</v>
      </c>
      <c r="AI834" s="5" t="s">
        <v>249</v>
      </c>
      <c r="AJ834" s="4" t="s">
        <v>251</v>
      </c>
      <c r="AK834" s="4" t="s">
        <v>252</v>
      </c>
      <c r="BA834" s="4" t="s">
        <v>254</v>
      </c>
      <c r="BB834" s="4" t="s">
        <v>241</v>
      </c>
      <c r="BC834" s="4" t="s">
        <v>255</v>
      </c>
      <c r="BD834" s="4" t="s">
        <v>241</v>
      </c>
      <c r="BE834" s="4" t="s">
        <v>257</v>
      </c>
      <c r="BF834" s="4" t="s">
        <v>241</v>
      </c>
      <c r="BJ834" s="4" t="s">
        <v>259</v>
      </c>
      <c r="BK834" s="5" t="s">
        <v>260</v>
      </c>
      <c r="BL834" s="4" t="s">
        <v>261</v>
      </c>
      <c r="BM834" s="4" t="s">
        <v>290</v>
      </c>
      <c r="BN834" s="4" t="s">
        <v>241</v>
      </c>
      <c r="BO834" s="6">
        <f>0</f>
        <v>0</v>
      </c>
      <c r="BP834" s="6">
        <f>0</f>
        <v>0</v>
      </c>
      <c r="BQ834" s="4" t="s">
        <v>263</v>
      </c>
      <c r="BR834" s="4" t="s">
        <v>264</v>
      </c>
      <c r="CF834" s="4" t="s">
        <v>241</v>
      </c>
      <c r="CG834" s="4" t="s">
        <v>241</v>
      </c>
      <c r="CK834" s="4" t="s">
        <v>265</v>
      </c>
      <c r="CL834" s="4" t="s">
        <v>266</v>
      </c>
      <c r="CM834" s="4" t="s">
        <v>241</v>
      </c>
      <c r="CO834" s="4" t="s">
        <v>914</v>
      </c>
      <c r="CP834" s="5" t="s">
        <v>268</v>
      </c>
      <c r="CQ834" s="4" t="s">
        <v>269</v>
      </c>
      <c r="CR834" s="4" t="s">
        <v>270</v>
      </c>
      <c r="CS834" s="4" t="s">
        <v>241</v>
      </c>
      <c r="CT834" s="4" t="s">
        <v>241</v>
      </c>
      <c r="CU834" s="4">
        <v>0</v>
      </c>
      <c r="CV834" s="4" t="s">
        <v>271</v>
      </c>
      <c r="CW834" s="4" t="s">
        <v>411</v>
      </c>
      <c r="CX834" s="4" t="s">
        <v>2130</v>
      </c>
      <c r="CZ834" s="6">
        <f>27715800</f>
        <v>27715800</v>
      </c>
      <c r="DA834" s="6">
        <f>0</f>
        <v>0</v>
      </c>
      <c r="DC834" s="4" t="s">
        <v>241</v>
      </c>
      <c r="DD834" s="4" t="s">
        <v>241</v>
      </c>
      <c r="DF834" s="4" t="s">
        <v>241</v>
      </c>
      <c r="DI834" s="4" t="s">
        <v>241</v>
      </c>
      <c r="DJ834" s="4" t="s">
        <v>241</v>
      </c>
      <c r="DK834" s="4" t="s">
        <v>241</v>
      </c>
      <c r="DL834" s="4" t="s">
        <v>241</v>
      </c>
      <c r="DM834" s="4" t="s">
        <v>323</v>
      </c>
      <c r="DN834" s="4" t="s">
        <v>278</v>
      </c>
      <c r="DO834" s="6">
        <f>263.96</f>
        <v>263.95999999999998</v>
      </c>
      <c r="DP834" s="4" t="s">
        <v>241</v>
      </c>
      <c r="DQ834" s="4" t="s">
        <v>241</v>
      </c>
      <c r="DR834" s="4" t="s">
        <v>241</v>
      </c>
      <c r="DS834" s="4" t="s">
        <v>241</v>
      </c>
      <c r="DV834" s="4" t="s">
        <v>2512</v>
      </c>
      <c r="DW834" s="4" t="s">
        <v>351</v>
      </c>
      <c r="HO834" s="4" t="s">
        <v>297</v>
      </c>
      <c r="HR834" s="4" t="s">
        <v>278</v>
      </c>
      <c r="HS834" s="4" t="s">
        <v>278</v>
      </c>
    </row>
    <row r="835" spans="1:240" x14ac:dyDescent="0.4">
      <c r="A835" s="4">
        <v>2</v>
      </c>
      <c r="B835" s="4" t="s">
        <v>239</v>
      </c>
      <c r="C835" s="4">
        <v>902</v>
      </c>
      <c r="D835" s="4">
        <v>1</v>
      </c>
      <c r="E835" s="4">
        <v>1</v>
      </c>
      <c r="F835" s="4" t="s">
        <v>240</v>
      </c>
      <c r="G835" s="4" t="s">
        <v>241</v>
      </c>
      <c r="H835" s="4" t="s">
        <v>241</v>
      </c>
      <c r="I835" s="4" t="s">
        <v>2507</v>
      </c>
      <c r="J835" s="4" t="s">
        <v>344</v>
      </c>
      <c r="K835" s="4" t="s">
        <v>256</v>
      </c>
      <c r="L835" s="4" t="s">
        <v>2101</v>
      </c>
      <c r="M835" s="5" t="s">
        <v>2508</v>
      </c>
      <c r="N835" s="4" t="s">
        <v>2104</v>
      </c>
      <c r="O835" s="6">
        <f>131.98</f>
        <v>131.97999999999999</v>
      </c>
      <c r="P835" s="4" t="s">
        <v>276</v>
      </c>
      <c r="Q835" s="6">
        <f>1</f>
        <v>1</v>
      </c>
      <c r="R835" s="6">
        <f>13857900</f>
        <v>13857900</v>
      </c>
      <c r="S835" s="5" t="s">
        <v>1088</v>
      </c>
      <c r="T835" s="4" t="s">
        <v>333</v>
      </c>
      <c r="U835" s="4" t="s">
        <v>333</v>
      </c>
      <c r="W835" s="6">
        <f>13857899</f>
        <v>13857899</v>
      </c>
      <c r="X835" s="4" t="s">
        <v>243</v>
      </c>
      <c r="Y835" s="4" t="s">
        <v>244</v>
      </c>
      <c r="Z835" s="4" t="s">
        <v>338</v>
      </c>
      <c r="AA835" s="4" t="s">
        <v>241</v>
      </c>
      <c r="AD835" s="4" t="s">
        <v>241</v>
      </c>
      <c r="AF835" s="5" t="s">
        <v>241</v>
      </c>
      <c r="AI835" s="5" t="s">
        <v>249</v>
      </c>
      <c r="AJ835" s="4" t="s">
        <v>251</v>
      </c>
      <c r="AK835" s="4" t="s">
        <v>252</v>
      </c>
      <c r="BA835" s="4" t="s">
        <v>254</v>
      </c>
      <c r="BB835" s="4" t="s">
        <v>241</v>
      </c>
      <c r="BC835" s="4" t="s">
        <v>255</v>
      </c>
      <c r="BD835" s="4" t="s">
        <v>241</v>
      </c>
      <c r="BE835" s="4" t="s">
        <v>257</v>
      </c>
      <c r="BF835" s="4" t="s">
        <v>241</v>
      </c>
      <c r="BJ835" s="4" t="s">
        <v>367</v>
      </c>
      <c r="BK835" s="5" t="s">
        <v>249</v>
      </c>
      <c r="BL835" s="4" t="s">
        <v>261</v>
      </c>
      <c r="BM835" s="4" t="s">
        <v>290</v>
      </c>
      <c r="BN835" s="4" t="s">
        <v>241</v>
      </c>
      <c r="BO835" s="6">
        <f>0</f>
        <v>0</v>
      </c>
      <c r="BP835" s="6">
        <f>0</f>
        <v>0</v>
      </c>
      <c r="BQ835" s="4" t="s">
        <v>263</v>
      </c>
      <c r="BR835" s="4" t="s">
        <v>264</v>
      </c>
      <c r="CF835" s="4" t="s">
        <v>241</v>
      </c>
      <c r="CG835" s="4" t="s">
        <v>241</v>
      </c>
      <c r="CK835" s="4" t="s">
        <v>265</v>
      </c>
      <c r="CL835" s="4" t="s">
        <v>266</v>
      </c>
      <c r="CM835" s="4" t="s">
        <v>241</v>
      </c>
      <c r="CO835" s="4" t="s">
        <v>914</v>
      </c>
      <c r="CP835" s="5" t="s">
        <v>268</v>
      </c>
      <c r="CQ835" s="4" t="s">
        <v>269</v>
      </c>
      <c r="CR835" s="4" t="s">
        <v>270</v>
      </c>
      <c r="CS835" s="4" t="s">
        <v>241</v>
      </c>
      <c r="CT835" s="4" t="s">
        <v>241</v>
      </c>
      <c r="CU835" s="4">
        <v>0</v>
      </c>
      <c r="CV835" s="4" t="s">
        <v>271</v>
      </c>
      <c r="CW835" s="4" t="s">
        <v>411</v>
      </c>
      <c r="CX835" s="4" t="s">
        <v>2130</v>
      </c>
      <c r="CZ835" s="6">
        <f>13857900</f>
        <v>13857900</v>
      </c>
      <c r="DA835" s="6">
        <f>0</f>
        <v>0</v>
      </c>
      <c r="DC835" s="4" t="s">
        <v>241</v>
      </c>
      <c r="DD835" s="4" t="s">
        <v>241</v>
      </c>
      <c r="DF835" s="4" t="s">
        <v>241</v>
      </c>
      <c r="DI835" s="4" t="s">
        <v>241</v>
      </c>
      <c r="DJ835" s="4" t="s">
        <v>241</v>
      </c>
      <c r="DK835" s="4" t="s">
        <v>241</v>
      </c>
      <c r="DL835" s="4" t="s">
        <v>241</v>
      </c>
      <c r="DM835" s="4" t="s">
        <v>323</v>
      </c>
      <c r="DN835" s="4" t="s">
        <v>278</v>
      </c>
      <c r="DO835" s="6">
        <f>131.98</f>
        <v>131.97999999999999</v>
      </c>
      <c r="DP835" s="4" t="s">
        <v>241</v>
      </c>
      <c r="DQ835" s="4" t="s">
        <v>241</v>
      </c>
      <c r="DR835" s="4" t="s">
        <v>241</v>
      </c>
      <c r="DS835" s="4" t="s">
        <v>241</v>
      </c>
      <c r="DV835" s="4" t="s">
        <v>2509</v>
      </c>
      <c r="DW835" s="4" t="s">
        <v>277</v>
      </c>
      <c r="HO835" s="4" t="s">
        <v>297</v>
      </c>
      <c r="HR835" s="4" t="s">
        <v>278</v>
      </c>
      <c r="HS835" s="4" t="s">
        <v>278</v>
      </c>
    </row>
    <row r="836" spans="1:240" x14ac:dyDescent="0.4">
      <c r="A836" s="4">
        <v>2</v>
      </c>
      <c r="B836" s="4" t="s">
        <v>239</v>
      </c>
      <c r="C836" s="4">
        <v>903</v>
      </c>
      <c r="D836" s="4">
        <v>1</v>
      </c>
      <c r="E836" s="4">
        <v>1</v>
      </c>
      <c r="F836" s="4" t="s">
        <v>240</v>
      </c>
      <c r="G836" s="4" t="s">
        <v>241</v>
      </c>
      <c r="H836" s="4" t="s">
        <v>241</v>
      </c>
      <c r="I836" s="4" t="s">
        <v>2507</v>
      </c>
      <c r="J836" s="4" t="s">
        <v>344</v>
      </c>
      <c r="K836" s="4" t="s">
        <v>256</v>
      </c>
      <c r="L836" s="4" t="s">
        <v>2101</v>
      </c>
      <c r="M836" s="5" t="s">
        <v>2508</v>
      </c>
      <c r="N836" s="4" t="s">
        <v>2110</v>
      </c>
      <c r="O836" s="6">
        <f>221.88</f>
        <v>221.88</v>
      </c>
      <c r="P836" s="4" t="s">
        <v>276</v>
      </c>
      <c r="Q836" s="6">
        <f>1</f>
        <v>1</v>
      </c>
      <c r="R836" s="6">
        <f>23297400</f>
        <v>23297400</v>
      </c>
      <c r="S836" s="5" t="s">
        <v>1088</v>
      </c>
      <c r="T836" s="4" t="s">
        <v>333</v>
      </c>
      <c r="U836" s="4" t="s">
        <v>333</v>
      </c>
      <c r="W836" s="6">
        <f>23297399</f>
        <v>23297399</v>
      </c>
      <c r="X836" s="4" t="s">
        <v>243</v>
      </c>
      <c r="Y836" s="4" t="s">
        <v>244</v>
      </c>
      <c r="Z836" s="4" t="s">
        <v>338</v>
      </c>
      <c r="AA836" s="4" t="s">
        <v>241</v>
      </c>
      <c r="AD836" s="4" t="s">
        <v>241</v>
      </c>
      <c r="AF836" s="5" t="s">
        <v>241</v>
      </c>
      <c r="AI836" s="5" t="s">
        <v>249</v>
      </c>
      <c r="AJ836" s="4" t="s">
        <v>251</v>
      </c>
      <c r="AK836" s="4" t="s">
        <v>252</v>
      </c>
      <c r="BA836" s="4" t="s">
        <v>254</v>
      </c>
      <c r="BB836" s="4" t="s">
        <v>241</v>
      </c>
      <c r="BC836" s="4" t="s">
        <v>255</v>
      </c>
      <c r="BD836" s="4" t="s">
        <v>241</v>
      </c>
      <c r="BE836" s="4" t="s">
        <v>257</v>
      </c>
      <c r="BF836" s="4" t="s">
        <v>241</v>
      </c>
      <c r="BJ836" s="4" t="s">
        <v>374</v>
      </c>
      <c r="BK836" s="5" t="s">
        <v>375</v>
      </c>
      <c r="BL836" s="4" t="s">
        <v>261</v>
      </c>
      <c r="BM836" s="4" t="s">
        <v>290</v>
      </c>
      <c r="BN836" s="4" t="s">
        <v>241</v>
      </c>
      <c r="BO836" s="6">
        <f>0</f>
        <v>0</v>
      </c>
      <c r="BP836" s="6">
        <f>0</f>
        <v>0</v>
      </c>
      <c r="BQ836" s="4" t="s">
        <v>263</v>
      </c>
      <c r="BR836" s="4" t="s">
        <v>264</v>
      </c>
      <c r="CF836" s="4" t="s">
        <v>241</v>
      </c>
      <c r="CG836" s="4" t="s">
        <v>241</v>
      </c>
      <c r="CK836" s="4" t="s">
        <v>265</v>
      </c>
      <c r="CL836" s="4" t="s">
        <v>266</v>
      </c>
      <c r="CM836" s="4" t="s">
        <v>241</v>
      </c>
      <c r="CO836" s="4" t="s">
        <v>914</v>
      </c>
      <c r="CP836" s="5" t="s">
        <v>268</v>
      </c>
      <c r="CQ836" s="4" t="s">
        <v>269</v>
      </c>
      <c r="CR836" s="4" t="s">
        <v>270</v>
      </c>
      <c r="CS836" s="4" t="s">
        <v>241</v>
      </c>
      <c r="CT836" s="4" t="s">
        <v>241</v>
      </c>
      <c r="CU836" s="4">
        <v>0</v>
      </c>
      <c r="CV836" s="4" t="s">
        <v>271</v>
      </c>
      <c r="CW836" s="4" t="s">
        <v>411</v>
      </c>
      <c r="CX836" s="4" t="s">
        <v>2130</v>
      </c>
      <c r="CZ836" s="6">
        <f>23297400</f>
        <v>23297400</v>
      </c>
      <c r="DA836" s="6">
        <f>0</f>
        <v>0</v>
      </c>
      <c r="DC836" s="4" t="s">
        <v>241</v>
      </c>
      <c r="DD836" s="4" t="s">
        <v>241</v>
      </c>
      <c r="DF836" s="4" t="s">
        <v>241</v>
      </c>
      <c r="DI836" s="4" t="s">
        <v>241</v>
      </c>
      <c r="DJ836" s="4" t="s">
        <v>241</v>
      </c>
      <c r="DK836" s="4" t="s">
        <v>241</v>
      </c>
      <c r="DL836" s="4" t="s">
        <v>241</v>
      </c>
      <c r="DM836" s="4" t="s">
        <v>323</v>
      </c>
      <c r="DN836" s="4" t="s">
        <v>278</v>
      </c>
      <c r="DO836" s="6">
        <f>221.88</f>
        <v>221.88</v>
      </c>
      <c r="DP836" s="4" t="s">
        <v>241</v>
      </c>
      <c r="DQ836" s="4" t="s">
        <v>241</v>
      </c>
      <c r="DR836" s="4" t="s">
        <v>241</v>
      </c>
      <c r="DS836" s="4" t="s">
        <v>241</v>
      </c>
      <c r="DV836" s="4" t="s">
        <v>2509</v>
      </c>
      <c r="DW836" s="4" t="s">
        <v>323</v>
      </c>
      <c r="HO836" s="4" t="s">
        <v>297</v>
      </c>
      <c r="HR836" s="4" t="s">
        <v>278</v>
      </c>
      <c r="HS836" s="4" t="s">
        <v>278</v>
      </c>
    </row>
    <row r="837" spans="1:240" x14ac:dyDescent="0.4">
      <c r="A837" s="4">
        <v>2</v>
      </c>
      <c r="B837" s="4" t="s">
        <v>239</v>
      </c>
      <c r="C837" s="4">
        <v>904</v>
      </c>
      <c r="D837" s="4">
        <v>1</v>
      </c>
      <c r="E837" s="4">
        <v>1</v>
      </c>
      <c r="F837" s="4" t="s">
        <v>240</v>
      </c>
      <c r="G837" s="4" t="s">
        <v>241</v>
      </c>
      <c r="H837" s="4" t="s">
        <v>241</v>
      </c>
      <c r="I837" s="4" t="s">
        <v>2507</v>
      </c>
      <c r="J837" s="4" t="s">
        <v>344</v>
      </c>
      <c r="K837" s="4" t="s">
        <v>256</v>
      </c>
      <c r="L837" s="4" t="s">
        <v>2101</v>
      </c>
      <c r="M837" s="5" t="s">
        <v>2508</v>
      </c>
      <c r="N837" s="4" t="s">
        <v>2109</v>
      </c>
      <c r="O837" s="6">
        <f>166.41</f>
        <v>166.41</v>
      </c>
      <c r="P837" s="4" t="s">
        <v>276</v>
      </c>
      <c r="Q837" s="6">
        <f>1</f>
        <v>1</v>
      </c>
      <c r="R837" s="6">
        <f>17473050</f>
        <v>17473050</v>
      </c>
      <c r="S837" s="5" t="s">
        <v>1088</v>
      </c>
      <c r="T837" s="4" t="s">
        <v>333</v>
      </c>
      <c r="U837" s="4" t="s">
        <v>333</v>
      </c>
      <c r="W837" s="6">
        <f>17473049</f>
        <v>17473049</v>
      </c>
      <c r="X837" s="4" t="s">
        <v>243</v>
      </c>
      <c r="Y837" s="4" t="s">
        <v>244</v>
      </c>
      <c r="Z837" s="4" t="s">
        <v>338</v>
      </c>
      <c r="AA837" s="4" t="s">
        <v>241</v>
      </c>
      <c r="AD837" s="4" t="s">
        <v>241</v>
      </c>
      <c r="AF837" s="5" t="s">
        <v>241</v>
      </c>
      <c r="AI837" s="5" t="s">
        <v>249</v>
      </c>
      <c r="AJ837" s="4" t="s">
        <v>251</v>
      </c>
      <c r="AK837" s="4" t="s">
        <v>252</v>
      </c>
      <c r="BA837" s="4" t="s">
        <v>254</v>
      </c>
      <c r="BB837" s="4" t="s">
        <v>241</v>
      </c>
      <c r="BC837" s="4" t="s">
        <v>255</v>
      </c>
      <c r="BD837" s="4" t="s">
        <v>241</v>
      </c>
      <c r="BE837" s="4" t="s">
        <v>257</v>
      </c>
      <c r="BF837" s="4" t="s">
        <v>241</v>
      </c>
      <c r="BJ837" s="4" t="s">
        <v>377</v>
      </c>
      <c r="BK837" s="5" t="s">
        <v>378</v>
      </c>
      <c r="BL837" s="4" t="s">
        <v>261</v>
      </c>
      <c r="BM837" s="4" t="s">
        <v>290</v>
      </c>
      <c r="BN837" s="4" t="s">
        <v>241</v>
      </c>
      <c r="BO837" s="6">
        <f>0</f>
        <v>0</v>
      </c>
      <c r="BP837" s="6">
        <f>0</f>
        <v>0</v>
      </c>
      <c r="BQ837" s="4" t="s">
        <v>263</v>
      </c>
      <c r="BR837" s="4" t="s">
        <v>264</v>
      </c>
      <c r="CF837" s="4" t="s">
        <v>241</v>
      </c>
      <c r="CG837" s="4" t="s">
        <v>241</v>
      </c>
      <c r="CK837" s="4" t="s">
        <v>265</v>
      </c>
      <c r="CL837" s="4" t="s">
        <v>266</v>
      </c>
      <c r="CM837" s="4" t="s">
        <v>241</v>
      </c>
      <c r="CO837" s="4" t="s">
        <v>914</v>
      </c>
      <c r="CP837" s="5" t="s">
        <v>268</v>
      </c>
      <c r="CQ837" s="4" t="s">
        <v>269</v>
      </c>
      <c r="CR837" s="4" t="s">
        <v>270</v>
      </c>
      <c r="CS837" s="4" t="s">
        <v>241</v>
      </c>
      <c r="CT837" s="4" t="s">
        <v>241</v>
      </c>
      <c r="CU837" s="4">
        <v>0</v>
      </c>
      <c r="CV837" s="4" t="s">
        <v>271</v>
      </c>
      <c r="CW837" s="4" t="s">
        <v>411</v>
      </c>
      <c r="CX837" s="4" t="s">
        <v>2130</v>
      </c>
      <c r="CZ837" s="6">
        <f>17473050</f>
        <v>17473050</v>
      </c>
      <c r="DA837" s="6">
        <f>0</f>
        <v>0</v>
      </c>
      <c r="DC837" s="4" t="s">
        <v>241</v>
      </c>
      <c r="DD837" s="4" t="s">
        <v>241</v>
      </c>
      <c r="DF837" s="4" t="s">
        <v>241</v>
      </c>
      <c r="DI837" s="4" t="s">
        <v>241</v>
      </c>
      <c r="DJ837" s="4" t="s">
        <v>241</v>
      </c>
      <c r="DK837" s="4" t="s">
        <v>241</v>
      </c>
      <c r="DL837" s="4" t="s">
        <v>241</v>
      </c>
      <c r="DM837" s="4" t="s">
        <v>323</v>
      </c>
      <c r="DN837" s="4" t="s">
        <v>278</v>
      </c>
      <c r="DO837" s="6">
        <f>166.41</f>
        <v>166.41</v>
      </c>
      <c r="DP837" s="4" t="s">
        <v>241</v>
      </c>
      <c r="DQ837" s="4" t="s">
        <v>241</v>
      </c>
      <c r="DR837" s="4" t="s">
        <v>241</v>
      </c>
      <c r="DS837" s="4" t="s">
        <v>241</v>
      </c>
      <c r="DV837" s="4" t="s">
        <v>2509</v>
      </c>
      <c r="DW837" s="4" t="s">
        <v>297</v>
      </c>
      <c r="HO837" s="4" t="s">
        <v>297</v>
      </c>
      <c r="HR837" s="4" t="s">
        <v>278</v>
      </c>
      <c r="HS837" s="4" t="s">
        <v>278</v>
      </c>
    </row>
    <row r="838" spans="1:240" x14ac:dyDescent="0.4">
      <c r="A838" s="4">
        <v>2</v>
      </c>
      <c r="B838" s="4" t="s">
        <v>239</v>
      </c>
      <c r="C838" s="4">
        <v>905</v>
      </c>
      <c r="D838" s="4">
        <v>1</v>
      </c>
      <c r="E838" s="4">
        <v>1</v>
      </c>
      <c r="F838" s="4" t="s">
        <v>240</v>
      </c>
      <c r="G838" s="4" t="s">
        <v>241</v>
      </c>
      <c r="H838" s="4" t="s">
        <v>241</v>
      </c>
      <c r="I838" s="4" t="s">
        <v>2507</v>
      </c>
      <c r="J838" s="4" t="s">
        <v>344</v>
      </c>
      <c r="K838" s="4" t="s">
        <v>256</v>
      </c>
      <c r="L838" s="4" t="s">
        <v>2101</v>
      </c>
      <c r="M838" s="5" t="s">
        <v>2508</v>
      </c>
      <c r="N838" s="4" t="s">
        <v>2122</v>
      </c>
      <c r="O838" s="6">
        <f>221.88</f>
        <v>221.88</v>
      </c>
      <c r="P838" s="4" t="s">
        <v>276</v>
      </c>
      <c r="Q838" s="6">
        <f>1</f>
        <v>1</v>
      </c>
      <c r="R838" s="6">
        <f>23297400</f>
        <v>23297400</v>
      </c>
      <c r="S838" s="5" t="s">
        <v>1088</v>
      </c>
      <c r="T838" s="4" t="s">
        <v>333</v>
      </c>
      <c r="U838" s="4" t="s">
        <v>333</v>
      </c>
      <c r="W838" s="6">
        <f>23297399</f>
        <v>23297399</v>
      </c>
      <c r="X838" s="4" t="s">
        <v>243</v>
      </c>
      <c r="Y838" s="4" t="s">
        <v>244</v>
      </c>
      <c r="Z838" s="4" t="s">
        <v>338</v>
      </c>
      <c r="AA838" s="4" t="s">
        <v>241</v>
      </c>
      <c r="AD838" s="4" t="s">
        <v>241</v>
      </c>
      <c r="AF838" s="5" t="s">
        <v>241</v>
      </c>
      <c r="AI838" s="5" t="s">
        <v>249</v>
      </c>
      <c r="AJ838" s="4" t="s">
        <v>251</v>
      </c>
      <c r="AK838" s="4" t="s">
        <v>252</v>
      </c>
      <c r="BA838" s="4" t="s">
        <v>254</v>
      </c>
      <c r="BB838" s="4" t="s">
        <v>241</v>
      </c>
      <c r="BC838" s="4" t="s">
        <v>255</v>
      </c>
      <c r="BD838" s="4" t="s">
        <v>241</v>
      </c>
      <c r="BE838" s="4" t="s">
        <v>257</v>
      </c>
      <c r="BF838" s="4" t="s">
        <v>241</v>
      </c>
      <c r="BJ838" s="4" t="s">
        <v>259</v>
      </c>
      <c r="BK838" s="5" t="s">
        <v>260</v>
      </c>
      <c r="BL838" s="4" t="s">
        <v>261</v>
      </c>
      <c r="BM838" s="4" t="s">
        <v>290</v>
      </c>
      <c r="BN838" s="4" t="s">
        <v>241</v>
      </c>
      <c r="BO838" s="6">
        <f>0</f>
        <v>0</v>
      </c>
      <c r="BP838" s="6">
        <f>0</f>
        <v>0</v>
      </c>
      <c r="BQ838" s="4" t="s">
        <v>263</v>
      </c>
      <c r="BR838" s="4" t="s">
        <v>264</v>
      </c>
      <c r="CF838" s="4" t="s">
        <v>241</v>
      </c>
      <c r="CG838" s="4" t="s">
        <v>241</v>
      </c>
      <c r="CK838" s="4" t="s">
        <v>265</v>
      </c>
      <c r="CL838" s="4" t="s">
        <v>266</v>
      </c>
      <c r="CM838" s="4" t="s">
        <v>241</v>
      </c>
      <c r="CO838" s="4" t="s">
        <v>914</v>
      </c>
      <c r="CP838" s="5" t="s">
        <v>268</v>
      </c>
      <c r="CQ838" s="4" t="s">
        <v>269</v>
      </c>
      <c r="CR838" s="4" t="s">
        <v>270</v>
      </c>
      <c r="CS838" s="4" t="s">
        <v>241</v>
      </c>
      <c r="CT838" s="4" t="s">
        <v>241</v>
      </c>
      <c r="CU838" s="4">
        <v>0</v>
      </c>
      <c r="CV838" s="4" t="s">
        <v>271</v>
      </c>
      <c r="CW838" s="4" t="s">
        <v>411</v>
      </c>
      <c r="CX838" s="4" t="s">
        <v>2130</v>
      </c>
      <c r="CZ838" s="6">
        <f>23297400</f>
        <v>23297400</v>
      </c>
      <c r="DA838" s="6">
        <f>0</f>
        <v>0</v>
      </c>
      <c r="DC838" s="4" t="s">
        <v>241</v>
      </c>
      <c r="DD838" s="4" t="s">
        <v>241</v>
      </c>
      <c r="DF838" s="4" t="s">
        <v>241</v>
      </c>
      <c r="DI838" s="4" t="s">
        <v>241</v>
      </c>
      <c r="DJ838" s="4" t="s">
        <v>241</v>
      </c>
      <c r="DK838" s="4" t="s">
        <v>241</v>
      </c>
      <c r="DL838" s="4" t="s">
        <v>241</v>
      </c>
      <c r="DM838" s="4" t="s">
        <v>323</v>
      </c>
      <c r="DN838" s="4" t="s">
        <v>278</v>
      </c>
      <c r="DO838" s="6">
        <f>221.88</f>
        <v>221.88</v>
      </c>
      <c r="DP838" s="4" t="s">
        <v>241</v>
      </c>
      <c r="DQ838" s="4" t="s">
        <v>241</v>
      </c>
      <c r="DR838" s="4" t="s">
        <v>241</v>
      </c>
      <c r="DS838" s="4" t="s">
        <v>241</v>
      </c>
      <c r="DV838" s="4" t="s">
        <v>2509</v>
      </c>
      <c r="DW838" s="4" t="s">
        <v>336</v>
      </c>
      <c r="HO838" s="4" t="s">
        <v>297</v>
      </c>
      <c r="HR838" s="4" t="s">
        <v>278</v>
      </c>
      <c r="HS838" s="4" t="s">
        <v>278</v>
      </c>
    </row>
    <row r="839" spans="1:240" x14ac:dyDescent="0.4">
      <c r="A839" s="4">
        <v>2</v>
      </c>
      <c r="B839" s="4" t="s">
        <v>239</v>
      </c>
      <c r="C839" s="4">
        <v>906</v>
      </c>
      <c r="D839" s="4">
        <v>1</v>
      </c>
      <c r="E839" s="4">
        <v>3</v>
      </c>
      <c r="F839" s="4" t="s">
        <v>240</v>
      </c>
      <c r="G839" s="4" t="s">
        <v>241</v>
      </c>
      <c r="H839" s="4" t="s">
        <v>241</v>
      </c>
      <c r="I839" s="4" t="s">
        <v>2432</v>
      </c>
      <c r="J839" s="4" t="s">
        <v>344</v>
      </c>
      <c r="K839" s="4" t="s">
        <v>256</v>
      </c>
      <c r="L839" s="4" t="s">
        <v>2101</v>
      </c>
      <c r="M839" s="5" t="s">
        <v>2433</v>
      </c>
      <c r="N839" s="4" t="s">
        <v>2104</v>
      </c>
      <c r="O839" s="6">
        <f>193.77</f>
        <v>193.77</v>
      </c>
      <c r="P839" s="4" t="s">
        <v>276</v>
      </c>
      <c r="Q839" s="6">
        <f>2402750</f>
        <v>2402750</v>
      </c>
      <c r="R839" s="6">
        <f>30034350</f>
        <v>30034350</v>
      </c>
      <c r="S839" s="5" t="s">
        <v>1241</v>
      </c>
      <c r="T839" s="4" t="s">
        <v>314</v>
      </c>
      <c r="U839" s="4" t="s">
        <v>379</v>
      </c>
      <c r="V839" s="6">
        <f>1381580</f>
        <v>1381580</v>
      </c>
      <c r="W839" s="6">
        <f>27631600</f>
        <v>27631600</v>
      </c>
      <c r="X839" s="4" t="s">
        <v>243</v>
      </c>
      <c r="Y839" s="4" t="s">
        <v>244</v>
      </c>
      <c r="Z839" s="4" t="s">
        <v>338</v>
      </c>
      <c r="AA839" s="4" t="s">
        <v>241</v>
      </c>
      <c r="AD839" s="4" t="s">
        <v>241</v>
      </c>
      <c r="AE839" s="5" t="s">
        <v>241</v>
      </c>
      <c r="AF839" s="5" t="s">
        <v>241</v>
      </c>
      <c r="AH839" s="5" t="s">
        <v>241</v>
      </c>
      <c r="AI839" s="5" t="s">
        <v>249</v>
      </c>
      <c r="AJ839" s="4" t="s">
        <v>251</v>
      </c>
      <c r="AK839" s="4" t="s">
        <v>252</v>
      </c>
      <c r="AQ839" s="4" t="s">
        <v>241</v>
      </c>
      <c r="AR839" s="4" t="s">
        <v>241</v>
      </c>
      <c r="AS839" s="4" t="s">
        <v>241</v>
      </c>
      <c r="AT839" s="5" t="s">
        <v>241</v>
      </c>
      <c r="AU839" s="5" t="s">
        <v>241</v>
      </c>
      <c r="AV839" s="5" t="s">
        <v>241</v>
      </c>
      <c r="AY839" s="4" t="s">
        <v>286</v>
      </c>
      <c r="AZ839" s="4" t="s">
        <v>286</v>
      </c>
      <c r="BA839" s="4" t="s">
        <v>254</v>
      </c>
      <c r="BB839" s="4" t="s">
        <v>287</v>
      </c>
      <c r="BC839" s="4" t="s">
        <v>255</v>
      </c>
      <c r="BD839" s="4" t="s">
        <v>241</v>
      </c>
      <c r="BE839" s="4" t="s">
        <v>257</v>
      </c>
      <c r="BF839" s="4" t="s">
        <v>241</v>
      </c>
      <c r="BJ839" s="4" t="s">
        <v>288</v>
      </c>
      <c r="BK839" s="5" t="s">
        <v>289</v>
      </c>
      <c r="BL839" s="4" t="s">
        <v>290</v>
      </c>
      <c r="BM839" s="4" t="s">
        <v>290</v>
      </c>
      <c r="BN839" s="4" t="s">
        <v>241</v>
      </c>
      <c r="BO839" s="6">
        <f>0</f>
        <v>0</v>
      </c>
      <c r="BP839" s="6">
        <f>-1381580</f>
        <v>-1381580</v>
      </c>
      <c r="BQ839" s="4" t="s">
        <v>263</v>
      </c>
      <c r="BR839" s="4" t="s">
        <v>264</v>
      </c>
      <c r="BS839" s="4" t="s">
        <v>241</v>
      </c>
      <c r="BT839" s="4" t="s">
        <v>241</v>
      </c>
      <c r="BU839" s="4" t="s">
        <v>241</v>
      </c>
      <c r="BV839" s="4" t="s">
        <v>241</v>
      </c>
      <c r="CE839" s="4" t="s">
        <v>264</v>
      </c>
      <c r="CF839" s="4" t="s">
        <v>241</v>
      </c>
      <c r="CG839" s="4" t="s">
        <v>241</v>
      </c>
      <c r="CK839" s="4" t="s">
        <v>291</v>
      </c>
      <c r="CL839" s="4" t="s">
        <v>266</v>
      </c>
      <c r="CM839" s="4" t="s">
        <v>241</v>
      </c>
      <c r="CO839" s="4" t="s">
        <v>1127</v>
      </c>
      <c r="CP839" s="5" t="s">
        <v>268</v>
      </c>
      <c r="CQ839" s="4" t="s">
        <v>269</v>
      </c>
      <c r="CR839" s="4" t="s">
        <v>270</v>
      </c>
      <c r="CS839" s="4" t="s">
        <v>293</v>
      </c>
      <c r="CT839" s="4" t="s">
        <v>241</v>
      </c>
      <c r="CU839" s="4">
        <v>4.5999999999999999E-2</v>
      </c>
      <c r="CV839" s="4" t="s">
        <v>271</v>
      </c>
      <c r="CW839" s="4" t="s">
        <v>411</v>
      </c>
      <c r="CX839" s="4" t="s">
        <v>347</v>
      </c>
      <c r="CY839" s="6">
        <f>0</f>
        <v>0</v>
      </c>
      <c r="CZ839" s="6">
        <f>30034350</f>
        <v>30034350</v>
      </c>
      <c r="DA839" s="6">
        <f>2402750</f>
        <v>2402750</v>
      </c>
      <c r="DC839" s="4" t="s">
        <v>241</v>
      </c>
      <c r="DD839" s="4" t="s">
        <v>241</v>
      </c>
      <c r="DF839" s="4" t="s">
        <v>241</v>
      </c>
      <c r="DG839" s="6">
        <f>0</f>
        <v>0</v>
      </c>
      <c r="DI839" s="4" t="s">
        <v>241</v>
      </c>
      <c r="DJ839" s="4" t="s">
        <v>241</v>
      </c>
      <c r="DK839" s="4" t="s">
        <v>241</v>
      </c>
      <c r="DL839" s="4" t="s">
        <v>241</v>
      </c>
      <c r="DM839" s="4" t="s">
        <v>323</v>
      </c>
      <c r="DN839" s="4" t="s">
        <v>278</v>
      </c>
      <c r="DO839" s="6">
        <f>193.77</f>
        <v>193.77</v>
      </c>
      <c r="DP839" s="4" t="s">
        <v>241</v>
      </c>
      <c r="DQ839" s="4" t="s">
        <v>241</v>
      </c>
      <c r="DR839" s="4" t="s">
        <v>241</v>
      </c>
      <c r="DS839" s="4" t="s">
        <v>241</v>
      </c>
      <c r="DV839" s="4" t="s">
        <v>2434</v>
      </c>
      <c r="DW839" s="4" t="s">
        <v>277</v>
      </c>
      <c r="GN839" s="4" t="s">
        <v>2437</v>
      </c>
      <c r="HO839" s="4" t="s">
        <v>300</v>
      </c>
      <c r="HR839" s="4" t="s">
        <v>278</v>
      </c>
      <c r="HS839" s="4" t="s">
        <v>278</v>
      </c>
      <c r="HT839" s="4" t="s">
        <v>241</v>
      </c>
      <c r="HU839" s="4" t="s">
        <v>241</v>
      </c>
      <c r="HV839" s="4" t="s">
        <v>241</v>
      </c>
      <c r="HW839" s="4" t="s">
        <v>241</v>
      </c>
      <c r="HX839" s="4" t="s">
        <v>241</v>
      </c>
      <c r="HY839" s="4" t="s">
        <v>241</v>
      </c>
      <c r="HZ839" s="4" t="s">
        <v>241</v>
      </c>
      <c r="IA839" s="4" t="s">
        <v>241</v>
      </c>
      <c r="IB839" s="4" t="s">
        <v>241</v>
      </c>
      <c r="IC839" s="4" t="s">
        <v>241</v>
      </c>
      <c r="ID839" s="4" t="s">
        <v>241</v>
      </c>
      <c r="IE839" s="4" t="s">
        <v>241</v>
      </c>
      <c r="IF839" s="4" t="s">
        <v>241</v>
      </c>
    </row>
    <row r="840" spans="1:240" x14ac:dyDescent="0.4">
      <c r="A840" s="4">
        <v>2</v>
      </c>
      <c r="B840" s="4" t="s">
        <v>239</v>
      </c>
      <c r="C840" s="4">
        <v>907</v>
      </c>
      <c r="D840" s="4">
        <v>1</v>
      </c>
      <c r="E840" s="4">
        <v>3</v>
      </c>
      <c r="F840" s="4" t="s">
        <v>240</v>
      </c>
      <c r="G840" s="4" t="s">
        <v>241</v>
      </c>
      <c r="H840" s="4" t="s">
        <v>241</v>
      </c>
      <c r="I840" s="4" t="s">
        <v>2432</v>
      </c>
      <c r="J840" s="4" t="s">
        <v>344</v>
      </c>
      <c r="K840" s="4" t="s">
        <v>256</v>
      </c>
      <c r="L840" s="4" t="s">
        <v>2101</v>
      </c>
      <c r="M840" s="5" t="s">
        <v>2433</v>
      </c>
      <c r="N840" s="4" t="s">
        <v>2109</v>
      </c>
      <c r="O840" s="6">
        <f>162.3</f>
        <v>162.30000000000001</v>
      </c>
      <c r="P840" s="4" t="s">
        <v>276</v>
      </c>
      <c r="Q840" s="6">
        <f>2012520</f>
        <v>2012520</v>
      </c>
      <c r="R840" s="6">
        <f>25156500</f>
        <v>25156500</v>
      </c>
      <c r="S840" s="5" t="s">
        <v>1241</v>
      </c>
      <c r="T840" s="4" t="s">
        <v>314</v>
      </c>
      <c r="U840" s="4" t="s">
        <v>379</v>
      </c>
      <c r="V840" s="6">
        <f>1157199</f>
        <v>1157199</v>
      </c>
      <c r="W840" s="6">
        <f>23143980</f>
        <v>23143980</v>
      </c>
      <c r="X840" s="4" t="s">
        <v>243</v>
      </c>
      <c r="Y840" s="4" t="s">
        <v>244</v>
      </c>
      <c r="Z840" s="4" t="s">
        <v>338</v>
      </c>
      <c r="AA840" s="4" t="s">
        <v>241</v>
      </c>
      <c r="AD840" s="4" t="s">
        <v>241</v>
      </c>
      <c r="AE840" s="5" t="s">
        <v>241</v>
      </c>
      <c r="AF840" s="5" t="s">
        <v>241</v>
      </c>
      <c r="AH840" s="5" t="s">
        <v>241</v>
      </c>
      <c r="AI840" s="5" t="s">
        <v>249</v>
      </c>
      <c r="AJ840" s="4" t="s">
        <v>251</v>
      </c>
      <c r="AK840" s="4" t="s">
        <v>252</v>
      </c>
      <c r="AQ840" s="4" t="s">
        <v>241</v>
      </c>
      <c r="AR840" s="4" t="s">
        <v>241</v>
      </c>
      <c r="AS840" s="4" t="s">
        <v>241</v>
      </c>
      <c r="AT840" s="5" t="s">
        <v>241</v>
      </c>
      <c r="AU840" s="5" t="s">
        <v>241</v>
      </c>
      <c r="AV840" s="5" t="s">
        <v>241</v>
      </c>
      <c r="AY840" s="4" t="s">
        <v>286</v>
      </c>
      <c r="AZ840" s="4" t="s">
        <v>286</v>
      </c>
      <c r="BA840" s="4" t="s">
        <v>254</v>
      </c>
      <c r="BB840" s="4" t="s">
        <v>287</v>
      </c>
      <c r="BC840" s="4" t="s">
        <v>255</v>
      </c>
      <c r="BD840" s="4" t="s">
        <v>241</v>
      </c>
      <c r="BE840" s="4" t="s">
        <v>257</v>
      </c>
      <c r="BF840" s="4" t="s">
        <v>241</v>
      </c>
      <c r="BJ840" s="4" t="s">
        <v>288</v>
      </c>
      <c r="BK840" s="5" t="s">
        <v>289</v>
      </c>
      <c r="BL840" s="4" t="s">
        <v>290</v>
      </c>
      <c r="BM840" s="4" t="s">
        <v>290</v>
      </c>
      <c r="BN840" s="4" t="s">
        <v>241</v>
      </c>
      <c r="BO840" s="6">
        <f>0</f>
        <v>0</v>
      </c>
      <c r="BP840" s="6">
        <f>-1157199</f>
        <v>-1157199</v>
      </c>
      <c r="BQ840" s="4" t="s">
        <v>263</v>
      </c>
      <c r="BR840" s="4" t="s">
        <v>264</v>
      </c>
      <c r="BS840" s="4" t="s">
        <v>241</v>
      </c>
      <c r="BT840" s="4" t="s">
        <v>241</v>
      </c>
      <c r="BU840" s="4" t="s">
        <v>241</v>
      </c>
      <c r="BV840" s="4" t="s">
        <v>241</v>
      </c>
      <c r="CE840" s="4" t="s">
        <v>264</v>
      </c>
      <c r="CF840" s="4" t="s">
        <v>241</v>
      </c>
      <c r="CG840" s="4" t="s">
        <v>241</v>
      </c>
      <c r="CK840" s="4" t="s">
        <v>291</v>
      </c>
      <c r="CL840" s="4" t="s">
        <v>266</v>
      </c>
      <c r="CM840" s="4" t="s">
        <v>241</v>
      </c>
      <c r="CO840" s="4" t="s">
        <v>1127</v>
      </c>
      <c r="CP840" s="5" t="s">
        <v>268</v>
      </c>
      <c r="CQ840" s="4" t="s">
        <v>269</v>
      </c>
      <c r="CR840" s="4" t="s">
        <v>270</v>
      </c>
      <c r="CS840" s="4" t="s">
        <v>293</v>
      </c>
      <c r="CT840" s="4" t="s">
        <v>241</v>
      </c>
      <c r="CU840" s="4">
        <v>4.5999999999999999E-2</v>
      </c>
      <c r="CV840" s="4" t="s">
        <v>271</v>
      </c>
      <c r="CW840" s="4" t="s">
        <v>411</v>
      </c>
      <c r="CX840" s="4" t="s">
        <v>347</v>
      </c>
      <c r="CY840" s="6">
        <f>0</f>
        <v>0</v>
      </c>
      <c r="CZ840" s="6">
        <f>25156500</f>
        <v>25156500</v>
      </c>
      <c r="DA840" s="6">
        <f>2012520</f>
        <v>2012520</v>
      </c>
      <c r="DC840" s="4" t="s">
        <v>241</v>
      </c>
      <c r="DD840" s="4" t="s">
        <v>241</v>
      </c>
      <c r="DF840" s="4" t="s">
        <v>241</v>
      </c>
      <c r="DG840" s="6">
        <f>0</f>
        <v>0</v>
      </c>
      <c r="DI840" s="4" t="s">
        <v>241</v>
      </c>
      <c r="DJ840" s="4" t="s">
        <v>241</v>
      </c>
      <c r="DK840" s="4" t="s">
        <v>241</v>
      </c>
      <c r="DL840" s="4" t="s">
        <v>241</v>
      </c>
      <c r="DM840" s="4" t="s">
        <v>323</v>
      </c>
      <c r="DN840" s="4" t="s">
        <v>278</v>
      </c>
      <c r="DO840" s="6">
        <f>162.3</f>
        <v>162.30000000000001</v>
      </c>
      <c r="DP840" s="4" t="s">
        <v>241</v>
      </c>
      <c r="DQ840" s="4" t="s">
        <v>241</v>
      </c>
      <c r="DR840" s="4" t="s">
        <v>241</v>
      </c>
      <c r="DS840" s="4" t="s">
        <v>241</v>
      </c>
      <c r="DV840" s="4" t="s">
        <v>2434</v>
      </c>
      <c r="DW840" s="4" t="s">
        <v>323</v>
      </c>
      <c r="GN840" s="4" t="s">
        <v>2436</v>
      </c>
      <c r="HO840" s="4" t="s">
        <v>300</v>
      </c>
      <c r="HR840" s="4" t="s">
        <v>278</v>
      </c>
      <c r="HS840" s="4" t="s">
        <v>278</v>
      </c>
      <c r="HT840" s="4" t="s">
        <v>241</v>
      </c>
      <c r="HU840" s="4" t="s">
        <v>241</v>
      </c>
      <c r="HV840" s="4" t="s">
        <v>241</v>
      </c>
      <c r="HW840" s="4" t="s">
        <v>241</v>
      </c>
      <c r="HX840" s="4" t="s">
        <v>241</v>
      </c>
      <c r="HY840" s="4" t="s">
        <v>241</v>
      </c>
      <c r="HZ840" s="4" t="s">
        <v>241</v>
      </c>
      <c r="IA840" s="4" t="s">
        <v>241</v>
      </c>
      <c r="IB840" s="4" t="s">
        <v>241</v>
      </c>
      <c r="IC840" s="4" t="s">
        <v>241</v>
      </c>
      <c r="ID840" s="4" t="s">
        <v>241</v>
      </c>
      <c r="IE840" s="4" t="s">
        <v>241</v>
      </c>
      <c r="IF840" s="4" t="s">
        <v>241</v>
      </c>
    </row>
    <row r="841" spans="1:240" x14ac:dyDescent="0.4">
      <c r="A841" s="4">
        <v>2</v>
      </c>
      <c r="B841" s="4" t="s">
        <v>239</v>
      </c>
      <c r="C841" s="4">
        <v>908</v>
      </c>
      <c r="D841" s="4">
        <v>1</v>
      </c>
      <c r="E841" s="4">
        <v>3</v>
      </c>
      <c r="F841" s="4" t="s">
        <v>240</v>
      </c>
      <c r="G841" s="4" t="s">
        <v>241</v>
      </c>
      <c r="H841" s="4" t="s">
        <v>241</v>
      </c>
      <c r="I841" s="4" t="s">
        <v>2432</v>
      </c>
      <c r="J841" s="4" t="s">
        <v>344</v>
      </c>
      <c r="K841" s="4" t="s">
        <v>256</v>
      </c>
      <c r="L841" s="4" t="s">
        <v>2101</v>
      </c>
      <c r="M841" s="5" t="s">
        <v>2433</v>
      </c>
      <c r="N841" s="4" t="s">
        <v>2110</v>
      </c>
      <c r="O841" s="6">
        <f>226.89</f>
        <v>226.89</v>
      </c>
      <c r="P841" s="4" t="s">
        <v>276</v>
      </c>
      <c r="Q841" s="6">
        <f>2813450</f>
        <v>2813450</v>
      </c>
      <c r="R841" s="6">
        <f>35167950</f>
        <v>35167950</v>
      </c>
      <c r="S841" s="5" t="s">
        <v>1241</v>
      </c>
      <c r="T841" s="4" t="s">
        <v>314</v>
      </c>
      <c r="U841" s="4" t="s">
        <v>379</v>
      </c>
      <c r="V841" s="6">
        <f>1617725</f>
        <v>1617725</v>
      </c>
      <c r="W841" s="6">
        <f>32354500</f>
        <v>32354500</v>
      </c>
      <c r="X841" s="4" t="s">
        <v>243</v>
      </c>
      <c r="Y841" s="4" t="s">
        <v>244</v>
      </c>
      <c r="Z841" s="4" t="s">
        <v>338</v>
      </c>
      <c r="AA841" s="4" t="s">
        <v>241</v>
      </c>
      <c r="AD841" s="4" t="s">
        <v>241</v>
      </c>
      <c r="AE841" s="5" t="s">
        <v>241</v>
      </c>
      <c r="AF841" s="5" t="s">
        <v>241</v>
      </c>
      <c r="AH841" s="5" t="s">
        <v>241</v>
      </c>
      <c r="AI841" s="5" t="s">
        <v>249</v>
      </c>
      <c r="AJ841" s="4" t="s">
        <v>251</v>
      </c>
      <c r="AK841" s="4" t="s">
        <v>252</v>
      </c>
      <c r="AQ841" s="4" t="s">
        <v>241</v>
      </c>
      <c r="AR841" s="4" t="s">
        <v>241</v>
      </c>
      <c r="AS841" s="4" t="s">
        <v>241</v>
      </c>
      <c r="AT841" s="5" t="s">
        <v>241</v>
      </c>
      <c r="AU841" s="5" t="s">
        <v>241</v>
      </c>
      <c r="AV841" s="5" t="s">
        <v>241</v>
      </c>
      <c r="AY841" s="4" t="s">
        <v>286</v>
      </c>
      <c r="AZ841" s="4" t="s">
        <v>286</v>
      </c>
      <c r="BA841" s="4" t="s">
        <v>254</v>
      </c>
      <c r="BB841" s="4" t="s">
        <v>287</v>
      </c>
      <c r="BC841" s="4" t="s">
        <v>255</v>
      </c>
      <c r="BD841" s="4" t="s">
        <v>241</v>
      </c>
      <c r="BE841" s="4" t="s">
        <v>257</v>
      </c>
      <c r="BF841" s="4" t="s">
        <v>241</v>
      </c>
      <c r="BJ841" s="4" t="s">
        <v>288</v>
      </c>
      <c r="BK841" s="5" t="s">
        <v>289</v>
      </c>
      <c r="BL841" s="4" t="s">
        <v>290</v>
      </c>
      <c r="BM841" s="4" t="s">
        <v>290</v>
      </c>
      <c r="BN841" s="4" t="s">
        <v>241</v>
      </c>
      <c r="BO841" s="6">
        <f>0</f>
        <v>0</v>
      </c>
      <c r="BP841" s="6">
        <f>-1617725</f>
        <v>-1617725</v>
      </c>
      <c r="BQ841" s="4" t="s">
        <v>263</v>
      </c>
      <c r="BR841" s="4" t="s">
        <v>264</v>
      </c>
      <c r="BS841" s="4" t="s">
        <v>241</v>
      </c>
      <c r="BT841" s="4" t="s">
        <v>241</v>
      </c>
      <c r="BU841" s="4" t="s">
        <v>241</v>
      </c>
      <c r="BV841" s="4" t="s">
        <v>241</v>
      </c>
      <c r="CE841" s="4" t="s">
        <v>264</v>
      </c>
      <c r="CF841" s="4" t="s">
        <v>241</v>
      </c>
      <c r="CG841" s="4" t="s">
        <v>241</v>
      </c>
      <c r="CK841" s="4" t="s">
        <v>291</v>
      </c>
      <c r="CL841" s="4" t="s">
        <v>266</v>
      </c>
      <c r="CM841" s="4" t="s">
        <v>241</v>
      </c>
      <c r="CO841" s="4" t="s">
        <v>1127</v>
      </c>
      <c r="CP841" s="5" t="s">
        <v>268</v>
      </c>
      <c r="CQ841" s="4" t="s">
        <v>269</v>
      </c>
      <c r="CR841" s="4" t="s">
        <v>270</v>
      </c>
      <c r="CS841" s="4" t="s">
        <v>293</v>
      </c>
      <c r="CT841" s="4" t="s">
        <v>241</v>
      </c>
      <c r="CU841" s="4">
        <v>4.5999999999999999E-2</v>
      </c>
      <c r="CV841" s="4" t="s">
        <v>271</v>
      </c>
      <c r="CW841" s="4" t="s">
        <v>411</v>
      </c>
      <c r="CX841" s="4" t="s">
        <v>347</v>
      </c>
      <c r="CY841" s="6">
        <f>0</f>
        <v>0</v>
      </c>
      <c r="CZ841" s="6">
        <f>35167950</f>
        <v>35167950</v>
      </c>
      <c r="DA841" s="6">
        <f>2813450</f>
        <v>2813450</v>
      </c>
      <c r="DC841" s="4" t="s">
        <v>241</v>
      </c>
      <c r="DD841" s="4" t="s">
        <v>241</v>
      </c>
      <c r="DF841" s="4" t="s">
        <v>241</v>
      </c>
      <c r="DG841" s="6">
        <f>0</f>
        <v>0</v>
      </c>
      <c r="DI841" s="4" t="s">
        <v>241</v>
      </c>
      <c r="DJ841" s="4" t="s">
        <v>241</v>
      </c>
      <c r="DK841" s="4" t="s">
        <v>241</v>
      </c>
      <c r="DL841" s="4" t="s">
        <v>241</v>
      </c>
      <c r="DM841" s="4" t="s">
        <v>323</v>
      </c>
      <c r="DN841" s="4" t="s">
        <v>278</v>
      </c>
      <c r="DO841" s="6">
        <f>226.89</f>
        <v>226.89</v>
      </c>
      <c r="DP841" s="4" t="s">
        <v>241</v>
      </c>
      <c r="DQ841" s="4" t="s">
        <v>241</v>
      </c>
      <c r="DR841" s="4" t="s">
        <v>241</v>
      </c>
      <c r="DS841" s="4" t="s">
        <v>241</v>
      </c>
      <c r="DV841" s="4" t="s">
        <v>2434</v>
      </c>
      <c r="DW841" s="4" t="s">
        <v>297</v>
      </c>
      <c r="GN841" s="4" t="s">
        <v>2435</v>
      </c>
      <c r="HO841" s="4" t="s">
        <v>300</v>
      </c>
      <c r="HR841" s="4" t="s">
        <v>278</v>
      </c>
      <c r="HS841" s="4" t="s">
        <v>278</v>
      </c>
      <c r="HT841" s="4" t="s">
        <v>241</v>
      </c>
      <c r="HU841" s="4" t="s">
        <v>241</v>
      </c>
      <c r="HV841" s="4" t="s">
        <v>241</v>
      </c>
      <c r="HW841" s="4" t="s">
        <v>241</v>
      </c>
      <c r="HX841" s="4" t="s">
        <v>241</v>
      </c>
      <c r="HY841" s="4" t="s">
        <v>241</v>
      </c>
      <c r="HZ841" s="4" t="s">
        <v>241</v>
      </c>
      <c r="IA841" s="4" t="s">
        <v>241</v>
      </c>
      <c r="IB841" s="4" t="s">
        <v>241</v>
      </c>
      <c r="IC841" s="4" t="s">
        <v>241</v>
      </c>
      <c r="ID841" s="4" t="s">
        <v>241</v>
      </c>
      <c r="IE841" s="4" t="s">
        <v>241</v>
      </c>
      <c r="IF841" s="4" t="s">
        <v>241</v>
      </c>
    </row>
    <row r="842" spans="1:240" x14ac:dyDescent="0.4">
      <c r="A842" s="4">
        <v>2</v>
      </c>
      <c r="B842" s="4" t="s">
        <v>239</v>
      </c>
      <c r="C842" s="4">
        <v>909</v>
      </c>
      <c r="D842" s="4">
        <v>1</v>
      </c>
      <c r="E842" s="4">
        <v>1</v>
      </c>
      <c r="F842" s="4" t="s">
        <v>240</v>
      </c>
      <c r="G842" s="4" t="s">
        <v>241</v>
      </c>
      <c r="H842" s="4" t="s">
        <v>241</v>
      </c>
      <c r="I842" s="4" t="s">
        <v>2185</v>
      </c>
      <c r="J842" s="4" t="s">
        <v>344</v>
      </c>
      <c r="K842" s="4" t="s">
        <v>256</v>
      </c>
      <c r="L842" s="4" t="s">
        <v>2101</v>
      </c>
      <c r="M842" s="5" t="s">
        <v>2186</v>
      </c>
      <c r="N842" s="4" t="s">
        <v>2114</v>
      </c>
      <c r="O842" s="6">
        <f t="shared" ref="O842:O851" si="60">61.28</f>
        <v>61.28</v>
      </c>
      <c r="P842" s="4" t="s">
        <v>276</v>
      </c>
      <c r="Q842" s="6">
        <f>1</f>
        <v>1</v>
      </c>
      <c r="R842" s="6">
        <f t="shared" ref="R842:R851" si="61">6128000</f>
        <v>6128000</v>
      </c>
      <c r="S842" s="5" t="s">
        <v>839</v>
      </c>
      <c r="T842" s="4" t="s">
        <v>314</v>
      </c>
      <c r="U842" s="4" t="s">
        <v>669</v>
      </c>
      <c r="W842" s="6">
        <f t="shared" ref="W842:W851" si="62">6127999</f>
        <v>6127999</v>
      </c>
      <c r="X842" s="4" t="s">
        <v>243</v>
      </c>
      <c r="Y842" s="4" t="s">
        <v>244</v>
      </c>
      <c r="Z842" s="4" t="s">
        <v>338</v>
      </c>
      <c r="AA842" s="4" t="s">
        <v>241</v>
      </c>
      <c r="AD842" s="4" t="s">
        <v>241</v>
      </c>
      <c r="AF842" s="5" t="s">
        <v>241</v>
      </c>
      <c r="AI842" s="5" t="s">
        <v>249</v>
      </c>
      <c r="AJ842" s="4" t="s">
        <v>251</v>
      </c>
      <c r="AK842" s="4" t="s">
        <v>252</v>
      </c>
      <c r="BA842" s="4" t="s">
        <v>254</v>
      </c>
      <c r="BB842" s="4" t="s">
        <v>241</v>
      </c>
      <c r="BC842" s="4" t="s">
        <v>255</v>
      </c>
      <c r="BD842" s="4" t="s">
        <v>241</v>
      </c>
      <c r="BE842" s="4" t="s">
        <v>257</v>
      </c>
      <c r="BF842" s="4" t="s">
        <v>241</v>
      </c>
      <c r="BJ842" s="4" t="s">
        <v>367</v>
      </c>
      <c r="BK842" s="5" t="s">
        <v>249</v>
      </c>
      <c r="BL842" s="4" t="s">
        <v>261</v>
      </c>
      <c r="BM842" s="4" t="s">
        <v>262</v>
      </c>
      <c r="BN842" s="4" t="s">
        <v>241</v>
      </c>
      <c r="BO842" s="6">
        <f>0</f>
        <v>0</v>
      </c>
      <c r="BP842" s="6">
        <f>0</f>
        <v>0</v>
      </c>
      <c r="BQ842" s="4" t="s">
        <v>263</v>
      </c>
      <c r="BR842" s="4" t="s">
        <v>264</v>
      </c>
      <c r="CF842" s="4" t="s">
        <v>241</v>
      </c>
      <c r="CG842" s="4" t="s">
        <v>241</v>
      </c>
      <c r="CK842" s="4" t="s">
        <v>265</v>
      </c>
      <c r="CL842" s="4" t="s">
        <v>266</v>
      </c>
      <c r="CM842" s="4" t="s">
        <v>241</v>
      </c>
      <c r="CO842" s="4" t="s">
        <v>841</v>
      </c>
      <c r="CP842" s="5" t="s">
        <v>268</v>
      </c>
      <c r="CQ842" s="4" t="s">
        <v>269</v>
      </c>
      <c r="CR842" s="4" t="s">
        <v>270</v>
      </c>
      <c r="CS842" s="4" t="s">
        <v>241</v>
      </c>
      <c r="CT842" s="4" t="s">
        <v>241</v>
      </c>
      <c r="CU842" s="4">
        <v>0</v>
      </c>
      <c r="CV842" s="4" t="s">
        <v>271</v>
      </c>
      <c r="CW842" s="4" t="s">
        <v>411</v>
      </c>
      <c r="CX842" s="4" t="s">
        <v>347</v>
      </c>
      <c r="CZ842" s="6">
        <f t="shared" ref="CZ842:CZ851" si="63">6128000</f>
        <v>6128000</v>
      </c>
      <c r="DA842" s="6">
        <f>0</f>
        <v>0</v>
      </c>
      <c r="DC842" s="4" t="s">
        <v>241</v>
      </c>
      <c r="DD842" s="4" t="s">
        <v>241</v>
      </c>
      <c r="DF842" s="4" t="s">
        <v>241</v>
      </c>
      <c r="DI842" s="4" t="s">
        <v>241</v>
      </c>
      <c r="DJ842" s="4" t="s">
        <v>241</v>
      </c>
      <c r="DK842" s="4" t="s">
        <v>241</v>
      </c>
      <c r="DL842" s="4" t="s">
        <v>241</v>
      </c>
      <c r="DM842" s="4" t="s">
        <v>277</v>
      </c>
      <c r="DN842" s="4" t="s">
        <v>278</v>
      </c>
      <c r="DO842" s="6">
        <f t="shared" ref="DO842:DO851" si="64">61.28</f>
        <v>61.28</v>
      </c>
      <c r="DP842" s="4" t="s">
        <v>241</v>
      </c>
      <c r="DQ842" s="4" t="s">
        <v>241</v>
      </c>
      <c r="DR842" s="4" t="s">
        <v>241</v>
      </c>
      <c r="DS842" s="4" t="s">
        <v>241</v>
      </c>
      <c r="DV842" s="4" t="s">
        <v>2187</v>
      </c>
      <c r="DW842" s="4" t="s">
        <v>277</v>
      </c>
      <c r="HO842" s="4" t="s">
        <v>277</v>
      </c>
      <c r="HR842" s="4" t="s">
        <v>278</v>
      </c>
      <c r="HS842" s="4" t="s">
        <v>278</v>
      </c>
    </row>
    <row r="843" spans="1:240" x14ac:dyDescent="0.4">
      <c r="A843" s="4">
        <v>2</v>
      </c>
      <c r="B843" s="4" t="s">
        <v>239</v>
      </c>
      <c r="C843" s="4">
        <v>910</v>
      </c>
      <c r="D843" s="4">
        <v>1</v>
      </c>
      <c r="E843" s="4">
        <v>1</v>
      </c>
      <c r="F843" s="4" t="s">
        <v>240</v>
      </c>
      <c r="G843" s="4" t="s">
        <v>241</v>
      </c>
      <c r="H843" s="4" t="s">
        <v>241</v>
      </c>
      <c r="I843" s="4" t="s">
        <v>2185</v>
      </c>
      <c r="J843" s="4" t="s">
        <v>344</v>
      </c>
      <c r="K843" s="4" t="s">
        <v>256</v>
      </c>
      <c r="L843" s="4" t="s">
        <v>2101</v>
      </c>
      <c r="M843" s="5" t="s">
        <v>2186</v>
      </c>
      <c r="N843" s="4" t="s">
        <v>2114</v>
      </c>
      <c r="O843" s="6">
        <f t="shared" si="60"/>
        <v>61.28</v>
      </c>
      <c r="P843" s="4" t="s">
        <v>276</v>
      </c>
      <c r="Q843" s="6">
        <f>1</f>
        <v>1</v>
      </c>
      <c r="R843" s="6">
        <f t="shared" si="61"/>
        <v>6128000</v>
      </c>
      <c r="S843" s="5" t="s">
        <v>839</v>
      </c>
      <c r="T843" s="4" t="s">
        <v>314</v>
      </c>
      <c r="U843" s="4" t="s">
        <v>669</v>
      </c>
      <c r="W843" s="6">
        <f t="shared" si="62"/>
        <v>6127999</v>
      </c>
      <c r="X843" s="4" t="s">
        <v>243</v>
      </c>
      <c r="Y843" s="4" t="s">
        <v>244</v>
      </c>
      <c r="Z843" s="4" t="s">
        <v>338</v>
      </c>
      <c r="AA843" s="4" t="s">
        <v>241</v>
      </c>
      <c r="AD843" s="4" t="s">
        <v>241</v>
      </c>
      <c r="AF843" s="5" t="s">
        <v>241</v>
      </c>
      <c r="AI843" s="5" t="s">
        <v>249</v>
      </c>
      <c r="AJ843" s="4" t="s">
        <v>251</v>
      </c>
      <c r="AK843" s="4" t="s">
        <v>252</v>
      </c>
      <c r="BA843" s="4" t="s">
        <v>254</v>
      </c>
      <c r="BB843" s="4" t="s">
        <v>241</v>
      </c>
      <c r="BC843" s="4" t="s">
        <v>255</v>
      </c>
      <c r="BD843" s="4" t="s">
        <v>241</v>
      </c>
      <c r="BE843" s="4" t="s">
        <v>257</v>
      </c>
      <c r="BF843" s="4" t="s">
        <v>241</v>
      </c>
      <c r="BJ843" s="4" t="s">
        <v>374</v>
      </c>
      <c r="BK843" s="5" t="s">
        <v>375</v>
      </c>
      <c r="BL843" s="4" t="s">
        <v>261</v>
      </c>
      <c r="BM843" s="4" t="s">
        <v>262</v>
      </c>
      <c r="BN843" s="4" t="s">
        <v>241</v>
      </c>
      <c r="BO843" s="6">
        <f>0</f>
        <v>0</v>
      </c>
      <c r="BP843" s="6">
        <f>0</f>
        <v>0</v>
      </c>
      <c r="BQ843" s="4" t="s">
        <v>263</v>
      </c>
      <c r="BR843" s="4" t="s">
        <v>264</v>
      </c>
      <c r="CF843" s="4" t="s">
        <v>241</v>
      </c>
      <c r="CG843" s="4" t="s">
        <v>241</v>
      </c>
      <c r="CK843" s="4" t="s">
        <v>265</v>
      </c>
      <c r="CL843" s="4" t="s">
        <v>266</v>
      </c>
      <c r="CM843" s="4" t="s">
        <v>241</v>
      </c>
      <c r="CO843" s="4" t="s">
        <v>841</v>
      </c>
      <c r="CP843" s="5" t="s">
        <v>268</v>
      </c>
      <c r="CQ843" s="4" t="s">
        <v>269</v>
      </c>
      <c r="CR843" s="4" t="s">
        <v>270</v>
      </c>
      <c r="CS843" s="4" t="s">
        <v>241</v>
      </c>
      <c r="CT843" s="4" t="s">
        <v>241</v>
      </c>
      <c r="CU843" s="4">
        <v>0</v>
      </c>
      <c r="CV843" s="4" t="s">
        <v>271</v>
      </c>
      <c r="CW843" s="4" t="s">
        <v>411</v>
      </c>
      <c r="CX843" s="4" t="s">
        <v>347</v>
      </c>
      <c r="CZ843" s="6">
        <f t="shared" si="63"/>
        <v>6128000</v>
      </c>
      <c r="DA843" s="6">
        <f>0</f>
        <v>0</v>
      </c>
      <c r="DC843" s="4" t="s">
        <v>241</v>
      </c>
      <c r="DD843" s="4" t="s">
        <v>241</v>
      </c>
      <c r="DF843" s="4" t="s">
        <v>241</v>
      </c>
      <c r="DI843" s="4" t="s">
        <v>241</v>
      </c>
      <c r="DJ843" s="4" t="s">
        <v>241</v>
      </c>
      <c r="DK843" s="4" t="s">
        <v>241</v>
      </c>
      <c r="DL843" s="4" t="s">
        <v>241</v>
      </c>
      <c r="DM843" s="4" t="s">
        <v>277</v>
      </c>
      <c r="DN843" s="4" t="s">
        <v>278</v>
      </c>
      <c r="DO843" s="6">
        <f t="shared" si="64"/>
        <v>61.28</v>
      </c>
      <c r="DP843" s="4" t="s">
        <v>241</v>
      </c>
      <c r="DQ843" s="4" t="s">
        <v>241</v>
      </c>
      <c r="DR843" s="4" t="s">
        <v>241</v>
      </c>
      <c r="DS843" s="4" t="s">
        <v>241</v>
      </c>
      <c r="DV843" s="4" t="s">
        <v>2187</v>
      </c>
      <c r="DW843" s="4" t="s">
        <v>323</v>
      </c>
      <c r="HO843" s="4" t="s">
        <v>277</v>
      </c>
      <c r="HR843" s="4" t="s">
        <v>278</v>
      </c>
      <c r="HS843" s="4" t="s">
        <v>278</v>
      </c>
    </row>
    <row r="844" spans="1:240" x14ac:dyDescent="0.4">
      <c r="A844" s="4">
        <v>2</v>
      </c>
      <c r="B844" s="4" t="s">
        <v>239</v>
      </c>
      <c r="C844" s="4">
        <v>911</v>
      </c>
      <c r="D844" s="4">
        <v>1</v>
      </c>
      <c r="E844" s="4">
        <v>1</v>
      </c>
      <c r="F844" s="4" t="s">
        <v>240</v>
      </c>
      <c r="G844" s="4" t="s">
        <v>241</v>
      </c>
      <c r="H844" s="4" t="s">
        <v>241</v>
      </c>
      <c r="I844" s="4" t="s">
        <v>2185</v>
      </c>
      <c r="J844" s="4" t="s">
        <v>344</v>
      </c>
      <c r="K844" s="4" t="s">
        <v>256</v>
      </c>
      <c r="L844" s="4" t="s">
        <v>2101</v>
      </c>
      <c r="M844" s="5" t="s">
        <v>2186</v>
      </c>
      <c r="N844" s="4" t="s">
        <v>2114</v>
      </c>
      <c r="O844" s="6">
        <f t="shared" si="60"/>
        <v>61.28</v>
      </c>
      <c r="P844" s="4" t="s">
        <v>276</v>
      </c>
      <c r="Q844" s="6">
        <f>1</f>
        <v>1</v>
      </c>
      <c r="R844" s="6">
        <f t="shared" si="61"/>
        <v>6128000</v>
      </c>
      <c r="S844" s="5" t="s">
        <v>839</v>
      </c>
      <c r="T844" s="4" t="s">
        <v>314</v>
      </c>
      <c r="U844" s="4" t="s">
        <v>669</v>
      </c>
      <c r="W844" s="6">
        <f t="shared" si="62"/>
        <v>6127999</v>
      </c>
      <c r="X844" s="4" t="s">
        <v>243</v>
      </c>
      <c r="Y844" s="4" t="s">
        <v>244</v>
      </c>
      <c r="Z844" s="4" t="s">
        <v>338</v>
      </c>
      <c r="AA844" s="4" t="s">
        <v>241</v>
      </c>
      <c r="AD844" s="4" t="s">
        <v>241</v>
      </c>
      <c r="AF844" s="5" t="s">
        <v>241</v>
      </c>
      <c r="AI844" s="5" t="s">
        <v>249</v>
      </c>
      <c r="AJ844" s="4" t="s">
        <v>251</v>
      </c>
      <c r="AK844" s="4" t="s">
        <v>252</v>
      </c>
      <c r="BA844" s="4" t="s">
        <v>254</v>
      </c>
      <c r="BB844" s="4" t="s">
        <v>241</v>
      </c>
      <c r="BC844" s="4" t="s">
        <v>255</v>
      </c>
      <c r="BD844" s="4" t="s">
        <v>241</v>
      </c>
      <c r="BE844" s="4" t="s">
        <v>257</v>
      </c>
      <c r="BF844" s="4" t="s">
        <v>241</v>
      </c>
      <c r="BJ844" s="4" t="s">
        <v>377</v>
      </c>
      <c r="BK844" s="5" t="s">
        <v>378</v>
      </c>
      <c r="BL844" s="4" t="s">
        <v>261</v>
      </c>
      <c r="BM844" s="4" t="s">
        <v>262</v>
      </c>
      <c r="BN844" s="4" t="s">
        <v>241</v>
      </c>
      <c r="BO844" s="6">
        <f>0</f>
        <v>0</v>
      </c>
      <c r="BP844" s="6">
        <f>0</f>
        <v>0</v>
      </c>
      <c r="BQ844" s="4" t="s">
        <v>263</v>
      </c>
      <c r="BR844" s="4" t="s">
        <v>264</v>
      </c>
      <c r="CF844" s="4" t="s">
        <v>241</v>
      </c>
      <c r="CG844" s="4" t="s">
        <v>241</v>
      </c>
      <c r="CK844" s="4" t="s">
        <v>265</v>
      </c>
      <c r="CL844" s="4" t="s">
        <v>266</v>
      </c>
      <c r="CM844" s="4" t="s">
        <v>241</v>
      </c>
      <c r="CO844" s="4" t="s">
        <v>841</v>
      </c>
      <c r="CP844" s="5" t="s">
        <v>268</v>
      </c>
      <c r="CQ844" s="4" t="s">
        <v>269</v>
      </c>
      <c r="CR844" s="4" t="s">
        <v>270</v>
      </c>
      <c r="CS844" s="4" t="s">
        <v>241</v>
      </c>
      <c r="CT844" s="4" t="s">
        <v>241</v>
      </c>
      <c r="CU844" s="4">
        <v>0</v>
      </c>
      <c r="CV844" s="4" t="s">
        <v>271</v>
      </c>
      <c r="CW844" s="4" t="s">
        <v>411</v>
      </c>
      <c r="CX844" s="4" t="s">
        <v>347</v>
      </c>
      <c r="CZ844" s="6">
        <f t="shared" si="63"/>
        <v>6128000</v>
      </c>
      <c r="DA844" s="6">
        <f>0</f>
        <v>0</v>
      </c>
      <c r="DC844" s="4" t="s">
        <v>241</v>
      </c>
      <c r="DD844" s="4" t="s">
        <v>241</v>
      </c>
      <c r="DF844" s="4" t="s">
        <v>241</v>
      </c>
      <c r="DI844" s="4" t="s">
        <v>241</v>
      </c>
      <c r="DJ844" s="4" t="s">
        <v>241</v>
      </c>
      <c r="DK844" s="4" t="s">
        <v>241</v>
      </c>
      <c r="DL844" s="4" t="s">
        <v>241</v>
      </c>
      <c r="DM844" s="4" t="s">
        <v>277</v>
      </c>
      <c r="DN844" s="4" t="s">
        <v>278</v>
      </c>
      <c r="DO844" s="6">
        <f t="shared" si="64"/>
        <v>61.28</v>
      </c>
      <c r="DP844" s="4" t="s">
        <v>241</v>
      </c>
      <c r="DQ844" s="4" t="s">
        <v>241</v>
      </c>
      <c r="DR844" s="4" t="s">
        <v>241</v>
      </c>
      <c r="DS844" s="4" t="s">
        <v>241</v>
      </c>
      <c r="DV844" s="4" t="s">
        <v>2187</v>
      </c>
      <c r="DW844" s="4" t="s">
        <v>297</v>
      </c>
      <c r="HO844" s="4" t="s">
        <v>277</v>
      </c>
      <c r="HR844" s="4" t="s">
        <v>278</v>
      </c>
      <c r="HS844" s="4" t="s">
        <v>278</v>
      </c>
    </row>
    <row r="845" spans="1:240" x14ac:dyDescent="0.4">
      <c r="A845" s="4">
        <v>2</v>
      </c>
      <c r="B845" s="4" t="s">
        <v>239</v>
      </c>
      <c r="C845" s="4">
        <v>912</v>
      </c>
      <c r="D845" s="4">
        <v>1</v>
      </c>
      <c r="E845" s="4">
        <v>1</v>
      </c>
      <c r="F845" s="4" t="s">
        <v>240</v>
      </c>
      <c r="G845" s="4" t="s">
        <v>241</v>
      </c>
      <c r="H845" s="4" t="s">
        <v>241</v>
      </c>
      <c r="I845" s="4" t="s">
        <v>2185</v>
      </c>
      <c r="J845" s="4" t="s">
        <v>344</v>
      </c>
      <c r="K845" s="4" t="s">
        <v>256</v>
      </c>
      <c r="L845" s="4" t="s">
        <v>2101</v>
      </c>
      <c r="M845" s="5" t="s">
        <v>2186</v>
      </c>
      <c r="N845" s="4" t="s">
        <v>2114</v>
      </c>
      <c r="O845" s="6">
        <f t="shared" si="60"/>
        <v>61.28</v>
      </c>
      <c r="P845" s="4" t="s">
        <v>276</v>
      </c>
      <c r="Q845" s="6">
        <f>1</f>
        <v>1</v>
      </c>
      <c r="R845" s="6">
        <f t="shared" si="61"/>
        <v>6128000</v>
      </c>
      <c r="S845" s="5" t="s">
        <v>839</v>
      </c>
      <c r="T845" s="4" t="s">
        <v>314</v>
      </c>
      <c r="U845" s="4" t="s">
        <v>669</v>
      </c>
      <c r="W845" s="6">
        <f t="shared" si="62"/>
        <v>6127999</v>
      </c>
      <c r="X845" s="4" t="s">
        <v>243</v>
      </c>
      <c r="Y845" s="4" t="s">
        <v>244</v>
      </c>
      <c r="Z845" s="4" t="s">
        <v>338</v>
      </c>
      <c r="AA845" s="4" t="s">
        <v>241</v>
      </c>
      <c r="AD845" s="4" t="s">
        <v>241</v>
      </c>
      <c r="AF845" s="5" t="s">
        <v>241</v>
      </c>
      <c r="AI845" s="5" t="s">
        <v>249</v>
      </c>
      <c r="AJ845" s="4" t="s">
        <v>251</v>
      </c>
      <c r="AK845" s="4" t="s">
        <v>252</v>
      </c>
      <c r="BA845" s="4" t="s">
        <v>254</v>
      </c>
      <c r="BB845" s="4" t="s">
        <v>241</v>
      </c>
      <c r="BC845" s="4" t="s">
        <v>255</v>
      </c>
      <c r="BD845" s="4" t="s">
        <v>241</v>
      </c>
      <c r="BE845" s="4" t="s">
        <v>257</v>
      </c>
      <c r="BF845" s="4" t="s">
        <v>241</v>
      </c>
      <c r="BJ845" s="4" t="s">
        <v>259</v>
      </c>
      <c r="BK845" s="5" t="s">
        <v>260</v>
      </c>
      <c r="BL845" s="4" t="s">
        <v>261</v>
      </c>
      <c r="BM845" s="4" t="s">
        <v>262</v>
      </c>
      <c r="BN845" s="4" t="s">
        <v>241</v>
      </c>
      <c r="BO845" s="6">
        <f>0</f>
        <v>0</v>
      </c>
      <c r="BP845" s="6">
        <f>0</f>
        <v>0</v>
      </c>
      <c r="BQ845" s="4" t="s">
        <v>263</v>
      </c>
      <c r="BR845" s="4" t="s">
        <v>264</v>
      </c>
      <c r="CF845" s="4" t="s">
        <v>241</v>
      </c>
      <c r="CG845" s="4" t="s">
        <v>241</v>
      </c>
      <c r="CK845" s="4" t="s">
        <v>265</v>
      </c>
      <c r="CL845" s="4" t="s">
        <v>266</v>
      </c>
      <c r="CM845" s="4" t="s">
        <v>241</v>
      </c>
      <c r="CO845" s="4" t="s">
        <v>841</v>
      </c>
      <c r="CP845" s="5" t="s">
        <v>268</v>
      </c>
      <c r="CQ845" s="4" t="s">
        <v>269</v>
      </c>
      <c r="CR845" s="4" t="s">
        <v>270</v>
      </c>
      <c r="CS845" s="4" t="s">
        <v>241</v>
      </c>
      <c r="CT845" s="4" t="s">
        <v>241</v>
      </c>
      <c r="CU845" s="4">
        <v>0</v>
      </c>
      <c r="CV845" s="4" t="s">
        <v>271</v>
      </c>
      <c r="CW845" s="4" t="s">
        <v>411</v>
      </c>
      <c r="CX845" s="4" t="s">
        <v>347</v>
      </c>
      <c r="CZ845" s="6">
        <f t="shared" si="63"/>
        <v>6128000</v>
      </c>
      <c r="DA845" s="6">
        <f>0</f>
        <v>0</v>
      </c>
      <c r="DC845" s="4" t="s">
        <v>241</v>
      </c>
      <c r="DD845" s="4" t="s">
        <v>241</v>
      </c>
      <c r="DF845" s="4" t="s">
        <v>241</v>
      </c>
      <c r="DI845" s="4" t="s">
        <v>241</v>
      </c>
      <c r="DJ845" s="4" t="s">
        <v>241</v>
      </c>
      <c r="DK845" s="4" t="s">
        <v>241</v>
      </c>
      <c r="DL845" s="4" t="s">
        <v>241</v>
      </c>
      <c r="DM845" s="4" t="s">
        <v>277</v>
      </c>
      <c r="DN845" s="4" t="s">
        <v>278</v>
      </c>
      <c r="DO845" s="6">
        <f t="shared" si="64"/>
        <v>61.28</v>
      </c>
      <c r="DP845" s="4" t="s">
        <v>241</v>
      </c>
      <c r="DQ845" s="4" t="s">
        <v>241</v>
      </c>
      <c r="DR845" s="4" t="s">
        <v>241</v>
      </c>
      <c r="DS845" s="4" t="s">
        <v>241</v>
      </c>
      <c r="DV845" s="4" t="s">
        <v>2187</v>
      </c>
      <c r="DW845" s="4" t="s">
        <v>336</v>
      </c>
      <c r="HO845" s="4" t="s">
        <v>277</v>
      </c>
      <c r="HR845" s="4" t="s">
        <v>278</v>
      </c>
      <c r="HS845" s="4" t="s">
        <v>278</v>
      </c>
    </row>
    <row r="846" spans="1:240" x14ac:dyDescent="0.4">
      <c r="A846" s="4">
        <v>2</v>
      </c>
      <c r="B846" s="4" t="s">
        <v>239</v>
      </c>
      <c r="C846" s="4">
        <v>913</v>
      </c>
      <c r="D846" s="4">
        <v>1</v>
      </c>
      <c r="E846" s="4">
        <v>1</v>
      </c>
      <c r="F846" s="4" t="s">
        <v>240</v>
      </c>
      <c r="G846" s="4" t="s">
        <v>241</v>
      </c>
      <c r="H846" s="4" t="s">
        <v>241</v>
      </c>
      <c r="I846" s="4" t="s">
        <v>2185</v>
      </c>
      <c r="J846" s="4" t="s">
        <v>344</v>
      </c>
      <c r="K846" s="4" t="s">
        <v>256</v>
      </c>
      <c r="L846" s="4" t="s">
        <v>2101</v>
      </c>
      <c r="M846" s="5" t="s">
        <v>2186</v>
      </c>
      <c r="N846" s="4" t="s">
        <v>2114</v>
      </c>
      <c r="O846" s="6">
        <f t="shared" si="60"/>
        <v>61.28</v>
      </c>
      <c r="P846" s="4" t="s">
        <v>276</v>
      </c>
      <c r="Q846" s="6">
        <f>1</f>
        <v>1</v>
      </c>
      <c r="R846" s="6">
        <f t="shared" si="61"/>
        <v>6128000</v>
      </c>
      <c r="S846" s="5" t="s">
        <v>839</v>
      </c>
      <c r="T846" s="4" t="s">
        <v>314</v>
      </c>
      <c r="U846" s="4" t="s">
        <v>669</v>
      </c>
      <c r="W846" s="6">
        <f t="shared" si="62"/>
        <v>6127999</v>
      </c>
      <c r="X846" s="4" t="s">
        <v>243</v>
      </c>
      <c r="Y846" s="4" t="s">
        <v>244</v>
      </c>
      <c r="Z846" s="4" t="s">
        <v>338</v>
      </c>
      <c r="AA846" s="4" t="s">
        <v>241</v>
      </c>
      <c r="AD846" s="4" t="s">
        <v>241</v>
      </c>
      <c r="AF846" s="5" t="s">
        <v>241</v>
      </c>
      <c r="AI846" s="5" t="s">
        <v>249</v>
      </c>
      <c r="AJ846" s="4" t="s">
        <v>251</v>
      </c>
      <c r="AK846" s="4" t="s">
        <v>252</v>
      </c>
      <c r="BA846" s="4" t="s">
        <v>254</v>
      </c>
      <c r="BB846" s="4" t="s">
        <v>241</v>
      </c>
      <c r="BC846" s="4" t="s">
        <v>255</v>
      </c>
      <c r="BD846" s="4" t="s">
        <v>241</v>
      </c>
      <c r="BE846" s="4" t="s">
        <v>257</v>
      </c>
      <c r="BF846" s="4" t="s">
        <v>241</v>
      </c>
      <c r="BJ846" s="4" t="s">
        <v>367</v>
      </c>
      <c r="BK846" s="5" t="s">
        <v>249</v>
      </c>
      <c r="BL846" s="4" t="s">
        <v>261</v>
      </c>
      <c r="BM846" s="4" t="s">
        <v>262</v>
      </c>
      <c r="BN846" s="4" t="s">
        <v>241</v>
      </c>
      <c r="BO846" s="6">
        <f>0</f>
        <v>0</v>
      </c>
      <c r="BP846" s="6">
        <f>0</f>
        <v>0</v>
      </c>
      <c r="BQ846" s="4" t="s">
        <v>263</v>
      </c>
      <c r="BR846" s="4" t="s">
        <v>264</v>
      </c>
      <c r="CF846" s="4" t="s">
        <v>241</v>
      </c>
      <c r="CG846" s="4" t="s">
        <v>241</v>
      </c>
      <c r="CK846" s="4" t="s">
        <v>265</v>
      </c>
      <c r="CL846" s="4" t="s">
        <v>266</v>
      </c>
      <c r="CM846" s="4" t="s">
        <v>241</v>
      </c>
      <c r="CO846" s="4" t="s">
        <v>841</v>
      </c>
      <c r="CP846" s="5" t="s">
        <v>268</v>
      </c>
      <c r="CQ846" s="4" t="s">
        <v>269</v>
      </c>
      <c r="CR846" s="4" t="s">
        <v>270</v>
      </c>
      <c r="CS846" s="4" t="s">
        <v>241</v>
      </c>
      <c r="CT846" s="4" t="s">
        <v>241</v>
      </c>
      <c r="CU846" s="4">
        <v>0</v>
      </c>
      <c r="CV846" s="4" t="s">
        <v>271</v>
      </c>
      <c r="CW846" s="4" t="s">
        <v>411</v>
      </c>
      <c r="CX846" s="4" t="s">
        <v>347</v>
      </c>
      <c r="CZ846" s="6">
        <f t="shared" si="63"/>
        <v>6128000</v>
      </c>
      <c r="DA846" s="6">
        <f>0</f>
        <v>0</v>
      </c>
      <c r="DC846" s="4" t="s">
        <v>241</v>
      </c>
      <c r="DD846" s="4" t="s">
        <v>241</v>
      </c>
      <c r="DF846" s="4" t="s">
        <v>241</v>
      </c>
      <c r="DI846" s="4" t="s">
        <v>241</v>
      </c>
      <c r="DJ846" s="4" t="s">
        <v>241</v>
      </c>
      <c r="DK846" s="4" t="s">
        <v>241</v>
      </c>
      <c r="DL846" s="4" t="s">
        <v>241</v>
      </c>
      <c r="DM846" s="4" t="s">
        <v>277</v>
      </c>
      <c r="DN846" s="4" t="s">
        <v>278</v>
      </c>
      <c r="DO846" s="6">
        <f t="shared" si="64"/>
        <v>61.28</v>
      </c>
      <c r="DP846" s="4" t="s">
        <v>241</v>
      </c>
      <c r="DQ846" s="4" t="s">
        <v>241</v>
      </c>
      <c r="DR846" s="4" t="s">
        <v>241</v>
      </c>
      <c r="DS846" s="4" t="s">
        <v>241</v>
      </c>
      <c r="DV846" s="4" t="s">
        <v>2187</v>
      </c>
      <c r="DW846" s="4" t="s">
        <v>351</v>
      </c>
      <c r="HO846" s="4" t="s">
        <v>277</v>
      </c>
      <c r="HR846" s="4" t="s">
        <v>278</v>
      </c>
      <c r="HS846" s="4" t="s">
        <v>278</v>
      </c>
    </row>
    <row r="847" spans="1:240" x14ac:dyDescent="0.4">
      <c r="A847" s="4">
        <v>2</v>
      </c>
      <c r="B847" s="4" t="s">
        <v>239</v>
      </c>
      <c r="C847" s="4">
        <v>914</v>
      </c>
      <c r="D847" s="4">
        <v>1</v>
      </c>
      <c r="E847" s="4">
        <v>1</v>
      </c>
      <c r="F847" s="4" t="s">
        <v>240</v>
      </c>
      <c r="G847" s="4" t="s">
        <v>241</v>
      </c>
      <c r="H847" s="4" t="s">
        <v>241</v>
      </c>
      <c r="I847" s="4" t="s">
        <v>2185</v>
      </c>
      <c r="J847" s="4" t="s">
        <v>344</v>
      </c>
      <c r="K847" s="4" t="s">
        <v>256</v>
      </c>
      <c r="L847" s="4" t="s">
        <v>2101</v>
      </c>
      <c r="M847" s="5" t="s">
        <v>2186</v>
      </c>
      <c r="N847" s="4" t="s">
        <v>2114</v>
      </c>
      <c r="O847" s="6">
        <f t="shared" si="60"/>
        <v>61.28</v>
      </c>
      <c r="P847" s="4" t="s">
        <v>276</v>
      </c>
      <c r="Q847" s="6">
        <f>1</f>
        <v>1</v>
      </c>
      <c r="R847" s="6">
        <f t="shared" si="61"/>
        <v>6128000</v>
      </c>
      <c r="S847" s="5" t="s">
        <v>839</v>
      </c>
      <c r="T847" s="4" t="s">
        <v>314</v>
      </c>
      <c r="U847" s="4" t="s">
        <v>669</v>
      </c>
      <c r="W847" s="6">
        <f t="shared" si="62"/>
        <v>6127999</v>
      </c>
      <c r="X847" s="4" t="s">
        <v>243</v>
      </c>
      <c r="Y847" s="4" t="s">
        <v>244</v>
      </c>
      <c r="Z847" s="4" t="s">
        <v>338</v>
      </c>
      <c r="AA847" s="4" t="s">
        <v>241</v>
      </c>
      <c r="AD847" s="4" t="s">
        <v>241</v>
      </c>
      <c r="AF847" s="5" t="s">
        <v>241</v>
      </c>
      <c r="AI847" s="5" t="s">
        <v>249</v>
      </c>
      <c r="AJ847" s="4" t="s">
        <v>251</v>
      </c>
      <c r="AK847" s="4" t="s">
        <v>252</v>
      </c>
      <c r="BA847" s="4" t="s">
        <v>254</v>
      </c>
      <c r="BB847" s="4" t="s">
        <v>241</v>
      </c>
      <c r="BC847" s="4" t="s">
        <v>255</v>
      </c>
      <c r="BD847" s="4" t="s">
        <v>241</v>
      </c>
      <c r="BE847" s="4" t="s">
        <v>257</v>
      </c>
      <c r="BF847" s="4" t="s">
        <v>241</v>
      </c>
      <c r="BJ847" s="4" t="s">
        <v>374</v>
      </c>
      <c r="BK847" s="5" t="s">
        <v>375</v>
      </c>
      <c r="BL847" s="4" t="s">
        <v>261</v>
      </c>
      <c r="BM847" s="4" t="s">
        <v>262</v>
      </c>
      <c r="BN847" s="4" t="s">
        <v>241</v>
      </c>
      <c r="BO847" s="6">
        <f>0</f>
        <v>0</v>
      </c>
      <c r="BP847" s="6">
        <f>0</f>
        <v>0</v>
      </c>
      <c r="BQ847" s="4" t="s">
        <v>263</v>
      </c>
      <c r="BR847" s="4" t="s">
        <v>264</v>
      </c>
      <c r="CF847" s="4" t="s">
        <v>241</v>
      </c>
      <c r="CG847" s="4" t="s">
        <v>241</v>
      </c>
      <c r="CK847" s="4" t="s">
        <v>265</v>
      </c>
      <c r="CL847" s="4" t="s">
        <v>266</v>
      </c>
      <c r="CM847" s="4" t="s">
        <v>241</v>
      </c>
      <c r="CO847" s="4" t="s">
        <v>841</v>
      </c>
      <c r="CP847" s="5" t="s">
        <v>268</v>
      </c>
      <c r="CQ847" s="4" t="s">
        <v>269</v>
      </c>
      <c r="CR847" s="4" t="s">
        <v>270</v>
      </c>
      <c r="CS847" s="4" t="s">
        <v>241</v>
      </c>
      <c r="CT847" s="4" t="s">
        <v>241</v>
      </c>
      <c r="CU847" s="4">
        <v>0</v>
      </c>
      <c r="CV847" s="4" t="s">
        <v>271</v>
      </c>
      <c r="CW847" s="4" t="s">
        <v>411</v>
      </c>
      <c r="CX847" s="4" t="s">
        <v>347</v>
      </c>
      <c r="CZ847" s="6">
        <f t="shared" si="63"/>
        <v>6128000</v>
      </c>
      <c r="DA847" s="6">
        <f>0</f>
        <v>0</v>
      </c>
      <c r="DC847" s="4" t="s">
        <v>241</v>
      </c>
      <c r="DD847" s="4" t="s">
        <v>241</v>
      </c>
      <c r="DF847" s="4" t="s">
        <v>241</v>
      </c>
      <c r="DI847" s="4" t="s">
        <v>241</v>
      </c>
      <c r="DJ847" s="4" t="s">
        <v>241</v>
      </c>
      <c r="DK847" s="4" t="s">
        <v>241</v>
      </c>
      <c r="DL847" s="4" t="s">
        <v>241</v>
      </c>
      <c r="DM847" s="4" t="s">
        <v>277</v>
      </c>
      <c r="DN847" s="4" t="s">
        <v>278</v>
      </c>
      <c r="DO847" s="6">
        <f t="shared" si="64"/>
        <v>61.28</v>
      </c>
      <c r="DP847" s="4" t="s">
        <v>241</v>
      </c>
      <c r="DQ847" s="4" t="s">
        <v>241</v>
      </c>
      <c r="DR847" s="4" t="s">
        <v>241</v>
      </c>
      <c r="DS847" s="4" t="s">
        <v>241</v>
      </c>
      <c r="DV847" s="4" t="s">
        <v>2187</v>
      </c>
      <c r="DW847" s="4" t="s">
        <v>300</v>
      </c>
      <c r="HO847" s="4" t="s">
        <v>277</v>
      </c>
      <c r="HR847" s="4" t="s">
        <v>278</v>
      </c>
      <c r="HS847" s="4" t="s">
        <v>278</v>
      </c>
    </row>
    <row r="848" spans="1:240" x14ac:dyDescent="0.4">
      <c r="A848" s="4">
        <v>2</v>
      </c>
      <c r="B848" s="4" t="s">
        <v>239</v>
      </c>
      <c r="C848" s="4">
        <v>915</v>
      </c>
      <c r="D848" s="4">
        <v>1</v>
      </c>
      <c r="E848" s="4">
        <v>1</v>
      </c>
      <c r="F848" s="4" t="s">
        <v>240</v>
      </c>
      <c r="G848" s="4" t="s">
        <v>241</v>
      </c>
      <c r="H848" s="4" t="s">
        <v>241</v>
      </c>
      <c r="I848" s="4" t="s">
        <v>2185</v>
      </c>
      <c r="J848" s="4" t="s">
        <v>344</v>
      </c>
      <c r="K848" s="4" t="s">
        <v>256</v>
      </c>
      <c r="L848" s="4" t="s">
        <v>2101</v>
      </c>
      <c r="M848" s="5" t="s">
        <v>2186</v>
      </c>
      <c r="N848" s="4" t="s">
        <v>2114</v>
      </c>
      <c r="O848" s="6">
        <f t="shared" si="60"/>
        <v>61.28</v>
      </c>
      <c r="P848" s="4" t="s">
        <v>276</v>
      </c>
      <c r="Q848" s="6">
        <f>1</f>
        <v>1</v>
      </c>
      <c r="R848" s="6">
        <f t="shared" si="61"/>
        <v>6128000</v>
      </c>
      <c r="S848" s="5" t="s">
        <v>839</v>
      </c>
      <c r="T848" s="4" t="s">
        <v>314</v>
      </c>
      <c r="U848" s="4" t="s">
        <v>669</v>
      </c>
      <c r="W848" s="6">
        <f t="shared" si="62"/>
        <v>6127999</v>
      </c>
      <c r="X848" s="4" t="s">
        <v>243</v>
      </c>
      <c r="Y848" s="4" t="s">
        <v>244</v>
      </c>
      <c r="Z848" s="4" t="s">
        <v>338</v>
      </c>
      <c r="AA848" s="4" t="s">
        <v>241</v>
      </c>
      <c r="AD848" s="4" t="s">
        <v>241</v>
      </c>
      <c r="AF848" s="5" t="s">
        <v>241</v>
      </c>
      <c r="AI848" s="5" t="s">
        <v>249</v>
      </c>
      <c r="AJ848" s="4" t="s">
        <v>251</v>
      </c>
      <c r="AK848" s="4" t="s">
        <v>252</v>
      </c>
      <c r="BA848" s="4" t="s">
        <v>254</v>
      </c>
      <c r="BB848" s="4" t="s">
        <v>241</v>
      </c>
      <c r="BC848" s="4" t="s">
        <v>255</v>
      </c>
      <c r="BD848" s="4" t="s">
        <v>241</v>
      </c>
      <c r="BE848" s="4" t="s">
        <v>257</v>
      </c>
      <c r="BF848" s="4" t="s">
        <v>241</v>
      </c>
      <c r="BJ848" s="4" t="s">
        <v>377</v>
      </c>
      <c r="BK848" s="5" t="s">
        <v>378</v>
      </c>
      <c r="BL848" s="4" t="s">
        <v>261</v>
      </c>
      <c r="BM848" s="4" t="s">
        <v>262</v>
      </c>
      <c r="BN848" s="4" t="s">
        <v>241</v>
      </c>
      <c r="BO848" s="6">
        <f>0</f>
        <v>0</v>
      </c>
      <c r="BP848" s="6">
        <f>0</f>
        <v>0</v>
      </c>
      <c r="BQ848" s="4" t="s">
        <v>263</v>
      </c>
      <c r="BR848" s="4" t="s">
        <v>264</v>
      </c>
      <c r="CF848" s="4" t="s">
        <v>241</v>
      </c>
      <c r="CG848" s="4" t="s">
        <v>241</v>
      </c>
      <c r="CK848" s="4" t="s">
        <v>265</v>
      </c>
      <c r="CL848" s="4" t="s">
        <v>266</v>
      </c>
      <c r="CM848" s="4" t="s">
        <v>241</v>
      </c>
      <c r="CO848" s="4" t="s">
        <v>841</v>
      </c>
      <c r="CP848" s="5" t="s">
        <v>268</v>
      </c>
      <c r="CQ848" s="4" t="s">
        <v>269</v>
      </c>
      <c r="CR848" s="4" t="s">
        <v>270</v>
      </c>
      <c r="CS848" s="4" t="s">
        <v>241</v>
      </c>
      <c r="CT848" s="4" t="s">
        <v>241</v>
      </c>
      <c r="CU848" s="4">
        <v>0</v>
      </c>
      <c r="CV848" s="4" t="s">
        <v>271</v>
      </c>
      <c r="CW848" s="4" t="s">
        <v>411</v>
      </c>
      <c r="CX848" s="4" t="s">
        <v>347</v>
      </c>
      <c r="CZ848" s="6">
        <f t="shared" si="63"/>
        <v>6128000</v>
      </c>
      <c r="DA848" s="6">
        <f>0</f>
        <v>0</v>
      </c>
      <c r="DC848" s="4" t="s">
        <v>241</v>
      </c>
      <c r="DD848" s="4" t="s">
        <v>241</v>
      </c>
      <c r="DF848" s="4" t="s">
        <v>241</v>
      </c>
      <c r="DI848" s="4" t="s">
        <v>241</v>
      </c>
      <c r="DJ848" s="4" t="s">
        <v>241</v>
      </c>
      <c r="DK848" s="4" t="s">
        <v>241</v>
      </c>
      <c r="DL848" s="4" t="s">
        <v>241</v>
      </c>
      <c r="DM848" s="4" t="s">
        <v>277</v>
      </c>
      <c r="DN848" s="4" t="s">
        <v>278</v>
      </c>
      <c r="DO848" s="6">
        <f t="shared" si="64"/>
        <v>61.28</v>
      </c>
      <c r="DP848" s="4" t="s">
        <v>241</v>
      </c>
      <c r="DQ848" s="4" t="s">
        <v>241</v>
      </c>
      <c r="DR848" s="4" t="s">
        <v>241</v>
      </c>
      <c r="DS848" s="4" t="s">
        <v>241</v>
      </c>
      <c r="DV848" s="4" t="s">
        <v>2187</v>
      </c>
      <c r="DW848" s="4" t="s">
        <v>341</v>
      </c>
      <c r="HO848" s="4" t="s">
        <v>277</v>
      </c>
      <c r="HR848" s="4" t="s">
        <v>278</v>
      </c>
      <c r="HS848" s="4" t="s">
        <v>278</v>
      </c>
    </row>
    <row r="849" spans="1:240" x14ac:dyDescent="0.4">
      <c r="A849" s="4">
        <v>2</v>
      </c>
      <c r="B849" s="4" t="s">
        <v>239</v>
      </c>
      <c r="C849" s="4">
        <v>916</v>
      </c>
      <c r="D849" s="4">
        <v>1</v>
      </c>
      <c r="E849" s="4">
        <v>1</v>
      </c>
      <c r="F849" s="4" t="s">
        <v>240</v>
      </c>
      <c r="G849" s="4" t="s">
        <v>241</v>
      </c>
      <c r="H849" s="4" t="s">
        <v>241</v>
      </c>
      <c r="I849" s="4" t="s">
        <v>2185</v>
      </c>
      <c r="J849" s="4" t="s">
        <v>344</v>
      </c>
      <c r="K849" s="4" t="s">
        <v>256</v>
      </c>
      <c r="L849" s="4" t="s">
        <v>2101</v>
      </c>
      <c r="M849" s="5" t="s">
        <v>2186</v>
      </c>
      <c r="N849" s="4" t="s">
        <v>2114</v>
      </c>
      <c r="O849" s="6">
        <f t="shared" si="60"/>
        <v>61.28</v>
      </c>
      <c r="P849" s="4" t="s">
        <v>276</v>
      </c>
      <c r="Q849" s="6">
        <f>1</f>
        <v>1</v>
      </c>
      <c r="R849" s="6">
        <f t="shared" si="61"/>
        <v>6128000</v>
      </c>
      <c r="S849" s="5" t="s">
        <v>839</v>
      </c>
      <c r="T849" s="4" t="s">
        <v>314</v>
      </c>
      <c r="U849" s="4" t="s">
        <v>669</v>
      </c>
      <c r="W849" s="6">
        <f t="shared" si="62"/>
        <v>6127999</v>
      </c>
      <c r="X849" s="4" t="s">
        <v>243</v>
      </c>
      <c r="Y849" s="4" t="s">
        <v>244</v>
      </c>
      <c r="Z849" s="4" t="s">
        <v>338</v>
      </c>
      <c r="AA849" s="4" t="s">
        <v>241</v>
      </c>
      <c r="AD849" s="4" t="s">
        <v>241</v>
      </c>
      <c r="AF849" s="5" t="s">
        <v>241</v>
      </c>
      <c r="AI849" s="5" t="s">
        <v>249</v>
      </c>
      <c r="AJ849" s="4" t="s">
        <v>251</v>
      </c>
      <c r="AK849" s="4" t="s">
        <v>252</v>
      </c>
      <c r="BA849" s="4" t="s">
        <v>254</v>
      </c>
      <c r="BB849" s="4" t="s">
        <v>241</v>
      </c>
      <c r="BC849" s="4" t="s">
        <v>255</v>
      </c>
      <c r="BD849" s="4" t="s">
        <v>241</v>
      </c>
      <c r="BE849" s="4" t="s">
        <v>257</v>
      </c>
      <c r="BF849" s="4" t="s">
        <v>241</v>
      </c>
      <c r="BJ849" s="4" t="s">
        <v>259</v>
      </c>
      <c r="BK849" s="5" t="s">
        <v>260</v>
      </c>
      <c r="BL849" s="4" t="s">
        <v>261</v>
      </c>
      <c r="BM849" s="4" t="s">
        <v>262</v>
      </c>
      <c r="BN849" s="4" t="s">
        <v>241</v>
      </c>
      <c r="BO849" s="6">
        <f>0</f>
        <v>0</v>
      </c>
      <c r="BP849" s="6">
        <f>0</f>
        <v>0</v>
      </c>
      <c r="BQ849" s="4" t="s">
        <v>263</v>
      </c>
      <c r="BR849" s="4" t="s">
        <v>264</v>
      </c>
      <c r="CF849" s="4" t="s">
        <v>241</v>
      </c>
      <c r="CG849" s="4" t="s">
        <v>241</v>
      </c>
      <c r="CK849" s="4" t="s">
        <v>265</v>
      </c>
      <c r="CL849" s="4" t="s">
        <v>266</v>
      </c>
      <c r="CM849" s="4" t="s">
        <v>241</v>
      </c>
      <c r="CO849" s="4" t="s">
        <v>841</v>
      </c>
      <c r="CP849" s="5" t="s">
        <v>268</v>
      </c>
      <c r="CQ849" s="4" t="s">
        <v>269</v>
      </c>
      <c r="CR849" s="4" t="s">
        <v>270</v>
      </c>
      <c r="CS849" s="4" t="s">
        <v>241</v>
      </c>
      <c r="CT849" s="4" t="s">
        <v>241</v>
      </c>
      <c r="CU849" s="4">
        <v>0</v>
      </c>
      <c r="CV849" s="4" t="s">
        <v>271</v>
      </c>
      <c r="CW849" s="4" t="s">
        <v>411</v>
      </c>
      <c r="CX849" s="4" t="s">
        <v>347</v>
      </c>
      <c r="CZ849" s="6">
        <f t="shared" si="63"/>
        <v>6128000</v>
      </c>
      <c r="DA849" s="6">
        <f>0</f>
        <v>0</v>
      </c>
      <c r="DC849" s="4" t="s">
        <v>241</v>
      </c>
      <c r="DD849" s="4" t="s">
        <v>241</v>
      </c>
      <c r="DF849" s="4" t="s">
        <v>241</v>
      </c>
      <c r="DI849" s="4" t="s">
        <v>241</v>
      </c>
      <c r="DJ849" s="4" t="s">
        <v>241</v>
      </c>
      <c r="DK849" s="4" t="s">
        <v>241</v>
      </c>
      <c r="DL849" s="4" t="s">
        <v>241</v>
      </c>
      <c r="DM849" s="4" t="s">
        <v>277</v>
      </c>
      <c r="DN849" s="4" t="s">
        <v>278</v>
      </c>
      <c r="DO849" s="6">
        <f t="shared" si="64"/>
        <v>61.28</v>
      </c>
      <c r="DP849" s="4" t="s">
        <v>241</v>
      </c>
      <c r="DQ849" s="4" t="s">
        <v>241</v>
      </c>
      <c r="DR849" s="4" t="s">
        <v>241</v>
      </c>
      <c r="DS849" s="4" t="s">
        <v>241</v>
      </c>
      <c r="DV849" s="4" t="s">
        <v>2187</v>
      </c>
      <c r="DW849" s="4" t="s">
        <v>343</v>
      </c>
      <c r="HO849" s="4" t="s">
        <v>277</v>
      </c>
      <c r="HR849" s="4" t="s">
        <v>278</v>
      </c>
      <c r="HS849" s="4" t="s">
        <v>278</v>
      </c>
    </row>
    <row r="850" spans="1:240" x14ac:dyDescent="0.4">
      <c r="A850" s="4">
        <v>2</v>
      </c>
      <c r="B850" s="4" t="s">
        <v>239</v>
      </c>
      <c r="C850" s="4">
        <v>917</v>
      </c>
      <c r="D850" s="4">
        <v>1</v>
      </c>
      <c r="E850" s="4">
        <v>1</v>
      </c>
      <c r="F850" s="4" t="s">
        <v>240</v>
      </c>
      <c r="G850" s="4" t="s">
        <v>241</v>
      </c>
      <c r="H850" s="4" t="s">
        <v>241</v>
      </c>
      <c r="I850" s="4" t="s">
        <v>2185</v>
      </c>
      <c r="J850" s="4" t="s">
        <v>344</v>
      </c>
      <c r="K850" s="4" t="s">
        <v>256</v>
      </c>
      <c r="L850" s="4" t="s">
        <v>2101</v>
      </c>
      <c r="M850" s="5" t="s">
        <v>2186</v>
      </c>
      <c r="N850" s="4" t="s">
        <v>2114</v>
      </c>
      <c r="O850" s="6">
        <f t="shared" si="60"/>
        <v>61.28</v>
      </c>
      <c r="P850" s="4" t="s">
        <v>276</v>
      </c>
      <c r="Q850" s="6">
        <f>1</f>
        <v>1</v>
      </c>
      <c r="R850" s="6">
        <f t="shared" si="61"/>
        <v>6128000</v>
      </c>
      <c r="S850" s="5" t="s">
        <v>839</v>
      </c>
      <c r="T850" s="4" t="s">
        <v>314</v>
      </c>
      <c r="U850" s="4" t="s">
        <v>669</v>
      </c>
      <c r="W850" s="6">
        <f t="shared" si="62"/>
        <v>6127999</v>
      </c>
      <c r="X850" s="4" t="s">
        <v>243</v>
      </c>
      <c r="Y850" s="4" t="s">
        <v>244</v>
      </c>
      <c r="Z850" s="4" t="s">
        <v>338</v>
      </c>
      <c r="AA850" s="4" t="s">
        <v>241</v>
      </c>
      <c r="AD850" s="4" t="s">
        <v>241</v>
      </c>
      <c r="AF850" s="5" t="s">
        <v>241</v>
      </c>
      <c r="AI850" s="5" t="s">
        <v>249</v>
      </c>
      <c r="AJ850" s="4" t="s">
        <v>251</v>
      </c>
      <c r="AK850" s="4" t="s">
        <v>252</v>
      </c>
      <c r="BA850" s="4" t="s">
        <v>254</v>
      </c>
      <c r="BB850" s="4" t="s">
        <v>241</v>
      </c>
      <c r="BC850" s="4" t="s">
        <v>255</v>
      </c>
      <c r="BD850" s="4" t="s">
        <v>241</v>
      </c>
      <c r="BE850" s="4" t="s">
        <v>257</v>
      </c>
      <c r="BF850" s="4" t="s">
        <v>241</v>
      </c>
      <c r="BJ850" s="4" t="s">
        <v>367</v>
      </c>
      <c r="BK850" s="5" t="s">
        <v>249</v>
      </c>
      <c r="BL850" s="4" t="s">
        <v>261</v>
      </c>
      <c r="BM850" s="4" t="s">
        <v>262</v>
      </c>
      <c r="BN850" s="4" t="s">
        <v>241</v>
      </c>
      <c r="BO850" s="6">
        <f>0</f>
        <v>0</v>
      </c>
      <c r="BP850" s="6">
        <f>0</f>
        <v>0</v>
      </c>
      <c r="BQ850" s="4" t="s">
        <v>263</v>
      </c>
      <c r="BR850" s="4" t="s">
        <v>264</v>
      </c>
      <c r="CF850" s="4" t="s">
        <v>241</v>
      </c>
      <c r="CG850" s="4" t="s">
        <v>241</v>
      </c>
      <c r="CK850" s="4" t="s">
        <v>265</v>
      </c>
      <c r="CL850" s="4" t="s">
        <v>266</v>
      </c>
      <c r="CM850" s="4" t="s">
        <v>241</v>
      </c>
      <c r="CO850" s="4" t="s">
        <v>841</v>
      </c>
      <c r="CP850" s="5" t="s">
        <v>268</v>
      </c>
      <c r="CQ850" s="4" t="s">
        <v>269</v>
      </c>
      <c r="CR850" s="4" t="s">
        <v>270</v>
      </c>
      <c r="CS850" s="4" t="s">
        <v>241</v>
      </c>
      <c r="CT850" s="4" t="s">
        <v>241</v>
      </c>
      <c r="CU850" s="4">
        <v>0</v>
      </c>
      <c r="CV850" s="4" t="s">
        <v>271</v>
      </c>
      <c r="CW850" s="4" t="s">
        <v>411</v>
      </c>
      <c r="CX850" s="4" t="s">
        <v>347</v>
      </c>
      <c r="CZ850" s="6">
        <f t="shared" si="63"/>
        <v>6128000</v>
      </c>
      <c r="DA850" s="6">
        <f>0</f>
        <v>0</v>
      </c>
      <c r="DC850" s="4" t="s">
        <v>241</v>
      </c>
      <c r="DD850" s="4" t="s">
        <v>241</v>
      </c>
      <c r="DF850" s="4" t="s">
        <v>241</v>
      </c>
      <c r="DI850" s="4" t="s">
        <v>241</v>
      </c>
      <c r="DJ850" s="4" t="s">
        <v>241</v>
      </c>
      <c r="DK850" s="4" t="s">
        <v>241</v>
      </c>
      <c r="DL850" s="4" t="s">
        <v>241</v>
      </c>
      <c r="DM850" s="4" t="s">
        <v>277</v>
      </c>
      <c r="DN850" s="4" t="s">
        <v>278</v>
      </c>
      <c r="DO850" s="6">
        <f t="shared" si="64"/>
        <v>61.28</v>
      </c>
      <c r="DP850" s="4" t="s">
        <v>241</v>
      </c>
      <c r="DQ850" s="4" t="s">
        <v>241</v>
      </c>
      <c r="DR850" s="4" t="s">
        <v>241</v>
      </c>
      <c r="DS850" s="4" t="s">
        <v>241</v>
      </c>
      <c r="DV850" s="4" t="s">
        <v>2187</v>
      </c>
      <c r="DW850" s="4" t="s">
        <v>417</v>
      </c>
      <c r="HO850" s="4" t="s">
        <v>277</v>
      </c>
      <c r="HR850" s="4" t="s">
        <v>278</v>
      </c>
      <c r="HS850" s="4" t="s">
        <v>278</v>
      </c>
    </row>
    <row r="851" spans="1:240" x14ac:dyDescent="0.4">
      <c r="A851" s="4">
        <v>2</v>
      </c>
      <c r="B851" s="4" t="s">
        <v>239</v>
      </c>
      <c r="C851" s="4">
        <v>918</v>
      </c>
      <c r="D851" s="4">
        <v>1</v>
      </c>
      <c r="E851" s="4">
        <v>1</v>
      </c>
      <c r="F851" s="4" t="s">
        <v>240</v>
      </c>
      <c r="G851" s="4" t="s">
        <v>241</v>
      </c>
      <c r="H851" s="4" t="s">
        <v>241</v>
      </c>
      <c r="I851" s="4" t="s">
        <v>2185</v>
      </c>
      <c r="J851" s="4" t="s">
        <v>344</v>
      </c>
      <c r="K851" s="4" t="s">
        <v>256</v>
      </c>
      <c r="L851" s="4" t="s">
        <v>2101</v>
      </c>
      <c r="M851" s="5" t="s">
        <v>2186</v>
      </c>
      <c r="N851" s="4" t="s">
        <v>2114</v>
      </c>
      <c r="O851" s="6">
        <f t="shared" si="60"/>
        <v>61.28</v>
      </c>
      <c r="P851" s="4" t="s">
        <v>276</v>
      </c>
      <c r="Q851" s="6">
        <f>1</f>
        <v>1</v>
      </c>
      <c r="R851" s="6">
        <f t="shared" si="61"/>
        <v>6128000</v>
      </c>
      <c r="S851" s="5" t="s">
        <v>839</v>
      </c>
      <c r="T851" s="4" t="s">
        <v>314</v>
      </c>
      <c r="U851" s="4" t="s">
        <v>669</v>
      </c>
      <c r="W851" s="6">
        <f t="shared" si="62"/>
        <v>6127999</v>
      </c>
      <c r="X851" s="4" t="s">
        <v>243</v>
      </c>
      <c r="Y851" s="4" t="s">
        <v>244</v>
      </c>
      <c r="Z851" s="4" t="s">
        <v>338</v>
      </c>
      <c r="AA851" s="4" t="s">
        <v>241</v>
      </c>
      <c r="AD851" s="4" t="s">
        <v>241</v>
      </c>
      <c r="AF851" s="5" t="s">
        <v>241</v>
      </c>
      <c r="AI851" s="5" t="s">
        <v>249</v>
      </c>
      <c r="AJ851" s="4" t="s">
        <v>251</v>
      </c>
      <c r="AK851" s="4" t="s">
        <v>252</v>
      </c>
      <c r="BA851" s="4" t="s">
        <v>254</v>
      </c>
      <c r="BB851" s="4" t="s">
        <v>241</v>
      </c>
      <c r="BC851" s="4" t="s">
        <v>255</v>
      </c>
      <c r="BD851" s="4" t="s">
        <v>241</v>
      </c>
      <c r="BE851" s="4" t="s">
        <v>257</v>
      </c>
      <c r="BF851" s="4" t="s">
        <v>241</v>
      </c>
      <c r="BJ851" s="4" t="s">
        <v>374</v>
      </c>
      <c r="BK851" s="5" t="s">
        <v>375</v>
      </c>
      <c r="BL851" s="4" t="s">
        <v>261</v>
      </c>
      <c r="BM851" s="4" t="s">
        <v>262</v>
      </c>
      <c r="BN851" s="4" t="s">
        <v>241</v>
      </c>
      <c r="BO851" s="6">
        <f>0</f>
        <v>0</v>
      </c>
      <c r="BP851" s="6">
        <f>0</f>
        <v>0</v>
      </c>
      <c r="BQ851" s="4" t="s">
        <v>263</v>
      </c>
      <c r="BR851" s="4" t="s">
        <v>264</v>
      </c>
      <c r="CF851" s="4" t="s">
        <v>241</v>
      </c>
      <c r="CG851" s="4" t="s">
        <v>241</v>
      </c>
      <c r="CK851" s="4" t="s">
        <v>265</v>
      </c>
      <c r="CL851" s="4" t="s">
        <v>266</v>
      </c>
      <c r="CM851" s="4" t="s">
        <v>241</v>
      </c>
      <c r="CO851" s="4" t="s">
        <v>841</v>
      </c>
      <c r="CP851" s="5" t="s">
        <v>268</v>
      </c>
      <c r="CQ851" s="4" t="s">
        <v>269</v>
      </c>
      <c r="CR851" s="4" t="s">
        <v>270</v>
      </c>
      <c r="CS851" s="4" t="s">
        <v>241</v>
      </c>
      <c r="CT851" s="4" t="s">
        <v>241</v>
      </c>
      <c r="CU851" s="4">
        <v>0</v>
      </c>
      <c r="CV851" s="4" t="s">
        <v>271</v>
      </c>
      <c r="CW851" s="4" t="s">
        <v>411</v>
      </c>
      <c r="CX851" s="4" t="s">
        <v>347</v>
      </c>
      <c r="CZ851" s="6">
        <f t="shared" si="63"/>
        <v>6128000</v>
      </c>
      <c r="DA851" s="6">
        <f>0</f>
        <v>0</v>
      </c>
      <c r="DC851" s="4" t="s">
        <v>241</v>
      </c>
      <c r="DD851" s="4" t="s">
        <v>241</v>
      </c>
      <c r="DF851" s="4" t="s">
        <v>241</v>
      </c>
      <c r="DI851" s="4" t="s">
        <v>241</v>
      </c>
      <c r="DJ851" s="4" t="s">
        <v>241</v>
      </c>
      <c r="DK851" s="4" t="s">
        <v>241</v>
      </c>
      <c r="DL851" s="4" t="s">
        <v>241</v>
      </c>
      <c r="DM851" s="4" t="s">
        <v>277</v>
      </c>
      <c r="DN851" s="4" t="s">
        <v>278</v>
      </c>
      <c r="DO851" s="6">
        <f t="shared" si="64"/>
        <v>61.28</v>
      </c>
      <c r="DP851" s="4" t="s">
        <v>241</v>
      </c>
      <c r="DQ851" s="4" t="s">
        <v>241</v>
      </c>
      <c r="DR851" s="4" t="s">
        <v>241</v>
      </c>
      <c r="DS851" s="4" t="s">
        <v>241</v>
      </c>
      <c r="DV851" s="4" t="s">
        <v>2187</v>
      </c>
      <c r="DW851" s="4" t="s">
        <v>427</v>
      </c>
      <c r="HO851" s="4" t="s">
        <v>277</v>
      </c>
      <c r="HR851" s="4" t="s">
        <v>278</v>
      </c>
      <c r="HS851" s="4" t="s">
        <v>278</v>
      </c>
    </row>
    <row r="852" spans="1:240" x14ac:dyDescent="0.4">
      <c r="A852" s="4">
        <v>2</v>
      </c>
      <c r="B852" s="4" t="s">
        <v>239</v>
      </c>
      <c r="C852" s="4">
        <v>919</v>
      </c>
      <c r="D852" s="4">
        <v>1</v>
      </c>
      <c r="E852" s="4">
        <v>1</v>
      </c>
      <c r="F852" s="4" t="s">
        <v>240</v>
      </c>
      <c r="G852" s="4" t="s">
        <v>241</v>
      </c>
      <c r="H852" s="4" t="s">
        <v>241</v>
      </c>
      <c r="I852" s="4" t="s">
        <v>2364</v>
      </c>
      <c r="J852" s="4" t="s">
        <v>344</v>
      </c>
      <c r="K852" s="4" t="s">
        <v>256</v>
      </c>
      <c r="L852" s="4" t="s">
        <v>2101</v>
      </c>
      <c r="M852" s="5" t="s">
        <v>2365</v>
      </c>
      <c r="N852" s="4" t="s">
        <v>2114</v>
      </c>
      <c r="O852" s="6">
        <f>72.9</f>
        <v>72.900000000000006</v>
      </c>
      <c r="P852" s="4" t="s">
        <v>276</v>
      </c>
      <c r="Q852" s="6">
        <f>1</f>
        <v>1</v>
      </c>
      <c r="R852" s="6">
        <f>7290000</f>
        <v>7290000</v>
      </c>
      <c r="S852" s="5" t="s">
        <v>2140</v>
      </c>
      <c r="T852" s="4" t="s">
        <v>314</v>
      </c>
      <c r="U852" s="4" t="s">
        <v>2143</v>
      </c>
      <c r="W852" s="6">
        <f>7289999</f>
        <v>7289999</v>
      </c>
      <c r="X852" s="4" t="s">
        <v>243</v>
      </c>
      <c r="Y852" s="4" t="s">
        <v>244</v>
      </c>
      <c r="Z852" s="4" t="s">
        <v>338</v>
      </c>
      <c r="AA852" s="4" t="s">
        <v>241</v>
      </c>
      <c r="AD852" s="4" t="s">
        <v>241</v>
      </c>
      <c r="AF852" s="5" t="s">
        <v>241</v>
      </c>
      <c r="AI852" s="5" t="s">
        <v>249</v>
      </c>
      <c r="AJ852" s="4" t="s">
        <v>251</v>
      </c>
      <c r="AK852" s="4" t="s">
        <v>252</v>
      </c>
      <c r="BA852" s="4" t="s">
        <v>254</v>
      </c>
      <c r="BB852" s="4" t="s">
        <v>241</v>
      </c>
      <c r="BC852" s="4" t="s">
        <v>255</v>
      </c>
      <c r="BD852" s="4" t="s">
        <v>241</v>
      </c>
      <c r="BE852" s="4" t="s">
        <v>257</v>
      </c>
      <c r="BF852" s="4" t="s">
        <v>241</v>
      </c>
      <c r="BJ852" s="4" t="s">
        <v>377</v>
      </c>
      <c r="BK852" s="5" t="s">
        <v>378</v>
      </c>
      <c r="BL852" s="4" t="s">
        <v>261</v>
      </c>
      <c r="BM852" s="4" t="s">
        <v>262</v>
      </c>
      <c r="BN852" s="4" t="s">
        <v>241</v>
      </c>
      <c r="BO852" s="6">
        <f>0</f>
        <v>0</v>
      </c>
      <c r="BP852" s="6">
        <f>0</f>
        <v>0</v>
      </c>
      <c r="BQ852" s="4" t="s">
        <v>263</v>
      </c>
      <c r="BR852" s="4" t="s">
        <v>264</v>
      </c>
      <c r="CF852" s="4" t="s">
        <v>241</v>
      </c>
      <c r="CG852" s="4" t="s">
        <v>241</v>
      </c>
      <c r="CK852" s="4" t="s">
        <v>265</v>
      </c>
      <c r="CL852" s="4" t="s">
        <v>266</v>
      </c>
      <c r="CM852" s="4" t="s">
        <v>241</v>
      </c>
      <c r="CO852" s="4" t="s">
        <v>2142</v>
      </c>
      <c r="CP852" s="5" t="s">
        <v>268</v>
      </c>
      <c r="CQ852" s="4" t="s">
        <v>269</v>
      </c>
      <c r="CR852" s="4" t="s">
        <v>270</v>
      </c>
      <c r="CS852" s="4" t="s">
        <v>241</v>
      </c>
      <c r="CT852" s="4" t="s">
        <v>241</v>
      </c>
      <c r="CU852" s="4">
        <v>0</v>
      </c>
      <c r="CV852" s="4" t="s">
        <v>271</v>
      </c>
      <c r="CW852" s="4" t="s">
        <v>411</v>
      </c>
      <c r="CX852" s="4" t="s">
        <v>347</v>
      </c>
      <c r="CZ852" s="6">
        <f>7290000</f>
        <v>7290000</v>
      </c>
      <c r="DA852" s="6">
        <f>0</f>
        <v>0</v>
      </c>
      <c r="DC852" s="4" t="s">
        <v>241</v>
      </c>
      <c r="DD852" s="4" t="s">
        <v>241</v>
      </c>
      <c r="DF852" s="4" t="s">
        <v>241</v>
      </c>
      <c r="DI852" s="4" t="s">
        <v>241</v>
      </c>
      <c r="DJ852" s="4" t="s">
        <v>241</v>
      </c>
      <c r="DK852" s="4" t="s">
        <v>241</v>
      </c>
      <c r="DL852" s="4" t="s">
        <v>241</v>
      </c>
      <c r="DM852" s="4" t="s">
        <v>277</v>
      </c>
      <c r="DN852" s="4" t="s">
        <v>278</v>
      </c>
      <c r="DO852" s="6">
        <f>72.9</f>
        <v>72.900000000000006</v>
      </c>
      <c r="DP852" s="4" t="s">
        <v>241</v>
      </c>
      <c r="DQ852" s="4" t="s">
        <v>241</v>
      </c>
      <c r="DR852" s="4" t="s">
        <v>241</v>
      </c>
      <c r="DS852" s="4" t="s">
        <v>241</v>
      </c>
      <c r="DV852" s="4" t="s">
        <v>2366</v>
      </c>
      <c r="DW852" s="4" t="s">
        <v>277</v>
      </c>
      <c r="HO852" s="4" t="s">
        <v>277</v>
      </c>
      <c r="HR852" s="4" t="s">
        <v>278</v>
      </c>
      <c r="HS852" s="4" t="s">
        <v>278</v>
      </c>
    </row>
    <row r="853" spans="1:240" x14ac:dyDescent="0.4">
      <c r="A853" s="4">
        <v>2</v>
      </c>
      <c r="B853" s="4" t="s">
        <v>239</v>
      </c>
      <c r="C853" s="4">
        <v>920</v>
      </c>
      <c r="D853" s="4">
        <v>1</v>
      </c>
      <c r="E853" s="4">
        <v>1</v>
      </c>
      <c r="F853" s="4" t="s">
        <v>240</v>
      </c>
      <c r="G853" s="4" t="s">
        <v>241</v>
      </c>
      <c r="H853" s="4" t="s">
        <v>241</v>
      </c>
      <c r="I853" s="4" t="s">
        <v>2367</v>
      </c>
      <c r="J853" s="4" t="s">
        <v>344</v>
      </c>
      <c r="K853" s="4" t="s">
        <v>256</v>
      </c>
      <c r="L853" s="4" t="s">
        <v>2101</v>
      </c>
      <c r="M853" s="5" t="s">
        <v>2368</v>
      </c>
      <c r="N853" s="4" t="s">
        <v>2114</v>
      </c>
      <c r="O853" s="6">
        <f>125.88</f>
        <v>125.88</v>
      </c>
      <c r="P853" s="4" t="s">
        <v>276</v>
      </c>
      <c r="Q853" s="6">
        <f>1</f>
        <v>1</v>
      </c>
      <c r="R853" s="6">
        <f>12588000</f>
        <v>12588000</v>
      </c>
      <c r="S853" s="5" t="s">
        <v>774</v>
      </c>
      <c r="T853" s="4" t="s">
        <v>314</v>
      </c>
      <c r="U853" s="4" t="s">
        <v>552</v>
      </c>
      <c r="W853" s="6">
        <f>12587999</f>
        <v>12587999</v>
      </c>
      <c r="X853" s="4" t="s">
        <v>243</v>
      </c>
      <c r="Y853" s="4" t="s">
        <v>244</v>
      </c>
      <c r="Z853" s="4" t="s">
        <v>338</v>
      </c>
      <c r="AA853" s="4" t="s">
        <v>241</v>
      </c>
      <c r="AD853" s="4" t="s">
        <v>241</v>
      </c>
      <c r="AF853" s="5" t="s">
        <v>241</v>
      </c>
      <c r="AI853" s="5" t="s">
        <v>249</v>
      </c>
      <c r="AJ853" s="4" t="s">
        <v>251</v>
      </c>
      <c r="AK853" s="4" t="s">
        <v>252</v>
      </c>
      <c r="BA853" s="4" t="s">
        <v>254</v>
      </c>
      <c r="BB853" s="4" t="s">
        <v>241</v>
      </c>
      <c r="BC853" s="4" t="s">
        <v>255</v>
      </c>
      <c r="BD853" s="4" t="s">
        <v>241</v>
      </c>
      <c r="BE853" s="4" t="s">
        <v>257</v>
      </c>
      <c r="BF853" s="4" t="s">
        <v>241</v>
      </c>
      <c r="BH853" s="4" t="s">
        <v>2107</v>
      </c>
      <c r="BJ853" s="4" t="s">
        <v>259</v>
      </c>
      <c r="BK853" s="5" t="s">
        <v>260</v>
      </c>
      <c r="BL853" s="4" t="s">
        <v>261</v>
      </c>
      <c r="BM853" s="4" t="s">
        <v>262</v>
      </c>
      <c r="BN853" s="4" t="s">
        <v>241</v>
      </c>
      <c r="BO853" s="6">
        <f>0</f>
        <v>0</v>
      </c>
      <c r="BP853" s="6">
        <f>0</f>
        <v>0</v>
      </c>
      <c r="BQ853" s="4" t="s">
        <v>263</v>
      </c>
      <c r="BR853" s="4" t="s">
        <v>264</v>
      </c>
      <c r="CF853" s="4" t="s">
        <v>241</v>
      </c>
      <c r="CG853" s="4" t="s">
        <v>241</v>
      </c>
      <c r="CK853" s="4" t="s">
        <v>265</v>
      </c>
      <c r="CL853" s="4" t="s">
        <v>266</v>
      </c>
      <c r="CM853" s="4" t="s">
        <v>241</v>
      </c>
      <c r="CO853" s="4" t="s">
        <v>662</v>
      </c>
      <c r="CP853" s="5" t="s">
        <v>268</v>
      </c>
      <c r="CQ853" s="4" t="s">
        <v>269</v>
      </c>
      <c r="CR853" s="4" t="s">
        <v>270</v>
      </c>
      <c r="CS853" s="4" t="s">
        <v>241</v>
      </c>
      <c r="CT853" s="4" t="s">
        <v>241</v>
      </c>
      <c r="CU853" s="4">
        <v>0</v>
      </c>
      <c r="CV853" s="4" t="s">
        <v>271</v>
      </c>
      <c r="CW853" s="4" t="s">
        <v>411</v>
      </c>
      <c r="CX853" s="4" t="s">
        <v>347</v>
      </c>
      <c r="CZ853" s="6">
        <f>12588000</f>
        <v>12588000</v>
      </c>
      <c r="DA853" s="6">
        <f>0</f>
        <v>0</v>
      </c>
      <c r="DC853" s="4" t="s">
        <v>241</v>
      </c>
      <c r="DD853" s="4" t="s">
        <v>241</v>
      </c>
      <c r="DF853" s="4" t="s">
        <v>241</v>
      </c>
      <c r="DI853" s="4" t="s">
        <v>241</v>
      </c>
      <c r="DJ853" s="4" t="s">
        <v>241</v>
      </c>
      <c r="DK853" s="4" t="s">
        <v>241</v>
      </c>
      <c r="DL853" s="4" t="s">
        <v>241</v>
      </c>
      <c r="DM853" s="4" t="s">
        <v>277</v>
      </c>
      <c r="DN853" s="4" t="s">
        <v>278</v>
      </c>
      <c r="DO853" s="6">
        <f>125.88</f>
        <v>125.88</v>
      </c>
      <c r="DP853" s="4" t="s">
        <v>241</v>
      </c>
      <c r="DQ853" s="4" t="s">
        <v>241</v>
      </c>
      <c r="DR853" s="4" t="s">
        <v>241</v>
      </c>
      <c r="DS853" s="4" t="s">
        <v>241</v>
      </c>
      <c r="DV853" s="4" t="s">
        <v>2369</v>
      </c>
      <c r="DW853" s="4" t="s">
        <v>277</v>
      </c>
      <c r="HO853" s="4" t="s">
        <v>277</v>
      </c>
      <c r="HR853" s="4" t="s">
        <v>278</v>
      </c>
      <c r="HS853" s="4" t="s">
        <v>278</v>
      </c>
    </row>
    <row r="854" spans="1:240" x14ac:dyDescent="0.4">
      <c r="A854" s="4">
        <v>2</v>
      </c>
      <c r="B854" s="4" t="s">
        <v>239</v>
      </c>
      <c r="C854" s="4">
        <v>921</v>
      </c>
      <c r="D854" s="4">
        <v>1</v>
      </c>
      <c r="E854" s="4">
        <v>1</v>
      </c>
      <c r="F854" s="4" t="s">
        <v>240</v>
      </c>
      <c r="G854" s="4" t="s">
        <v>241</v>
      </c>
      <c r="H854" s="4" t="s">
        <v>241</v>
      </c>
      <c r="I854" s="4" t="s">
        <v>2367</v>
      </c>
      <c r="J854" s="4" t="s">
        <v>344</v>
      </c>
      <c r="K854" s="4" t="s">
        <v>256</v>
      </c>
      <c r="L854" s="4" t="s">
        <v>2101</v>
      </c>
      <c r="M854" s="5" t="s">
        <v>2368</v>
      </c>
      <c r="N854" s="4" t="s">
        <v>2114</v>
      </c>
      <c r="O854" s="6">
        <f>125.88</f>
        <v>125.88</v>
      </c>
      <c r="P854" s="4" t="s">
        <v>276</v>
      </c>
      <c r="Q854" s="6">
        <f>1</f>
        <v>1</v>
      </c>
      <c r="R854" s="6">
        <f>12588000</f>
        <v>12588000</v>
      </c>
      <c r="S854" s="5" t="s">
        <v>774</v>
      </c>
      <c r="T854" s="4" t="s">
        <v>314</v>
      </c>
      <c r="U854" s="4" t="s">
        <v>552</v>
      </c>
      <c r="W854" s="6">
        <f>12587999</f>
        <v>12587999</v>
      </c>
      <c r="X854" s="4" t="s">
        <v>243</v>
      </c>
      <c r="Y854" s="4" t="s">
        <v>244</v>
      </c>
      <c r="Z854" s="4" t="s">
        <v>338</v>
      </c>
      <c r="AA854" s="4" t="s">
        <v>241</v>
      </c>
      <c r="AD854" s="4" t="s">
        <v>241</v>
      </c>
      <c r="AF854" s="5" t="s">
        <v>241</v>
      </c>
      <c r="AI854" s="5" t="s">
        <v>249</v>
      </c>
      <c r="AJ854" s="4" t="s">
        <v>251</v>
      </c>
      <c r="AK854" s="4" t="s">
        <v>252</v>
      </c>
      <c r="BA854" s="4" t="s">
        <v>254</v>
      </c>
      <c r="BB854" s="4" t="s">
        <v>241</v>
      </c>
      <c r="BC854" s="4" t="s">
        <v>255</v>
      </c>
      <c r="BD854" s="4" t="s">
        <v>241</v>
      </c>
      <c r="BE854" s="4" t="s">
        <v>257</v>
      </c>
      <c r="BF854" s="4" t="s">
        <v>241</v>
      </c>
      <c r="BJ854" s="4" t="s">
        <v>367</v>
      </c>
      <c r="BK854" s="5" t="s">
        <v>249</v>
      </c>
      <c r="BL854" s="4" t="s">
        <v>261</v>
      </c>
      <c r="BM854" s="4" t="s">
        <v>262</v>
      </c>
      <c r="BN854" s="4" t="s">
        <v>241</v>
      </c>
      <c r="BO854" s="6">
        <f>0</f>
        <v>0</v>
      </c>
      <c r="BP854" s="6">
        <f>0</f>
        <v>0</v>
      </c>
      <c r="BQ854" s="4" t="s">
        <v>263</v>
      </c>
      <c r="BR854" s="4" t="s">
        <v>264</v>
      </c>
      <c r="CF854" s="4" t="s">
        <v>241</v>
      </c>
      <c r="CG854" s="4" t="s">
        <v>241</v>
      </c>
      <c r="CK854" s="4" t="s">
        <v>265</v>
      </c>
      <c r="CL854" s="4" t="s">
        <v>266</v>
      </c>
      <c r="CM854" s="4" t="s">
        <v>241</v>
      </c>
      <c r="CO854" s="4" t="s">
        <v>662</v>
      </c>
      <c r="CP854" s="5" t="s">
        <v>268</v>
      </c>
      <c r="CQ854" s="4" t="s">
        <v>269</v>
      </c>
      <c r="CR854" s="4" t="s">
        <v>270</v>
      </c>
      <c r="CS854" s="4" t="s">
        <v>241</v>
      </c>
      <c r="CT854" s="4" t="s">
        <v>241</v>
      </c>
      <c r="CU854" s="4">
        <v>0</v>
      </c>
      <c r="CV854" s="4" t="s">
        <v>271</v>
      </c>
      <c r="CW854" s="4" t="s">
        <v>411</v>
      </c>
      <c r="CX854" s="4" t="s">
        <v>347</v>
      </c>
      <c r="CZ854" s="6">
        <f>12588000</f>
        <v>12588000</v>
      </c>
      <c r="DA854" s="6">
        <f>0</f>
        <v>0</v>
      </c>
      <c r="DC854" s="4" t="s">
        <v>241</v>
      </c>
      <c r="DD854" s="4" t="s">
        <v>241</v>
      </c>
      <c r="DF854" s="4" t="s">
        <v>241</v>
      </c>
      <c r="DI854" s="4" t="s">
        <v>241</v>
      </c>
      <c r="DJ854" s="4" t="s">
        <v>241</v>
      </c>
      <c r="DK854" s="4" t="s">
        <v>241</v>
      </c>
      <c r="DL854" s="4" t="s">
        <v>241</v>
      </c>
      <c r="DM854" s="4" t="s">
        <v>323</v>
      </c>
      <c r="DN854" s="4" t="s">
        <v>278</v>
      </c>
      <c r="DO854" s="6">
        <f>125.88</f>
        <v>125.88</v>
      </c>
      <c r="DP854" s="4" t="s">
        <v>241</v>
      </c>
      <c r="DQ854" s="4" t="s">
        <v>241</v>
      </c>
      <c r="DR854" s="4" t="s">
        <v>241</v>
      </c>
      <c r="DS854" s="4" t="s">
        <v>241</v>
      </c>
      <c r="DV854" s="4" t="s">
        <v>2369</v>
      </c>
      <c r="DW854" s="4" t="s">
        <v>323</v>
      </c>
      <c r="HO854" s="4" t="s">
        <v>277</v>
      </c>
      <c r="HR854" s="4" t="s">
        <v>278</v>
      </c>
      <c r="HS854" s="4" t="s">
        <v>278</v>
      </c>
    </row>
    <row r="855" spans="1:240" x14ac:dyDescent="0.4">
      <c r="A855" s="4">
        <v>2</v>
      </c>
      <c r="B855" s="4" t="s">
        <v>239</v>
      </c>
      <c r="C855" s="4">
        <v>922</v>
      </c>
      <c r="D855" s="4">
        <v>1</v>
      </c>
      <c r="E855" s="4">
        <v>1</v>
      </c>
      <c r="F855" s="4" t="s">
        <v>240</v>
      </c>
      <c r="G855" s="4" t="s">
        <v>241</v>
      </c>
      <c r="H855" s="4" t="s">
        <v>241</v>
      </c>
      <c r="I855" s="4" t="s">
        <v>2367</v>
      </c>
      <c r="J855" s="4" t="s">
        <v>344</v>
      </c>
      <c r="K855" s="4" t="s">
        <v>256</v>
      </c>
      <c r="L855" s="4" t="s">
        <v>2101</v>
      </c>
      <c r="M855" s="5" t="s">
        <v>2368</v>
      </c>
      <c r="N855" s="4" t="s">
        <v>2114</v>
      </c>
      <c r="O855" s="6">
        <f>125.88</f>
        <v>125.88</v>
      </c>
      <c r="P855" s="4" t="s">
        <v>276</v>
      </c>
      <c r="Q855" s="6">
        <f>1</f>
        <v>1</v>
      </c>
      <c r="R855" s="6">
        <f>12588000</f>
        <v>12588000</v>
      </c>
      <c r="S855" s="5" t="s">
        <v>774</v>
      </c>
      <c r="T855" s="4" t="s">
        <v>314</v>
      </c>
      <c r="U855" s="4" t="s">
        <v>552</v>
      </c>
      <c r="W855" s="6">
        <f>12587999</f>
        <v>12587999</v>
      </c>
      <c r="X855" s="4" t="s">
        <v>243</v>
      </c>
      <c r="Y855" s="4" t="s">
        <v>244</v>
      </c>
      <c r="Z855" s="4" t="s">
        <v>338</v>
      </c>
      <c r="AA855" s="4" t="s">
        <v>241</v>
      </c>
      <c r="AD855" s="4" t="s">
        <v>241</v>
      </c>
      <c r="AF855" s="5" t="s">
        <v>241</v>
      </c>
      <c r="AI855" s="5" t="s">
        <v>249</v>
      </c>
      <c r="AJ855" s="4" t="s">
        <v>251</v>
      </c>
      <c r="AK855" s="4" t="s">
        <v>252</v>
      </c>
      <c r="BA855" s="4" t="s">
        <v>254</v>
      </c>
      <c r="BB855" s="4" t="s">
        <v>241</v>
      </c>
      <c r="BC855" s="4" t="s">
        <v>255</v>
      </c>
      <c r="BD855" s="4" t="s">
        <v>241</v>
      </c>
      <c r="BE855" s="4" t="s">
        <v>257</v>
      </c>
      <c r="BF855" s="4" t="s">
        <v>241</v>
      </c>
      <c r="BJ855" s="4" t="s">
        <v>367</v>
      </c>
      <c r="BK855" s="5" t="s">
        <v>249</v>
      </c>
      <c r="BL855" s="4" t="s">
        <v>261</v>
      </c>
      <c r="BM855" s="4" t="s">
        <v>262</v>
      </c>
      <c r="BN855" s="4" t="s">
        <v>241</v>
      </c>
      <c r="BO855" s="6">
        <f>0</f>
        <v>0</v>
      </c>
      <c r="BP855" s="6">
        <f>0</f>
        <v>0</v>
      </c>
      <c r="BQ855" s="4" t="s">
        <v>263</v>
      </c>
      <c r="BR855" s="4" t="s">
        <v>264</v>
      </c>
      <c r="CF855" s="4" t="s">
        <v>241</v>
      </c>
      <c r="CG855" s="4" t="s">
        <v>241</v>
      </c>
      <c r="CK855" s="4" t="s">
        <v>265</v>
      </c>
      <c r="CL855" s="4" t="s">
        <v>266</v>
      </c>
      <c r="CM855" s="4" t="s">
        <v>241</v>
      </c>
      <c r="CO855" s="4" t="s">
        <v>662</v>
      </c>
      <c r="CP855" s="5" t="s">
        <v>268</v>
      </c>
      <c r="CQ855" s="4" t="s">
        <v>269</v>
      </c>
      <c r="CR855" s="4" t="s">
        <v>270</v>
      </c>
      <c r="CS855" s="4" t="s">
        <v>241</v>
      </c>
      <c r="CT855" s="4" t="s">
        <v>241</v>
      </c>
      <c r="CU855" s="4">
        <v>0</v>
      </c>
      <c r="CV855" s="4" t="s">
        <v>271</v>
      </c>
      <c r="CW855" s="4" t="s">
        <v>411</v>
      </c>
      <c r="CX855" s="4" t="s">
        <v>347</v>
      </c>
      <c r="CZ855" s="6">
        <f>12588000</f>
        <v>12588000</v>
      </c>
      <c r="DA855" s="6">
        <f>0</f>
        <v>0</v>
      </c>
      <c r="DC855" s="4" t="s">
        <v>241</v>
      </c>
      <c r="DD855" s="4" t="s">
        <v>241</v>
      </c>
      <c r="DF855" s="4" t="s">
        <v>241</v>
      </c>
      <c r="DI855" s="4" t="s">
        <v>241</v>
      </c>
      <c r="DJ855" s="4" t="s">
        <v>241</v>
      </c>
      <c r="DK855" s="4" t="s">
        <v>241</v>
      </c>
      <c r="DL855" s="4" t="s">
        <v>241</v>
      </c>
      <c r="DM855" s="4" t="s">
        <v>323</v>
      </c>
      <c r="DN855" s="4" t="s">
        <v>278</v>
      </c>
      <c r="DO855" s="6">
        <f>125.88</f>
        <v>125.88</v>
      </c>
      <c r="DP855" s="4" t="s">
        <v>241</v>
      </c>
      <c r="DQ855" s="4" t="s">
        <v>241</v>
      </c>
      <c r="DR855" s="4" t="s">
        <v>241</v>
      </c>
      <c r="DS855" s="4" t="s">
        <v>241</v>
      </c>
      <c r="DV855" s="4" t="s">
        <v>2369</v>
      </c>
      <c r="DW855" s="4" t="s">
        <v>297</v>
      </c>
      <c r="HO855" s="4" t="s">
        <v>277</v>
      </c>
      <c r="HR855" s="4" t="s">
        <v>278</v>
      </c>
      <c r="HS855" s="4" t="s">
        <v>278</v>
      </c>
    </row>
    <row r="856" spans="1:240" x14ac:dyDescent="0.4">
      <c r="A856" s="4">
        <v>2</v>
      </c>
      <c r="B856" s="4" t="s">
        <v>239</v>
      </c>
      <c r="C856" s="4">
        <v>923</v>
      </c>
      <c r="D856" s="4">
        <v>1</v>
      </c>
      <c r="E856" s="4">
        <v>1</v>
      </c>
      <c r="F856" s="4" t="s">
        <v>240</v>
      </c>
      <c r="G856" s="4" t="s">
        <v>241</v>
      </c>
      <c r="H856" s="4" t="s">
        <v>241</v>
      </c>
      <c r="I856" s="4" t="s">
        <v>2367</v>
      </c>
      <c r="J856" s="4" t="s">
        <v>344</v>
      </c>
      <c r="K856" s="4" t="s">
        <v>256</v>
      </c>
      <c r="L856" s="4" t="s">
        <v>2101</v>
      </c>
      <c r="M856" s="5" t="s">
        <v>2368</v>
      </c>
      <c r="N856" s="4" t="s">
        <v>2114</v>
      </c>
      <c r="O856" s="6">
        <f>125.88</f>
        <v>125.88</v>
      </c>
      <c r="P856" s="4" t="s">
        <v>276</v>
      </c>
      <c r="Q856" s="6">
        <f>1</f>
        <v>1</v>
      </c>
      <c r="R856" s="6">
        <f>12588000</f>
        <v>12588000</v>
      </c>
      <c r="S856" s="5" t="s">
        <v>774</v>
      </c>
      <c r="T856" s="4" t="s">
        <v>314</v>
      </c>
      <c r="U856" s="4" t="s">
        <v>552</v>
      </c>
      <c r="W856" s="6">
        <f>12587999</f>
        <v>12587999</v>
      </c>
      <c r="X856" s="4" t="s">
        <v>243</v>
      </c>
      <c r="Y856" s="4" t="s">
        <v>244</v>
      </c>
      <c r="Z856" s="4" t="s">
        <v>338</v>
      </c>
      <c r="AA856" s="4" t="s">
        <v>241</v>
      </c>
      <c r="AD856" s="4" t="s">
        <v>241</v>
      </c>
      <c r="AF856" s="5" t="s">
        <v>241</v>
      </c>
      <c r="AI856" s="5" t="s">
        <v>249</v>
      </c>
      <c r="AJ856" s="4" t="s">
        <v>251</v>
      </c>
      <c r="AK856" s="4" t="s">
        <v>252</v>
      </c>
      <c r="BA856" s="4" t="s">
        <v>254</v>
      </c>
      <c r="BB856" s="4" t="s">
        <v>241</v>
      </c>
      <c r="BC856" s="4" t="s">
        <v>255</v>
      </c>
      <c r="BD856" s="4" t="s">
        <v>241</v>
      </c>
      <c r="BE856" s="4" t="s">
        <v>257</v>
      </c>
      <c r="BF856" s="4" t="s">
        <v>241</v>
      </c>
      <c r="BJ856" s="4" t="s">
        <v>367</v>
      </c>
      <c r="BK856" s="5" t="s">
        <v>249</v>
      </c>
      <c r="BL856" s="4" t="s">
        <v>261</v>
      </c>
      <c r="BM856" s="4" t="s">
        <v>262</v>
      </c>
      <c r="BN856" s="4" t="s">
        <v>241</v>
      </c>
      <c r="BO856" s="6">
        <f>0</f>
        <v>0</v>
      </c>
      <c r="BP856" s="6">
        <f>0</f>
        <v>0</v>
      </c>
      <c r="BQ856" s="4" t="s">
        <v>263</v>
      </c>
      <c r="BR856" s="4" t="s">
        <v>264</v>
      </c>
      <c r="CF856" s="4" t="s">
        <v>241</v>
      </c>
      <c r="CG856" s="4" t="s">
        <v>241</v>
      </c>
      <c r="CK856" s="4" t="s">
        <v>265</v>
      </c>
      <c r="CL856" s="4" t="s">
        <v>266</v>
      </c>
      <c r="CM856" s="4" t="s">
        <v>241</v>
      </c>
      <c r="CO856" s="4" t="s">
        <v>662</v>
      </c>
      <c r="CP856" s="5" t="s">
        <v>268</v>
      </c>
      <c r="CQ856" s="4" t="s">
        <v>269</v>
      </c>
      <c r="CR856" s="4" t="s">
        <v>270</v>
      </c>
      <c r="CS856" s="4" t="s">
        <v>241</v>
      </c>
      <c r="CT856" s="4" t="s">
        <v>241</v>
      </c>
      <c r="CU856" s="4">
        <v>0</v>
      </c>
      <c r="CV856" s="4" t="s">
        <v>271</v>
      </c>
      <c r="CW856" s="4" t="s">
        <v>411</v>
      </c>
      <c r="CX856" s="4" t="s">
        <v>347</v>
      </c>
      <c r="CZ856" s="6">
        <f>12588000</f>
        <v>12588000</v>
      </c>
      <c r="DA856" s="6">
        <f>0</f>
        <v>0</v>
      </c>
      <c r="DC856" s="4" t="s">
        <v>241</v>
      </c>
      <c r="DD856" s="4" t="s">
        <v>241</v>
      </c>
      <c r="DF856" s="4" t="s">
        <v>241</v>
      </c>
      <c r="DI856" s="4" t="s">
        <v>241</v>
      </c>
      <c r="DJ856" s="4" t="s">
        <v>241</v>
      </c>
      <c r="DK856" s="4" t="s">
        <v>241</v>
      </c>
      <c r="DL856" s="4" t="s">
        <v>241</v>
      </c>
      <c r="DM856" s="4" t="s">
        <v>323</v>
      </c>
      <c r="DN856" s="4" t="s">
        <v>278</v>
      </c>
      <c r="DO856" s="6">
        <f>125.88</f>
        <v>125.88</v>
      </c>
      <c r="DP856" s="4" t="s">
        <v>241</v>
      </c>
      <c r="DQ856" s="4" t="s">
        <v>241</v>
      </c>
      <c r="DR856" s="4" t="s">
        <v>241</v>
      </c>
      <c r="DS856" s="4" t="s">
        <v>241</v>
      </c>
      <c r="DV856" s="4" t="s">
        <v>2369</v>
      </c>
      <c r="DW856" s="4" t="s">
        <v>336</v>
      </c>
      <c r="HO856" s="4" t="s">
        <v>277</v>
      </c>
      <c r="HR856" s="4" t="s">
        <v>278</v>
      </c>
      <c r="HS856" s="4" t="s">
        <v>278</v>
      </c>
    </row>
    <row r="857" spans="1:240" x14ac:dyDescent="0.4">
      <c r="A857" s="4">
        <v>2</v>
      </c>
      <c r="B857" s="4" t="s">
        <v>239</v>
      </c>
      <c r="C857" s="4">
        <v>924</v>
      </c>
      <c r="D857" s="4">
        <v>1</v>
      </c>
      <c r="E857" s="4">
        <v>1</v>
      </c>
      <c r="F857" s="4" t="s">
        <v>240</v>
      </c>
      <c r="G857" s="4" t="s">
        <v>241</v>
      </c>
      <c r="H857" s="4" t="s">
        <v>241</v>
      </c>
      <c r="I857" s="4" t="s">
        <v>2367</v>
      </c>
      <c r="J857" s="4" t="s">
        <v>344</v>
      </c>
      <c r="K857" s="4" t="s">
        <v>256</v>
      </c>
      <c r="L857" s="4" t="s">
        <v>2101</v>
      </c>
      <c r="M857" s="5" t="s">
        <v>2368</v>
      </c>
      <c r="N857" s="4" t="s">
        <v>2114</v>
      </c>
      <c r="O857" s="6">
        <f>125.88</f>
        <v>125.88</v>
      </c>
      <c r="P857" s="4" t="s">
        <v>276</v>
      </c>
      <c r="Q857" s="6">
        <f>1</f>
        <v>1</v>
      </c>
      <c r="R857" s="6">
        <f>12588000</f>
        <v>12588000</v>
      </c>
      <c r="S857" s="5" t="s">
        <v>774</v>
      </c>
      <c r="T857" s="4" t="s">
        <v>314</v>
      </c>
      <c r="U857" s="4" t="s">
        <v>552</v>
      </c>
      <c r="W857" s="6">
        <f>12587999</f>
        <v>12587999</v>
      </c>
      <c r="X857" s="4" t="s">
        <v>243</v>
      </c>
      <c r="Y857" s="4" t="s">
        <v>244</v>
      </c>
      <c r="Z857" s="4" t="s">
        <v>338</v>
      </c>
      <c r="AA857" s="4" t="s">
        <v>241</v>
      </c>
      <c r="AD857" s="4" t="s">
        <v>241</v>
      </c>
      <c r="AF857" s="5" t="s">
        <v>241</v>
      </c>
      <c r="AI857" s="5" t="s">
        <v>249</v>
      </c>
      <c r="AJ857" s="4" t="s">
        <v>251</v>
      </c>
      <c r="AK857" s="4" t="s">
        <v>252</v>
      </c>
      <c r="BA857" s="4" t="s">
        <v>254</v>
      </c>
      <c r="BB857" s="4" t="s">
        <v>241</v>
      </c>
      <c r="BC857" s="4" t="s">
        <v>255</v>
      </c>
      <c r="BD857" s="4" t="s">
        <v>241</v>
      </c>
      <c r="BE857" s="4" t="s">
        <v>257</v>
      </c>
      <c r="BF857" s="4" t="s">
        <v>241</v>
      </c>
      <c r="BJ857" s="4" t="s">
        <v>374</v>
      </c>
      <c r="BK857" s="5" t="s">
        <v>375</v>
      </c>
      <c r="BL857" s="4" t="s">
        <v>261</v>
      </c>
      <c r="BM857" s="4" t="s">
        <v>262</v>
      </c>
      <c r="BN857" s="4" t="s">
        <v>241</v>
      </c>
      <c r="BO857" s="6">
        <f>0</f>
        <v>0</v>
      </c>
      <c r="BP857" s="6">
        <f>0</f>
        <v>0</v>
      </c>
      <c r="BQ857" s="4" t="s">
        <v>263</v>
      </c>
      <c r="BR857" s="4" t="s">
        <v>264</v>
      </c>
      <c r="CF857" s="4" t="s">
        <v>241</v>
      </c>
      <c r="CG857" s="4" t="s">
        <v>241</v>
      </c>
      <c r="CK857" s="4" t="s">
        <v>265</v>
      </c>
      <c r="CL857" s="4" t="s">
        <v>266</v>
      </c>
      <c r="CM857" s="4" t="s">
        <v>241</v>
      </c>
      <c r="CO857" s="4" t="s">
        <v>662</v>
      </c>
      <c r="CP857" s="5" t="s">
        <v>268</v>
      </c>
      <c r="CQ857" s="4" t="s">
        <v>269</v>
      </c>
      <c r="CR857" s="4" t="s">
        <v>270</v>
      </c>
      <c r="CS857" s="4" t="s">
        <v>241</v>
      </c>
      <c r="CT857" s="4" t="s">
        <v>241</v>
      </c>
      <c r="CU857" s="4">
        <v>0</v>
      </c>
      <c r="CV857" s="4" t="s">
        <v>271</v>
      </c>
      <c r="CW857" s="4" t="s">
        <v>411</v>
      </c>
      <c r="CX857" s="4" t="s">
        <v>347</v>
      </c>
      <c r="CZ857" s="6">
        <f>12588000</f>
        <v>12588000</v>
      </c>
      <c r="DA857" s="6">
        <f>0</f>
        <v>0</v>
      </c>
      <c r="DC857" s="4" t="s">
        <v>241</v>
      </c>
      <c r="DD857" s="4" t="s">
        <v>241</v>
      </c>
      <c r="DF857" s="4" t="s">
        <v>241</v>
      </c>
      <c r="DI857" s="4" t="s">
        <v>241</v>
      </c>
      <c r="DJ857" s="4" t="s">
        <v>241</v>
      </c>
      <c r="DK857" s="4" t="s">
        <v>241</v>
      </c>
      <c r="DL857" s="4" t="s">
        <v>241</v>
      </c>
      <c r="DM857" s="4" t="s">
        <v>323</v>
      </c>
      <c r="DN857" s="4" t="s">
        <v>278</v>
      </c>
      <c r="DO857" s="6">
        <f>125.88</f>
        <v>125.88</v>
      </c>
      <c r="DP857" s="4" t="s">
        <v>241</v>
      </c>
      <c r="DQ857" s="4" t="s">
        <v>241</v>
      </c>
      <c r="DR857" s="4" t="s">
        <v>241</v>
      </c>
      <c r="DS857" s="4" t="s">
        <v>241</v>
      </c>
      <c r="DV857" s="4" t="s">
        <v>2369</v>
      </c>
      <c r="DW857" s="4" t="s">
        <v>351</v>
      </c>
      <c r="HO857" s="4" t="s">
        <v>277</v>
      </c>
      <c r="HR857" s="4" t="s">
        <v>278</v>
      </c>
      <c r="HS857" s="4" t="s">
        <v>278</v>
      </c>
    </row>
    <row r="858" spans="1:240" x14ac:dyDescent="0.4">
      <c r="A858" s="4">
        <v>2</v>
      </c>
      <c r="B858" s="4" t="s">
        <v>239</v>
      </c>
      <c r="C858" s="4">
        <v>925</v>
      </c>
      <c r="D858" s="4">
        <v>1</v>
      </c>
      <c r="E858" s="4">
        <v>1</v>
      </c>
      <c r="F858" s="4" t="s">
        <v>240</v>
      </c>
      <c r="G858" s="4" t="s">
        <v>241</v>
      </c>
      <c r="H858" s="4" t="s">
        <v>241</v>
      </c>
      <c r="I858" s="4" t="s">
        <v>2498</v>
      </c>
      <c r="J858" s="4" t="s">
        <v>344</v>
      </c>
      <c r="K858" s="4" t="s">
        <v>256</v>
      </c>
      <c r="L858" s="4" t="s">
        <v>2101</v>
      </c>
      <c r="M858" s="5" t="s">
        <v>2414</v>
      </c>
      <c r="N858" s="4" t="s">
        <v>2114</v>
      </c>
      <c r="O858" s="6">
        <f>147.38</f>
        <v>147.38</v>
      </c>
      <c r="P858" s="4" t="s">
        <v>276</v>
      </c>
      <c r="Q858" s="6">
        <f>1</f>
        <v>1</v>
      </c>
      <c r="R858" s="6">
        <f>22843900</f>
        <v>22843900</v>
      </c>
      <c r="S858" s="5" t="s">
        <v>845</v>
      </c>
      <c r="T858" s="4" t="s">
        <v>314</v>
      </c>
      <c r="U858" s="4" t="s">
        <v>384</v>
      </c>
      <c r="W858" s="6">
        <f>22843899</f>
        <v>22843899</v>
      </c>
      <c r="X858" s="4" t="s">
        <v>243</v>
      </c>
      <c r="Y858" s="4" t="s">
        <v>244</v>
      </c>
      <c r="Z858" s="4" t="s">
        <v>338</v>
      </c>
      <c r="AA858" s="4" t="s">
        <v>241</v>
      </c>
      <c r="AD858" s="4" t="s">
        <v>241</v>
      </c>
      <c r="AF858" s="5" t="s">
        <v>241</v>
      </c>
      <c r="AI858" s="5" t="s">
        <v>249</v>
      </c>
      <c r="AJ858" s="4" t="s">
        <v>251</v>
      </c>
      <c r="AK858" s="4" t="s">
        <v>252</v>
      </c>
      <c r="BA858" s="4" t="s">
        <v>254</v>
      </c>
      <c r="BB858" s="4" t="s">
        <v>241</v>
      </c>
      <c r="BC858" s="4" t="s">
        <v>255</v>
      </c>
      <c r="BD858" s="4" t="s">
        <v>241</v>
      </c>
      <c r="BE858" s="4" t="s">
        <v>257</v>
      </c>
      <c r="BF858" s="4" t="s">
        <v>241</v>
      </c>
      <c r="BH858" s="4" t="s">
        <v>2107</v>
      </c>
      <c r="BJ858" s="4" t="s">
        <v>377</v>
      </c>
      <c r="BK858" s="5" t="s">
        <v>378</v>
      </c>
      <c r="BL858" s="4" t="s">
        <v>261</v>
      </c>
      <c r="BM858" s="4" t="s">
        <v>262</v>
      </c>
      <c r="BN858" s="4" t="s">
        <v>241</v>
      </c>
      <c r="BO858" s="6">
        <f>0</f>
        <v>0</v>
      </c>
      <c r="BP858" s="6">
        <f>0</f>
        <v>0</v>
      </c>
      <c r="BQ858" s="4" t="s">
        <v>263</v>
      </c>
      <c r="BR858" s="4" t="s">
        <v>264</v>
      </c>
      <c r="CF858" s="4" t="s">
        <v>241</v>
      </c>
      <c r="CG858" s="4" t="s">
        <v>241</v>
      </c>
      <c r="CK858" s="4" t="s">
        <v>291</v>
      </c>
      <c r="CL858" s="4" t="s">
        <v>266</v>
      </c>
      <c r="CM858" s="4" t="s">
        <v>241</v>
      </c>
      <c r="CO858" s="4" t="s">
        <v>383</v>
      </c>
      <c r="CP858" s="5" t="s">
        <v>268</v>
      </c>
      <c r="CQ858" s="4" t="s">
        <v>269</v>
      </c>
      <c r="CR858" s="4" t="s">
        <v>270</v>
      </c>
      <c r="CS858" s="4" t="s">
        <v>241</v>
      </c>
      <c r="CT858" s="4" t="s">
        <v>241</v>
      </c>
      <c r="CU858" s="4">
        <v>0</v>
      </c>
      <c r="CV858" s="4" t="s">
        <v>271</v>
      </c>
      <c r="CW858" s="4" t="s">
        <v>411</v>
      </c>
      <c r="CX858" s="4" t="s">
        <v>347</v>
      </c>
      <c r="CZ858" s="6">
        <f>22843900</f>
        <v>22843900</v>
      </c>
      <c r="DA858" s="6">
        <f>0</f>
        <v>0</v>
      </c>
      <c r="DC858" s="4" t="s">
        <v>241</v>
      </c>
      <c r="DD858" s="4" t="s">
        <v>241</v>
      </c>
      <c r="DF858" s="4" t="s">
        <v>241</v>
      </c>
      <c r="DI858" s="4" t="s">
        <v>241</v>
      </c>
      <c r="DJ858" s="4" t="s">
        <v>241</v>
      </c>
      <c r="DK858" s="4" t="s">
        <v>241</v>
      </c>
      <c r="DL858" s="4" t="s">
        <v>241</v>
      </c>
      <c r="DM858" s="4" t="s">
        <v>323</v>
      </c>
      <c r="DN858" s="4" t="s">
        <v>278</v>
      </c>
      <c r="DO858" s="6">
        <f>147.38</f>
        <v>147.38</v>
      </c>
      <c r="DP858" s="4" t="s">
        <v>241</v>
      </c>
      <c r="DQ858" s="4" t="s">
        <v>241</v>
      </c>
      <c r="DR858" s="4" t="s">
        <v>241</v>
      </c>
      <c r="DS858" s="4" t="s">
        <v>241</v>
      </c>
      <c r="DV858" s="4" t="s">
        <v>2499</v>
      </c>
      <c r="DW858" s="4" t="s">
        <v>277</v>
      </c>
      <c r="HO858" s="4" t="s">
        <v>277</v>
      </c>
      <c r="HR858" s="4" t="s">
        <v>278</v>
      </c>
      <c r="HS858" s="4" t="s">
        <v>278</v>
      </c>
    </row>
    <row r="859" spans="1:240" x14ac:dyDescent="0.4">
      <c r="A859" s="4">
        <v>2</v>
      </c>
      <c r="B859" s="4" t="s">
        <v>239</v>
      </c>
      <c r="C859" s="4">
        <v>926</v>
      </c>
      <c r="D859" s="4">
        <v>1</v>
      </c>
      <c r="E859" s="4">
        <v>1</v>
      </c>
      <c r="F859" s="4" t="s">
        <v>240</v>
      </c>
      <c r="G859" s="4" t="s">
        <v>241</v>
      </c>
      <c r="H859" s="4" t="s">
        <v>241</v>
      </c>
      <c r="I859" s="4" t="s">
        <v>2498</v>
      </c>
      <c r="J859" s="4" t="s">
        <v>344</v>
      </c>
      <c r="K859" s="4" t="s">
        <v>256</v>
      </c>
      <c r="L859" s="4" t="s">
        <v>2101</v>
      </c>
      <c r="M859" s="5" t="s">
        <v>2414</v>
      </c>
      <c r="N859" s="4" t="s">
        <v>2114</v>
      </c>
      <c r="O859" s="6">
        <f>147.38</f>
        <v>147.38</v>
      </c>
      <c r="P859" s="4" t="s">
        <v>276</v>
      </c>
      <c r="Q859" s="6">
        <f>1</f>
        <v>1</v>
      </c>
      <c r="R859" s="6">
        <f>22843900</f>
        <v>22843900</v>
      </c>
      <c r="S859" s="5" t="s">
        <v>845</v>
      </c>
      <c r="T859" s="4" t="s">
        <v>314</v>
      </c>
      <c r="U859" s="4" t="s">
        <v>384</v>
      </c>
      <c r="W859" s="6">
        <f>22843899</f>
        <v>22843899</v>
      </c>
      <c r="X859" s="4" t="s">
        <v>243</v>
      </c>
      <c r="Y859" s="4" t="s">
        <v>244</v>
      </c>
      <c r="Z859" s="4" t="s">
        <v>338</v>
      </c>
      <c r="AA859" s="4" t="s">
        <v>241</v>
      </c>
      <c r="AD859" s="4" t="s">
        <v>241</v>
      </c>
      <c r="AF859" s="5" t="s">
        <v>241</v>
      </c>
      <c r="AI859" s="5" t="s">
        <v>249</v>
      </c>
      <c r="AJ859" s="4" t="s">
        <v>251</v>
      </c>
      <c r="AK859" s="4" t="s">
        <v>252</v>
      </c>
      <c r="BA859" s="4" t="s">
        <v>254</v>
      </c>
      <c r="BB859" s="4" t="s">
        <v>241</v>
      </c>
      <c r="BC859" s="4" t="s">
        <v>255</v>
      </c>
      <c r="BD859" s="4" t="s">
        <v>241</v>
      </c>
      <c r="BE859" s="4" t="s">
        <v>257</v>
      </c>
      <c r="BF859" s="4" t="s">
        <v>241</v>
      </c>
      <c r="BJ859" s="4" t="s">
        <v>259</v>
      </c>
      <c r="BK859" s="5" t="s">
        <v>260</v>
      </c>
      <c r="BL859" s="4" t="s">
        <v>261</v>
      </c>
      <c r="BM859" s="4" t="s">
        <v>262</v>
      </c>
      <c r="BN859" s="4" t="s">
        <v>241</v>
      </c>
      <c r="BO859" s="6">
        <f>0</f>
        <v>0</v>
      </c>
      <c r="BP859" s="6">
        <f>0</f>
        <v>0</v>
      </c>
      <c r="BQ859" s="4" t="s">
        <v>263</v>
      </c>
      <c r="BR859" s="4" t="s">
        <v>264</v>
      </c>
      <c r="CF859" s="4" t="s">
        <v>241</v>
      </c>
      <c r="CG859" s="4" t="s">
        <v>241</v>
      </c>
      <c r="CK859" s="4" t="s">
        <v>291</v>
      </c>
      <c r="CL859" s="4" t="s">
        <v>266</v>
      </c>
      <c r="CM859" s="4" t="s">
        <v>241</v>
      </c>
      <c r="CO859" s="4" t="s">
        <v>383</v>
      </c>
      <c r="CP859" s="5" t="s">
        <v>268</v>
      </c>
      <c r="CQ859" s="4" t="s">
        <v>269</v>
      </c>
      <c r="CR859" s="4" t="s">
        <v>270</v>
      </c>
      <c r="CS859" s="4" t="s">
        <v>241</v>
      </c>
      <c r="CT859" s="4" t="s">
        <v>241</v>
      </c>
      <c r="CU859" s="4">
        <v>0</v>
      </c>
      <c r="CV859" s="4" t="s">
        <v>271</v>
      </c>
      <c r="CW859" s="4" t="s">
        <v>411</v>
      </c>
      <c r="CX859" s="4" t="s">
        <v>347</v>
      </c>
      <c r="CZ859" s="6">
        <f>22843900</f>
        <v>22843900</v>
      </c>
      <c r="DA859" s="6">
        <f>0</f>
        <v>0</v>
      </c>
      <c r="DC859" s="4" t="s">
        <v>241</v>
      </c>
      <c r="DD859" s="4" t="s">
        <v>241</v>
      </c>
      <c r="DF859" s="4" t="s">
        <v>241</v>
      </c>
      <c r="DI859" s="4" t="s">
        <v>241</v>
      </c>
      <c r="DJ859" s="4" t="s">
        <v>241</v>
      </c>
      <c r="DK859" s="4" t="s">
        <v>241</v>
      </c>
      <c r="DL859" s="4" t="s">
        <v>241</v>
      </c>
      <c r="DM859" s="4" t="s">
        <v>323</v>
      </c>
      <c r="DN859" s="4" t="s">
        <v>278</v>
      </c>
      <c r="DO859" s="6">
        <f>147.38</f>
        <v>147.38</v>
      </c>
      <c r="DP859" s="4" t="s">
        <v>241</v>
      </c>
      <c r="DQ859" s="4" t="s">
        <v>241</v>
      </c>
      <c r="DR859" s="4" t="s">
        <v>241</v>
      </c>
      <c r="DS859" s="4" t="s">
        <v>241</v>
      </c>
      <c r="DV859" s="4" t="s">
        <v>2499</v>
      </c>
      <c r="DW859" s="4" t="s">
        <v>323</v>
      </c>
      <c r="HO859" s="4" t="s">
        <v>277</v>
      </c>
      <c r="HR859" s="4" t="s">
        <v>278</v>
      </c>
      <c r="HS859" s="4" t="s">
        <v>278</v>
      </c>
    </row>
    <row r="860" spans="1:240" x14ac:dyDescent="0.4">
      <c r="A860" s="4">
        <v>2</v>
      </c>
      <c r="B860" s="4" t="s">
        <v>239</v>
      </c>
      <c r="C860" s="4">
        <v>927</v>
      </c>
      <c r="D860" s="4">
        <v>1</v>
      </c>
      <c r="E860" s="4">
        <v>1</v>
      </c>
      <c r="F860" s="4" t="s">
        <v>240</v>
      </c>
      <c r="G860" s="4" t="s">
        <v>241</v>
      </c>
      <c r="H860" s="4" t="s">
        <v>241</v>
      </c>
      <c r="I860" s="4" t="s">
        <v>2498</v>
      </c>
      <c r="J860" s="4" t="s">
        <v>344</v>
      </c>
      <c r="K860" s="4" t="s">
        <v>256</v>
      </c>
      <c r="L860" s="4" t="s">
        <v>2101</v>
      </c>
      <c r="M860" s="5" t="s">
        <v>2414</v>
      </c>
      <c r="N860" s="4" t="s">
        <v>2114</v>
      </c>
      <c r="O860" s="6">
        <f>137.44</f>
        <v>137.44</v>
      </c>
      <c r="P860" s="4" t="s">
        <v>276</v>
      </c>
      <c r="Q860" s="6">
        <f>1</f>
        <v>1</v>
      </c>
      <c r="R860" s="6">
        <f>21303200</f>
        <v>21303200</v>
      </c>
      <c r="S860" s="5" t="s">
        <v>845</v>
      </c>
      <c r="T860" s="4" t="s">
        <v>314</v>
      </c>
      <c r="U860" s="4" t="s">
        <v>384</v>
      </c>
      <c r="W860" s="6">
        <f>21303199</f>
        <v>21303199</v>
      </c>
      <c r="X860" s="4" t="s">
        <v>243</v>
      </c>
      <c r="Y860" s="4" t="s">
        <v>244</v>
      </c>
      <c r="Z860" s="4" t="s">
        <v>338</v>
      </c>
      <c r="AA860" s="4" t="s">
        <v>241</v>
      </c>
      <c r="AD860" s="4" t="s">
        <v>241</v>
      </c>
      <c r="AF860" s="5" t="s">
        <v>241</v>
      </c>
      <c r="AI860" s="5" t="s">
        <v>249</v>
      </c>
      <c r="AJ860" s="4" t="s">
        <v>251</v>
      </c>
      <c r="AK860" s="4" t="s">
        <v>252</v>
      </c>
      <c r="BA860" s="4" t="s">
        <v>254</v>
      </c>
      <c r="BB860" s="4" t="s">
        <v>241</v>
      </c>
      <c r="BC860" s="4" t="s">
        <v>255</v>
      </c>
      <c r="BD860" s="4" t="s">
        <v>241</v>
      </c>
      <c r="BE860" s="4" t="s">
        <v>257</v>
      </c>
      <c r="BF860" s="4" t="s">
        <v>241</v>
      </c>
      <c r="BJ860" s="4" t="s">
        <v>367</v>
      </c>
      <c r="BK860" s="5" t="s">
        <v>249</v>
      </c>
      <c r="BL860" s="4" t="s">
        <v>261</v>
      </c>
      <c r="BM860" s="4" t="s">
        <v>262</v>
      </c>
      <c r="BN860" s="4" t="s">
        <v>241</v>
      </c>
      <c r="BO860" s="6">
        <f>0</f>
        <v>0</v>
      </c>
      <c r="BP860" s="6">
        <f>0</f>
        <v>0</v>
      </c>
      <c r="BQ860" s="4" t="s">
        <v>263</v>
      </c>
      <c r="BR860" s="4" t="s">
        <v>264</v>
      </c>
      <c r="CF860" s="4" t="s">
        <v>241</v>
      </c>
      <c r="CG860" s="4" t="s">
        <v>241</v>
      </c>
      <c r="CK860" s="4" t="s">
        <v>291</v>
      </c>
      <c r="CL860" s="4" t="s">
        <v>266</v>
      </c>
      <c r="CM860" s="4" t="s">
        <v>241</v>
      </c>
      <c r="CO860" s="4" t="s">
        <v>383</v>
      </c>
      <c r="CP860" s="5" t="s">
        <v>268</v>
      </c>
      <c r="CQ860" s="4" t="s">
        <v>269</v>
      </c>
      <c r="CR860" s="4" t="s">
        <v>270</v>
      </c>
      <c r="CS860" s="4" t="s">
        <v>241</v>
      </c>
      <c r="CT860" s="4" t="s">
        <v>241</v>
      </c>
      <c r="CU860" s="4">
        <v>0</v>
      </c>
      <c r="CV860" s="4" t="s">
        <v>271</v>
      </c>
      <c r="CW860" s="4" t="s">
        <v>411</v>
      </c>
      <c r="CX860" s="4" t="s">
        <v>347</v>
      </c>
      <c r="CZ860" s="6">
        <f>21303200</f>
        <v>21303200</v>
      </c>
      <c r="DA860" s="6">
        <f>0</f>
        <v>0</v>
      </c>
      <c r="DC860" s="4" t="s">
        <v>241</v>
      </c>
      <c r="DD860" s="4" t="s">
        <v>241</v>
      </c>
      <c r="DF860" s="4" t="s">
        <v>241</v>
      </c>
      <c r="DI860" s="4" t="s">
        <v>241</v>
      </c>
      <c r="DJ860" s="4" t="s">
        <v>241</v>
      </c>
      <c r="DK860" s="4" t="s">
        <v>241</v>
      </c>
      <c r="DL860" s="4" t="s">
        <v>241</v>
      </c>
      <c r="DM860" s="4" t="s">
        <v>323</v>
      </c>
      <c r="DN860" s="4" t="s">
        <v>278</v>
      </c>
      <c r="DO860" s="6">
        <f>137.44</f>
        <v>137.44</v>
      </c>
      <c r="DP860" s="4" t="s">
        <v>241</v>
      </c>
      <c r="DQ860" s="4" t="s">
        <v>241</v>
      </c>
      <c r="DR860" s="4" t="s">
        <v>241</v>
      </c>
      <c r="DS860" s="4" t="s">
        <v>241</v>
      </c>
      <c r="DV860" s="4" t="s">
        <v>2499</v>
      </c>
      <c r="DW860" s="4" t="s">
        <v>297</v>
      </c>
      <c r="HO860" s="4" t="s">
        <v>277</v>
      </c>
      <c r="HR860" s="4" t="s">
        <v>278</v>
      </c>
      <c r="HS860" s="4" t="s">
        <v>278</v>
      </c>
    </row>
    <row r="861" spans="1:240" x14ac:dyDescent="0.4">
      <c r="A861" s="4">
        <v>2</v>
      </c>
      <c r="B861" s="4" t="s">
        <v>239</v>
      </c>
      <c r="C861" s="4">
        <v>928</v>
      </c>
      <c r="D861" s="4">
        <v>1</v>
      </c>
      <c r="E861" s="4">
        <v>1</v>
      </c>
      <c r="F861" s="4" t="s">
        <v>240</v>
      </c>
      <c r="G861" s="4" t="s">
        <v>241</v>
      </c>
      <c r="H861" s="4" t="s">
        <v>241</v>
      </c>
      <c r="I861" s="4" t="s">
        <v>2498</v>
      </c>
      <c r="J861" s="4" t="s">
        <v>344</v>
      </c>
      <c r="K861" s="4" t="s">
        <v>256</v>
      </c>
      <c r="L861" s="4" t="s">
        <v>2101</v>
      </c>
      <c r="M861" s="5" t="s">
        <v>2414</v>
      </c>
      <c r="N861" s="4" t="s">
        <v>2114</v>
      </c>
      <c r="O861" s="6">
        <f>137.44</f>
        <v>137.44</v>
      </c>
      <c r="P861" s="4" t="s">
        <v>276</v>
      </c>
      <c r="Q861" s="6">
        <f>1</f>
        <v>1</v>
      </c>
      <c r="R861" s="6">
        <f>21303200</f>
        <v>21303200</v>
      </c>
      <c r="S861" s="5" t="s">
        <v>845</v>
      </c>
      <c r="T861" s="4" t="s">
        <v>314</v>
      </c>
      <c r="U861" s="4" t="s">
        <v>384</v>
      </c>
      <c r="W861" s="6">
        <f>21303199</f>
        <v>21303199</v>
      </c>
      <c r="X861" s="4" t="s">
        <v>243</v>
      </c>
      <c r="Y861" s="4" t="s">
        <v>244</v>
      </c>
      <c r="Z861" s="4" t="s">
        <v>338</v>
      </c>
      <c r="AA861" s="4" t="s">
        <v>241</v>
      </c>
      <c r="AD861" s="4" t="s">
        <v>241</v>
      </c>
      <c r="AF861" s="5" t="s">
        <v>241</v>
      </c>
      <c r="AI861" s="5" t="s">
        <v>249</v>
      </c>
      <c r="AJ861" s="4" t="s">
        <v>251</v>
      </c>
      <c r="AK861" s="4" t="s">
        <v>252</v>
      </c>
      <c r="BA861" s="4" t="s">
        <v>254</v>
      </c>
      <c r="BB861" s="4" t="s">
        <v>241</v>
      </c>
      <c r="BC861" s="4" t="s">
        <v>255</v>
      </c>
      <c r="BD861" s="4" t="s">
        <v>241</v>
      </c>
      <c r="BE861" s="4" t="s">
        <v>257</v>
      </c>
      <c r="BF861" s="4" t="s">
        <v>241</v>
      </c>
      <c r="BJ861" s="4" t="s">
        <v>374</v>
      </c>
      <c r="BK861" s="5" t="s">
        <v>375</v>
      </c>
      <c r="BL861" s="4" t="s">
        <v>261</v>
      </c>
      <c r="BM861" s="4" t="s">
        <v>262</v>
      </c>
      <c r="BN861" s="4" t="s">
        <v>241</v>
      </c>
      <c r="BO861" s="6">
        <f>0</f>
        <v>0</v>
      </c>
      <c r="BP861" s="6">
        <f>0</f>
        <v>0</v>
      </c>
      <c r="BQ861" s="4" t="s">
        <v>263</v>
      </c>
      <c r="BR861" s="4" t="s">
        <v>264</v>
      </c>
      <c r="CF861" s="4" t="s">
        <v>241</v>
      </c>
      <c r="CG861" s="4" t="s">
        <v>241</v>
      </c>
      <c r="CK861" s="4" t="s">
        <v>291</v>
      </c>
      <c r="CL861" s="4" t="s">
        <v>266</v>
      </c>
      <c r="CM861" s="4" t="s">
        <v>241</v>
      </c>
      <c r="CO861" s="4" t="s">
        <v>383</v>
      </c>
      <c r="CP861" s="5" t="s">
        <v>268</v>
      </c>
      <c r="CQ861" s="4" t="s">
        <v>269</v>
      </c>
      <c r="CR861" s="4" t="s">
        <v>270</v>
      </c>
      <c r="CS861" s="4" t="s">
        <v>241</v>
      </c>
      <c r="CT861" s="4" t="s">
        <v>241</v>
      </c>
      <c r="CU861" s="4">
        <v>0</v>
      </c>
      <c r="CV861" s="4" t="s">
        <v>271</v>
      </c>
      <c r="CW861" s="4" t="s">
        <v>411</v>
      </c>
      <c r="CX861" s="4" t="s">
        <v>347</v>
      </c>
      <c r="CZ861" s="6">
        <f>21303200</f>
        <v>21303200</v>
      </c>
      <c r="DA861" s="6">
        <f>0</f>
        <v>0</v>
      </c>
      <c r="DC861" s="4" t="s">
        <v>241</v>
      </c>
      <c r="DD861" s="4" t="s">
        <v>241</v>
      </c>
      <c r="DF861" s="4" t="s">
        <v>241</v>
      </c>
      <c r="DI861" s="4" t="s">
        <v>241</v>
      </c>
      <c r="DJ861" s="4" t="s">
        <v>241</v>
      </c>
      <c r="DK861" s="4" t="s">
        <v>241</v>
      </c>
      <c r="DL861" s="4" t="s">
        <v>241</v>
      </c>
      <c r="DM861" s="4" t="s">
        <v>323</v>
      </c>
      <c r="DN861" s="4" t="s">
        <v>278</v>
      </c>
      <c r="DO861" s="6">
        <f>137.44</f>
        <v>137.44</v>
      </c>
      <c r="DP861" s="4" t="s">
        <v>241</v>
      </c>
      <c r="DQ861" s="4" t="s">
        <v>241</v>
      </c>
      <c r="DR861" s="4" t="s">
        <v>241</v>
      </c>
      <c r="DS861" s="4" t="s">
        <v>241</v>
      </c>
      <c r="DV861" s="4" t="s">
        <v>2499</v>
      </c>
      <c r="DW861" s="4" t="s">
        <v>336</v>
      </c>
      <c r="HO861" s="4" t="s">
        <v>277</v>
      </c>
      <c r="HR861" s="4" t="s">
        <v>278</v>
      </c>
      <c r="HS861" s="4" t="s">
        <v>278</v>
      </c>
    </row>
    <row r="862" spans="1:240" x14ac:dyDescent="0.4">
      <c r="A862" s="4">
        <v>2</v>
      </c>
      <c r="B862" s="4" t="s">
        <v>239</v>
      </c>
      <c r="C862" s="4">
        <v>929</v>
      </c>
      <c r="D862" s="4">
        <v>1</v>
      </c>
      <c r="E862" s="4">
        <v>1</v>
      </c>
      <c r="F862" s="4" t="s">
        <v>240</v>
      </c>
      <c r="G862" s="4" t="s">
        <v>241</v>
      </c>
      <c r="H862" s="4" t="s">
        <v>241</v>
      </c>
      <c r="I862" s="4" t="s">
        <v>2498</v>
      </c>
      <c r="J862" s="4" t="s">
        <v>344</v>
      </c>
      <c r="K862" s="4" t="s">
        <v>256</v>
      </c>
      <c r="L862" s="4" t="s">
        <v>2101</v>
      </c>
      <c r="M862" s="5" t="s">
        <v>2414</v>
      </c>
      <c r="N862" s="4" t="s">
        <v>2114</v>
      </c>
      <c r="O862" s="6">
        <f>137.44</f>
        <v>137.44</v>
      </c>
      <c r="P862" s="4" t="s">
        <v>276</v>
      </c>
      <c r="Q862" s="6">
        <f>1</f>
        <v>1</v>
      </c>
      <c r="R862" s="6">
        <f>21303200</f>
        <v>21303200</v>
      </c>
      <c r="S862" s="5" t="s">
        <v>845</v>
      </c>
      <c r="T862" s="4" t="s">
        <v>314</v>
      </c>
      <c r="U862" s="4" t="s">
        <v>384</v>
      </c>
      <c r="W862" s="6">
        <f>21303199</f>
        <v>21303199</v>
      </c>
      <c r="X862" s="4" t="s">
        <v>243</v>
      </c>
      <c r="Y862" s="4" t="s">
        <v>244</v>
      </c>
      <c r="Z862" s="4" t="s">
        <v>338</v>
      </c>
      <c r="AA862" s="4" t="s">
        <v>241</v>
      </c>
      <c r="AD862" s="4" t="s">
        <v>241</v>
      </c>
      <c r="AF862" s="5" t="s">
        <v>241</v>
      </c>
      <c r="AI862" s="5" t="s">
        <v>249</v>
      </c>
      <c r="AJ862" s="4" t="s">
        <v>251</v>
      </c>
      <c r="AK862" s="4" t="s">
        <v>252</v>
      </c>
      <c r="BA862" s="4" t="s">
        <v>254</v>
      </c>
      <c r="BB862" s="4" t="s">
        <v>241</v>
      </c>
      <c r="BC862" s="4" t="s">
        <v>255</v>
      </c>
      <c r="BD862" s="4" t="s">
        <v>241</v>
      </c>
      <c r="BE862" s="4" t="s">
        <v>257</v>
      </c>
      <c r="BF862" s="4" t="s">
        <v>241</v>
      </c>
      <c r="BJ862" s="4" t="s">
        <v>377</v>
      </c>
      <c r="BK862" s="5" t="s">
        <v>378</v>
      </c>
      <c r="BL862" s="4" t="s">
        <v>261</v>
      </c>
      <c r="BM862" s="4" t="s">
        <v>262</v>
      </c>
      <c r="BN862" s="4" t="s">
        <v>241</v>
      </c>
      <c r="BO862" s="6">
        <f>0</f>
        <v>0</v>
      </c>
      <c r="BP862" s="6">
        <f>0</f>
        <v>0</v>
      </c>
      <c r="BQ862" s="4" t="s">
        <v>263</v>
      </c>
      <c r="BR862" s="4" t="s">
        <v>264</v>
      </c>
      <c r="CF862" s="4" t="s">
        <v>241</v>
      </c>
      <c r="CG862" s="4" t="s">
        <v>241</v>
      </c>
      <c r="CK862" s="4" t="s">
        <v>291</v>
      </c>
      <c r="CL862" s="4" t="s">
        <v>266</v>
      </c>
      <c r="CM862" s="4" t="s">
        <v>241</v>
      </c>
      <c r="CO862" s="4" t="s">
        <v>383</v>
      </c>
      <c r="CP862" s="5" t="s">
        <v>268</v>
      </c>
      <c r="CQ862" s="4" t="s">
        <v>269</v>
      </c>
      <c r="CR862" s="4" t="s">
        <v>270</v>
      </c>
      <c r="CS862" s="4" t="s">
        <v>241</v>
      </c>
      <c r="CT862" s="4" t="s">
        <v>241</v>
      </c>
      <c r="CU862" s="4">
        <v>0</v>
      </c>
      <c r="CV862" s="4" t="s">
        <v>271</v>
      </c>
      <c r="CW862" s="4" t="s">
        <v>411</v>
      </c>
      <c r="CX862" s="4" t="s">
        <v>347</v>
      </c>
      <c r="CZ862" s="6">
        <f>21303200</f>
        <v>21303200</v>
      </c>
      <c r="DA862" s="6">
        <f>0</f>
        <v>0</v>
      </c>
      <c r="DC862" s="4" t="s">
        <v>241</v>
      </c>
      <c r="DD862" s="4" t="s">
        <v>241</v>
      </c>
      <c r="DF862" s="4" t="s">
        <v>241</v>
      </c>
      <c r="DI862" s="4" t="s">
        <v>241</v>
      </c>
      <c r="DJ862" s="4" t="s">
        <v>241</v>
      </c>
      <c r="DK862" s="4" t="s">
        <v>241</v>
      </c>
      <c r="DL862" s="4" t="s">
        <v>241</v>
      </c>
      <c r="DM862" s="4" t="s">
        <v>323</v>
      </c>
      <c r="DN862" s="4" t="s">
        <v>278</v>
      </c>
      <c r="DO862" s="6">
        <f>137.44</f>
        <v>137.44</v>
      </c>
      <c r="DP862" s="4" t="s">
        <v>241</v>
      </c>
      <c r="DQ862" s="4" t="s">
        <v>241</v>
      </c>
      <c r="DR862" s="4" t="s">
        <v>241</v>
      </c>
      <c r="DS862" s="4" t="s">
        <v>241</v>
      </c>
      <c r="DV862" s="4" t="s">
        <v>2499</v>
      </c>
      <c r="DW862" s="4" t="s">
        <v>351</v>
      </c>
      <c r="HO862" s="4" t="s">
        <v>277</v>
      </c>
      <c r="HR862" s="4" t="s">
        <v>278</v>
      </c>
      <c r="HS862" s="4" t="s">
        <v>278</v>
      </c>
    </row>
    <row r="863" spans="1:240" x14ac:dyDescent="0.4">
      <c r="A863" s="4">
        <v>2</v>
      </c>
      <c r="B863" s="4" t="s">
        <v>239</v>
      </c>
      <c r="C863" s="4">
        <v>930</v>
      </c>
      <c r="D863" s="4">
        <v>1</v>
      </c>
      <c r="E863" s="4">
        <v>1</v>
      </c>
      <c r="F863" s="4" t="s">
        <v>240</v>
      </c>
      <c r="G863" s="4" t="s">
        <v>241</v>
      </c>
      <c r="H863" s="4" t="s">
        <v>241</v>
      </c>
      <c r="I863" s="4" t="s">
        <v>2498</v>
      </c>
      <c r="J863" s="4" t="s">
        <v>344</v>
      </c>
      <c r="K863" s="4" t="s">
        <v>256</v>
      </c>
      <c r="L863" s="4" t="s">
        <v>2101</v>
      </c>
      <c r="M863" s="5" t="s">
        <v>2414</v>
      </c>
      <c r="N863" s="4" t="s">
        <v>2114</v>
      </c>
      <c r="O863" s="6">
        <f>137.44</f>
        <v>137.44</v>
      </c>
      <c r="P863" s="4" t="s">
        <v>276</v>
      </c>
      <c r="Q863" s="6">
        <f>1</f>
        <v>1</v>
      </c>
      <c r="R863" s="6">
        <f>21303200</f>
        <v>21303200</v>
      </c>
      <c r="S863" s="5" t="s">
        <v>845</v>
      </c>
      <c r="T863" s="4" t="s">
        <v>314</v>
      </c>
      <c r="U863" s="4" t="s">
        <v>384</v>
      </c>
      <c r="W863" s="6">
        <f>21303199</f>
        <v>21303199</v>
      </c>
      <c r="X863" s="4" t="s">
        <v>243</v>
      </c>
      <c r="Y863" s="4" t="s">
        <v>244</v>
      </c>
      <c r="Z863" s="4" t="s">
        <v>338</v>
      </c>
      <c r="AA863" s="4" t="s">
        <v>241</v>
      </c>
      <c r="AD863" s="4" t="s">
        <v>241</v>
      </c>
      <c r="AF863" s="5" t="s">
        <v>241</v>
      </c>
      <c r="AI863" s="5" t="s">
        <v>249</v>
      </c>
      <c r="AJ863" s="4" t="s">
        <v>251</v>
      </c>
      <c r="AK863" s="4" t="s">
        <v>252</v>
      </c>
      <c r="BA863" s="4" t="s">
        <v>254</v>
      </c>
      <c r="BB863" s="4" t="s">
        <v>241</v>
      </c>
      <c r="BC863" s="4" t="s">
        <v>255</v>
      </c>
      <c r="BD863" s="4" t="s">
        <v>241</v>
      </c>
      <c r="BE863" s="4" t="s">
        <v>257</v>
      </c>
      <c r="BF863" s="4" t="s">
        <v>241</v>
      </c>
      <c r="BJ863" s="4" t="s">
        <v>259</v>
      </c>
      <c r="BK863" s="5" t="s">
        <v>260</v>
      </c>
      <c r="BL863" s="4" t="s">
        <v>261</v>
      </c>
      <c r="BM863" s="4" t="s">
        <v>262</v>
      </c>
      <c r="BN863" s="4" t="s">
        <v>241</v>
      </c>
      <c r="BO863" s="6">
        <f>0</f>
        <v>0</v>
      </c>
      <c r="BP863" s="6">
        <f>0</f>
        <v>0</v>
      </c>
      <c r="BQ863" s="4" t="s">
        <v>263</v>
      </c>
      <c r="BR863" s="4" t="s">
        <v>264</v>
      </c>
      <c r="CF863" s="4" t="s">
        <v>241</v>
      </c>
      <c r="CG863" s="4" t="s">
        <v>241</v>
      </c>
      <c r="CK863" s="4" t="s">
        <v>291</v>
      </c>
      <c r="CL863" s="4" t="s">
        <v>266</v>
      </c>
      <c r="CM863" s="4" t="s">
        <v>241</v>
      </c>
      <c r="CO863" s="4" t="s">
        <v>383</v>
      </c>
      <c r="CP863" s="5" t="s">
        <v>268</v>
      </c>
      <c r="CQ863" s="4" t="s">
        <v>269</v>
      </c>
      <c r="CR863" s="4" t="s">
        <v>270</v>
      </c>
      <c r="CS863" s="4" t="s">
        <v>241</v>
      </c>
      <c r="CT863" s="4" t="s">
        <v>241</v>
      </c>
      <c r="CU863" s="4">
        <v>0</v>
      </c>
      <c r="CV863" s="4" t="s">
        <v>271</v>
      </c>
      <c r="CW863" s="4" t="s">
        <v>411</v>
      </c>
      <c r="CX863" s="4" t="s">
        <v>347</v>
      </c>
      <c r="CZ863" s="6">
        <f>21303200</f>
        <v>21303200</v>
      </c>
      <c r="DA863" s="6">
        <f>0</f>
        <v>0</v>
      </c>
      <c r="DC863" s="4" t="s">
        <v>241</v>
      </c>
      <c r="DD863" s="4" t="s">
        <v>241</v>
      </c>
      <c r="DF863" s="4" t="s">
        <v>241</v>
      </c>
      <c r="DI863" s="4" t="s">
        <v>241</v>
      </c>
      <c r="DJ863" s="4" t="s">
        <v>241</v>
      </c>
      <c r="DK863" s="4" t="s">
        <v>241</v>
      </c>
      <c r="DL863" s="4" t="s">
        <v>241</v>
      </c>
      <c r="DM863" s="4" t="s">
        <v>323</v>
      </c>
      <c r="DN863" s="4" t="s">
        <v>278</v>
      </c>
      <c r="DO863" s="6">
        <f>137.44</f>
        <v>137.44</v>
      </c>
      <c r="DP863" s="4" t="s">
        <v>241</v>
      </c>
      <c r="DQ863" s="4" t="s">
        <v>241</v>
      </c>
      <c r="DR863" s="4" t="s">
        <v>241</v>
      </c>
      <c r="DS863" s="4" t="s">
        <v>241</v>
      </c>
      <c r="DV863" s="4" t="s">
        <v>2499</v>
      </c>
      <c r="DW863" s="4" t="s">
        <v>300</v>
      </c>
      <c r="HO863" s="4" t="s">
        <v>277</v>
      </c>
      <c r="HR863" s="4" t="s">
        <v>278</v>
      </c>
      <c r="HS863" s="4" t="s">
        <v>278</v>
      </c>
    </row>
    <row r="864" spans="1:240" x14ac:dyDescent="0.4">
      <c r="A864" s="4">
        <v>2</v>
      </c>
      <c r="B864" s="4" t="s">
        <v>239</v>
      </c>
      <c r="C864" s="4">
        <v>932</v>
      </c>
      <c r="D864" s="4">
        <v>1</v>
      </c>
      <c r="E864" s="4">
        <v>3</v>
      </c>
      <c r="F864" s="4" t="s">
        <v>240</v>
      </c>
      <c r="G864" s="4" t="s">
        <v>241</v>
      </c>
      <c r="H864" s="4" t="s">
        <v>241</v>
      </c>
      <c r="I864" s="4" t="s">
        <v>2418</v>
      </c>
      <c r="J864" s="4" t="s">
        <v>344</v>
      </c>
      <c r="K864" s="4" t="s">
        <v>256</v>
      </c>
      <c r="L864" s="4" t="s">
        <v>2101</v>
      </c>
      <c r="M864" s="5" t="s">
        <v>2419</v>
      </c>
      <c r="N864" s="4" t="s">
        <v>2430</v>
      </c>
      <c r="O864" s="6">
        <f>152.82</f>
        <v>152.82</v>
      </c>
      <c r="P864" s="4" t="s">
        <v>276</v>
      </c>
      <c r="Q864" s="6">
        <f>3485219</f>
        <v>3485219</v>
      </c>
      <c r="R864" s="6">
        <f>27660420</f>
        <v>27660420</v>
      </c>
      <c r="S864" s="5" t="s">
        <v>363</v>
      </c>
      <c r="T864" s="4" t="s">
        <v>314</v>
      </c>
      <c r="U864" s="4" t="s">
        <v>365</v>
      </c>
      <c r="V864" s="6">
        <f>1272379</f>
        <v>1272379</v>
      </c>
      <c r="W864" s="6">
        <f>24175201</f>
        <v>24175201</v>
      </c>
      <c r="X864" s="4" t="s">
        <v>243</v>
      </c>
      <c r="Y864" s="4" t="s">
        <v>244</v>
      </c>
      <c r="Z864" s="4" t="s">
        <v>338</v>
      </c>
      <c r="AA864" s="4" t="s">
        <v>241</v>
      </c>
      <c r="AD864" s="4" t="s">
        <v>241</v>
      </c>
      <c r="AE864" s="5" t="s">
        <v>241</v>
      </c>
      <c r="AF864" s="5" t="s">
        <v>241</v>
      </c>
      <c r="AH864" s="5" t="s">
        <v>241</v>
      </c>
      <c r="AI864" s="5" t="s">
        <v>249</v>
      </c>
      <c r="AJ864" s="4" t="s">
        <v>251</v>
      </c>
      <c r="AK864" s="4" t="s">
        <v>252</v>
      </c>
      <c r="AQ864" s="4" t="s">
        <v>241</v>
      </c>
      <c r="AR864" s="4" t="s">
        <v>241</v>
      </c>
      <c r="AS864" s="4" t="s">
        <v>241</v>
      </c>
      <c r="AT864" s="5" t="s">
        <v>241</v>
      </c>
      <c r="AU864" s="5" t="s">
        <v>241</v>
      </c>
      <c r="AV864" s="5" t="s">
        <v>241</v>
      </c>
      <c r="AY864" s="4" t="s">
        <v>286</v>
      </c>
      <c r="AZ864" s="4" t="s">
        <v>286</v>
      </c>
      <c r="BA864" s="4" t="s">
        <v>254</v>
      </c>
      <c r="BB864" s="4" t="s">
        <v>287</v>
      </c>
      <c r="BC864" s="4" t="s">
        <v>255</v>
      </c>
      <c r="BD864" s="4" t="s">
        <v>241</v>
      </c>
      <c r="BE864" s="4" t="s">
        <v>257</v>
      </c>
      <c r="BF864" s="4" t="s">
        <v>241</v>
      </c>
      <c r="BH864" s="4" t="s">
        <v>2107</v>
      </c>
      <c r="BJ864" s="4" t="s">
        <v>288</v>
      </c>
      <c r="BK864" s="5" t="s">
        <v>289</v>
      </c>
      <c r="BL864" s="4" t="s">
        <v>290</v>
      </c>
      <c r="BM864" s="4" t="s">
        <v>290</v>
      </c>
      <c r="BN864" s="4" t="s">
        <v>241</v>
      </c>
      <c r="BO864" s="6">
        <f>0</f>
        <v>0</v>
      </c>
      <c r="BP864" s="6">
        <f>-1272379</f>
        <v>-1272379</v>
      </c>
      <c r="BQ864" s="4" t="s">
        <v>263</v>
      </c>
      <c r="BR864" s="4" t="s">
        <v>264</v>
      </c>
      <c r="BS864" s="4" t="s">
        <v>241</v>
      </c>
      <c r="BT864" s="4" t="s">
        <v>241</v>
      </c>
      <c r="BU864" s="4" t="s">
        <v>241</v>
      </c>
      <c r="BV864" s="4" t="s">
        <v>241</v>
      </c>
      <c r="CE864" s="4" t="s">
        <v>264</v>
      </c>
      <c r="CF864" s="4" t="s">
        <v>241</v>
      </c>
      <c r="CG864" s="4" t="s">
        <v>241</v>
      </c>
      <c r="CK864" s="4" t="s">
        <v>291</v>
      </c>
      <c r="CL864" s="4" t="s">
        <v>266</v>
      </c>
      <c r="CM864" s="4" t="s">
        <v>241</v>
      </c>
      <c r="CO864" s="4" t="s">
        <v>364</v>
      </c>
      <c r="CP864" s="5" t="s">
        <v>268</v>
      </c>
      <c r="CQ864" s="4" t="s">
        <v>269</v>
      </c>
      <c r="CR864" s="4" t="s">
        <v>270</v>
      </c>
      <c r="CS864" s="4" t="s">
        <v>293</v>
      </c>
      <c r="CT864" s="4" t="s">
        <v>241</v>
      </c>
      <c r="CU864" s="4">
        <v>4.5999999999999999E-2</v>
      </c>
      <c r="CV864" s="4" t="s">
        <v>271</v>
      </c>
      <c r="CW864" s="4" t="s">
        <v>411</v>
      </c>
      <c r="CX864" s="4" t="s">
        <v>347</v>
      </c>
      <c r="CY864" s="6">
        <f>0</f>
        <v>0</v>
      </c>
      <c r="CZ864" s="6">
        <f>27660420</f>
        <v>27660420</v>
      </c>
      <c r="DA864" s="6">
        <f>3485219</f>
        <v>3485219</v>
      </c>
      <c r="DC864" s="4" t="s">
        <v>241</v>
      </c>
      <c r="DD864" s="4" t="s">
        <v>241</v>
      </c>
      <c r="DF864" s="4" t="s">
        <v>241</v>
      </c>
      <c r="DG864" s="6">
        <f>0</f>
        <v>0</v>
      </c>
      <c r="DI864" s="4" t="s">
        <v>241</v>
      </c>
      <c r="DJ864" s="4" t="s">
        <v>241</v>
      </c>
      <c r="DK864" s="4" t="s">
        <v>241</v>
      </c>
      <c r="DL864" s="4" t="s">
        <v>241</v>
      </c>
      <c r="DM864" s="4" t="s">
        <v>323</v>
      </c>
      <c r="DN864" s="4" t="s">
        <v>278</v>
      </c>
      <c r="DO864" s="6">
        <f>152.82</f>
        <v>152.82</v>
      </c>
      <c r="DP864" s="4" t="s">
        <v>241</v>
      </c>
      <c r="DQ864" s="4" t="s">
        <v>241</v>
      </c>
      <c r="DR864" s="4" t="s">
        <v>241</v>
      </c>
      <c r="DS864" s="4" t="s">
        <v>241</v>
      </c>
      <c r="DV864" s="4" t="s">
        <v>2420</v>
      </c>
      <c r="DW864" s="4" t="s">
        <v>277</v>
      </c>
      <c r="GN864" s="4" t="s">
        <v>2431</v>
      </c>
      <c r="HO864" s="4" t="s">
        <v>300</v>
      </c>
      <c r="HR864" s="4" t="s">
        <v>278</v>
      </c>
      <c r="HS864" s="4" t="s">
        <v>278</v>
      </c>
      <c r="HT864" s="4" t="s">
        <v>241</v>
      </c>
      <c r="HU864" s="4" t="s">
        <v>241</v>
      </c>
      <c r="HV864" s="4" t="s">
        <v>241</v>
      </c>
      <c r="HW864" s="4" t="s">
        <v>241</v>
      </c>
      <c r="HX864" s="4" t="s">
        <v>241</v>
      </c>
      <c r="HY864" s="4" t="s">
        <v>241</v>
      </c>
      <c r="HZ864" s="4" t="s">
        <v>241</v>
      </c>
      <c r="IA864" s="4" t="s">
        <v>241</v>
      </c>
      <c r="IB864" s="4" t="s">
        <v>241</v>
      </c>
      <c r="IC864" s="4" t="s">
        <v>241</v>
      </c>
      <c r="ID864" s="4" t="s">
        <v>241</v>
      </c>
      <c r="IE864" s="4" t="s">
        <v>241</v>
      </c>
      <c r="IF864" s="4" t="s">
        <v>241</v>
      </c>
    </row>
    <row r="865" spans="1:240" x14ac:dyDescent="0.4">
      <c r="A865" s="4">
        <v>2</v>
      </c>
      <c r="B865" s="4" t="s">
        <v>239</v>
      </c>
      <c r="C865" s="4">
        <v>933</v>
      </c>
      <c r="D865" s="4">
        <v>1</v>
      </c>
      <c r="E865" s="4">
        <v>3</v>
      </c>
      <c r="F865" s="4" t="s">
        <v>240</v>
      </c>
      <c r="G865" s="4" t="s">
        <v>241</v>
      </c>
      <c r="H865" s="4" t="s">
        <v>241</v>
      </c>
      <c r="I865" s="4" t="s">
        <v>2418</v>
      </c>
      <c r="J865" s="4" t="s">
        <v>344</v>
      </c>
      <c r="K865" s="4" t="s">
        <v>256</v>
      </c>
      <c r="L865" s="4" t="s">
        <v>2101</v>
      </c>
      <c r="M865" s="5" t="s">
        <v>2419</v>
      </c>
      <c r="N865" s="4" t="s">
        <v>2428</v>
      </c>
      <c r="O865" s="6">
        <f>152.82</f>
        <v>152.82</v>
      </c>
      <c r="P865" s="4" t="s">
        <v>276</v>
      </c>
      <c r="Q865" s="6">
        <f>3485219</f>
        <v>3485219</v>
      </c>
      <c r="R865" s="6">
        <f>27660420</f>
        <v>27660420</v>
      </c>
      <c r="S865" s="5" t="s">
        <v>363</v>
      </c>
      <c r="T865" s="4" t="s">
        <v>314</v>
      </c>
      <c r="U865" s="4" t="s">
        <v>365</v>
      </c>
      <c r="V865" s="6">
        <f>1272379</f>
        <v>1272379</v>
      </c>
      <c r="W865" s="6">
        <f>24175201</f>
        <v>24175201</v>
      </c>
      <c r="X865" s="4" t="s">
        <v>243</v>
      </c>
      <c r="Y865" s="4" t="s">
        <v>244</v>
      </c>
      <c r="Z865" s="4" t="s">
        <v>338</v>
      </c>
      <c r="AA865" s="4" t="s">
        <v>241</v>
      </c>
      <c r="AD865" s="4" t="s">
        <v>241</v>
      </c>
      <c r="AE865" s="5" t="s">
        <v>241</v>
      </c>
      <c r="AF865" s="5" t="s">
        <v>241</v>
      </c>
      <c r="AH865" s="5" t="s">
        <v>241</v>
      </c>
      <c r="AI865" s="5" t="s">
        <v>249</v>
      </c>
      <c r="AJ865" s="4" t="s">
        <v>251</v>
      </c>
      <c r="AK865" s="4" t="s">
        <v>252</v>
      </c>
      <c r="AQ865" s="4" t="s">
        <v>241</v>
      </c>
      <c r="AR865" s="4" t="s">
        <v>241</v>
      </c>
      <c r="AS865" s="4" t="s">
        <v>241</v>
      </c>
      <c r="AT865" s="5" t="s">
        <v>241</v>
      </c>
      <c r="AU865" s="5" t="s">
        <v>241</v>
      </c>
      <c r="AV865" s="5" t="s">
        <v>241</v>
      </c>
      <c r="AY865" s="4" t="s">
        <v>286</v>
      </c>
      <c r="AZ865" s="4" t="s">
        <v>286</v>
      </c>
      <c r="BA865" s="4" t="s">
        <v>254</v>
      </c>
      <c r="BB865" s="4" t="s">
        <v>287</v>
      </c>
      <c r="BC865" s="4" t="s">
        <v>255</v>
      </c>
      <c r="BD865" s="4" t="s">
        <v>241</v>
      </c>
      <c r="BE865" s="4" t="s">
        <v>257</v>
      </c>
      <c r="BF865" s="4" t="s">
        <v>241</v>
      </c>
      <c r="BJ865" s="4" t="s">
        <v>288</v>
      </c>
      <c r="BK865" s="5" t="s">
        <v>289</v>
      </c>
      <c r="BL865" s="4" t="s">
        <v>290</v>
      </c>
      <c r="BM865" s="4" t="s">
        <v>290</v>
      </c>
      <c r="BN865" s="4" t="s">
        <v>241</v>
      </c>
      <c r="BO865" s="6">
        <f>0</f>
        <v>0</v>
      </c>
      <c r="BP865" s="6">
        <f>-1272379</f>
        <v>-1272379</v>
      </c>
      <c r="BQ865" s="4" t="s">
        <v>263</v>
      </c>
      <c r="BR865" s="4" t="s">
        <v>264</v>
      </c>
      <c r="BS865" s="4" t="s">
        <v>241</v>
      </c>
      <c r="BT865" s="4" t="s">
        <v>241</v>
      </c>
      <c r="BU865" s="4" t="s">
        <v>241</v>
      </c>
      <c r="BV865" s="4" t="s">
        <v>241</v>
      </c>
      <c r="CE865" s="4" t="s">
        <v>264</v>
      </c>
      <c r="CF865" s="4" t="s">
        <v>241</v>
      </c>
      <c r="CG865" s="4" t="s">
        <v>241</v>
      </c>
      <c r="CK865" s="4" t="s">
        <v>291</v>
      </c>
      <c r="CL865" s="4" t="s">
        <v>266</v>
      </c>
      <c r="CM865" s="4" t="s">
        <v>241</v>
      </c>
      <c r="CO865" s="4" t="s">
        <v>364</v>
      </c>
      <c r="CP865" s="5" t="s">
        <v>268</v>
      </c>
      <c r="CQ865" s="4" t="s">
        <v>269</v>
      </c>
      <c r="CR865" s="4" t="s">
        <v>270</v>
      </c>
      <c r="CS865" s="4" t="s">
        <v>293</v>
      </c>
      <c r="CT865" s="4" t="s">
        <v>241</v>
      </c>
      <c r="CU865" s="4">
        <v>4.5999999999999999E-2</v>
      </c>
      <c r="CV865" s="4" t="s">
        <v>271</v>
      </c>
      <c r="CW865" s="4" t="s">
        <v>411</v>
      </c>
      <c r="CX865" s="4" t="s">
        <v>347</v>
      </c>
      <c r="CY865" s="6">
        <f>0</f>
        <v>0</v>
      </c>
      <c r="CZ865" s="6">
        <f>27660420</f>
        <v>27660420</v>
      </c>
      <c r="DA865" s="6">
        <f>3485219</f>
        <v>3485219</v>
      </c>
      <c r="DC865" s="4" t="s">
        <v>241</v>
      </c>
      <c r="DD865" s="4" t="s">
        <v>241</v>
      </c>
      <c r="DF865" s="4" t="s">
        <v>241</v>
      </c>
      <c r="DG865" s="6">
        <f>0</f>
        <v>0</v>
      </c>
      <c r="DI865" s="4" t="s">
        <v>241</v>
      </c>
      <c r="DJ865" s="4" t="s">
        <v>241</v>
      </c>
      <c r="DK865" s="4" t="s">
        <v>241</v>
      </c>
      <c r="DL865" s="4" t="s">
        <v>241</v>
      </c>
      <c r="DM865" s="4" t="s">
        <v>323</v>
      </c>
      <c r="DN865" s="4" t="s">
        <v>278</v>
      </c>
      <c r="DO865" s="6">
        <f>152.82</f>
        <v>152.82</v>
      </c>
      <c r="DP865" s="4" t="s">
        <v>241</v>
      </c>
      <c r="DQ865" s="4" t="s">
        <v>241</v>
      </c>
      <c r="DR865" s="4" t="s">
        <v>241</v>
      </c>
      <c r="DS865" s="4" t="s">
        <v>241</v>
      </c>
      <c r="DV865" s="4" t="s">
        <v>2420</v>
      </c>
      <c r="DW865" s="4" t="s">
        <v>323</v>
      </c>
      <c r="GN865" s="4" t="s">
        <v>2429</v>
      </c>
      <c r="HO865" s="4" t="s">
        <v>300</v>
      </c>
      <c r="HR865" s="4" t="s">
        <v>278</v>
      </c>
      <c r="HS865" s="4" t="s">
        <v>278</v>
      </c>
      <c r="HT865" s="4" t="s">
        <v>241</v>
      </c>
      <c r="HU865" s="4" t="s">
        <v>241</v>
      </c>
      <c r="HV865" s="4" t="s">
        <v>241</v>
      </c>
      <c r="HW865" s="4" t="s">
        <v>241</v>
      </c>
      <c r="HX865" s="4" t="s">
        <v>241</v>
      </c>
      <c r="HY865" s="4" t="s">
        <v>241</v>
      </c>
      <c r="HZ865" s="4" t="s">
        <v>241</v>
      </c>
      <c r="IA865" s="4" t="s">
        <v>241</v>
      </c>
      <c r="IB865" s="4" t="s">
        <v>241</v>
      </c>
      <c r="IC865" s="4" t="s">
        <v>241</v>
      </c>
      <c r="ID865" s="4" t="s">
        <v>241</v>
      </c>
      <c r="IE865" s="4" t="s">
        <v>241</v>
      </c>
      <c r="IF865" s="4" t="s">
        <v>241</v>
      </c>
    </row>
    <row r="866" spans="1:240" x14ac:dyDescent="0.4">
      <c r="A866" s="4">
        <v>2</v>
      </c>
      <c r="B866" s="4" t="s">
        <v>239</v>
      </c>
      <c r="C866" s="4">
        <v>934</v>
      </c>
      <c r="D866" s="4">
        <v>1</v>
      </c>
      <c r="E866" s="4">
        <v>3</v>
      </c>
      <c r="F866" s="4" t="s">
        <v>240</v>
      </c>
      <c r="G866" s="4" t="s">
        <v>241</v>
      </c>
      <c r="H866" s="4" t="s">
        <v>241</v>
      </c>
      <c r="I866" s="4" t="s">
        <v>2418</v>
      </c>
      <c r="J866" s="4" t="s">
        <v>344</v>
      </c>
      <c r="K866" s="4" t="s">
        <v>256</v>
      </c>
      <c r="L866" s="4" t="s">
        <v>2101</v>
      </c>
      <c r="M866" s="5" t="s">
        <v>2419</v>
      </c>
      <c r="N866" s="4" t="s">
        <v>2426</v>
      </c>
      <c r="O866" s="6">
        <f>163.11</f>
        <v>163.11000000000001</v>
      </c>
      <c r="P866" s="4" t="s">
        <v>276</v>
      </c>
      <c r="Q866" s="6">
        <f>3719903</f>
        <v>3719903</v>
      </c>
      <c r="R866" s="6">
        <f>29522910</f>
        <v>29522910</v>
      </c>
      <c r="S866" s="5" t="s">
        <v>363</v>
      </c>
      <c r="T866" s="4" t="s">
        <v>314</v>
      </c>
      <c r="U866" s="4" t="s">
        <v>365</v>
      </c>
      <c r="V866" s="6">
        <f>1358053</f>
        <v>1358053</v>
      </c>
      <c r="W866" s="6">
        <f>25803007</f>
        <v>25803007</v>
      </c>
      <c r="X866" s="4" t="s">
        <v>243</v>
      </c>
      <c r="Y866" s="4" t="s">
        <v>244</v>
      </c>
      <c r="Z866" s="4" t="s">
        <v>338</v>
      </c>
      <c r="AA866" s="4" t="s">
        <v>241</v>
      </c>
      <c r="AD866" s="4" t="s">
        <v>241</v>
      </c>
      <c r="AE866" s="5" t="s">
        <v>241</v>
      </c>
      <c r="AF866" s="5" t="s">
        <v>241</v>
      </c>
      <c r="AH866" s="5" t="s">
        <v>241</v>
      </c>
      <c r="AI866" s="5" t="s">
        <v>249</v>
      </c>
      <c r="AJ866" s="4" t="s">
        <v>251</v>
      </c>
      <c r="AK866" s="4" t="s">
        <v>252</v>
      </c>
      <c r="AQ866" s="4" t="s">
        <v>241</v>
      </c>
      <c r="AR866" s="4" t="s">
        <v>241</v>
      </c>
      <c r="AS866" s="4" t="s">
        <v>241</v>
      </c>
      <c r="AT866" s="5" t="s">
        <v>241</v>
      </c>
      <c r="AU866" s="5" t="s">
        <v>241</v>
      </c>
      <c r="AV866" s="5" t="s">
        <v>241</v>
      </c>
      <c r="AY866" s="4" t="s">
        <v>286</v>
      </c>
      <c r="AZ866" s="4" t="s">
        <v>286</v>
      </c>
      <c r="BA866" s="4" t="s">
        <v>254</v>
      </c>
      <c r="BB866" s="4" t="s">
        <v>287</v>
      </c>
      <c r="BC866" s="4" t="s">
        <v>255</v>
      </c>
      <c r="BD866" s="4" t="s">
        <v>241</v>
      </c>
      <c r="BE866" s="4" t="s">
        <v>257</v>
      </c>
      <c r="BF866" s="4" t="s">
        <v>241</v>
      </c>
      <c r="BJ866" s="4" t="s">
        <v>288</v>
      </c>
      <c r="BK866" s="5" t="s">
        <v>289</v>
      </c>
      <c r="BL866" s="4" t="s">
        <v>290</v>
      </c>
      <c r="BM866" s="4" t="s">
        <v>290</v>
      </c>
      <c r="BN866" s="4" t="s">
        <v>241</v>
      </c>
      <c r="BO866" s="6">
        <f>0</f>
        <v>0</v>
      </c>
      <c r="BP866" s="6">
        <f>-1358053</f>
        <v>-1358053</v>
      </c>
      <c r="BQ866" s="4" t="s">
        <v>263</v>
      </c>
      <c r="BR866" s="4" t="s">
        <v>264</v>
      </c>
      <c r="BS866" s="4" t="s">
        <v>241</v>
      </c>
      <c r="BT866" s="4" t="s">
        <v>241</v>
      </c>
      <c r="BU866" s="4" t="s">
        <v>241</v>
      </c>
      <c r="BV866" s="4" t="s">
        <v>241</v>
      </c>
      <c r="CE866" s="4" t="s">
        <v>264</v>
      </c>
      <c r="CF866" s="4" t="s">
        <v>241</v>
      </c>
      <c r="CG866" s="4" t="s">
        <v>241</v>
      </c>
      <c r="CK866" s="4" t="s">
        <v>291</v>
      </c>
      <c r="CL866" s="4" t="s">
        <v>266</v>
      </c>
      <c r="CM866" s="4" t="s">
        <v>241</v>
      </c>
      <c r="CO866" s="4" t="s">
        <v>364</v>
      </c>
      <c r="CP866" s="5" t="s">
        <v>268</v>
      </c>
      <c r="CQ866" s="4" t="s">
        <v>269</v>
      </c>
      <c r="CR866" s="4" t="s">
        <v>270</v>
      </c>
      <c r="CS866" s="4" t="s">
        <v>293</v>
      </c>
      <c r="CT866" s="4" t="s">
        <v>241</v>
      </c>
      <c r="CU866" s="4">
        <v>4.5999999999999999E-2</v>
      </c>
      <c r="CV866" s="4" t="s">
        <v>271</v>
      </c>
      <c r="CW866" s="4" t="s">
        <v>411</v>
      </c>
      <c r="CX866" s="4" t="s">
        <v>347</v>
      </c>
      <c r="CY866" s="6">
        <f>0</f>
        <v>0</v>
      </c>
      <c r="CZ866" s="6">
        <f>29522910</f>
        <v>29522910</v>
      </c>
      <c r="DA866" s="6">
        <f>3719903</f>
        <v>3719903</v>
      </c>
      <c r="DC866" s="4" t="s">
        <v>241</v>
      </c>
      <c r="DD866" s="4" t="s">
        <v>241</v>
      </c>
      <c r="DF866" s="4" t="s">
        <v>241</v>
      </c>
      <c r="DG866" s="6">
        <f>0</f>
        <v>0</v>
      </c>
      <c r="DI866" s="4" t="s">
        <v>241</v>
      </c>
      <c r="DJ866" s="4" t="s">
        <v>241</v>
      </c>
      <c r="DK866" s="4" t="s">
        <v>241</v>
      </c>
      <c r="DL866" s="4" t="s">
        <v>241</v>
      </c>
      <c r="DM866" s="4" t="s">
        <v>323</v>
      </c>
      <c r="DN866" s="4" t="s">
        <v>278</v>
      </c>
      <c r="DO866" s="6">
        <f>163.11</f>
        <v>163.11000000000001</v>
      </c>
      <c r="DP866" s="4" t="s">
        <v>241</v>
      </c>
      <c r="DQ866" s="4" t="s">
        <v>241</v>
      </c>
      <c r="DR866" s="4" t="s">
        <v>241</v>
      </c>
      <c r="DS866" s="4" t="s">
        <v>241</v>
      </c>
      <c r="DV866" s="4" t="s">
        <v>2420</v>
      </c>
      <c r="DW866" s="4" t="s">
        <v>297</v>
      </c>
      <c r="GN866" s="4" t="s">
        <v>2427</v>
      </c>
      <c r="HO866" s="4" t="s">
        <v>300</v>
      </c>
      <c r="HR866" s="4" t="s">
        <v>278</v>
      </c>
      <c r="HS866" s="4" t="s">
        <v>278</v>
      </c>
      <c r="HT866" s="4" t="s">
        <v>241</v>
      </c>
      <c r="HU866" s="4" t="s">
        <v>241</v>
      </c>
      <c r="HV866" s="4" t="s">
        <v>241</v>
      </c>
      <c r="HW866" s="4" t="s">
        <v>241</v>
      </c>
      <c r="HX866" s="4" t="s">
        <v>241</v>
      </c>
      <c r="HY866" s="4" t="s">
        <v>241</v>
      </c>
      <c r="HZ866" s="4" t="s">
        <v>241</v>
      </c>
      <c r="IA866" s="4" t="s">
        <v>241</v>
      </c>
      <c r="IB866" s="4" t="s">
        <v>241</v>
      </c>
      <c r="IC866" s="4" t="s">
        <v>241</v>
      </c>
      <c r="ID866" s="4" t="s">
        <v>241</v>
      </c>
      <c r="IE866" s="4" t="s">
        <v>241</v>
      </c>
      <c r="IF866" s="4" t="s">
        <v>241</v>
      </c>
    </row>
    <row r="867" spans="1:240" x14ac:dyDescent="0.4">
      <c r="A867" s="4">
        <v>2</v>
      </c>
      <c r="B867" s="4" t="s">
        <v>239</v>
      </c>
      <c r="C867" s="4">
        <v>935</v>
      </c>
      <c r="D867" s="4">
        <v>1</v>
      </c>
      <c r="E867" s="4">
        <v>3</v>
      </c>
      <c r="F867" s="4" t="s">
        <v>240</v>
      </c>
      <c r="G867" s="4" t="s">
        <v>241</v>
      </c>
      <c r="H867" s="4" t="s">
        <v>241</v>
      </c>
      <c r="I867" s="4" t="s">
        <v>2418</v>
      </c>
      <c r="J867" s="4" t="s">
        <v>344</v>
      </c>
      <c r="K867" s="4" t="s">
        <v>256</v>
      </c>
      <c r="L867" s="4" t="s">
        <v>2101</v>
      </c>
      <c r="M867" s="5" t="s">
        <v>2419</v>
      </c>
      <c r="N867" s="4" t="s">
        <v>2424</v>
      </c>
      <c r="O867" s="6">
        <f>163.11</f>
        <v>163.11000000000001</v>
      </c>
      <c r="P867" s="4" t="s">
        <v>276</v>
      </c>
      <c r="Q867" s="6">
        <f>3719903</f>
        <v>3719903</v>
      </c>
      <c r="R867" s="6">
        <f>29522910</f>
        <v>29522910</v>
      </c>
      <c r="S867" s="5" t="s">
        <v>363</v>
      </c>
      <c r="T867" s="4" t="s">
        <v>314</v>
      </c>
      <c r="U867" s="4" t="s">
        <v>365</v>
      </c>
      <c r="V867" s="6">
        <f>1358053</f>
        <v>1358053</v>
      </c>
      <c r="W867" s="6">
        <f>25803007</f>
        <v>25803007</v>
      </c>
      <c r="X867" s="4" t="s">
        <v>243</v>
      </c>
      <c r="Y867" s="4" t="s">
        <v>244</v>
      </c>
      <c r="Z867" s="4" t="s">
        <v>338</v>
      </c>
      <c r="AA867" s="4" t="s">
        <v>241</v>
      </c>
      <c r="AD867" s="4" t="s">
        <v>241</v>
      </c>
      <c r="AE867" s="5" t="s">
        <v>241</v>
      </c>
      <c r="AF867" s="5" t="s">
        <v>241</v>
      </c>
      <c r="AH867" s="5" t="s">
        <v>241</v>
      </c>
      <c r="AI867" s="5" t="s">
        <v>249</v>
      </c>
      <c r="AJ867" s="4" t="s">
        <v>251</v>
      </c>
      <c r="AK867" s="4" t="s">
        <v>252</v>
      </c>
      <c r="AQ867" s="4" t="s">
        <v>241</v>
      </c>
      <c r="AR867" s="4" t="s">
        <v>241</v>
      </c>
      <c r="AS867" s="4" t="s">
        <v>241</v>
      </c>
      <c r="AT867" s="5" t="s">
        <v>241</v>
      </c>
      <c r="AU867" s="5" t="s">
        <v>241</v>
      </c>
      <c r="AV867" s="5" t="s">
        <v>241</v>
      </c>
      <c r="AY867" s="4" t="s">
        <v>286</v>
      </c>
      <c r="AZ867" s="4" t="s">
        <v>286</v>
      </c>
      <c r="BA867" s="4" t="s">
        <v>254</v>
      </c>
      <c r="BB867" s="4" t="s">
        <v>287</v>
      </c>
      <c r="BC867" s="4" t="s">
        <v>255</v>
      </c>
      <c r="BD867" s="4" t="s">
        <v>241</v>
      </c>
      <c r="BE867" s="4" t="s">
        <v>257</v>
      </c>
      <c r="BF867" s="4" t="s">
        <v>241</v>
      </c>
      <c r="BJ867" s="4" t="s">
        <v>288</v>
      </c>
      <c r="BK867" s="5" t="s">
        <v>289</v>
      </c>
      <c r="BL867" s="4" t="s">
        <v>290</v>
      </c>
      <c r="BM867" s="4" t="s">
        <v>290</v>
      </c>
      <c r="BN867" s="4" t="s">
        <v>241</v>
      </c>
      <c r="BO867" s="6">
        <f>0</f>
        <v>0</v>
      </c>
      <c r="BP867" s="6">
        <f>-1358053</f>
        <v>-1358053</v>
      </c>
      <c r="BQ867" s="4" t="s">
        <v>263</v>
      </c>
      <c r="BR867" s="4" t="s">
        <v>264</v>
      </c>
      <c r="BS867" s="4" t="s">
        <v>241</v>
      </c>
      <c r="BT867" s="4" t="s">
        <v>241</v>
      </c>
      <c r="BU867" s="4" t="s">
        <v>241</v>
      </c>
      <c r="BV867" s="4" t="s">
        <v>241</v>
      </c>
      <c r="CE867" s="4" t="s">
        <v>264</v>
      </c>
      <c r="CF867" s="4" t="s">
        <v>241</v>
      </c>
      <c r="CG867" s="4" t="s">
        <v>241</v>
      </c>
      <c r="CK867" s="4" t="s">
        <v>291</v>
      </c>
      <c r="CL867" s="4" t="s">
        <v>266</v>
      </c>
      <c r="CM867" s="4" t="s">
        <v>241</v>
      </c>
      <c r="CO867" s="4" t="s">
        <v>364</v>
      </c>
      <c r="CP867" s="5" t="s">
        <v>268</v>
      </c>
      <c r="CQ867" s="4" t="s">
        <v>269</v>
      </c>
      <c r="CR867" s="4" t="s">
        <v>270</v>
      </c>
      <c r="CS867" s="4" t="s">
        <v>293</v>
      </c>
      <c r="CT867" s="4" t="s">
        <v>241</v>
      </c>
      <c r="CU867" s="4">
        <v>4.5999999999999999E-2</v>
      </c>
      <c r="CV867" s="4" t="s">
        <v>271</v>
      </c>
      <c r="CW867" s="4" t="s">
        <v>411</v>
      </c>
      <c r="CX867" s="4" t="s">
        <v>347</v>
      </c>
      <c r="CY867" s="6">
        <f>0</f>
        <v>0</v>
      </c>
      <c r="CZ867" s="6">
        <f>29522910</f>
        <v>29522910</v>
      </c>
      <c r="DA867" s="6">
        <f>3719903</f>
        <v>3719903</v>
      </c>
      <c r="DC867" s="4" t="s">
        <v>241</v>
      </c>
      <c r="DD867" s="4" t="s">
        <v>241</v>
      </c>
      <c r="DF867" s="4" t="s">
        <v>241</v>
      </c>
      <c r="DG867" s="6">
        <f>0</f>
        <v>0</v>
      </c>
      <c r="DI867" s="4" t="s">
        <v>241</v>
      </c>
      <c r="DJ867" s="4" t="s">
        <v>241</v>
      </c>
      <c r="DK867" s="4" t="s">
        <v>241</v>
      </c>
      <c r="DL867" s="4" t="s">
        <v>241</v>
      </c>
      <c r="DM867" s="4" t="s">
        <v>323</v>
      </c>
      <c r="DN867" s="4" t="s">
        <v>278</v>
      </c>
      <c r="DO867" s="6">
        <f>163.11</f>
        <v>163.11000000000001</v>
      </c>
      <c r="DP867" s="4" t="s">
        <v>241</v>
      </c>
      <c r="DQ867" s="4" t="s">
        <v>241</v>
      </c>
      <c r="DR867" s="4" t="s">
        <v>241</v>
      </c>
      <c r="DS867" s="4" t="s">
        <v>241</v>
      </c>
      <c r="DV867" s="4" t="s">
        <v>2420</v>
      </c>
      <c r="DW867" s="4" t="s">
        <v>336</v>
      </c>
      <c r="GN867" s="4" t="s">
        <v>2425</v>
      </c>
      <c r="HO867" s="4" t="s">
        <v>300</v>
      </c>
      <c r="HR867" s="4" t="s">
        <v>278</v>
      </c>
      <c r="HS867" s="4" t="s">
        <v>278</v>
      </c>
      <c r="HT867" s="4" t="s">
        <v>241</v>
      </c>
      <c r="HU867" s="4" t="s">
        <v>241</v>
      </c>
      <c r="HV867" s="4" t="s">
        <v>241</v>
      </c>
      <c r="HW867" s="4" t="s">
        <v>241</v>
      </c>
      <c r="HX867" s="4" t="s">
        <v>241</v>
      </c>
      <c r="HY867" s="4" t="s">
        <v>241</v>
      </c>
      <c r="HZ867" s="4" t="s">
        <v>241</v>
      </c>
      <c r="IA867" s="4" t="s">
        <v>241</v>
      </c>
      <c r="IB867" s="4" t="s">
        <v>241</v>
      </c>
      <c r="IC867" s="4" t="s">
        <v>241</v>
      </c>
      <c r="ID867" s="4" t="s">
        <v>241</v>
      </c>
      <c r="IE867" s="4" t="s">
        <v>241</v>
      </c>
      <c r="IF867" s="4" t="s">
        <v>241</v>
      </c>
    </row>
    <row r="868" spans="1:240" x14ac:dyDescent="0.4">
      <c r="A868" s="4">
        <v>2</v>
      </c>
      <c r="B868" s="4" t="s">
        <v>239</v>
      </c>
      <c r="C868" s="4">
        <v>936</v>
      </c>
      <c r="D868" s="4">
        <v>1</v>
      </c>
      <c r="E868" s="4">
        <v>3</v>
      </c>
      <c r="F868" s="4" t="s">
        <v>240</v>
      </c>
      <c r="G868" s="4" t="s">
        <v>241</v>
      </c>
      <c r="H868" s="4" t="s">
        <v>241</v>
      </c>
      <c r="I868" s="4" t="s">
        <v>2418</v>
      </c>
      <c r="J868" s="4" t="s">
        <v>344</v>
      </c>
      <c r="K868" s="4" t="s">
        <v>256</v>
      </c>
      <c r="L868" s="4" t="s">
        <v>2101</v>
      </c>
      <c r="M868" s="5" t="s">
        <v>2419</v>
      </c>
      <c r="N868" s="4" t="s">
        <v>2422</v>
      </c>
      <c r="O868" s="6">
        <f>175.6</f>
        <v>175.6</v>
      </c>
      <c r="P868" s="4" t="s">
        <v>276</v>
      </c>
      <c r="Q868" s="6">
        <f>4004745</f>
        <v>4004745</v>
      </c>
      <c r="R868" s="6">
        <f>31783600</f>
        <v>31783600</v>
      </c>
      <c r="S868" s="5" t="s">
        <v>363</v>
      </c>
      <c r="T868" s="4" t="s">
        <v>314</v>
      </c>
      <c r="U868" s="4" t="s">
        <v>365</v>
      </c>
      <c r="V868" s="6">
        <f>1462045</f>
        <v>1462045</v>
      </c>
      <c r="W868" s="6">
        <f>27778855</f>
        <v>27778855</v>
      </c>
      <c r="X868" s="4" t="s">
        <v>243</v>
      </c>
      <c r="Y868" s="4" t="s">
        <v>244</v>
      </c>
      <c r="Z868" s="4" t="s">
        <v>338</v>
      </c>
      <c r="AA868" s="4" t="s">
        <v>241</v>
      </c>
      <c r="AD868" s="4" t="s">
        <v>241</v>
      </c>
      <c r="AE868" s="5" t="s">
        <v>241</v>
      </c>
      <c r="AF868" s="5" t="s">
        <v>241</v>
      </c>
      <c r="AH868" s="5" t="s">
        <v>241</v>
      </c>
      <c r="AI868" s="5" t="s">
        <v>249</v>
      </c>
      <c r="AJ868" s="4" t="s">
        <v>251</v>
      </c>
      <c r="AK868" s="4" t="s">
        <v>252</v>
      </c>
      <c r="AQ868" s="4" t="s">
        <v>241</v>
      </c>
      <c r="AR868" s="4" t="s">
        <v>241</v>
      </c>
      <c r="AS868" s="4" t="s">
        <v>241</v>
      </c>
      <c r="AT868" s="5" t="s">
        <v>241</v>
      </c>
      <c r="AU868" s="5" t="s">
        <v>241</v>
      </c>
      <c r="AV868" s="5" t="s">
        <v>241</v>
      </c>
      <c r="AY868" s="4" t="s">
        <v>286</v>
      </c>
      <c r="AZ868" s="4" t="s">
        <v>286</v>
      </c>
      <c r="BA868" s="4" t="s">
        <v>254</v>
      </c>
      <c r="BB868" s="4" t="s">
        <v>287</v>
      </c>
      <c r="BC868" s="4" t="s">
        <v>255</v>
      </c>
      <c r="BD868" s="4" t="s">
        <v>241</v>
      </c>
      <c r="BE868" s="4" t="s">
        <v>257</v>
      </c>
      <c r="BF868" s="4" t="s">
        <v>241</v>
      </c>
      <c r="BJ868" s="4" t="s">
        <v>288</v>
      </c>
      <c r="BK868" s="5" t="s">
        <v>289</v>
      </c>
      <c r="BL868" s="4" t="s">
        <v>290</v>
      </c>
      <c r="BM868" s="4" t="s">
        <v>290</v>
      </c>
      <c r="BN868" s="4" t="s">
        <v>241</v>
      </c>
      <c r="BO868" s="6">
        <f>0</f>
        <v>0</v>
      </c>
      <c r="BP868" s="6">
        <f>-1462045</f>
        <v>-1462045</v>
      </c>
      <c r="BQ868" s="4" t="s">
        <v>263</v>
      </c>
      <c r="BR868" s="4" t="s">
        <v>264</v>
      </c>
      <c r="BS868" s="4" t="s">
        <v>241</v>
      </c>
      <c r="BT868" s="4" t="s">
        <v>241</v>
      </c>
      <c r="BU868" s="4" t="s">
        <v>241</v>
      </c>
      <c r="BV868" s="4" t="s">
        <v>241</v>
      </c>
      <c r="CE868" s="4" t="s">
        <v>264</v>
      </c>
      <c r="CF868" s="4" t="s">
        <v>241</v>
      </c>
      <c r="CG868" s="4" t="s">
        <v>241</v>
      </c>
      <c r="CK868" s="4" t="s">
        <v>291</v>
      </c>
      <c r="CL868" s="4" t="s">
        <v>266</v>
      </c>
      <c r="CM868" s="4" t="s">
        <v>241</v>
      </c>
      <c r="CO868" s="4" t="s">
        <v>364</v>
      </c>
      <c r="CP868" s="5" t="s">
        <v>268</v>
      </c>
      <c r="CQ868" s="4" t="s">
        <v>269</v>
      </c>
      <c r="CR868" s="4" t="s">
        <v>270</v>
      </c>
      <c r="CS868" s="4" t="s">
        <v>293</v>
      </c>
      <c r="CT868" s="4" t="s">
        <v>241</v>
      </c>
      <c r="CU868" s="4">
        <v>4.5999999999999999E-2</v>
      </c>
      <c r="CV868" s="4" t="s">
        <v>271</v>
      </c>
      <c r="CW868" s="4" t="s">
        <v>411</v>
      </c>
      <c r="CX868" s="4" t="s">
        <v>347</v>
      </c>
      <c r="CY868" s="6">
        <f>0</f>
        <v>0</v>
      </c>
      <c r="CZ868" s="6">
        <f>31783600</f>
        <v>31783600</v>
      </c>
      <c r="DA868" s="6">
        <f>4004745</f>
        <v>4004745</v>
      </c>
      <c r="DC868" s="4" t="s">
        <v>241</v>
      </c>
      <c r="DD868" s="4" t="s">
        <v>241</v>
      </c>
      <c r="DF868" s="4" t="s">
        <v>241</v>
      </c>
      <c r="DG868" s="6">
        <f>0</f>
        <v>0</v>
      </c>
      <c r="DI868" s="4" t="s">
        <v>241</v>
      </c>
      <c r="DJ868" s="4" t="s">
        <v>241</v>
      </c>
      <c r="DK868" s="4" t="s">
        <v>241</v>
      </c>
      <c r="DL868" s="4" t="s">
        <v>241</v>
      </c>
      <c r="DM868" s="4" t="s">
        <v>323</v>
      </c>
      <c r="DN868" s="4" t="s">
        <v>278</v>
      </c>
      <c r="DO868" s="6">
        <f>175.6</f>
        <v>175.6</v>
      </c>
      <c r="DP868" s="4" t="s">
        <v>241</v>
      </c>
      <c r="DQ868" s="4" t="s">
        <v>241</v>
      </c>
      <c r="DR868" s="4" t="s">
        <v>241</v>
      </c>
      <c r="DS868" s="4" t="s">
        <v>241</v>
      </c>
      <c r="DV868" s="4" t="s">
        <v>2420</v>
      </c>
      <c r="DW868" s="4" t="s">
        <v>351</v>
      </c>
      <c r="GN868" s="4" t="s">
        <v>2423</v>
      </c>
      <c r="HO868" s="4" t="s">
        <v>300</v>
      </c>
      <c r="HR868" s="4" t="s">
        <v>278</v>
      </c>
      <c r="HS868" s="4" t="s">
        <v>278</v>
      </c>
      <c r="HT868" s="4" t="s">
        <v>241</v>
      </c>
      <c r="HU868" s="4" t="s">
        <v>241</v>
      </c>
      <c r="HV868" s="4" t="s">
        <v>241</v>
      </c>
      <c r="HW868" s="4" t="s">
        <v>241</v>
      </c>
      <c r="HX868" s="4" t="s">
        <v>241</v>
      </c>
      <c r="HY868" s="4" t="s">
        <v>241</v>
      </c>
      <c r="HZ868" s="4" t="s">
        <v>241</v>
      </c>
      <c r="IA868" s="4" t="s">
        <v>241</v>
      </c>
      <c r="IB868" s="4" t="s">
        <v>241</v>
      </c>
      <c r="IC868" s="4" t="s">
        <v>241</v>
      </c>
      <c r="ID868" s="4" t="s">
        <v>241</v>
      </c>
      <c r="IE868" s="4" t="s">
        <v>241</v>
      </c>
      <c r="IF868" s="4" t="s">
        <v>241</v>
      </c>
    </row>
    <row r="869" spans="1:240" x14ac:dyDescent="0.4">
      <c r="A869" s="4">
        <v>2</v>
      </c>
      <c r="B869" s="4" t="s">
        <v>239</v>
      </c>
      <c r="C869" s="4">
        <v>937</v>
      </c>
      <c r="D869" s="4">
        <v>1</v>
      </c>
      <c r="E869" s="4">
        <v>3</v>
      </c>
      <c r="F869" s="4" t="s">
        <v>240</v>
      </c>
      <c r="G869" s="4" t="s">
        <v>241</v>
      </c>
      <c r="H869" s="4" t="s">
        <v>241</v>
      </c>
      <c r="I869" s="4" t="s">
        <v>2418</v>
      </c>
      <c r="J869" s="4" t="s">
        <v>344</v>
      </c>
      <c r="K869" s="4" t="s">
        <v>256</v>
      </c>
      <c r="L869" s="4" t="s">
        <v>2101</v>
      </c>
      <c r="M869" s="5" t="s">
        <v>2419</v>
      </c>
      <c r="N869" s="4" t="s">
        <v>2417</v>
      </c>
      <c r="O869" s="6">
        <f>175.6</f>
        <v>175.6</v>
      </c>
      <c r="P869" s="4" t="s">
        <v>276</v>
      </c>
      <c r="Q869" s="6">
        <f>4004745</f>
        <v>4004745</v>
      </c>
      <c r="R869" s="6">
        <f>31783600</f>
        <v>31783600</v>
      </c>
      <c r="S869" s="5" t="s">
        <v>363</v>
      </c>
      <c r="T869" s="4" t="s">
        <v>314</v>
      </c>
      <c r="U869" s="4" t="s">
        <v>365</v>
      </c>
      <c r="V869" s="6">
        <f>1462045</f>
        <v>1462045</v>
      </c>
      <c r="W869" s="6">
        <f>27778855</f>
        <v>27778855</v>
      </c>
      <c r="X869" s="4" t="s">
        <v>243</v>
      </c>
      <c r="Y869" s="4" t="s">
        <v>244</v>
      </c>
      <c r="Z869" s="4" t="s">
        <v>338</v>
      </c>
      <c r="AA869" s="4" t="s">
        <v>241</v>
      </c>
      <c r="AD869" s="4" t="s">
        <v>241</v>
      </c>
      <c r="AE869" s="5" t="s">
        <v>241</v>
      </c>
      <c r="AF869" s="5" t="s">
        <v>241</v>
      </c>
      <c r="AH869" s="5" t="s">
        <v>241</v>
      </c>
      <c r="AI869" s="5" t="s">
        <v>249</v>
      </c>
      <c r="AJ869" s="4" t="s">
        <v>251</v>
      </c>
      <c r="AK869" s="4" t="s">
        <v>252</v>
      </c>
      <c r="AQ869" s="4" t="s">
        <v>241</v>
      </c>
      <c r="AR869" s="4" t="s">
        <v>241</v>
      </c>
      <c r="AS869" s="4" t="s">
        <v>241</v>
      </c>
      <c r="AT869" s="5" t="s">
        <v>241</v>
      </c>
      <c r="AU869" s="5" t="s">
        <v>241</v>
      </c>
      <c r="AV869" s="5" t="s">
        <v>241</v>
      </c>
      <c r="AY869" s="4" t="s">
        <v>286</v>
      </c>
      <c r="AZ869" s="4" t="s">
        <v>286</v>
      </c>
      <c r="BA869" s="4" t="s">
        <v>254</v>
      </c>
      <c r="BB869" s="4" t="s">
        <v>287</v>
      </c>
      <c r="BC869" s="4" t="s">
        <v>255</v>
      </c>
      <c r="BD869" s="4" t="s">
        <v>241</v>
      </c>
      <c r="BE869" s="4" t="s">
        <v>257</v>
      </c>
      <c r="BF869" s="4" t="s">
        <v>241</v>
      </c>
      <c r="BJ869" s="4" t="s">
        <v>288</v>
      </c>
      <c r="BK869" s="5" t="s">
        <v>289</v>
      </c>
      <c r="BL869" s="4" t="s">
        <v>290</v>
      </c>
      <c r="BM869" s="4" t="s">
        <v>290</v>
      </c>
      <c r="BN869" s="4" t="s">
        <v>241</v>
      </c>
      <c r="BO869" s="6">
        <f>0</f>
        <v>0</v>
      </c>
      <c r="BP869" s="6">
        <f>-1462045</f>
        <v>-1462045</v>
      </c>
      <c r="BQ869" s="4" t="s">
        <v>263</v>
      </c>
      <c r="BR869" s="4" t="s">
        <v>264</v>
      </c>
      <c r="BS869" s="4" t="s">
        <v>241</v>
      </c>
      <c r="BT869" s="4" t="s">
        <v>241</v>
      </c>
      <c r="BU869" s="4" t="s">
        <v>241</v>
      </c>
      <c r="BV869" s="4" t="s">
        <v>241</v>
      </c>
      <c r="CE869" s="4" t="s">
        <v>264</v>
      </c>
      <c r="CF869" s="4" t="s">
        <v>241</v>
      </c>
      <c r="CG869" s="4" t="s">
        <v>241</v>
      </c>
      <c r="CK869" s="4" t="s">
        <v>291</v>
      </c>
      <c r="CL869" s="4" t="s">
        <v>266</v>
      </c>
      <c r="CM869" s="4" t="s">
        <v>241</v>
      </c>
      <c r="CO869" s="4" t="s">
        <v>364</v>
      </c>
      <c r="CP869" s="5" t="s">
        <v>268</v>
      </c>
      <c r="CQ869" s="4" t="s">
        <v>269</v>
      </c>
      <c r="CR869" s="4" t="s">
        <v>270</v>
      </c>
      <c r="CS869" s="4" t="s">
        <v>293</v>
      </c>
      <c r="CT869" s="4" t="s">
        <v>241</v>
      </c>
      <c r="CU869" s="4">
        <v>4.5999999999999999E-2</v>
      </c>
      <c r="CV869" s="4" t="s">
        <v>271</v>
      </c>
      <c r="CW869" s="4" t="s">
        <v>411</v>
      </c>
      <c r="CX869" s="4" t="s">
        <v>347</v>
      </c>
      <c r="CY869" s="6">
        <f>0</f>
        <v>0</v>
      </c>
      <c r="CZ869" s="6">
        <f>31783600</f>
        <v>31783600</v>
      </c>
      <c r="DA869" s="6">
        <f>4004745</f>
        <v>4004745</v>
      </c>
      <c r="DC869" s="4" t="s">
        <v>241</v>
      </c>
      <c r="DD869" s="4" t="s">
        <v>241</v>
      </c>
      <c r="DF869" s="4" t="s">
        <v>241</v>
      </c>
      <c r="DG869" s="6">
        <f>0</f>
        <v>0</v>
      </c>
      <c r="DI869" s="4" t="s">
        <v>241</v>
      </c>
      <c r="DJ869" s="4" t="s">
        <v>241</v>
      </c>
      <c r="DK869" s="4" t="s">
        <v>241</v>
      </c>
      <c r="DL869" s="4" t="s">
        <v>241</v>
      </c>
      <c r="DM869" s="4" t="s">
        <v>323</v>
      </c>
      <c r="DN869" s="4" t="s">
        <v>278</v>
      </c>
      <c r="DO869" s="6">
        <f>175.6</f>
        <v>175.6</v>
      </c>
      <c r="DP869" s="4" t="s">
        <v>241</v>
      </c>
      <c r="DQ869" s="4" t="s">
        <v>241</v>
      </c>
      <c r="DR869" s="4" t="s">
        <v>241</v>
      </c>
      <c r="DS869" s="4" t="s">
        <v>241</v>
      </c>
      <c r="DV869" s="4" t="s">
        <v>2420</v>
      </c>
      <c r="DW869" s="4" t="s">
        <v>300</v>
      </c>
      <c r="GN869" s="4" t="s">
        <v>2421</v>
      </c>
      <c r="HO869" s="4" t="s">
        <v>300</v>
      </c>
      <c r="HR869" s="4" t="s">
        <v>278</v>
      </c>
      <c r="HS869" s="4" t="s">
        <v>278</v>
      </c>
      <c r="HT869" s="4" t="s">
        <v>241</v>
      </c>
      <c r="HU869" s="4" t="s">
        <v>241</v>
      </c>
      <c r="HV869" s="4" t="s">
        <v>241</v>
      </c>
      <c r="HW869" s="4" t="s">
        <v>241</v>
      </c>
      <c r="HX869" s="4" t="s">
        <v>241</v>
      </c>
      <c r="HY869" s="4" t="s">
        <v>241</v>
      </c>
      <c r="HZ869" s="4" t="s">
        <v>241</v>
      </c>
      <c r="IA869" s="4" t="s">
        <v>241</v>
      </c>
      <c r="IB869" s="4" t="s">
        <v>241</v>
      </c>
      <c r="IC869" s="4" t="s">
        <v>241</v>
      </c>
      <c r="ID869" s="4" t="s">
        <v>241</v>
      </c>
      <c r="IE869" s="4" t="s">
        <v>241</v>
      </c>
      <c r="IF869" s="4" t="s">
        <v>241</v>
      </c>
    </row>
    <row r="870" spans="1:240" x14ac:dyDescent="0.4">
      <c r="A870" s="4">
        <v>2</v>
      </c>
      <c r="B870" s="4" t="s">
        <v>239</v>
      </c>
      <c r="C870" s="4">
        <v>938</v>
      </c>
      <c r="D870" s="4">
        <v>1</v>
      </c>
      <c r="E870" s="4">
        <v>3</v>
      </c>
      <c r="F870" s="4" t="s">
        <v>240</v>
      </c>
      <c r="G870" s="4" t="s">
        <v>241</v>
      </c>
      <c r="H870" s="4" t="s">
        <v>241</v>
      </c>
      <c r="I870" s="4" t="s">
        <v>2412</v>
      </c>
      <c r="J870" s="4" t="s">
        <v>344</v>
      </c>
      <c r="K870" s="4" t="s">
        <v>256</v>
      </c>
      <c r="L870" s="4" t="s">
        <v>2101</v>
      </c>
      <c r="M870" s="5" t="s">
        <v>2414</v>
      </c>
      <c r="N870" s="4" t="s">
        <v>2114</v>
      </c>
      <c r="O870" s="6">
        <f>72.39</f>
        <v>72.39</v>
      </c>
      <c r="P870" s="4" t="s">
        <v>276</v>
      </c>
      <c r="Q870" s="6">
        <f>12338244</f>
        <v>12338244</v>
      </c>
      <c r="R870" s="6">
        <f>18198000</f>
        <v>18198000</v>
      </c>
      <c r="S870" s="5" t="s">
        <v>2413</v>
      </c>
      <c r="T870" s="4" t="s">
        <v>314</v>
      </c>
      <c r="U870" s="4" t="s">
        <v>300</v>
      </c>
      <c r="V870" s="6">
        <f>837108</f>
        <v>837108</v>
      </c>
      <c r="W870" s="6">
        <f>5859756</f>
        <v>5859756</v>
      </c>
      <c r="X870" s="4" t="s">
        <v>243</v>
      </c>
      <c r="Y870" s="4" t="s">
        <v>244</v>
      </c>
      <c r="Z870" s="4" t="s">
        <v>338</v>
      </c>
      <c r="AA870" s="4" t="s">
        <v>241</v>
      </c>
      <c r="AD870" s="4" t="s">
        <v>241</v>
      </c>
      <c r="AE870" s="5" t="s">
        <v>241</v>
      </c>
      <c r="AF870" s="5" t="s">
        <v>241</v>
      </c>
      <c r="AH870" s="5" t="s">
        <v>241</v>
      </c>
      <c r="AI870" s="5" t="s">
        <v>249</v>
      </c>
      <c r="AJ870" s="4" t="s">
        <v>251</v>
      </c>
      <c r="AK870" s="4" t="s">
        <v>252</v>
      </c>
      <c r="AQ870" s="4" t="s">
        <v>241</v>
      </c>
      <c r="AR870" s="4" t="s">
        <v>241</v>
      </c>
      <c r="AS870" s="4" t="s">
        <v>241</v>
      </c>
      <c r="AT870" s="5" t="s">
        <v>241</v>
      </c>
      <c r="AU870" s="5" t="s">
        <v>241</v>
      </c>
      <c r="AV870" s="5" t="s">
        <v>241</v>
      </c>
      <c r="AY870" s="4" t="s">
        <v>286</v>
      </c>
      <c r="AZ870" s="4" t="s">
        <v>286</v>
      </c>
      <c r="BA870" s="4" t="s">
        <v>254</v>
      </c>
      <c r="BB870" s="4" t="s">
        <v>287</v>
      </c>
      <c r="BC870" s="4" t="s">
        <v>255</v>
      </c>
      <c r="BD870" s="4" t="s">
        <v>241</v>
      </c>
      <c r="BE870" s="4" t="s">
        <v>257</v>
      </c>
      <c r="BF870" s="4" t="s">
        <v>241</v>
      </c>
      <c r="BH870" s="4" t="s">
        <v>2107</v>
      </c>
      <c r="BJ870" s="4" t="s">
        <v>288</v>
      </c>
      <c r="BK870" s="5" t="s">
        <v>289</v>
      </c>
      <c r="BL870" s="4" t="s">
        <v>290</v>
      </c>
      <c r="BM870" s="4" t="s">
        <v>290</v>
      </c>
      <c r="BN870" s="4" t="s">
        <v>241</v>
      </c>
      <c r="BO870" s="6">
        <f>0</f>
        <v>0</v>
      </c>
      <c r="BP870" s="6">
        <f>-837108</f>
        <v>-837108</v>
      </c>
      <c r="BQ870" s="4" t="s">
        <v>263</v>
      </c>
      <c r="BR870" s="4" t="s">
        <v>264</v>
      </c>
      <c r="BS870" s="4" t="s">
        <v>241</v>
      </c>
      <c r="BT870" s="4" t="s">
        <v>241</v>
      </c>
      <c r="BU870" s="4" t="s">
        <v>241</v>
      </c>
      <c r="BV870" s="4" t="s">
        <v>241</v>
      </c>
      <c r="CE870" s="4" t="s">
        <v>264</v>
      </c>
      <c r="CF870" s="4" t="s">
        <v>241</v>
      </c>
      <c r="CG870" s="4" t="s">
        <v>241</v>
      </c>
      <c r="CK870" s="4" t="s">
        <v>291</v>
      </c>
      <c r="CL870" s="4" t="s">
        <v>266</v>
      </c>
      <c r="CM870" s="4" t="s">
        <v>241</v>
      </c>
      <c r="CO870" s="4" t="s">
        <v>1542</v>
      </c>
      <c r="CP870" s="5" t="s">
        <v>268</v>
      </c>
      <c r="CQ870" s="4" t="s">
        <v>269</v>
      </c>
      <c r="CR870" s="4" t="s">
        <v>270</v>
      </c>
      <c r="CS870" s="4" t="s">
        <v>293</v>
      </c>
      <c r="CT870" s="4" t="s">
        <v>241</v>
      </c>
      <c r="CU870" s="4">
        <v>4.5999999999999999E-2</v>
      </c>
      <c r="CV870" s="4" t="s">
        <v>271</v>
      </c>
      <c r="CW870" s="4" t="s">
        <v>411</v>
      </c>
      <c r="CX870" s="4" t="s">
        <v>347</v>
      </c>
      <c r="CY870" s="6">
        <f>0</f>
        <v>0</v>
      </c>
      <c r="CZ870" s="6">
        <f>18198000</f>
        <v>18198000</v>
      </c>
      <c r="DA870" s="6">
        <f>12338244</f>
        <v>12338244</v>
      </c>
      <c r="DC870" s="4" t="s">
        <v>241</v>
      </c>
      <c r="DD870" s="4" t="s">
        <v>241</v>
      </c>
      <c r="DF870" s="4" t="s">
        <v>241</v>
      </c>
      <c r="DG870" s="6">
        <f>0</f>
        <v>0</v>
      </c>
      <c r="DI870" s="4" t="s">
        <v>241</v>
      </c>
      <c r="DJ870" s="4" t="s">
        <v>241</v>
      </c>
      <c r="DK870" s="4" t="s">
        <v>241</v>
      </c>
      <c r="DL870" s="4" t="s">
        <v>241</v>
      </c>
      <c r="DM870" s="4" t="s">
        <v>277</v>
      </c>
      <c r="DN870" s="4" t="s">
        <v>278</v>
      </c>
      <c r="DO870" s="6">
        <f>72.39</f>
        <v>72.39</v>
      </c>
      <c r="DP870" s="4" t="s">
        <v>241</v>
      </c>
      <c r="DQ870" s="4" t="s">
        <v>241</v>
      </c>
      <c r="DR870" s="4" t="s">
        <v>241</v>
      </c>
      <c r="DS870" s="4" t="s">
        <v>241</v>
      </c>
      <c r="DV870" s="4" t="s">
        <v>2415</v>
      </c>
      <c r="DW870" s="4" t="s">
        <v>277</v>
      </c>
      <c r="GN870" s="4" t="s">
        <v>2416</v>
      </c>
      <c r="HO870" s="4" t="s">
        <v>300</v>
      </c>
      <c r="HR870" s="4" t="s">
        <v>278</v>
      </c>
      <c r="HS870" s="4" t="s">
        <v>278</v>
      </c>
      <c r="HT870" s="4" t="s">
        <v>241</v>
      </c>
      <c r="HU870" s="4" t="s">
        <v>241</v>
      </c>
      <c r="HV870" s="4" t="s">
        <v>241</v>
      </c>
      <c r="HW870" s="4" t="s">
        <v>241</v>
      </c>
      <c r="HX870" s="4" t="s">
        <v>241</v>
      </c>
      <c r="HY870" s="4" t="s">
        <v>241</v>
      </c>
      <c r="HZ870" s="4" t="s">
        <v>241</v>
      </c>
      <c r="IA870" s="4" t="s">
        <v>241</v>
      </c>
      <c r="IB870" s="4" t="s">
        <v>241</v>
      </c>
      <c r="IC870" s="4" t="s">
        <v>241</v>
      </c>
      <c r="ID870" s="4" t="s">
        <v>241</v>
      </c>
      <c r="IE870" s="4" t="s">
        <v>241</v>
      </c>
      <c r="IF870" s="4" t="s">
        <v>241</v>
      </c>
    </row>
    <row r="871" spans="1:240" x14ac:dyDescent="0.4">
      <c r="A871" s="4">
        <v>2</v>
      </c>
      <c r="B871" s="4" t="s">
        <v>239</v>
      </c>
      <c r="C871" s="4">
        <v>939</v>
      </c>
      <c r="D871" s="4">
        <v>1</v>
      </c>
      <c r="E871" s="4">
        <v>1</v>
      </c>
      <c r="F871" s="4" t="s">
        <v>240</v>
      </c>
      <c r="G871" s="4" t="s">
        <v>241</v>
      </c>
      <c r="H871" s="4" t="s">
        <v>241</v>
      </c>
      <c r="I871" s="4" t="s">
        <v>2500</v>
      </c>
      <c r="J871" s="4" t="s">
        <v>344</v>
      </c>
      <c r="K871" s="4" t="s">
        <v>256</v>
      </c>
      <c r="L871" s="4" t="s">
        <v>2101</v>
      </c>
      <c r="M871" s="5" t="s">
        <v>2501</v>
      </c>
      <c r="N871" s="4" t="s">
        <v>2114</v>
      </c>
      <c r="O871" s="6">
        <f>144.1</f>
        <v>144.1</v>
      </c>
      <c r="P871" s="4" t="s">
        <v>276</v>
      </c>
      <c r="Q871" s="6">
        <f>1</f>
        <v>1</v>
      </c>
      <c r="R871" s="6">
        <f>22335500</f>
        <v>22335500</v>
      </c>
      <c r="S871" s="5" t="s">
        <v>900</v>
      </c>
      <c r="T871" s="4" t="s">
        <v>314</v>
      </c>
      <c r="U871" s="4" t="s">
        <v>391</v>
      </c>
      <c r="W871" s="6">
        <f>22335499</f>
        <v>22335499</v>
      </c>
      <c r="X871" s="4" t="s">
        <v>243</v>
      </c>
      <c r="Y871" s="4" t="s">
        <v>244</v>
      </c>
      <c r="Z871" s="4" t="s">
        <v>338</v>
      </c>
      <c r="AA871" s="4" t="s">
        <v>241</v>
      </c>
      <c r="AD871" s="4" t="s">
        <v>241</v>
      </c>
      <c r="AF871" s="5" t="s">
        <v>241</v>
      </c>
      <c r="AI871" s="5" t="s">
        <v>249</v>
      </c>
      <c r="AJ871" s="4" t="s">
        <v>251</v>
      </c>
      <c r="AK871" s="4" t="s">
        <v>252</v>
      </c>
      <c r="BA871" s="4" t="s">
        <v>254</v>
      </c>
      <c r="BB871" s="4" t="s">
        <v>241</v>
      </c>
      <c r="BC871" s="4" t="s">
        <v>255</v>
      </c>
      <c r="BD871" s="4" t="s">
        <v>241</v>
      </c>
      <c r="BE871" s="4" t="s">
        <v>257</v>
      </c>
      <c r="BF871" s="4" t="s">
        <v>241</v>
      </c>
      <c r="BJ871" s="4" t="s">
        <v>377</v>
      </c>
      <c r="BK871" s="5" t="s">
        <v>378</v>
      </c>
      <c r="BL871" s="4" t="s">
        <v>261</v>
      </c>
      <c r="BM871" s="4" t="s">
        <v>262</v>
      </c>
      <c r="BN871" s="4" t="s">
        <v>241</v>
      </c>
      <c r="BO871" s="6">
        <f>0</f>
        <v>0</v>
      </c>
      <c r="BP871" s="6">
        <f>0</f>
        <v>0</v>
      </c>
      <c r="BQ871" s="4" t="s">
        <v>263</v>
      </c>
      <c r="BR871" s="4" t="s">
        <v>264</v>
      </c>
      <c r="CF871" s="4" t="s">
        <v>241</v>
      </c>
      <c r="CG871" s="4" t="s">
        <v>241</v>
      </c>
      <c r="CK871" s="4" t="s">
        <v>291</v>
      </c>
      <c r="CL871" s="4" t="s">
        <v>266</v>
      </c>
      <c r="CM871" s="4" t="s">
        <v>241</v>
      </c>
      <c r="CO871" s="4" t="s">
        <v>390</v>
      </c>
      <c r="CP871" s="5" t="s">
        <v>268</v>
      </c>
      <c r="CQ871" s="4" t="s">
        <v>269</v>
      </c>
      <c r="CR871" s="4" t="s">
        <v>270</v>
      </c>
      <c r="CS871" s="4" t="s">
        <v>241</v>
      </c>
      <c r="CT871" s="4" t="s">
        <v>241</v>
      </c>
      <c r="CU871" s="4">
        <v>0</v>
      </c>
      <c r="CV871" s="4" t="s">
        <v>271</v>
      </c>
      <c r="CW871" s="4" t="s">
        <v>411</v>
      </c>
      <c r="CX871" s="4" t="s">
        <v>347</v>
      </c>
      <c r="CZ871" s="6">
        <f>22335500</f>
        <v>22335500</v>
      </c>
      <c r="DA871" s="6">
        <f>0</f>
        <v>0</v>
      </c>
      <c r="DC871" s="4" t="s">
        <v>241</v>
      </c>
      <c r="DD871" s="4" t="s">
        <v>241</v>
      </c>
      <c r="DF871" s="4" t="s">
        <v>241</v>
      </c>
      <c r="DI871" s="4" t="s">
        <v>241</v>
      </c>
      <c r="DJ871" s="4" t="s">
        <v>241</v>
      </c>
      <c r="DK871" s="4" t="s">
        <v>241</v>
      </c>
      <c r="DL871" s="4" t="s">
        <v>241</v>
      </c>
      <c r="DM871" s="4" t="s">
        <v>323</v>
      </c>
      <c r="DN871" s="4" t="s">
        <v>278</v>
      </c>
      <c r="DO871" s="6">
        <f>144.1</f>
        <v>144.1</v>
      </c>
      <c r="DP871" s="4" t="s">
        <v>241</v>
      </c>
      <c r="DQ871" s="4" t="s">
        <v>241</v>
      </c>
      <c r="DR871" s="4" t="s">
        <v>241</v>
      </c>
      <c r="DS871" s="4" t="s">
        <v>241</v>
      </c>
      <c r="DV871" s="4" t="s">
        <v>2502</v>
      </c>
      <c r="DW871" s="4" t="s">
        <v>277</v>
      </c>
      <c r="HO871" s="4" t="s">
        <v>277</v>
      </c>
      <c r="HR871" s="4" t="s">
        <v>278</v>
      </c>
      <c r="HS871" s="4" t="s">
        <v>278</v>
      </c>
    </row>
    <row r="872" spans="1:240" x14ac:dyDescent="0.4">
      <c r="A872" s="4">
        <v>2</v>
      </c>
      <c r="B872" s="4" t="s">
        <v>239</v>
      </c>
      <c r="C872" s="4">
        <v>940</v>
      </c>
      <c r="D872" s="4">
        <v>1</v>
      </c>
      <c r="E872" s="4">
        <v>1</v>
      </c>
      <c r="F872" s="4" t="s">
        <v>240</v>
      </c>
      <c r="G872" s="4" t="s">
        <v>241</v>
      </c>
      <c r="H872" s="4" t="s">
        <v>241</v>
      </c>
      <c r="I872" s="4" t="s">
        <v>2500</v>
      </c>
      <c r="J872" s="4" t="s">
        <v>344</v>
      </c>
      <c r="K872" s="4" t="s">
        <v>256</v>
      </c>
      <c r="L872" s="4" t="s">
        <v>2101</v>
      </c>
      <c r="M872" s="5" t="s">
        <v>2501</v>
      </c>
      <c r="N872" s="4" t="s">
        <v>2114</v>
      </c>
      <c r="O872" s="6">
        <f>139.96</f>
        <v>139.96</v>
      </c>
      <c r="P872" s="4" t="s">
        <v>276</v>
      </c>
      <c r="Q872" s="6">
        <f>1</f>
        <v>1</v>
      </c>
      <c r="R872" s="6">
        <f>21693800</f>
        <v>21693800</v>
      </c>
      <c r="S872" s="5" t="s">
        <v>900</v>
      </c>
      <c r="T872" s="4" t="s">
        <v>314</v>
      </c>
      <c r="U872" s="4" t="s">
        <v>391</v>
      </c>
      <c r="W872" s="6">
        <f>21693799</f>
        <v>21693799</v>
      </c>
      <c r="X872" s="4" t="s">
        <v>243</v>
      </c>
      <c r="Y872" s="4" t="s">
        <v>244</v>
      </c>
      <c r="Z872" s="4" t="s">
        <v>338</v>
      </c>
      <c r="AA872" s="4" t="s">
        <v>241</v>
      </c>
      <c r="AD872" s="4" t="s">
        <v>241</v>
      </c>
      <c r="AF872" s="5" t="s">
        <v>241</v>
      </c>
      <c r="AI872" s="5" t="s">
        <v>249</v>
      </c>
      <c r="AJ872" s="4" t="s">
        <v>251</v>
      </c>
      <c r="AK872" s="4" t="s">
        <v>252</v>
      </c>
      <c r="BA872" s="4" t="s">
        <v>254</v>
      </c>
      <c r="BB872" s="4" t="s">
        <v>241</v>
      </c>
      <c r="BC872" s="4" t="s">
        <v>255</v>
      </c>
      <c r="BD872" s="4" t="s">
        <v>241</v>
      </c>
      <c r="BE872" s="4" t="s">
        <v>257</v>
      </c>
      <c r="BF872" s="4" t="s">
        <v>241</v>
      </c>
      <c r="BJ872" s="4" t="s">
        <v>259</v>
      </c>
      <c r="BK872" s="5" t="s">
        <v>260</v>
      </c>
      <c r="BL872" s="4" t="s">
        <v>261</v>
      </c>
      <c r="BM872" s="4" t="s">
        <v>262</v>
      </c>
      <c r="BN872" s="4" t="s">
        <v>241</v>
      </c>
      <c r="BO872" s="6">
        <f>0</f>
        <v>0</v>
      </c>
      <c r="BP872" s="6">
        <f>0</f>
        <v>0</v>
      </c>
      <c r="BQ872" s="4" t="s">
        <v>263</v>
      </c>
      <c r="BR872" s="4" t="s">
        <v>264</v>
      </c>
      <c r="CF872" s="4" t="s">
        <v>241</v>
      </c>
      <c r="CG872" s="4" t="s">
        <v>241</v>
      </c>
      <c r="CK872" s="4" t="s">
        <v>291</v>
      </c>
      <c r="CL872" s="4" t="s">
        <v>266</v>
      </c>
      <c r="CM872" s="4" t="s">
        <v>241</v>
      </c>
      <c r="CO872" s="4" t="s">
        <v>390</v>
      </c>
      <c r="CP872" s="5" t="s">
        <v>268</v>
      </c>
      <c r="CQ872" s="4" t="s">
        <v>269</v>
      </c>
      <c r="CR872" s="4" t="s">
        <v>270</v>
      </c>
      <c r="CS872" s="4" t="s">
        <v>241</v>
      </c>
      <c r="CT872" s="4" t="s">
        <v>241</v>
      </c>
      <c r="CU872" s="4">
        <v>0</v>
      </c>
      <c r="CV872" s="4" t="s">
        <v>271</v>
      </c>
      <c r="CW872" s="4" t="s">
        <v>411</v>
      </c>
      <c r="CX872" s="4" t="s">
        <v>347</v>
      </c>
      <c r="CZ872" s="6">
        <f>21693800</f>
        <v>21693800</v>
      </c>
      <c r="DA872" s="6">
        <f>0</f>
        <v>0</v>
      </c>
      <c r="DC872" s="4" t="s">
        <v>241</v>
      </c>
      <c r="DD872" s="4" t="s">
        <v>241</v>
      </c>
      <c r="DF872" s="4" t="s">
        <v>241</v>
      </c>
      <c r="DI872" s="4" t="s">
        <v>241</v>
      </c>
      <c r="DJ872" s="4" t="s">
        <v>241</v>
      </c>
      <c r="DK872" s="4" t="s">
        <v>241</v>
      </c>
      <c r="DL872" s="4" t="s">
        <v>241</v>
      </c>
      <c r="DM872" s="4" t="s">
        <v>323</v>
      </c>
      <c r="DN872" s="4" t="s">
        <v>278</v>
      </c>
      <c r="DO872" s="6">
        <f>139.96</f>
        <v>139.96</v>
      </c>
      <c r="DP872" s="4" t="s">
        <v>241</v>
      </c>
      <c r="DQ872" s="4" t="s">
        <v>241</v>
      </c>
      <c r="DR872" s="4" t="s">
        <v>241</v>
      </c>
      <c r="DS872" s="4" t="s">
        <v>241</v>
      </c>
      <c r="DV872" s="4" t="s">
        <v>2502</v>
      </c>
      <c r="DW872" s="4" t="s">
        <v>323</v>
      </c>
      <c r="HO872" s="4" t="s">
        <v>277</v>
      </c>
      <c r="HR872" s="4" t="s">
        <v>278</v>
      </c>
      <c r="HS872" s="4" t="s">
        <v>278</v>
      </c>
    </row>
    <row r="873" spans="1:240" x14ac:dyDescent="0.4">
      <c r="A873" s="4">
        <v>2</v>
      </c>
      <c r="B873" s="4" t="s">
        <v>239</v>
      </c>
      <c r="C873" s="4">
        <v>941</v>
      </c>
      <c r="D873" s="4">
        <v>1</v>
      </c>
      <c r="E873" s="4">
        <v>1</v>
      </c>
      <c r="F873" s="4" t="s">
        <v>240</v>
      </c>
      <c r="G873" s="4" t="s">
        <v>241</v>
      </c>
      <c r="H873" s="4" t="s">
        <v>241</v>
      </c>
      <c r="I873" s="4" t="s">
        <v>2500</v>
      </c>
      <c r="J873" s="4" t="s">
        <v>344</v>
      </c>
      <c r="K873" s="4" t="s">
        <v>256</v>
      </c>
      <c r="L873" s="4" t="s">
        <v>2101</v>
      </c>
      <c r="M873" s="5" t="s">
        <v>2501</v>
      </c>
      <c r="N873" s="4" t="s">
        <v>2114</v>
      </c>
      <c r="O873" s="6">
        <f>135.82</f>
        <v>135.82</v>
      </c>
      <c r="P873" s="4" t="s">
        <v>276</v>
      </c>
      <c r="Q873" s="6">
        <f>1</f>
        <v>1</v>
      </c>
      <c r="R873" s="6">
        <f>21052100</f>
        <v>21052100</v>
      </c>
      <c r="S873" s="5" t="s">
        <v>900</v>
      </c>
      <c r="T873" s="4" t="s">
        <v>314</v>
      </c>
      <c r="U873" s="4" t="s">
        <v>391</v>
      </c>
      <c r="W873" s="6">
        <f>21052099</f>
        <v>21052099</v>
      </c>
      <c r="X873" s="4" t="s">
        <v>243</v>
      </c>
      <c r="Y873" s="4" t="s">
        <v>244</v>
      </c>
      <c r="Z873" s="4" t="s">
        <v>338</v>
      </c>
      <c r="AA873" s="4" t="s">
        <v>241</v>
      </c>
      <c r="AD873" s="4" t="s">
        <v>241</v>
      </c>
      <c r="AF873" s="5" t="s">
        <v>241</v>
      </c>
      <c r="AI873" s="5" t="s">
        <v>2504</v>
      </c>
      <c r="AJ873" s="4" t="s">
        <v>251</v>
      </c>
      <c r="AK873" s="4" t="s">
        <v>252</v>
      </c>
      <c r="BA873" s="4" t="s">
        <v>254</v>
      </c>
      <c r="BB873" s="4" t="s">
        <v>241</v>
      </c>
      <c r="BC873" s="4" t="s">
        <v>255</v>
      </c>
      <c r="BD873" s="4" t="s">
        <v>241</v>
      </c>
      <c r="BE873" s="4" t="s">
        <v>257</v>
      </c>
      <c r="BF873" s="4" t="s">
        <v>241</v>
      </c>
      <c r="BJ873" s="4" t="s">
        <v>377</v>
      </c>
      <c r="BK873" s="5" t="s">
        <v>2504</v>
      </c>
      <c r="BL873" s="4" t="s">
        <v>261</v>
      </c>
      <c r="BM873" s="4" t="s">
        <v>262</v>
      </c>
      <c r="BN873" s="4" t="s">
        <v>241</v>
      </c>
      <c r="BO873" s="6">
        <f>0</f>
        <v>0</v>
      </c>
      <c r="BP873" s="6">
        <f>0</f>
        <v>0</v>
      </c>
      <c r="BQ873" s="4" t="s">
        <v>263</v>
      </c>
      <c r="BR873" s="4" t="s">
        <v>264</v>
      </c>
      <c r="CF873" s="4" t="s">
        <v>241</v>
      </c>
      <c r="CG873" s="4" t="s">
        <v>241</v>
      </c>
      <c r="CK873" s="4" t="s">
        <v>291</v>
      </c>
      <c r="CL873" s="4" t="s">
        <v>266</v>
      </c>
      <c r="CM873" s="4" t="s">
        <v>241</v>
      </c>
      <c r="CO873" s="4" t="s">
        <v>390</v>
      </c>
      <c r="CP873" s="5" t="s">
        <v>268</v>
      </c>
      <c r="CQ873" s="4" t="s">
        <v>269</v>
      </c>
      <c r="CR873" s="4" t="s">
        <v>270</v>
      </c>
      <c r="CS873" s="4" t="s">
        <v>241</v>
      </c>
      <c r="CT873" s="4" t="s">
        <v>241</v>
      </c>
      <c r="CU873" s="4">
        <v>0</v>
      </c>
      <c r="CV873" s="4" t="s">
        <v>271</v>
      </c>
      <c r="CW873" s="4" t="s">
        <v>411</v>
      </c>
      <c r="CX873" s="4" t="s">
        <v>347</v>
      </c>
      <c r="CZ873" s="6">
        <f>21052100</f>
        <v>21052100</v>
      </c>
      <c r="DA873" s="6">
        <f>0</f>
        <v>0</v>
      </c>
      <c r="DC873" s="4" t="s">
        <v>241</v>
      </c>
      <c r="DD873" s="4" t="s">
        <v>241</v>
      </c>
      <c r="DF873" s="4" t="s">
        <v>241</v>
      </c>
      <c r="DI873" s="4" t="s">
        <v>241</v>
      </c>
      <c r="DJ873" s="4" t="s">
        <v>241</v>
      </c>
      <c r="DK873" s="4" t="s">
        <v>241</v>
      </c>
      <c r="DL873" s="4" t="s">
        <v>241</v>
      </c>
      <c r="DM873" s="4" t="s">
        <v>323</v>
      </c>
      <c r="DN873" s="4" t="s">
        <v>278</v>
      </c>
      <c r="DO873" s="6">
        <f>135.82</f>
        <v>135.82</v>
      </c>
      <c r="DP873" s="4" t="s">
        <v>241</v>
      </c>
      <c r="DQ873" s="4" t="s">
        <v>241</v>
      </c>
      <c r="DR873" s="4" t="s">
        <v>241</v>
      </c>
      <c r="DS873" s="4" t="s">
        <v>241</v>
      </c>
      <c r="DV873" s="4" t="s">
        <v>2502</v>
      </c>
      <c r="DW873" s="4" t="s">
        <v>297</v>
      </c>
      <c r="HO873" s="4" t="s">
        <v>277</v>
      </c>
      <c r="HR873" s="4" t="s">
        <v>278</v>
      </c>
      <c r="HS873" s="4" t="s">
        <v>278</v>
      </c>
    </row>
    <row r="874" spans="1:240" x14ac:dyDescent="0.4">
      <c r="A874" s="4">
        <v>2</v>
      </c>
      <c r="B874" s="4" t="s">
        <v>239</v>
      </c>
      <c r="C874" s="4">
        <v>942</v>
      </c>
      <c r="D874" s="4">
        <v>1</v>
      </c>
      <c r="E874" s="4">
        <v>1</v>
      </c>
      <c r="F874" s="4" t="s">
        <v>240</v>
      </c>
      <c r="G874" s="4" t="s">
        <v>241</v>
      </c>
      <c r="H874" s="4" t="s">
        <v>241</v>
      </c>
      <c r="I874" s="4" t="s">
        <v>2513</v>
      </c>
      <c r="J874" s="4" t="s">
        <v>344</v>
      </c>
      <c r="K874" s="4" t="s">
        <v>256</v>
      </c>
      <c r="L874" s="4" t="s">
        <v>2101</v>
      </c>
      <c r="M874" s="5" t="s">
        <v>2514</v>
      </c>
      <c r="N874" s="4" t="s">
        <v>2104</v>
      </c>
      <c r="O874" s="6">
        <f>278.7</f>
        <v>278.7</v>
      </c>
      <c r="P874" s="4" t="s">
        <v>276</v>
      </c>
      <c r="Q874" s="6">
        <f>1</f>
        <v>1</v>
      </c>
      <c r="R874" s="6">
        <f>29263500</f>
        <v>29263500</v>
      </c>
      <c r="S874" s="5" t="s">
        <v>2235</v>
      </c>
      <c r="T874" s="4" t="s">
        <v>333</v>
      </c>
      <c r="U874" s="4" t="s">
        <v>393</v>
      </c>
      <c r="W874" s="6">
        <f>29263499</f>
        <v>29263499</v>
      </c>
      <c r="X874" s="4" t="s">
        <v>243</v>
      </c>
      <c r="Y874" s="4" t="s">
        <v>244</v>
      </c>
      <c r="Z874" s="4" t="s">
        <v>338</v>
      </c>
      <c r="AA874" s="4" t="s">
        <v>241</v>
      </c>
      <c r="AD874" s="4" t="s">
        <v>241</v>
      </c>
      <c r="AF874" s="5" t="s">
        <v>241</v>
      </c>
      <c r="AI874" s="5" t="s">
        <v>2504</v>
      </c>
      <c r="AJ874" s="4" t="s">
        <v>251</v>
      </c>
      <c r="AK874" s="4" t="s">
        <v>252</v>
      </c>
      <c r="BA874" s="4" t="s">
        <v>254</v>
      </c>
      <c r="BB874" s="4" t="s">
        <v>241</v>
      </c>
      <c r="BC874" s="4" t="s">
        <v>255</v>
      </c>
      <c r="BD874" s="4" t="s">
        <v>241</v>
      </c>
      <c r="BE874" s="4" t="s">
        <v>257</v>
      </c>
      <c r="BF874" s="4" t="s">
        <v>241</v>
      </c>
      <c r="BJ874" s="4" t="s">
        <v>377</v>
      </c>
      <c r="BK874" s="5" t="s">
        <v>378</v>
      </c>
      <c r="BL874" s="4" t="s">
        <v>261</v>
      </c>
      <c r="BM874" s="4" t="s">
        <v>262</v>
      </c>
      <c r="BN874" s="4" t="s">
        <v>241</v>
      </c>
      <c r="BO874" s="6">
        <f>0</f>
        <v>0</v>
      </c>
      <c r="BP874" s="6">
        <f>0</f>
        <v>0</v>
      </c>
      <c r="BQ874" s="4" t="s">
        <v>263</v>
      </c>
      <c r="BR874" s="4" t="s">
        <v>264</v>
      </c>
      <c r="CF874" s="4" t="s">
        <v>241</v>
      </c>
      <c r="CG874" s="4" t="s">
        <v>241</v>
      </c>
      <c r="CK874" s="4" t="s">
        <v>265</v>
      </c>
      <c r="CL874" s="4" t="s">
        <v>266</v>
      </c>
      <c r="CM874" s="4" t="s">
        <v>241</v>
      </c>
      <c r="CO874" s="4" t="s">
        <v>392</v>
      </c>
      <c r="CP874" s="5" t="s">
        <v>268</v>
      </c>
      <c r="CQ874" s="4" t="s">
        <v>269</v>
      </c>
      <c r="CR874" s="4" t="s">
        <v>270</v>
      </c>
      <c r="CS874" s="4" t="s">
        <v>241</v>
      </c>
      <c r="CT874" s="4" t="s">
        <v>241</v>
      </c>
      <c r="CU874" s="4">
        <v>0</v>
      </c>
      <c r="CV874" s="4" t="s">
        <v>271</v>
      </c>
      <c r="CW874" s="4" t="s">
        <v>411</v>
      </c>
      <c r="CX874" s="4" t="s">
        <v>2130</v>
      </c>
      <c r="CZ874" s="6">
        <f>29263500</f>
        <v>29263500</v>
      </c>
      <c r="DA874" s="6">
        <f>0</f>
        <v>0</v>
      </c>
      <c r="DC874" s="4" t="s">
        <v>241</v>
      </c>
      <c r="DD874" s="4" t="s">
        <v>241</v>
      </c>
      <c r="DF874" s="4" t="s">
        <v>241</v>
      </c>
      <c r="DI874" s="4" t="s">
        <v>241</v>
      </c>
      <c r="DJ874" s="4" t="s">
        <v>241</v>
      </c>
      <c r="DK874" s="4" t="s">
        <v>241</v>
      </c>
      <c r="DL874" s="4" t="s">
        <v>241</v>
      </c>
      <c r="DM874" s="4" t="s">
        <v>323</v>
      </c>
      <c r="DN874" s="4" t="s">
        <v>278</v>
      </c>
      <c r="DO874" s="6">
        <f>278.7</f>
        <v>278.7</v>
      </c>
      <c r="DP874" s="4" t="s">
        <v>241</v>
      </c>
      <c r="DQ874" s="4" t="s">
        <v>241</v>
      </c>
      <c r="DR874" s="4" t="s">
        <v>241</v>
      </c>
      <c r="DS874" s="4" t="s">
        <v>241</v>
      </c>
      <c r="DV874" s="4" t="s">
        <v>2515</v>
      </c>
      <c r="DW874" s="4" t="s">
        <v>277</v>
      </c>
      <c r="HO874" s="4" t="s">
        <v>277</v>
      </c>
      <c r="HR874" s="4" t="s">
        <v>278</v>
      </c>
      <c r="HS874" s="4" t="s">
        <v>278</v>
      </c>
    </row>
    <row r="875" spans="1:240" x14ac:dyDescent="0.4">
      <c r="A875" s="4">
        <v>2</v>
      </c>
      <c r="B875" s="4" t="s">
        <v>239</v>
      </c>
      <c r="C875" s="4">
        <v>943</v>
      </c>
      <c r="D875" s="4">
        <v>1</v>
      </c>
      <c r="E875" s="4">
        <v>1</v>
      </c>
      <c r="F875" s="4" t="s">
        <v>240</v>
      </c>
      <c r="G875" s="4" t="s">
        <v>241</v>
      </c>
      <c r="H875" s="4" t="s">
        <v>241</v>
      </c>
      <c r="I875" s="4" t="s">
        <v>2513</v>
      </c>
      <c r="J875" s="4" t="s">
        <v>344</v>
      </c>
      <c r="K875" s="4" t="s">
        <v>256</v>
      </c>
      <c r="L875" s="4" t="s">
        <v>2101</v>
      </c>
      <c r="M875" s="5" t="s">
        <v>2514</v>
      </c>
      <c r="N875" s="4" t="s">
        <v>2109</v>
      </c>
      <c r="O875" s="6">
        <f>278.7</f>
        <v>278.7</v>
      </c>
      <c r="P875" s="4" t="s">
        <v>276</v>
      </c>
      <c r="Q875" s="6">
        <f>1</f>
        <v>1</v>
      </c>
      <c r="R875" s="6">
        <f>29263500</f>
        <v>29263500</v>
      </c>
      <c r="S875" s="5" t="s">
        <v>2235</v>
      </c>
      <c r="T875" s="4" t="s">
        <v>333</v>
      </c>
      <c r="U875" s="4" t="s">
        <v>393</v>
      </c>
      <c r="W875" s="6">
        <f>29263499</f>
        <v>29263499</v>
      </c>
      <c r="X875" s="4" t="s">
        <v>243</v>
      </c>
      <c r="Y875" s="4" t="s">
        <v>244</v>
      </c>
      <c r="Z875" s="4" t="s">
        <v>338</v>
      </c>
      <c r="AA875" s="4" t="s">
        <v>241</v>
      </c>
      <c r="AD875" s="4" t="s">
        <v>241</v>
      </c>
      <c r="AF875" s="5" t="s">
        <v>241</v>
      </c>
      <c r="AI875" s="5" t="s">
        <v>2504</v>
      </c>
      <c r="AJ875" s="4" t="s">
        <v>251</v>
      </c>
      <c r="AK875" s="4" t="s">
        <v>252</v>
      </c>
      <c r="BA875" s="4" t="s">
        <v>254</v>
      </c>
      <c r="BB875" s="4" t="s">
        <v>241</v>
      </c>
      <c r="BC875" s="4" t="s">
        <v>255</v>
      </c>
      <c r="BD875" s="4" t="s">
        <v>241</v>
      </c>
      <c r="BE875" s="4" t="s">
        <v>257</v>
      </c>
      <c r="BF875" s="4" t="s">
        <v>241</v>
      </c>
      <c r="BJ875" s="4" t="s">
        <v>259</v>
      </c>
      <c r="BK875" s="5" t="s">
        <v>260</v>
      </c>
      <c r="BL875" s="4" t="s">
        <v>261</v>
      </c>
      <c r="BM875" s="4" t="s">
        <v>262</v>
      </c>
      <c r="BN875" s="4" t="s">
        <v>241</v>
      </c>
      <c r="BO875" s="6">
        <f>0</f>
        <v>0</v>
      </c>
      <c r="BP875" s="6">
        <f>0</f>
        <v>0</v>
      </c>
      <c r="BQ875" s="4" t="s">
        <v>263</v>
      </c>
      <c r="BR875" s="4" t="s">
        <v>264</v>
      </c>
      <c r="CF875" s="4" t="s">
        <v>241</v>
      </c>
      <c r="CG875" s="4" t="s">
        <v>241</v>
      </c>
      <c r="CK875" s="4" t="s">
        <v>265</v>
      </c>
      <c r="CL875" s="4" t="s">
        <v>266</v>
      </c>
      <c r="CM875" s="4" t="s">
        <v>241</v>
      </c>
      <c r="CO875" s="4" t="s">
        <v>392</v>
      </c>
      <c r="CP875" s="5" t="s">
        <v>268</v>
      </c>
      <c r="CQ875" s="4" t="s">
        <v>269</v>
      </c>
      <c r="CR875" s="4" t="s">
        <v>270</v>
      </c>
      <c r="CS875" s="4" t="s">
        <v>241</v>
      </c>
      <c r="CT875" s="4" t="s">
        <v>241</v>
      </c>
      <c r="CU875" s="4">
        <v>0</v>
      </c>
      <c r="CV875" s="4" t="s">
        <v>271</v>
      </c>
      <c r="CW875" s="4" t="s">
        <v>411</v>
      </c>
      <c r="CX875" s="4" t="s">
        <v>2130</v>
      </c>
      <c r="CZ875" s="6">
        <f>29263500</f>
        <v>29263500</v>
      </c>
      <c r="DA875" s="6">
        <f>0</f>
        <v>0</v>
      </c>
      <c r="DC875" s="4" t="s">
        <v>241</v>
      </c>
      <c r="DD875" s="4" t="s">
        <v>241</v>
      </c>
      <c r="DF875" s="4" t="s">
        <v>241</v>
      </c>
      <c r="DI875" s="4" t="s">
        <v>241</v>
      </c>
      <c r="DJ875" s="4" t="s">
        <v>241</v>
      </c>
      <c r="DK875" s="4" t="s">
        <v>241</v>
      </c>
      <c r="DL875" s="4" t="s">
        <v>241</v>
      </c>
      <c r="DM875" s="4" t="s">
        <v>323</v>
      </c>
      <c r="DN875" s="4" t="s">
        <v>278</v>
      </c>
      <c r="DO875" s="6">
        <f>278.7</f>
        <v>278.7</v>
      </c>
      <c r="DP875" s="4" t="s">
        <v>241</v>
      </c>
      <c r="DQ875" s="4" t="s">
        <v>241</v>
      </c>
      <c r="DR875" s="4" t="s">
        <v>241</v>
      </c>
      <c r="DS875" s="4" t="s">
        <v>241</v>
      </c>
      <c r="DV875" s="4" t="s">
        <v>2515</v>
      </c>
      <c r="DW875" s="4" t="s">
        <v>323</v>
      </c>
      <c r="HO875" s="4" t="s">
        <v>277</v>
      </c>
      <c r="HR875" s="4" t="s">
        <v>278</v>
      </c>
      <c r="HS875" s="4" t="s">
        <v>278</v>
      </c>
    </row>
    <row r="876" spans="1:240" x14ac:dyDescent="0.4">
      <c r="A876" s="4">
        <v>2</v>
      </c>
      <c r="B876" s="4" t="s">
        <v>239</v>
      </c>
      <c r="C876" s="4">
        <v>944</v>
      </c>
      <c r="D876" s="4">
        <v>1</v>
      </c>
      <c r="E876" s="4">
        <v>1</v>
      </c>
      <c r="F876" s="4" t="s">
        <v>240</v>
      </c>
      <c r="G876" s="4" t="s">
        <v>241</v>
      </c>
      <c r="H876" s="4" t="s">
        <v>241</v>
      </c>
      <c r="I876" s="4" t="s">
        <v>2513</v>
      </c>
      <c r="J876" s="4" t="s">
        <v>344</v>
      </c>
      <c r="K876" s="4" t="s">
        <v>256</v>
      </c>
      <c r="L876" s="4" t="s">
        <v>2101</v>
      </c>
      <c r="M876" s="5" t="s">
        <v>2514</v>
      </c>
      <c r="N876" s="4" t="s">
        <v>2110</v>
      </c>
      <c r="O876" s="6">
        <f>278.7</f>
        <v>278.7</v>
      </c>
      <c r="P876" s="4" t="s">
        <v>276</v>
      </c>
      <c r="Q876" s="6">
        <f>1</f>
        <v>1</v>
      </c>
      <c r="R876" s="6">
        <f>29263500</f>
        <v>29263500</v>
      </c>
      <c r="S876" s="5" t="s">
        <v>2235</v>
      </c>
      <c r="T876" s="4" t="s">
        <v>333</v>
      </c>
      <c r="U876" s="4" t="s">
        <v>393</v>
      </c>
      <c r="W876" s="6">
        <f>29263499</f>
        <v>29263499</v>
      </c>
      <c r="X876" s="4" t="s">
        <v>243</v>
      </c>
      <c r="Y876" s="4" t="s">
        <v>244</v>
      </c>
      <c r="Z876" s="4" t="s">
        <v>338</v>
      </c>
      <c r="AA876" s="4" t="s">
        <v>241</v>
      </c>
      <c r="AD876" s="4" t="s">
        <v>241</v>
      </c>
      <c r="AF876" s="5" t="s">
        <v>241</v>
      </c>
      <c r="AI876" s="5" t="s">
        <v>249</v>
      </c>
      <c r="AJ876" s="4" t="s">
        <v>251</v>
      </c>
      <c r="AK876" s="4" t="s">
        <v>252</v>
      </c>
      <c r="BA876" s="4" t="s">
        <v>254</v>
      </c>
      <c r="BB876" s="4" t="s">
        <v>241</v>
      </c>
      <c r="BC876" s="4" t="s">
        <v>255</v>
      </c>
      <c r="BD876" s="4" t="s">
        <v>241</v>
      </c>
      <c r="BE876" s="4" t="s">
        <v>257</v>
      </c>
      <c r="BF876" s="4" t="s">
        <v>241</v>
      </c>
      <c r="BJ876" s="4" t="s">
        <v>367</v>
      </c>
      <c r="BK876" s="5" t="s">
        <v>249</v>
      </c>
      <c r="BL876" s="4" t="s">
        <v>261</v>
      </c>
      <c r="BM876" s="4" t="s">
        <v>262</v>
      </c>
      <c r="BN876" s="4" t="s">
        <v>241</v>
      </c>
      <c r="BO876" s="6">
        <f>0</f>
        <v>0</v>
      </c>
      <c r="BP876" s="6">
        <f>0</f>
        <v>0</v>
      </c>
      <c r="BQ876" s="4" t="s">
        <v>263</v>
      </c>
      <c r="BR876" s="4" t="s">
        <v>264</v>
      </c>
      <c r="CF876" s="4" t="s">
        <v>241</v>
      </c>
      <c r="CG876" s="4" t="s">
        <v>241</v>
      </c>
      <c r="CK876" s="4" t="s">
        <v>265</v>
      </c>
      <c r="CL876" s="4" t="s">
        <v>266</v>
      </c>
      <c r="CM876" s="4" t="s">
        <v>241</v>
      </c>
      <c r="CO876" s="4" t="s">
        <v>392</v>
      </c>
      <c r="CP876" s="5" t="s">
        <v>268</v>
      </c>
      <c r="CQ876" s="4" t="s">
        <v>269</v>
      </c>
      <c r="CR876" s="4" t="s">
        <v>270</v>
      </c>
      <c r="CS876" s="4" t="s">
        <v>241</v>
      </c>
      <c r="CT876" s="4" t="s">
        <v>241</v>
      </c>
      <c r="CU876" s="4">
        <v>0</v>
      </c>
      <c r="CV876" s="4" t="s">
        <v>271</v>
      </c>
      <c r="CW876" s="4" t="s">
        <v>411</v>
      </c>
      <c r="CX876" s="4" t="s">
        <v>2130</v>
      </c>
      <c r="CZ876" s="6">
        <f>29263500</f>
        <v>29263500</v>
      </c>
      <c r="DA876" s="6">
        <f>0</f>
        <v>0</v>
      </c>
      <c r="DC876" s="4" t="s">
        <v>241</v>
      </c>
      <c r="DD876" s="4" t="s">
        <v>241</v>
      </c>
      <c r="DF876" s="4" t="s">
        <v>241</v>
      </c>
      <c r="DI876" s="4" t="s">
        <v>241</v>
      </c>
      <c r="DJ876" s="4" t="s">
        <v>241</v>
      </c>
      <c r="DK876" s="4" t="s">
        <v>241</v>
      </c>
      <c r="DL876" s="4" t="s">
        <v>241</v>
      </c>
      <c r="DM876" s="4" t="s">
        <v>323</v>
      </c>
      <c r="DN876" s="4" t="s">
        <v>278</v>
      </c>
      <c r="DO876" s="6">
        <f>278.7</f>
        <v>278.7</v>
      </c>
      <c r="DP876" s="4" t="s">
        <v>241</v>
      </c>
      <c r="DQ876" s="4" t="s">
        <v>241</v>
      </c>
      <c r="DR876" s="4" t="s">
        <v>241</v>
      </c>
      <c r="DS876" s="4" t="s">
        <v>241</v>
      </c>
      <c r="DV876" s="4" t="s">
        <v>2515</v>
      </c>
      <c r="DW876" s="4" t="s">
        <v>297</v>
      </c>
      <c r="HO876" s="4" t="s">
        <v>277</v>
      </c>
      <c r="HR876" s="4" t="s">
        <v>278</v>
      </c>
      <c r="HS876" s="4" t="s">
        <v>278</v>
      </c>
    </row>
    <row r="877" spans="1:240" x14ac:dyDescent="0.4">
      <c r="A877" s="4">
        <v>2</v>
      </c>
      <c r="B877" s="4" t="s">
        <v>239</v>
      </c>
      <c r="C877" s="4">
        <v>945</v>
      </c>
      <c r="D877" s="4">
        <v>1</v>
      </c>
      <c r="E877" s="4">
        <v>1</v>
      </c>
      <c r="F877" s="4" t="s">
        <v>240</v>
      </c>
      <c r="G877" s="4" t="s">
        <v>241</v>
      </c>
      <c r="H877" s="4" t="s">
        <v>241</v>
      </c>
      <c r="I877" s="4" t="s">
        <v>2513</v>
      </c>
      <c r="J877" s="4" t="s">
        <v>344</v>
      </c>
      <c r="K877" s="4" t="s">
        <v>256</v>
      </c>
      <c r="L877" s="4" t="s">
        <v>2101</v>
      </c>
      <c r="M877" s="5" t="s">
        <v>2514</v>
      </c>
      <c r="N877" s="4" t="s">
        <v>2122</v>
      </c>
      <c r="O877" s="6">
        <f>278.7</f>
        <v>278.7</v>
      </c>
      <c r="P877" s="4" t="s">
        <v>276</v>
      </c>
      <c r="Q877" s="6">
        <f>1</f>
        <v>1</v>
      </c>
      <c r="R877" s="6">
        <f>29263500</f>
        <v>29263500</v>
      </c>
      <c r="S877" s="5" t="s">
        <v>2235</v>
      </c>
      <c r="T877" s="4" t="s">
        <v>333</v>
      </c>
      <c r="U877" s="4" t="s">
        <v>393</v>
      </c>
      <c r="W877" s="6">
        <f>29263499</f>
        <v>29263499</v>
      </c>
      <c r="X877" s="4" t="s">
        <v>243</v>
      </c>
      <c r="Y877" s="4" t="s">
        <v>244</v>
      </c>
      <c r="Z877" s="4" t="s">
        <v>338</v>
      </c>
      <c r="AA877" s="4" t="s">
        <v>241</v>
      </c>
      <c r="AD877" s="4" t="s">
        <v>241</v>
      </c>
      <c r="AF877" s="5" t="s">
        <v>241</v>
      </c>
      <c r="AI877" s="5" t="s">
        <v>249</v>
      </c>
      <c r="AJ877" s="4" t="s">
        <v>251</v>
      </c>
      <c r="AK877" s="4" t="s">
        <v>252</v>
      </c>
      <c r="BA877" s="4" t="s">
        <v>254</v>
      </c>
      <c r="BB877" s="4" t="s">
        <v>241</v>
      </c>
      <c r="BC877" s="4" t="s">
        <v>255</v>
      </c>
      <c r="BD877" s="4" t="s">
        <v>241</v>
      </c>
      <c r="BE877" s="4" t="s">
        <v>257</v>
      </c>
      <c r="BF877" s="4" t="s">
        <v>241</v>
      </c>
      <c r="BJ877" s="4" t="s">
        <v>367</v>
      </c>
      <c r="BK877" s="5" t="s">
        <v>249</v>
      </c>
      <c r="BL877" s="4" t="s">
        <v>261</v>
      </c>
      <c r="BM877" s="4" t="s">
        <v>262</v>
      </c>
      <c r="BN877" s="4" t="s">
        <v>241</v>
      </c>
      <c r="BO877" s="6">
        <f>0</f>
        <v>0</v>
      </c>
      <c r="BP877" s="6">
        <f>0</f>
        <v>0</v>
      </c>
      <c r="BQ877" s="4" t="s">
        <v>263</v>
      </c>
      <c r="BR877" s="4" t="s">
        <v>264</v>
      </c>
      <c r="CF877" s="4" t="s">
        <v>241</v>
      </c>
      <c r="CG877" s="4" t="s">
        <v>241</v>
      </c>
      <c r="CK877" s="4" t="s">
        <v>265</v>
      </c>
      <c r="CL877" s="4" t="s">
        <v>266</v>
      </c>
      <c r="CM877" s="4" t="s">
        <v>241</v>
      </c>
      <c r="CO877" s="4" t="s">
        <v>392</v>
      </c>
      <c r="CP877" s="5" t="s">
        <v>268</v>
      </c>
      <c r="CQ877" s="4" t="s">
        <v>269</v>
      </c>
      <c r="CR877" s="4" t="s">
        <v>270</v>
      </c>
      <c r="CS877" s="4" t="s">
        <v>241</v>
      </c>
      <c r="CT877" s="4" t="s">
        <v>241</v>
      </c>
      <c r="CU877" s="4">
        <v>0</v>
      </c>
      <c r="CV877" s="4" t="s">
        <v>271</v>
      </c>
      <c r="CW877" s="4" t="s">
        <v>411</v>
      </c>
      <c r="CX877" s="4" t="s">
        <v>2130</v>
      </c>
      <c r="CZ877" s="6">
        <f>29263500</f>
        <v>29263500</v>
      </c>
      <c r="DA877" s="6">
        <f>0</f>
        <v>0</v>
      </c>
      <c r="DC877" s="4" t="s">
        <v>241</v>
      </c>
      <c r="DD877" s="4" t="s">
        <v>241</v>
      </c>
      <c r="DF877" s="4" t="s">
        <v>241</v>
      </c>
      <c r="DI877" s="4" t="s">
        <v>241</v>
      </c>
      <c r="DJ877" s="4" t="s">
        <v>241</v>
      </c>
      <c r="DK877" s="4" t="s">
        <v>241</v>
      </c>
      <c r="DL877" s="4" t="s">
        <v>241</v>
      </c>
      <c r="DM877" s="4" t="s">
        <v>323</v>
      </c>
      <c r="DN877" s="4" t="s">
        <v>278</v>
      </c>
      <c r="DO877" s="6">
        <f>278.7</f>
        <v>278.7</v>
      </c>
      <c r="DP877" s="4" t="s">
        <v>241</v>
      </c>
      <c r="DQ877" s="4" t="s">
        <v>241</v>
      </c>
      <c r="DR877" s="4" t="s">
        <v>241</v>
      </c>
      <c r="DS877" s="4" t="s">
        <v>241</v>
      </c>
      <c r="DV877" s="4" t="s">
        <v>2515</v>
      </c>
      <c r="DW877" s="4" t="s">
        <v>336</v>
      </c>
      <c r="HO877" s="4" t="s">
        <v>277</v>
      </c>
      <c r="HR877" s="4" t="s">
        <v>278</v>
      </c>
      <c r="HS877" s="4" t="s">
        <v>278</v>
      </c>
    </row>
    <row r="878" spans="1:240" x14ac:dyDescent="0.4">
      <c r="A878" s="4">
        <v>2</v>
      </c>
      <c r="B878" s="4" t="s">
        <v>239</v>
      </c>
      <c r="C878" s="4">
        <v>946</v>
      </c>
      <c r="D878" s="4">
        <v>1</v>
      </c>
      <c r="E878" s="4">
        <v>1</v>
      </c>
      <c r="F878" s="4" t="s">
        <v>240</v>
      </c>
      <c r="G878" s="4" t="s">
        <v>241</v>
      </c>
      <c r="H878" s="4" t="s">
        <v>241</v>
      </c>
      <c r="I878" s="4" t="s">
        <v>2505</v>
      </c>
      <c r="J878" s="4" t="s">
        <v>344</v>
      </c>
      <c r="K878" s="4" t="s">
        <v>256</v>
      </c>
      <c r="L878" s="4" t="s">
        <v>2101</v>
      </c>
      <c r="M878" s="5" t="s">
        <v>2106</v>
      </c>
      <c r="N878" s="4" t="s">
        <v>2104</v>
      </c>
      <c r="O878" s="6">
        <f>329.95</f>
        <v>329.95</v>
      </c>
      <c r="P878" s="4" t="s">
        <v>276</v>
      </c>
      <c r="Q878" s="6">
        <f>1</f>
        <v>1</v>
      </c>
      <c r="R878" s="6">
        <f>34644750</f>
        <v>34644750</v>
      </c>
      <c r="S878" s="5" t="s">
        <v>905</v>
      </c>
      <c r="T878" s="4" t="s">
        <v>333</v>
      </c>
      <c r="U878" s="4" t="s">
        <v>333</v>
      </c>
      <c r="W878" s="6">
        <f>34644749</f>
        <v>34644749</v>
      </c>
      <c r="X878" s="4" t="s">
        <v>243</v>
      </c>
      <c r="Y878" s="4" t="s">
        <v>244</v>
      </c>
      <c r="Z878" s="4" t="s">
        <v>338</v>
      </c>
      <c r="AA878" s="4" t="s">
        <v>241</v>
      </c>
      <c r="AD878" s="4" t="s">
        <v>241</v>
      </c>
      <c r="AF878" s="5" t="s">
        <v>241</v>
      </c>
      <c r="AI878" s="5" t="s">
        <v>249</v>
      </c>
      <c r="AJ878" s="4" t="s">
        <v>251</v>
      </c>
      <c r="AK878" s="4" t="s">
        <v>252</v>
      </c>
      <c r="BA878" s="4" t="s">
        <v>254</v>
      </c>
      <c r="BB878" s="4" t="s">
        <v>241</v>
      </c>
      <c r="BC878" s="4" t="s">
        <v>255</v>
      </c>
      <c r="BD878" s="4" t="s">
        <v>241</v>
      </c>
      <c r="BE878" s="4" t="s">
        <v>257</v>
      </c>
      <c r="BF878" s="4" t="s">
        <v>241</v>
      </c>
      <c r="BJ878" s="4" t="s">
        <v>374</v>
      </c>
      <c r="BK878" s="5" t="s">
        <v>375</v>
      </c>
      <c r="BL878" s="4" t="s">
        <v>261</v>
      </c>
      <c r="BM878" s="4" t="s">
        <v>290</v>
      </c>
      <c r="BN878" s="4" t="s">
        <v>241</v>
      </c>
      <c r="BO878" s="6">
        <f>0</f>
        <v>0</v>
      </c>
      <c r="BP878" s="6">
        <f>0</f>
        <v>0</v>
      </c>
      <c r="BQ878" s="4" t="s">
        <v>263</v>
      </c>
      <c r="BR878" s="4" t="s">
        <v>264</v>
      </c>
      <c r="CF878" s="4" t="s">
        <v>241</v>
      </c>
      <c r="CG878" s="4" t="s">
        <v>241</v>
      </c>
      <c r="CK878" s="4" t="s">
        <v>265</v>
      </c>
      <c r="CL878" s="4" t="s">
        <v>266</v>
      </c>
      <c r="CM878" s="4" t="s">
        <v>241</v>
      </c>
      <c r="CO878" s="4" t="s">
        <v>710</v>
      </c>
      <c r="CP878" s="5" t="s">
        <v>268</v>
      </c>
      <c r="CQ878" s="4" t="s">
        <v>269</v>
      </c>
      <c r="CR878" s="4" t="s">
        <v>270</v>
      </c>
      <c r="CS878" s="4" t="s">
        <v>241</v>
      </c>
      <c r="CT878" s="4" t="s">
        <v>241</v>
      </c>
      <c r="CU878" s="4">
        <v>0</v>
      </c>
      <c r="CV878" s="4" t="s">
        <v>271</v>
      </c>
      <c r="CW878" s="4" t="s">
        <v>411</v>
      </c>
      <c r="CX878" s="4" t="s">
        <v>2130</v>
      </c>
      <c r="CZ878" s="6">
        <f>34644750</f>
        <v>34644750</v>
      </c>
      <c r="DA878" s="6">
        <f>0</f>
        <v>0</v>
      </c>
      <c r="DC878" s="4" t="s">
        <v>241</v>
      </c>
      <c r="DD878" s="4" t="s">
        <v>241</v>
      </c>
      <c r="DF878" s="4" t="s">
        <v>241</v>
      </c>
      <c r="DI878" s="4" t="s">
        <v>241</v>
      </c>
      <c r="DJ878" s="4" t="s">
        <v>241</v>
      </c>
      <c r="DK878" s="4" t="s">
        <v>241</v>
      </c>
      <c r="DL878" s="4" t="s">
        <v>241</v>
      </c>
      <c r="DM878" s="4" t="s">
        <v>323</v>
      </c>
      <c r="DN878" s="4" t="s">
        <v>278</v>
      </c>
      <c r="DO878" s="6">
        <f>329.95</f>
        <v>329.95</v>
      </c>
      <c r="DP878" s="4" t="s">
        <v>241</v>
      </c>
      <c r="DQ878" s="4" t="s">
        <v>241</v>
      </c>
      <c r="DR878" s="4" t="s">
        <v>241</v>
      </c>
      <c r="DS878" s="4" t="s">
        <v>241</v>
      </c>
      <c r="DV878" s="4" t="s">
        <v>2506</v>
      </c>
      <c r="DW878" s="4" t="s">
        <v>277</v>
      </c>
      <c r="HO878" s="4" t="s">
        <v>300</v>
      </c>
      <c r="HR878" s="4" t="s">
        <v>278</v>
      </c>
      <c r="HS878" s="4" t="s">
        <v>278</v>
      </c>
    </row>
    <row r="879" spans="1:240" x14ac:dyDescent="0.4">
      <c r="A879" s="4">
        <v>2</v>
      </c>
      <c r="B879" s="4" t="s">
        <v>239</v>
      </c>
      <c r="C879" s="4">
        <v>947</v>
      </c>
      <c r="D879" s="4">
        <v>1</v>
      </c>
      <c r="E879" s="4">
        <v>1</v>
      </c>
      <c r="F879" s="4" t="s">
        <v>240</v>
      </c>
      <c r="G879" s="4" t="s">
        <v>241</v>
      </c>
      <c r="H879" s="4" t="s">
        <v>241</v>
      </c>
      <c r="I879" s="4" t="s">
        <v>2505</v>
      </c>
      <c r="J879" s="4" t="s">
        <v>344</v>
      </c>
      <c r="K879" s="4" t="s">
        <v>256</v>
      </c>
      <c r="L879" s="4" t="s">
        <v>2101</v>
      </c>
      <c r="M879" s="5" t="s">
        <v>2106</v>
      </c>
      <c r="N879" s="4" t="s">
        <v>2109</v>
      </c>
      <c r="O879" s="6">
        <f>329.95</f>
        <v>329.95</v>
      </c>
      <c r="P879" s="4" t="s">
        <v>276</v>
      </c>
      <c r="Q879" s="6">
        <f>1</f>
        <v>1</v>
      </c>
      <c r="R879" s="6">
        <f>34644750</f>
        <v>34644750</v>
      </c>
      <c r="S879" s="5" t="s">
        <v>905</v>
      </c>
      <c r="T879" s="4" t="s">
        <v>333</v>
      </c>
      <c r="U879" s="4" t="s">
        <v>333</v>
      </c>
      <c r="W879" s="6">
        <f>34644749</f>
        <v>34644749</v>
      </c>
      <c r="X879" s="4" t="s">
        <v>243</v>
      </c>
      <c r="Y879" s="4" t="s">
        <v>244</v>
      </c>
      <c r="Z879" s="4" t="s">
        <v>338</v>
      </c>
      <c r="AA879" s="4" t="s">
        <v>241</v>
      </c>
      <c r="AD879" s="4" t="s">
        <v>241</v>
      </c>
      <c r="AF879" s="5" t="s">
        <v>241</v>
      </c>
      <c r="AI879" s="5" t="s">
        <v>249</v>
      </c>
      <c r="AJ879" s="4" t="s">
        <v>251</v>
      </c>
      <c r="AK879" s="4" t="s">
        <v>252</v>
      </c>
      <c r="BA879" s="4" t="s">
        <v>254</v>
      </c>
      <c r="BB879" s="4" t="s">
        <v>241</v>
      </c>
      <c r="BC879" s="4" t="s">
        <v>255</v>
      </c>
      <c r="BD879" s="4" t="s">
        <v>241</v>
      </c>
      <c r="BE879" s="4" t="s">
        <v>257</v>
      </c>
      <c r="BF879" s="4" t="s">
        <v>241</v>
      </c>
      <c r="BJ879" s="4" t="s">
        <v>377</v>
      </c>
      <c r="BK879" s="5" t="s">
        <v>378</v>
      </c>
      <c r="BL879" s="4" t="s">
        <v>261</v>
      </c>
      <c r="BM879" s="4" t="s">
        <v>290</v>
      </c>
      <c r="BN879" s="4" t="s">
        <v>241</v>
      </c>
      <c r="BO879" s="6">
        <f>0</f>
        <v>0</v>
      </c>
      <c r="BP879" s="6">
        <f>0</f>
        <v>0</v>
      </c>
      <c r="BQ879" s="4" t="s">
        <v>263</v>
      </c>
      <c r="BR879" s="4" t="s">
        <v>264</v>
      </c>
      <c r="CF879" s="4" t="s">
        <v>241</v>
      </c>
      <c r="CG879" s="4" t="s">
        <v>241</v>
      </c>
      <c r="CK879" s="4" t="s">
        <v>265</v>
      </c>
      <c r="CL879" s="4" t="s">
        <v>266</v>
      </c>
      <c r="CM879" s="4" t="s">
        <v>241</v>
      </c>
      <c r="CO879" s="4" t="s">
        <v>710</v>
      </c>
      <c r="CP879" s="5" t="s">
        <v>268</v>
      </c>
      <c r="CQ879" s="4" t="s">
        <v>269</v>
      </c>
      <c r="CR879" s="4" t="s">
        <v>270</v>
      </c>
      <c r="CS879" s="4" t="s">
        <v>241</v>
      </c>
      <c r="CT879" s="4" t="s">
        <v>241</v>
      </c>
      <c r="CU879" s="4">
        <v>0</v>
      </c>
      <c r="CV879" s="4" t="s">
        <v>271</v>
      </c>
      <c r="CW879" s="4" t="s">
        <v>411</v>
      </c>
      <c r="CX879" s="4" t="s">
        <v>2130</v>
      </c>
      <c r="CZ879" s="6">
        <f>34644750</f>
        <v>34644750</v>
      </c>
      <c r="DA879" s="6">
        <f>0</f>
        <v>0</v>
      </c>
      <c r="DC879" s="4" t="s">
        <v>241</v>
      </c>
      <c r="DD879" s="4" t="s">
        <v>241</v>
      </c>
      <c r="DF879" s="4" t="s">
        <v>241</v>
      </c>
      <c r="DI879" s="4" t="s">
        <v>241</v>
      </c>
      <c r="DJ879" s="4" t="s">
        <v>241</v>
      </c>
      <c r="DK879" s="4" t="s">
        <v>241</v>
      </c>
      <c r="DL879" s="4" t="s">
        <v>241</v>
      </c>
      <c r="DM879" s="4" t="s">
        <v>323</v>
      </c>
      <c r="DN879" s="4" t="s">
        <v>278</v>
      </c>
      <c r="DO879" s="6">
        <f>329.95</f>
        <v>329.95</v>
      </c>
      <c r="DP879" s="4" t="s">
        <v>241</v>
      </c>
      <c r="DQ879" s="4" t="s">
        <v>241</v>
      </c>
      <c r="DR879" s="4" t="s">
        <v>241</v>
      </c>
      <c r="DS879" s="4" t="s">
        <v>241</v>
      </c>
      <c r="DV879" s="4" t="s">
        <v>2506</v>
      </c>
      <c r="DW879" s="4" t="s">
        <v>323</v>
      </c>
      <c r="HO879" s="4" t="s">
        <v>300</v>
      </c>
      <c r="HR879" s="4" t="s">
        <v>278</v>
      </c>
      <c r="HS879" s="4" t="s">
        <v>278</v>
      </c>
    </row>
    <row r="880" spans="1:240" x14ac:dyDescent="0.4">
      <c r="A880" s="4">
        <v>2</v>
      </c>
      <c r="B880" s="4" t="s">
        <v>239</v>
      </c>
      <c r="C880" s="4">
        <v>948</v>
      </c>
      <c r="D880" s="4">
        <v>1</v>
      </c>
      <c r="E880" s="4">
        <v>1</v>
      </c>
      <c r="F880" s="4" t="s">
        <v>240</v>
      </c>
      <c r="G880" s="4" t="s">
        <v>241</v>
      </c>
      <c r="H880" s="4" t="s">
        <v>241</v>
      </c>
      <c r="I880" s="4" t="s">
        <v>2105</v>
      </c>
      <c r="J880" s="4" t="s">
        <v>344</v>
      </c>
      <c r="K880" s="4" t="s">
        <v>256</v>
      </c>
      <c r="L880" s="4" t="s">
        <v>2101</v>
      </c>
      <c r="M880" s="5" t="s">
        <v>2106</v>
      </c>
      <c r="N880" s="4" t="s">
        <v>2104</v>
      </c>
      <c r="O880" s="6">
        <f>377.64</f>
        <v>377.64</v>
      </c>
      <c r="P880" s="4" t="s">
        <v>276</v>
      </c>
      <c r="Q880" s="6">
        <f>1</f>
        <v>1</v>
      </c>
      <c r="R880" s="6">
        <f>58534200</f>
        <v>58534200</v>
      </c>
      <c r="S880" s="5" t="s">
        <v>1084</v>
      </c>
      <c r="T880" s="4" t="s">
        <v>314</v>
      </c>
      <c r="U880" s="4" t="s">
        <v>408</v>
      </c>
      <c r="W880" s="6">
        <f>58534199</f>
        <v>58534199</v>
      </c>
      <c r="X880" s="4" t="s">
        <v>243</v>
      </c>
      <c r="Y880" s="4" t="s">
        <v>244</v>
      </c>
      <c r="Z880" s="4" t="s">
        <v>338</v>
      </c>
      <c r="AA880" s="4" t="s">
        <v>241</v>
      </c>
      <c r="AD880" s="4" t="s">
        <v>241</v>
      </c>
      <c r="AF880" s="5" t="s">
        <v>241</v>
      </c>
      <c r="AI880" s="5" t="s">
        <v>249</v>
      </c>
      <c r="AJ880" s="4" t="s">
        <v>251</v>
      </c>
      <c r="AK880" s="4" t="s">
        <v>252</v>
      </c>
      <c r="BA880" s="4" t="s">
        <v>254</v>
      </c>
      <c r="BB880" s="4" t="s">
        <v>241</v>
      </c>
      <c r="BC880" s="4" t="s">
        <v>255</v>
      </c>
      <c r="BD880" s="4" t="s">
        <v>241</v>
      </c>
      <c r="BE880" s="4" t="s">
        <v>257</v>
      </c>
      <c r="BF880" s="4" t="s">
        <v>241</v>
      </c>
      <c r="BH880" s="4" t="s">
        <v>2107</v>
      </c>
      <c r="BJ880" s="4" t="s">
        <v>259</v>
      </c>
      <c r="BK880" s="5" t="s">
        <v>260</v>
      </c>
      <c r="BL880" s="4" t="s">
        <v>261</v>
      </c>
      <c r="BM880" s="4" t="s">
        <v>262</v>
      </c>
      <c r="BN880" s="4" t="s">
        <v>241</v>
      </c>
      <c r="BO880" s="6">
        <f>0</f>
        <v>0</v>
      </c>
      <c r="BP880" s="6">
        <f>0</f>
        <v>0</v>
      </c>
      <c r="BQ880" s="4" t="s">
        <v>263</v>
      </c>
      <c r="BR880" s="4" t="s">
        <v>264</v>
      </c>
      <c r="CF880" s="4" t="s">
        <v>241</v>
      </c>
      <c r="CG880" s="4" t="s">
        <v>241</v>
      </c>
      <c r="CK880" s="4" t="s">
        <v>291</v>
      </c>
      <c r="CL880" s="4" t="s">
        <v>266</v>
      </c>
      <c r="CM880" s="4" t="s">
        <v>241</v>
      </c>
      <c r="CO880" s="4" t="s">
        <v>667</v>
      </c>
      <c r="CP880" s="5" t="s">
        <v>268</v>
      </c>
      <c r="CQ880" s="4" t="s">
        <v>269</v>
      </c>
      <c r="CR880" s="4" t="s">
        <v>270</v>
      </c>
      <c r="CS880" s="4" t="s">
        <v>241</v>
      </c>
      <c r="CT880" s="4" t="s">
        <v>241</v>
      </c>
      <c r="CU880" s="4">
        <v>0</v>
      </c>
      <c r="CV880" s="4" t="s">
        <v>271</v>
      </c>
      <c r="CW880" s="4" t="s">
        <v>411</v>
      </c>
      <c r="CX880" s="4" t="s">
        <v>347</v>
      </c>
      <c r="CZ880" s="6">
        <f>58534200</f>
        <v>58534200</v>
      </c>
      <c r="DA880" s="6">
        <f>0</f>
        <v>0</v>
      </c>
      <c r="DC880" s="4" t="s">
        <v>241</v>
      </c>
      <c r="DD880" s="4" t="s">
        <v>241</v>
      </c>
      <c r="DF880" s="4" t="s">
        <v>241</v>
      </c>
      <c r="DI880" s="4" t="s">
        <v>241</v>
      </c>
      <c r="DJ880" s="4" t="s">
        <v>241</v>
      </c>
      <c r="DK880" s="4" t="s">
        <v>241</v>
      </c>
      <c r="DL880" s="4" t="s">
        <v>241</v>
      </c>
      <c r="DM880" s="4" t="s">
        <v>323</v>
      </c>
      <c r="DN880" s="4" t="s">
        <v>278</v>
      </c>
      <c r="DO880" s="6">
        <f>377.64</f>
        <v>377.64</v>
      </c>
      <c r="DP880" s="4" t="s">
        <v>241</v>
      </c>
      <c r="DQ880" s="4" t="s">
        <v>241</v>
      </c>
      <c r="DR880" s="4" t="s">
        <v>241</v>
      </c>
      <c r="DS880" s="4" t="s">
        <v>241</v>
      </c>
      <c r="DV880" s="4" t="s">
        <v>2108</v>
      </c>
      <c r="DW880" s="4" t="s">
        <v>277</v>
      </c>
      <c r="HO880" s="4" t="s">
        <v>277</v>
      </c>
      <c r="HR880" s="4" t="s">
        <v>278</v>
      </c>
      <c r="HS880" s="4" t="s">
        <v>278</v>
      </c>
    </row>
    <row r="881" spans="1:240" x14ac:dyDescent="0.4">
      <c r="A881" s="4">
        <v>2</v>
      </c>
      <c r="B881" s="4" t="s">
        <v>239</v>
      </c>
      <c r="C881" s="4">
        <v>949</v>
      </c>
      <c r="D881" s="4">
        <v>1</v>
      </c>
      <c r="E881" s="4">
        <v>1</v>
      </c>
      <c r="F881" s="4" t="s">
        <v>240</v>
      </c>
      <c r="G881" s="4" t="s">
        <v>241</v>
      </c>
      <c r="H881" s="4" t="s">
        <v>241</v>
      </c>
      <c r="I881" s="4" t="s">
        <v>2105</v>
      </c>
      <c r="J881" s="4" t="s">
        <v>344</v>
      </c>
      <c r="K881" s="4" t="s">
        <v>256</v>
      </c>
      <c r="L881" s="4" t="s">
        <v>2101</v>
      </c>
      <c r="M881" s="5" t="s">
        <v>2106</v>
      </c>
      <c r="N881" s="4" t="s">
        <v>2109</v>
      </c>
      <c r="O881" s="6">
        <f>377.64</f>
        <v>377.64</v>
      </c>
      <c r="P881" s="4" t="s">
        <v>276</v>
      </c>
      <c r="Q881" s="6">
        <f>1</f>
        <v>1</v>
      </c>
      <c r="R881" s="6">
        <f>37764000</f>
        <v>37764000</v>
      </c>
      <c r="S881" s="5" t="s">
        <v>1045</v>
      </c>
      <c r="T881" s="4" t="s">
        <v>314</v>
      </c>
      <c r="U881" s="4" t="s">
        <v>441</v>
      </c>
      <c r="W881" s="6">
        <f>37763999</f>
        <v>37763999</v>
      </c>
      <c r="X881" s="4" t="s">
        <v>243</v>
      </c>
      <c r="Y881" s="4" t="s">
        <v>244</v>
      </c>
      <c r="Z881" s="4" t="s">
        <v>338</v>
      </c>
      <c r="AA881" s="4" t="s">
        <v>241</v>
      </c>
      <c r="AD881" s="4" t="s">
        <v>241</v>
      </c>
      <c r="AF881" s="5" t="s">
        <v>241</v>
      </c>
      <c r="AI881" s="5" t="s">
        <v>249</v>
      </c>
      <c r="AJ881" s="4" t="s">
        <v>251</v>
      </c>
      <c r="AK881" s="4" t="s">
        <v>252</v>
      </c>
      <c r="BA881" s="4" t="s">
        <v>254</v>
      </c>
      <c r="BB881" s="4" t="s">
        <v>241</v>
      </c>
      <c r="BC881" s="4" t="s">
        <v>255</v>
      </c>
      <c r="BD881" s="4" t="s">
        <v>241</v>
      </c>
      <c r="BE881" s="4" t="s">
        <v>257</v>
      </c>
      <c r="BF881" s="4" t="s">
        <v>241</v>
      </c>
      <c r="BJ881" s="4" t="s">
        <v>367</v>
      </c>
      <c r="BK881" s="5" t="s">
        <v>249</v>
      </c>
      <c r="BL881" s="4" t="s">
        <v>261</v>
      </c>
      <c r="BM881" s="4" t="s">
        <v>262</v>
      </c>
      <c r="BN881" s="4" t="s">
        <v>241</v>
      </c>
      <c r="BO881" s="6">
        <f>0</f>
        <v>0</v>
      </c>
      <c r="BP881" s="6">
        <f>0</f>
        <v>0</v>
      </c>
      <c r="BQ881" s="4" t="s">
        <v>263</v>
      </c>
      <c r="BR881" s="4" t="s">
        <v>264</v>
      </c>
      <c r="CF881" s="4" t="s">
        <v>241</v>
      </c>
      <c r="CG881" s="4" t="s">
        <v>241</v>
      </c>
      <c r="CK881" s="4" t="s">
        <v>265</v>
      </c>
      <c r="CL881" s="4" t="s">
        <v>266</v>
      </c>
      <c r="CM881" s="4" t="s">
        <v>241</v>
      </c>
      <c r="CO881" s="4" t="s">
        <v>724</v>
      </c>
      <c r="CP881" s="5" t="s">
        <v>268</v>
      </c>
      <c r="CQ881" s="4" t="s">
        <v>269</v>
      </c>
      <c r="CR881" s="4" t="s">
        <v>270</v>
      </c>
      <c r="CS881" s="4" t="s">
        <v>241</v>
      </c>
      <c r="CT881" s="4" t="s">
        <v>241</v>
      </c>
      <c r="CU881" s="4">
        <v>0</v>
      </c>
      <c r="CV881" s="4" t="s">
        <v>271</v>
      </c>
      <c r="CW881" s="4" t="s">
        <v>411</v>
      </c>
      <c r="CX881" s="4" t="s">
        <v>347</v>
      </c>
      <c r="CZ881" s="6">
        <f>37764000</f>
        <v>37764000</v>
      </c>
      <c r="DA881" s="6">
        <f>0</f>
        <v>0</v>
      </c>
      <c r="DC881" s="4" t="s">
        <v>241</v>
      </c>
      <c r="DD881" s="4" t="s">
        <v>241</v>
      </c>
      <c r="DF881" s="4" t="s">
        <v>241</v>
      </c>
      <c r="DI881" s="4" t="s">
        <v>241</v>
      </c>
      <c r="DJ881" s="4" t="s">
        <v>241</v>
      </c>
      <c r="DK881" s="4" t="s">
        <v>241</v>
      </c>
      <c r="DL881" s="4" t="s">
        <v>241</v>
      </c>
      <c r="DM881" s="4" t="s">
        <v>323</v>
      </c>
      <c r="DN881" s="4" t="s">
        <v>278</v>
      </c>
      <c r="DO881" s="6">
        <f>377.64</f>
        <v>377.64</v>
      </c>
      <c r="DP881" s="4" t="s">
        <v>241</v>
      </c>
      <c r="DQ881" s="4" t="s">
        <v>241</v>
      </c>
      <c r="DR881" s="4" t="s">
        <v>241</v>
      </c>
      <c r="DS881" s="4" t="s">
        <v>241</v>
      </c>
      <c r="DV881" s="4" t="s">
        <v>2108</v>
      </c>
      <c r="DW881" s="4" t="s">
        <v>323</v>
      </c>
      <c r="HO881" s="4" t="s">
        <v>277</v>
      </c>
      <c r="HR881" s="4" t="s">
        <v>278</v>
      </c>
      <c r="HS881" s="4" t="s">
        <v>278</v>
      </c>
    </row>
    <row r="882" spans="1:240" x14ac:dyDescent="0.4">
      <c r="A882" s="4">
        <v>2</v>
      </c>
      <c r="B882" s="4" t="s">
        <v>239</v>
      </c>
      <c r="C882" s="4">
        <v>950</v>
      </c>
      <c r="D882" s="4">
        <v>1</v>
      </c>
      <c r="E882" s="4">
        <v>1</v>
      </c>
      <c r="F882" s="4" t="s">
        <v>240</v>
      </c>
      <c r="G882" s="4" t="s">
        <v>241</v>
      </c>
      <c r="H882" s="4" t="s">
        <v>241</v>
      </c>
      <c r="I882" s="4" t="s">
        <v>2105</v>
      </c>
      <c r="J882" s="4" t="s">
        <v>344</v>
      </c>
      <c r="K882" s="4" t="s">
        <v>256</v>
      </c>
      <c r="L882" s="4" t="s">
        <v>2101</v>
      </c>
      <c r="M882" s="5" t="s">
        <v>2106</v>
      </c>
      <c r="N882" s="4" t="s">
        <v>2110</v>
      </c>
      <c r="O882" s="6">
        <f>377.64</f>
        <v>377.64</v>
      </c>
      <c r="P882" s="4" t="s">
        <v>276</v>
      </c>
      <c r="Q882" s="6">
        <f>1</f>
        <v>1</v>
      </c>
      <c r="R882" s="6">
        <f>37764000</f>
        <v>37764000</v>
      </c>
      <c r="S882" s="5" t="s">
        <v>1045</v>
      </c>
      <c r="T882" s="4" t="s">
        <v>314</v>
      </c>
      <c r="U882" s="4" t="s">
        <v>441</v>
      </c>
      <c r="W882" s="6">
        <f>37763999</f>
        <v>37763999</v>
      </c>
      <c r="X882" s="4" t="s">
        <v>243</v>
      </c>
      <c r="Y882" s="4" t="s">
        <v>244</v>
      </c>
      <c r="Z882" s="4" t="s">
        <v>338</v>
      </c>
      <c r="AA882" s="4" t="s">
        <v>241</v>
      </c>
      <c r="AD882" s="4" t="s">
        <v>241</v>
      </c>
      <c r="AF882" s="5" t="s">
        <v>241</v>
      </c>
      <c r="AI882" s="5" t="s">
        <v>249</v>
      </c>
      <c r="AJ882" s="4" t="s">
        <v>251</v>
      </c>
      <c r="AK882" s="4" t="s">
        <v>252</v>
      </c>
      <c r="BA882" s="4" t="s">
        <v>254</v>
      </c>
      <c r="BB882" s="4" t="s">
        <v>241</v>
      </c>
      <c r="BC882" s="4" t="s">
        <v>255</v>
      </c>
      <c r="BD882" s="4" t="s">
        <v>241</v>
      </c>
      <c r="BE882" s="4" t="s">
        <v>257</v>
      </c>
      <c r="BF882" s="4" t="s">
        <v>241</v>
      </c>
      <c r="BJ882" s="4" t="s">
        <v>367</v>
      </c>
      <c r="BK882" s="5" t="s">
        <v>249</v>
      </c>
      <c r="BL882" s="4" t="s">
        <v>261</v>
      </c>
      <c r="BM882" s="4" t="s">
        <v>262</v>
      </c>
      <c r="BN882" s="4" t="s">
        <v>241</v>
      </c>
      <c r="BO882" s="6">
        <f>0</f>
        <v>0</v>
      </c>
      <c r="BP882" s="6">
        <f>0</f>
        <v>0</v>
      </c>
      <c r="BQ882" s="4" t="s">
        <v>263</v>
      </c>
      <c r="BR882" s="4" t="s">
        <v>264</v>
      </c>
      <c r="CF882" s="4" t="s">
        <v>241</v>
      </c>
      <c r="CG882" s="4" t="s">
        <v>241</v>
      </c>
      <c r="CK882" s="4" t="s">
        <v>265</v>
      </c>
      <c r="CL882" s="4" t="s">
        <v>266</v>
      </c>
      <c r="CM882" s="4" t="s">
        <v>241</v>
      </c>
      <c r="CO882" s="4" t="s">
        <v>724</v>
      </c>
      <c r="CP882" s="5" t="s">
        <v>268</v>
      </c>
      <c r="CQ882" s="4" t="s">
        <v>269</v>
      </c>
      <c r="CR882" s="4" t="s">
        <v>270</v>
      </c>
      <c r="CS882" s="4" t="s">
        <v>241</v>
      </c>
      <c r="CT882" s="4" t="s">
        <v>241</v>
      </c>
      <c r="CU882" s="4">
        <v>0</v>
      </c>
      <c r="CV882" s="4" t="s">
        <v>271</v>
      </c>
      <c r="CW882" s="4" t="s">
        <v>411</v>
      </c>
      <c r="CX882" s="4" t="s">
        <v>347</v>
      </c>
      <c r="CZ882" s="6">
        <f>37764000</f>
        <v>37764000</v>
      </c>
      <c r="DA882" s="6">
        <f>0</f>
        <v>0</v>
      </c>
      <c r="DC882" s="4" t="s">
        <v>241</v>
      </c>
      <c r="DD882" s="4" t="s">
        <v>241</v>
      </c>
      <c r="DF882" s="4" t="s">
        <v>241</v>
      </c>
      <c r="DI882" s="4" t="s">
        <v>241</v>
      </c>
      <c r="DJ882" s="4" t="s">
        <v>241</v>
      </c>
      <c r="DK882" s="4" t="s">
        <v>241</v>
      </c>
      <c r="DL882" s="4" t="s">
        <v>241</v>
      </c>
      <c r="DM882" s="4" t="s">
        <v>323</v>
      </c>
      <c r="DN882" s="4" t="s">
        <v>278</v>
      </c>
      <c r="DO882" s="6">
        <f>377.64</f>
        <v>377.64</v>
      </c>
      <c r="DP882" s="4" t="s">
        <v>241</v>
      </c>
      <c r="DQ882" s="4" t="s">
        <v>241</v>
      </c>
      <c r="DR882" s="4" t="s">
        <v>241</v>
      </c>
      <c r="DS882" s="4" t="s">
        <v>241</v>
      </c>
      <c r="DV882" s="4" t="s">
        <v>2108</v>
      </c>
      <c r="DW882" s="4" t="s">
        <v>297</v>
      </c>
      <c r="HO882" s="4" t="s">
        <v>277</v>
      </c>
      <c r="HR882" s="4" t="s">
        <v>278</v>
      </c>
      <c r="HS882" s="4" t="s">
        <v>278</v>
      </c>
    </row>
    <row r="883" spans="1:240" x14ac:dyDescent="0.4">
      <c r="A883" s="4">
        <v>2</v>
      </c>
      <c r="B883" s="4" t="s">
        <v>239</v>
      </c>
      <c r="C883" s="4">
        <v>951</v>
      </c>
      <c r="D883" s="4">
        <v>1</v>
      </c>
      <c r="E883" s="4">
        <v>3</v>
      </c>
      <c r="F883" s="4" t="s">
        <v>240</v>
      </c>
      <c r="G883" s="4" t="s">
        <v>241</v>
      </c>
      <c r="H883" s="4" t="s">
        <v>241</v>
      </c>
      <c r="I883" s="4" t="s">
        <v>2408</v>
      </c>
      <c r="J883" s="4" t="s">
        <v>344</v>
      </c>
      <c r="K883" s="4" t="s">
        <v>256</v>
      </c>
      <c r="L883" s="4" t="s">
        <v>2101</v>
      </c>
      <c r="M883" s="5" t="s">
        <v>2387</v>
      </c>
      <c r="N883" s="4" t="s">
        <v>2104</v>
      </c>
      <c r="O883" s="6">
        <f>159.72</f>
        <v>159.72</v>
      </c>
      <c r="P883" s="4" t="s">
        <v>276</v>
      </c>
      <c r="Q883" s="6">
        <f>4450446</f>
        <v>4450446</v>
      </c>
      <c r="R883" s="6">
        <f>25874640</f>
        <v>25874640</v>
      </c>
      <c r="S883" s="5" t="s">
        <v>442</v>
      </c>
      <c r="T883" s="4" t="s">
        <v>314</v>
      </c>
      <c r="U883" s="4" t="s">
        <v>401</v>
      </c>
      <c r="V883" s="6">
        <f>1190233</f>
        <v>1190233</v>
      </c>
      <c r="W883" s="6">
        <f>21424194</f>
        <v>21424194</v>
      </c>
      <c r="X883" s="4" t="s">
        <v>243</v>
      </c>
      <c r="Y883" s="4" t="s">
        <v>244</v>
      </c>
      <c r="Z883" s="4" t="s">
        <v>338</v>
      </c>
      <c r="AA883" s="4" t="s">
        <v>241</v>
      </c>
      <c r="AD883" s="4" t="s">
        <v>241</v>
      </c>
      <c r="AE883" s="5" t="s">
        <v>241</v>
      </c>
      <c r="AF883" s="5" t="s">
        <v>241</v>
      </c>
      <c r="AH883" s="5" t="s">
        <v>241</v>
      </c>
      <c r="AI883" s="5" t="s">
        <v>249</v>
      </c>
      <c r="AJ883" s="4" t="s">
        <v>251</v>
      </c>
      <c r="AK883" s="4" t="s">
        <v>252</v>
      </c>
      <c r="AQ883" s="4" t="s">
        <v>241</v>
      </c>
      <c r="AR883" s="4" t="s">
        <v>241</v>
      </c>
      <c r="AS883" s="4" t="s">
        <v>241</v>
      </c>
      <c r="AT883" s="5" t="s">
        <v>241</v>
      </c>
      <c r="AU883" s="5" t="s">
        <v>241</v>
      </c>
      <c r="AV883" s="5" t="s">
        <v>241</v>
      </c>
      <c r="AY883" s="4" t="s">
        <v>286</v>
      </c>
      <c r="AZ883" s="4" t="s">
        <v>286</v>
      </c>
      <c r="BA883" s="4" t="s">
        <v>254</v>
      </c>
      <c r="BB883" s="4" t="s">
        <v>287</v>
      </c>
      <c r="BC883" s="4" t="s">
        <v>255</v>
      </c>
      <c r="BD883" s="4" t="s">
        <v>241</v>
      </c>
      <c r="BE883" s="4" t="s">
        <v>257</v>
      </c>
      <c r="BF883" s="4" t="s">
        <v>241</v>
      </c>
      <c r="BH883" s="4" t="s">
        <v>2107</v>
      </c>
      <c r="BJ883" s="4" t="s">
        <v>288</v>
      </c>
      <c r="BK883" s="5" t="s">
        <v>289</v>
      </c>
      <c r="BL883" s="4" t="s">
        <v>290</v>
      </c>
      <c r="BM883" s="4" t="s">
        <v>290</v>
      </c>
      <c r="BN883" s="4" t="s">
        <v>241</v>
      </c>
      <c r="BO883" s="6">
        <f>0</f>
        <v>0</v>
      </c>
      <c r="BP883" s="6">
        <f>-1190233</f>
        <v>-1190233</v>
      </c>
      <c r="BQ883" s="4" t="s">
        <v>263</v>
      </c>
      <c r="BR883" s="4" t="s">
        <v>264</v>
      </c>
      <c r="BS883" s="4" t="s">
        <v>241</v>
      </c>
      <c r="BT883" s="4" t="s">
        <v>241</v>
      </c>
      <c r="BU883" s="4" t="s">
        <v>241</v>
      </c>
      <c r="BV883" s="4" t="s">
        <v>241</v>
      </c>
      <c r="CE883" s="4" t="s">
        <v>264</v>
      </c>
      <c r="CF883" s="4" t="s">
        <v>241</v>
      </c>
      <c r="CG883" s="4" t="s">
        <v>241</v>
      </c>
      <c r="CK883" s="4" t="s">
        <v>291</v>
      </c>
      <c r="CL883" s="4" t="s">
        <v>266</v>
      </c>
      <c r="CM883" s="4" t="s">
        <v>241</v>
      </c>
      <c r="CO883" s="4" t="s">
        <v>446</v>
      </c>
      <c r="CP883" s="5" t="s">
        <v>268</v>
      </c>
      <c r="CQ883" s="4" t="s">
        <v>269</v>
      </c>
      <c r="CR883" s="4" t="s">
        <v>270</v>
      </c>
      <c r="CS883" s="4" t="s">
        <v>293</v>
      </c>
      <c r="CT883" s="4" t="s">
        <v>241</v>
      </c>
      <c r="CU883" s="4">
        <v>4.5999999999999999E-2</v>
      </c>
      <c r="CV883" s="4" t="s">
        <v>271</v>
      </c>
      <c r="CW883" s="4" t="s">
        <v>411</v>
      </c>
      <c r="CX883" s="4" t="s">
        <v>347</v>
      </c>
      <c r="CY883" s="6">
        <f>0</f>
        <v>0</v>
      </c>
      <c r="CZ883" s="6">
        <f>25874640</f>
        <v>25874640</v>
      </c>
      <c r="DA883" s="6">
        <f>4450446</f>
        <v>4450446</v>
      </c>
      <c r="DC883" s="4" t="s">
        <v>241</v>
      </c>
      <c r="DD883" s="4" t="s">
        <v>241</v>
      </c>
      <c r="DF883" s="4" t="s">
        <v>241</v>
      </c>
      <c r="DG883" s="6">
        <f>0</f>
        <v>0</v>
      </c>
      <c r="DI883" s="4" t="s">
        <v>241</v>
      </c>
      <c r="DJ883" s="4" t="s">
        <v>241</v>
      </c>
      <c r="DK883" s="4" t="s">
        <v>241</v>
      </c>
      <c r="DL883" s="4" t="s">
        <v>241</v>
      </c>
      <c r="DM883" s="4" t="s">
        <v>323</v>
      </c>
      <c r="DN883" s="4" t="s">
        <v>278</v>
      </c>
      <c r="DO883" s="6">
        <f>159.72</f>
        <v>159.72</v>
      </c>
      <c r="DP883" s="4" t="s">
        <v>241</v>
      </c>
      <c r="DQ883" s="4" t="s">
        <v>241</v>
      </c>
      <c r="DR883" s="4" t="s">
        <v>241</v>
      </c>
      <c r="DS883" s="4" t="s">
        <v>241</v>
      </c>
      <c r="DV883" s="4" t="s">
        <v>2409</v>
      </c>
      <c r="DW883" s="4" t="s">
        <v>277</v>
      </c>
      <c r="GN883" s="4" t="s">
        <v>2411</v>
      </c>
      <c r="HO883" s="4" t="s">
        <v>300</v>
      </c>
      <c r="HR883" s="4" t="s">
        <v>278</v>
      </c>
      <c r="HS883" s="4" t="s">
        <v>278</v>
      </c>
      <c r="HT883" s="4" t="s">
        <v>241</v>
      </c>
      <c r="HU883" s="4" t="s">
        <v>241</v>
      </c>
      <c r="HV883" s="4" t="s">
        <v>241</v>
      </c>
      <c r="HW883" s="4" t="s">
        <v>241</v>
      </c>
      <c r="HX883" s="4" t="s">
        <v>241</v>
      </c>
      <c r="HY883" s="4" t="s">
        <v>241</v>
      </c>
      <c r="HZ883" s="4" t="s">
        <v>241</v>
      </c>
      <c r="IA883" s="4" t="s">
        <v>241</v>
      </c>
      <c r="IB883" s="4" t="s">
        <v>241</v>
      </c>
      <c r="IC883" s="4" t="s">
        <v>241</v>
      </c>
      <c r="ID883" s="4" t="s">
        <v>241</v>
      </c>
      <c r="IE883" s="4" t="s">
        <v>241</v>
      </c>
      <c r="IF883" s="4" t="s">
        <v>241</v>
      </c>
    </row>
    <row r="884" spans="1:240" x14ac:dyDescent="0.4">
      <c r="A884" s="4">
        <v>2</v>
      </c>
      <c r="B884" s="4" t="s">
        <v>239</v>
      </c>
      <c r="C884" s="4">
        <v>952</v>
      </c>
      <c r="D884" s="4">
        <v>1</v>
      </c>
      <c r="E884" s="4">
        <v>3</v>
      </c>
      <c r="F884" s="4" t="s">
        <v>240</v>
      </c>
      <c r="G884" s="4" t="s">
        <v>241</v>
      </c>
      <c r="H884" s="4" t="s">
        <v>241</v>
      </c>
      <c r="I884" s="4" t="s">
        <v>2408</v>
      </c>
      <c r="J884" s="4" t="s">
        <v>344</v>
      </c>
      <c r="K884" s="4" t="s">
        <v>256</v>
      </c>
      <c r="L884" s="4" t="s">
        <v>2101</v>
      </c>
      <c r="M884" s="5" t="s">
        <v>2387</v>
      </c>
      <c r="N884" s="4" t="s">
        <v>2109</v>
      </c>
      <c r="O884" s="6">
        <f>159.72</f>
        <v>159.72</v>
      </c>
      <c r="P884" s="4" t="s">
        <v>276</v>
      </c>
      <c r="Q884" s="6">
        <f>5640679</f>
        <v>5640679</v>
      </c>
      <c r="R884" s="6">
        <f>25874640</f>
        <v>25874640</v>
      </c>
      <c r="S884" s="5" t="s">
        <v>771</v>
      </c>
      <c r="T884" s="4" t="s">
        <v>314</v>
      </c>
      <c r="U884" s="4" t="s">
        <v>371</v>
      </c>
      <c r="V884" s="6">
        <f>1190233</f>
        <v>1190233</v>
      </c>
      <c r="W884" s="6">
        <f>20233961</f>
        <v>20233961</v>
      </c>
      <c r="X884" s="4" t="s">
        <v>243</v>
      </c>
      <c r="Y884" s="4" t="s">
        <v>244</v>
      </c>
      <c r="Z884" s="4" t="s">
        <v>338</v>
      </c>
      <c r="AA884" s="4" t="s">
        <v>241</v>
      </c>
      <c r="AD884" s="4" t="s">
        <v>241</v>
      </c>
      <c r="AE884" s="5" t="s">
        <v>241</v>
      </c>
      <c r="AF884" s="5" t="s">
        <v>241</v>
      </c>
      <c r="AH884" s="5" t="s">
        <v>241</v>
      </c>
      <c r="AI884" s="5" t="s">
        <v>249</v>
      </c>
      <c r="AJ884" s="4" t="s">
        <v>251</v>
      </c>
      <c r="AK884" s="4" t="s">
        <v>252</v>
      </c>
      <c r="AQ884" s="4" t="s">
        <v>241</v>
      </c>
      <c r="AR884" s="4" t="s">
        <v>241</v>
      </c>
      <c r="AS884" s="4" t="s">
        <v>241</v>
      </c>
      <c r="AT884" s="5" t="s">
        <v>241</v>
      </c>
      <c r="AU884" s="5" t="s">
        <v>241</v>
      </c>
      <c r="AV884" s="5" t="s">
        <v>241</v>
      </c>
      <c r="AY884" s="4" t="s">
        <v>286</v>
      </c>
      <c r="AZ884" s="4" t="s">
        <v>286</v>
      </c>
      <c r="BA884" s="4" t="s">
        <v>254</v>
      </c>
      <c r="BB884" s="4" t="s">
        <v>287</v>
      </c>
      <c r="BC884" s="4" t="s">
        <v>255</v>
      </c>
      <c r="BD884" s="4" t="s">
        <v>241</v>
      </c>
      <c r="BE884" s="4" t="s">
        <v>257</v>
      </c>
      <c r="BF884" s="4" t="s">
        <v>241</v>
      </c>
      <c r="BJ884" s="4" t="s">
        <v>288</v>
      </c>
      <c r="BK884" s="5" t="s">
        <v>289</v>
      </c>
      <c r="BL884" s="4" t="s">
        <v>290</v>
      </c>
      <c r="BM884" s="4" t="s">
        <v>290</v>
      </c>
      <c r="BN884" s="4" t="s">
        <v>241</v>
      </c>
      <c r="BO884" s="6">
        <f>0</f>
        <v>0</v>
      </c>
      <c r="BP884" s="6">
        <f>-1190233</f>
        <v>-1190233</v>
      </c>
      <c r="BQ884" s="4" t="s">
        <v>263</v>
      </c>
      <c r="BR884" s="4" t="s">
        <v>264</v>
      </c>
      <c r="BS884" s="4" t="s">
        <v>241</v>
      </c>
      <c r="BT884" s="4" t="s">
        <v>241</v>
      </c>
      <c r="BU884" s="4" t="s">
        <v>241</v>
      </c>
      <c r="BV884" s="4" t="s">
        <v>241</v>
      </c>
      <c r="CE884" s="4" t="s">
        <v>264</v>
      </c>
      <c r="CF884" s="4" t="s">
        <v>241</v>
      </c>
      <c r="CG884" s="4" t="s">
        <v>241</v>
      </c>
      <c r="CK884" s="4" t="s">
        <v>291</v>
      </c>
      <c r="CL884" s="4" t="s">
        <v>266</v>
      </c>
      <c r="CM884" s="4" t="s">
        <v>241</v>
      </c>
      <c r="CO884" s="4" t="s">
        <v>407</v>
      </c>
      <c r="CP884" s="5" t="s">
        <v>268</v>
      </c>
      <c r="CQ884" s="4" t="s">
        <v>269</v>
      </c>
      <c r="CR884" s="4" t="s">
        <v>270</v>
      </c>
      <c r="CS884" s="4" t="s">
        <v>293</v>
      </c>
      <c r="CT884" s="4" t="s">
        <v>241</v>
      </c>
      <c r="CU884" s="4">
        <v>4.5999999999999999E-2</v>
      </c>
      <c r="CV884" s="4" t="s">
        <v>271</v>
      </c>
      <c r="CW884" s="4" t="s">
        <v>411</v>
      </c>
      <c r="CX884" s="4" t="s">
        <v>347</v>
      </c>
      <c r="CY884" s="6">
        <f>0</f>
        <v>0</v>
      </c>
      <c r="CZ884" s="6">
        <f>25874640</f>
        <v>25874640</v>
      </c>
      <c r="DA884" s="6">
        <f>5640679</f>
        <v>5640679</v>
      </c>
      <c r="DC884" s="4" t="s">
        <v>241</v>
      </c>
      <c r="DD884" s="4" t="s">
        <v>241</v>
      </c>
      <c r="DF884" s="4" t="s">
        <v>241</v>
      </c>
      <c r="DG884" s="6">
        <f>0</f>
        <v>0</v>
      </c>
      <c r="DI884" s="4" t="s">
        <v>241</v>
      </c>
      <c r="DJ884" s="4" t="s">
        <v>241</v>
      </c>
      <c r="DK884" s="4" t="s">
        <v>241</v>
      </c>
      <c r="DL884" s="4" t="s">
        <v>241</v>
      </c>
      <c r="DM884" s="4" t="s">
        <v>323</v>
      </c>
      <c r="DN884" s="4" t="s">
        <v>278</v>
      </c>
      <c r="DO884" s="6">
        <f>159.72</f>
        <v>159.72</v>
      </c>
      <c r="DP884" s="4" t="s">
        <v>241</v>
      </c>
      <c r="DQ884" s="4" t="s">
        <v>241</v>
      </c>
      <c r="DR884" s="4" t="s">
        <v>241</v>
      </c>
      <c r="DS884" s="4" t="s">
        <v>241</v>
      </c>
      <c r="DV884" s="4" t="s">
        <v>2409</v>
      </c>
      <c r="DW884" s="4" t="s">
        <v>323</v>
      </c>
      <c r="GN884" s="4" t="s">
        <v>2410</v>
      </c>
      <c r="HO884" s="4" t="s">
        <v>300</v>
      </c>
      <c r="HR884" s="4" t="s">
        <v>278</v>
      </c>
      <c r="HS884" s="4" t="s">
        <v>278</v>
      </c>
      <c r="HT884" s="4" t="s">
        <v>241</v>
      </c>
      <c r="HU884" s="4" t="s">
        <v>241</v>
      </c>
      <c r="HV884" s="4" t="s">
        <v>241</v>
      </c>
      <c r="HW884" s="4" t="s">
        <v>241</v>
      </c>
      <c r="HX884" s="4" t="s">
        <v>241</v>
      </c>
      <c r="HY884" s="4" t="s">
        <v>241</v>
      </c>
      <c r="HZ884" s="4" t="s">
        <v>241</v>
      </c>
      <c r="IA884" s="4" t="s">
        <v>241</v>
      </c>
      <c r="IB884" s="4" t="s">
        <v>241</v>
      </c>
      <c r="IC884" s="4" t="s">
        <v>241</v>
      </c>
      <c r="ID884" s="4" t="s">
        <v>241</v>
      </c>
      <c r="IE884" s="4" t="s">
        <v>241</v>
      </c>
      <c r="IF884" s="4" t="s">
        <v>241</v>
      </c>
    </row>
    <row r="885" spans="1:240" x14ac:dyDescent="0.4">
      <c r="A885" s="4">
        <v>2</v>
      </c>
      <c r="B885" s="4" t="s">
        <v>239</v>
      </c>
      <c r="C885" s="4">
        <v>953</v>
      </c>
      <c r="D885" s="4">
        <v>1</v>
      </c>
      <c r="E885" s="4">
        <v>1</v>
      </c>
      <c r="F885" s="4" t="s">
        <v>240</v>
      </c>
      <c r="G885" s="4" t="s">
        <v>241</v>
      </c>
      <c r="H885" s="4" t="s">
        <v>241</v>
      </c>
      <c r="I885" s="4" t="s">
        <v>2111</v>
      </c>
      <c r="J885" s="4" t="s">
        <v>344</v>
      </c>
      <c r="K885" s="4" t="s">
        <v>256</v>
      </c>
      <c r="L885" s="4" t="s">
        <v>2101</v>
      </c>
      <c r="M885" s="5" t="s">
        <v>2112</v>
      </c>
      <c r="N885" s="4" t="s">
        <v>2104</v>
      </c>
      <c r="O885" s="6">
        <f>125.88</f>
        <v>125.88</v>
      </c>
      <c r="P885" s="4" t="s">
        <v>276</v>
      </c>
      <c r="Q885" s="6">
        <f>1</f>
        <v>1</v>
      </c>
      <c r="R885" s="6">
        <f>12588000</f>
        <v>12588000</v>
      </c>
      <c r="S885" s="5" t="s">
        <v>1045</v>
      </c>
      <c r="T885" s="4" t="s">
        <v>314</v>
      </c>
      <c r="U885" s="4" t="s">
        <v>441</v>
      </c>
      <c r="W885" s="6">
        <f>12587999</f>
        <v>12587999</v>
      </c>
      <c r="X885" s="4" t="s">
        <v>243</v>
      </c>
      <c r="Y885" s="4" t="s">
        <v>244</v>
      </c>
      <c r="Z885" s="4" t="s">
        <v>338</v>
      </c>
      <c r="AA885" s="4" t="s">
        <v>241</v>
      </c>
      <c r="AD885" s="4" t="s">
        <v>241</v>
      </c>
      <c r="AF885" s="5" t="s">
        <v>241</v>
      </c>
      <c r="AI885" s="5" t="s">
        <v>249</v>
      </c>
      <c r="AJ885" s="4" t="s">
        <v>251</v>
      </c>
      <c r="AK885" s="4" t="s">
        <v>252</v>
      </c>
      <c r="BA885" s="4" t="s">
        <v>254</v>
      </c>
      <c r="BB885" s="4" t="s">
        <v>241</v>
      </c>
      <c r="BC885" s="4" t="s">
        <v>255</v>
      </c>
      <c r="BD885" s="4" t="s">
        <v>241</v>
      </c>
      <c r="BE885" s="4" t="s">
        <v>257</v>
      </c>
      <c r="BF885" s="4" t="s">
        <v>241</v>
      </c>
      <c r="BJ885" s="4" t="s">
        <v>259</v>
      </c>
      <c r="BK885" s="5" t="s">
        <v>260</v>
      </c>
      <c r="BL885" s="4" t="s">
        <v>261</v>
      </c>
      <c r="BM885" s="4" t="s">
        <v>262</v>
      </c>
      <c r="BN885" s="4" t="s">
        <v>241</v>
      </c>
      <c r="BO885" s="6">
        <f>0</f>
        <v>0</v>
      </c>
      <c r="BP885" s="6">
        <f>0</f>
        <v>0</v>
      </c>
      <c r="BQ885" s="4" t="s">
        <v>263</v>
      </c>
      <c r="BR885" s="4" t="s">
        <v>264</v>
      </c>
      <c r="CF885" s="4" t="s">
        <v>241</v>
      </c>
      <c r="CG885" s="4" t="s">
        <v>241</v>
      </c>
      <c r="CK885" s="4" t="s">
        <v>265</v>
      </c>
      <c r="CL885" s="4" t="s">
        <v>266</v>
      </c>
      <c r="CM885" s="4" t="s">
        <v>241</v>
      </c>
      <c r="CO885" s="4" t="s">
        <v>724</v>
      </c>
      <c r="CP885" s="5" t="s">
        <v>268</v>
      </c>
      <c r="CQ885" s="4" t="s">
        <v>269</v>
      </c>
      <c r="CR885" s="4" t="s">
        <v>270</v>
      </c>
      <c r="CS885" s="4" t="s">
        <v>241</v>
      </c>
      <c r="CT885" s="4" t="s">
        <v>241</v>
      </c>
      <c r="CU885" s="4">
        <v>0</v>
      </c>
      <c r="CV885" s="4" t="s">
        <v>271</v>
      </c>
      <c r="CW885" s="4" t="s">
        <v>411</v>
      </c>
      <c r="CX885" s="4" t="s">
        <v>347</v>
      </c>
      <c r="CZ885" s="6">
        <f>12588000</f>
        <v>12588000</v>
      </c>
      <c r="DA885" s="6">
        <f>0</f>
        <v>0</v>
      </c>
      <c r="DC885" s="4" t="s">
        <v>241</v>
      </c>
      <c r="DD885" s="4" t="s">
        <v>241</v>
      </c>
      <c r="DF885" s="4" t="s">
        <v>241</v>
      </c>
      <c r="DI885" s="4" t="s">
        <v>241</v>
      </c>
      <c r="DJ885" s="4" t="s">
        <v>241</v>
      </c>
      <c r="DK885" s="4" t="s">
        <v>241</v>
      </c>
      <c r="DL885" s="4" t="s">
        <v>241</v>
      </c>
      <c r="DM885" s="4" t="s">
        <v>323</v>
      </c>
      <c r="DN885" s="4" t="s">
        <v>278</v>
      </c>
      <c r="DO885" s="6">
        <f>125.88</f>
        <v>125.88</v>
      </c>
      <c r="DP885" s="4" t="s">
        <v>241</v>
      </c>
      <c r="DQ885" s="4" t="s">
        <v>241</v>
      </c>
      <c r="DR885" s="4" t="s">
        <v>241</v>
      </c>
      <c r="DS885" s="4" t="s">
        <v>241</v>
      </c>
      <c r="DV885" s="4" t="s">
        <v>2113</v>
      </c>
      <c r="DW885" s="4" t="s">
        <v>277</v>
      </c>
      <c r="HO885" s="4" t="s">
        <v>277</v>
      </c>
      <c r="HR885" s="4" t="s">
        <v>278</v>
      </c>
      <c r="HS885" s="4" t="s">
        <v>278</v>
      </c>
    </row>
    <row r="886" spans="1:240" x14ac:dyDescent="0.4">
      <c r="A886" s="4">
        <v>2</v>
      </c>
      <c r="B886" s="4" t="s">
        <v>239</v>
      </c>
      <c r="C886" s="4">
        <v>954</v>
      </c>
      <c r="D886" s="4">
        <v>1</v>
      </c>
      <c r="E886" s="4">
        <v>1</v>
      </c>
      <c r="F886" s="4" t="s">
        <v>240</v>
      </c>
      <c r="G886" s="4" t="s">
        <v>241</v>
      </c>
      <c r="H886" s="4" t="s">
        <v>241</v>
      </c>
      <c r="I886" s="4" t="s">
        <v>2111</v>
      </c>
      <c r="J886" s="4" t="s">
        <v>344</v>
      </c>
      <c r="K886" s="4" t="s">
        <v>256</v>
      </c>
      <c r="L886" s="4" t="s">
        <v>2101</v>
      </c>
      <c r="M886" s="5" t="s">
        <v>2112</v>
      </c>
      <c r="N886" s="4" t="s">
        <v>2109</v>
      </c>
      <c r="O886" s="6">
        <f>125.88</f>
        <v>125.88</v>
      </c>
      <c r="P886" s="4" t="s">
        <v>276</v>
      </c>
      <c r="Q886" s="6">
        <f>1</f>
        <v>1</v>
      </c>
      <c r="R886" s="6">
        <f>12588000</f>
        <v>12588000</v>
      </c>
      <c r="S886" s="5" t="s">
        <v>1045</v>
      </c>
      <c r="T886" s="4" t="s">
        <v>314</v>
      </c>
      <c r="U886" s="4" t="s">
        <v>441</v>
      </c>
      <c r="W886" s="6">
        <f>12587999</f>
        <v>12587999</v>
      </c>
      <c r="X886" s="4" t="s">
        <v>243</v>
      </c>
      <c r="Y886" s="4" t="s">
        <v>244</v>
      </c>
      <c r="Z886" s="4" t="s">
        <v>338</v>
      </c>
      <c r="AA886" s="4" t="s">
        <v>241</v>
      </c>
      <c r="AD886" s="4" t="s">
        <v>241</v>
      </c>
      <c r="AF886" s="5" t="s">
        <v>241</v>
      </c>
      <c r="AI886" s="5" t="s">
        <v>249</v>
      </c>
      <c r="AJ886" s="4" t="s">
        <v>251</v>
      </c>
      <c r="AK886" s="4" t="s">
        <v>252</v>
      </c>
      <c r="BA886" s="4" t="s">
        <v>254</v>
      </c>
      <c r="BB886" s="4" t="s">
        <v>241</v>
      </c>
      <c r="BC886" s="4" t="s">
        <v>255</v>
      </c>
      <c r="BD886" s="4" t="s">
        <v>241</v>
      </c>
      <c r="BE886" s="4" t="s">
        <v>257</v>
      </c>
      <c r="BF886" s="4" t="s">
        <v>241</v>
      </c>
      <c r="BJ886" s="4" t="s">
        <v>367</v>
      </c>
      <c r="BK886" s="5" t="s">
        <v>249</v>
      </c>
      <c r="BL886" s="4" t="s">
        <v>261</v>
      </c>
      <c r="BM886" s="4" t="s">
        <v>262</v>
      </c>
      <c r="BN886" s="4" t="s">
        <v>241</v>
      </c>
      <c r="BO886" s="6">
        <f>0</f>
        <v>0</v>
      </c>
      <c r="BP886" s="6">
        <f>0</f>
        <v>0</v>
      </c>
      <c r="BQ886" s="4" t="s">
        <v>263</v>
      </c>
      <c r="BR886" s="4" t="s">
        <v>264</v>
      </c>
      <c r="CF886" s="4" t="s">
        <v>241</v>
      </c>
      <c r="CG886" s="4" t="s">
        <v>241</v>
      </c>
      <c r="CK886" s="4" t="s">
        <v>265</v>
      </c>
      <c r="CL886" s="4" t="s">
        <v>266</v>
      </c>
      <c r="CM886" s="4" t="s">
        <v>241</v>
      </c>
      <c r="CO886" s="4" t="s">
        <v>724</v>
      </c>
      <c r="CP886" s="5" t="s">
        <v>268</v>
      </c>
      <c r="CQ886" s="4" t="s">
        <v>269</v>
      </c>
      <c r="CR886" s="4" t="s">
        <v>270</v>
      </c>
      <c r="CS886" s="4" t="s">
        <v>241</v>
      </c>
      <c r="CT886" s="4" t="s">
        <v>241</v>
      </c>
      <c r="CU886" s="4">
        <v>0</v>
      </c>
      <c r="CV886" s="4" t="s">
        <v>271</v>
      </c>
      <c r="CW886" s="4" t="s">
        <v>411</v>
      </c>
      <c r="CX886" s="4" t="s">
        <v>347</v>
      </c>
      <c r="CZ886" s="6">
        <f>12588000</f>
        <v>12588000</v>
      </c>
      <c r="DA886" s="6">
        <f>0</f>
        <v>0</v>
      </c>
      <c r="DC886" s="4" t="s">
        <v>241</v>
      </c>
      <c r="DD886" s="4" t="s">
        <v>241</v>
      </c>
      <c r="DF886" s="4" t="s">
        <v>241</v>
      </c>
      <c r="DI886" s="4" t="s">
        <v>241</v>
      </c>
      <c r="DJ886" s="4" t="s">
        <v>241</v>
      </c>
      <c r="DK886" s="4" t="s">
        <v>241</v>
      </c>
      <c r="DL886" s="4" t="s">
        <v>241</v>
      </c>
      <c r="DM886" s="4" t="s">
        <v>323</v>
      </c>
      <c r="DN886" s="4" t="s">
        <v>278</v>
      </c>
      <c r="DO886" s="6">
        <f>125.88</f>
        <v>125.88</v>
      </c>
      <c r="DP886" s="4" t="s">
        <v>241</v>
      </c>
      <c r="DQ886" s="4" t="s">
        <v>241</v>
      </c>
      <c r="DR886" s="4" t="s">
        <v>241</v>
      </c>
      <c r="DS886" s="4" t="s">
        <v>241</v>
      </c>
      <c r="DV886" s="4" t="s">
        <v>2113</v>
      </c>
      <c r="DW886" s="4" t="s">
        <v>323</v>
      </c>
      <c r="HO886" s="4" t="s">
        <v>277</v>
      </c>
      <c r="HR886" s="4" t="s">
        <v>278</v>
      </c>
      <c r="HS886" s="4" t="s">
        <v>278</v>
      </c>
    </row>
    <row r="887" spans="1:240" x14ac:dyDescent="0.4">
      <c r="A887" s="4">
        <v>2</v>
      </c>
      <c r="B887" s="4" t="s">
        <v>239</v>
      </c>
      <c r="C887" s="4">
        <v>955</v>
      </c>
      <c r="D887" s="4">
        <v>1</v>
      </c>
      <c r="E887" s="4">
        <v>1</v>
      </c>
      <c r="F887" s="4" t="s">
        <v>240</v>
      </c>
      <c r="G887" s="4" t="s">
        <v>241</v>
      </c>
      <c r="H887" s="4" t="s">
        <v>241</v>
      </c>
      <c r="I887" s="4" t="s">
        <v>2111</v>
      </c>
      <c r="J887" s="4" t="s">
        <v>344</v>
      </c>
      <c r="K887" s="4" t="s">
        <v>256</v>
      </c>
      <c r="L887" s="4" t="s">
        <v>2101</v>
      </c>
      <c r="M887" s="5" t="s">
        <v>2112</v>
      </c>
      <c r="N887" s="4" t="s">
        <v>2110</v>
      </c>
      <c r="O887" s="6">
        <f>125.88</f>
        <v>125.88</v>
      </c>
      <c r="P887" s="4" t="s">
        <v>276</v>
      </c>
      <c r="Q887" s="6">
        <f>1</f>
        <v>1</v>
      </c>
      <c r="R887" s="6">
        <f>12588000</f>
        <v>12588000</v>
      </c>
      <c r="S887" s="5" t="s">
        <v>1045</v>
      </c>
      <c r="T887" s="4" t="s">
        <v>314</v>
      </c>
      <c r="U887" s="4" t="s">
        <v>441</v>
      </c>
      <c r="W887" s="6">
        <f>12587999</f>
        <v>12587999</v>
      </c>
      <c r="X887" s="4" t="s">
        <v>243</v>
      </c>
      <c r="Y887" s="4" t="s">
        <v>244</v>
      </c>
      <c r="Z887" s="4" t="s">
        <v>338</v>
      </c>
      <c r="AA887" s="4" t="s">
        <v>241</v>
      </c>
      <c r="AD887" s="4" t="s">
        <v>241</v>
      </c>
      <c r="AF887" s="5" t="s">
        <v>241</v>
      </c>
      <c r="AI887" s="5" t="s">
        <v>249</v>
      </c>
      <c r="AJ887" s="4" t="s">
        <v>251</v>
      </c>
      <c r="AK887" s="4" t="s">
        <v>252</v>
      </c>
      <c r="BA887" s="4" t="s">
        <v>254</v>
      </c>
      <c r="BB887" s="4" t="s">
        <v>241</v>
      </c>
      <c r="BC887" s="4" t="s">
        <v>255</v>
      </c>
      <c r="BD887" s="4" t="s">
        <v>241</v>
      </c>
      <c r="BE887" s="4" t="s">
        <v>257</v>
      </c>
      <c r="BF887" s="4" t="s">
        <v>241</v>
      </c>
      <c r="BJ887" s="4" t="s">
        <v>374</v>
      </c>
      <c r="BK887" s="5" t="s">
        <v>375</v>
      </c>
      <c r="BL887" s="4" t="s">
        <v>261</v>
      </c>
      <c r="BM887" s="4" t="s">
        <v>262</v>
      </c>
      <c r="BN887" s="4" t="s">
        <v>241</v>
      </c>
      <c r="BO887" s="6">
        <f>0</f>
        <v>0</v>
      </c>
      <c r="BP887" s="6">
        <f>0</f>
        <v>0</v>
      </c>
      <c r="BQ887" s="4" t="s">
        <v>263</v>
      </c>
      <c r="BR887" s="4" t="s">
        <v>264</v>
      </c>
      <c r="CF887" s="4" t="s">
        <v>241</v>
      </c>
      <c r="CG887" s="4" t="s">
        <v>241</v>
      </c>
      <c r="CK887" s="4" t="s">
        <v>265</v>
      </c>
      <c r="CL887" s="4" t="s">
        <v>266</v>
      </c>
      <c r="CM887" s="4" t="s">
        <v>241</v>
      </c>
      <c r="CO887" s="4" t="s">
        <v>724</v>
      </c>
      <c r="CP887" s="5" t="s">
        <v>268</v>
      </c>
      <c r="CQ887" s="4" t="s">
        <v>269</v>
      </c>
      <c r="CR887" s="4" t="s">
        <v>270</v>
      </c>
      <c r="CS887" s="4" t="s">
        <v>241</v>
      </c>
      <c r="CT887" s="4" t="s">
        <v>241</v>
      </c>
      <c r="CU887" s="4">
        <v>0</v>
      </c>
      <c r="CV887" s="4" t="s">
        <v>271</v>
      </c>
      <c r="CW887" s="4" t="s">
        <v>411</v>
      </c>
      <c r="CX887" s="4" t="s">
        <v>347</v>
      </c>
      <c r="CZ887" s="6">
        <f>12588000</f>
        <v>12588000</v>
      </c>
      <c r="DA887" s="6">
        <f>0</f>
        <v>0</v>
      </c>
      <c r="DC887" s="4" t="s">
        <v>241</v>
      </c>
      <c r="DD887" s="4" t="s">
        <v>241</v>
      </c>
      <c r="DF887" s="4" t="s">
        <v>241</v>
      </c>
      <c r="DI887" s="4" t="s">
        <v>241</v>
      </c>
      <c r="DJ887" s="4" t="s">
        <v>241</v>
      </c>
      <c r="DK887" s="4" t="s">
        <v>241</v>
      </c>
      <c r="DL887" s="4" t="s">
        <v>241</v>
      </c>
      <c r="DM887" s="4" t="s">
        <v>323</v>
      </c>
      <c r="DN887" s="4" t="s">
        <v>278</v>
      </c>
      <c r="DO887" s="6">
        <f>125.88</f>
        <v>125.88</v>
      </c>
      <c r="DP887" s="4" t="s">
        <v>241</v>
      </c>
      <c r="DQ887" s="4" t="s">
        <v>241</v>
      </c>
      <c r="DR887" s="4" t="s">
        <v>241</v>
      </c>
      <c r="DS887" s="4" t="s">
        <v>241</v>
      </c>
      <c r="DV887" s="4" t="s">
        <v>2113</v>
      </c>
      <c r="DW887" s="4" t="s">
        <v>297</v>
      </c>
      <c r="HO887" s="4" t="s">
        <v>277</v>
      </c>
      <c r="HR887" s="4" t="s">
        <v>278</v>
      </c>
      <c r="HS887" s="4" t="s">
        <v>278</v>
      </c>
    </row>
    <row r="888" spans="1:240" x14ac:dyDescent="0.4">
      <c r="A888" s="4">
        <v>2</v>
      </c>
      <c r="B888" s="4" t="s">
        <v>239</v>
      </c>
      <c r="C888" s="4">
        <v>956</v>
      </c>
      <c r="D888" s="4">
        <v>1</v>
      </c>
      <c r="E888" s="4">
        <v>3</v>
      </c>
      <c r="F888" s="4" t="s">
        <v>240</v>
      </c>
      <c r="G888" s="4" t="s">
        <v>241</v>
      </c>
      <c r="H888" s="4" t="s">
        <v>241</v>
      </c>
      <c r="I888" s="4" t="s">
        <v>2397</v>
      </c>
      <c r="J888" s="4" t="s">
        <v>344</v>
      </c>
      <c r="K888" s="4" t="s">
        <v>256</v>
      </c>
      <c r="L888" s="4" t="s">
        <v>2101</v>
      </c>
      <c r="M888" s="5" t="s">
        <v>2399</v>
      </c>
      <c r="N888" s="4" t="s">
        <v>2104</v>
      </c>
      <c r="O888" s="6">
        <f>158.62</f>
        <v>158.62</v>
      </c>
      <c r="P888" s="4" t="s">
        <v>276</v>
      </c>
      <c r="Q888" s="6">
        <f>2208000</f>
        <v>2208000</v>
      </c>
      <c r="R888" s="6">
        <f>27599880</f>
        <v>27599880</v>
      </c>
      <c r="S888" s="5" t="s">
        <v>1241</v>
      </c>
      <c r="T888" s="4" t="s">
        <v>314</v>
      </c>
      <c r="U888" s="4" t="s">
        <v>379</v>
      </c>
      <c r="V888" s="6">
        <f>1269594</f>
        <v>1269594</v>
      </c>
      <c r="W888" s="6">
        <f>25391880</f>
        <v>25391880</v>
      </c>
      <c r="X888" s="4" t="s">
        <v>243</v>
      </c>
      <c r="Y888" s="4" t="s">
        <v>244</v>
      </c>
      <c r="Z888" s="4" t="s">
        <v>338</v>
      </c>
      <c r="AA888" s="4" t="s">
        <v>241</v>
      </c>
      <c r="AD888" s="4" t="s">
        <v>241</v>
      </c>
      <c r="AE888" s="5" t="s">
        <v>241</v>
      </c>
      <c r="AF888" s="5" t="s">
        <v>241</v>
      </c>
      <c r="AH888" s="5" t="s">
        <v>241</v>
      </c>
      <c r="AI888" s="5" t="s">
        <v>249</v>
      </c>
      <c r="AJ888" s="4" t="s">
        <v>251</v>
      </c>
      <c r="AK888" s="4" t="s">
        <v>252</v>
      </c>
      <c r="AQ888" s="4" t="s">
        <v>241</v>
      </c>
      <c r="AR888" s="4" t="s">
        <v>241</v>
      </c>
      <c r="AS888" s="4" t="s">
        <v>241</v>
      </c>
      <c r="AT888" s="5" t="s">
        <v>241</v>
      </c>
      <c r="AU888" s="5" t="s">
        <v>241</v>
      </c>
      <c r="AV888" s="5" t="s">
        <v>241</v>
      </c>
      <c r="AY888" s="4" t="s">
        <v>286</v>
      </c>
      <c r="AZ888" s="4" t="s">
        <v>286</v>
      </c>
      <c r="BA888" s="4" t="s">
        <v>254</v>
      </c>
      <c r="BB888" s="4" t="s">
        <v>287</v>
      </c>
      <c r="BC888" s="4" t="s">
        <v>255</v>
      </c>
      <c r="BD888" s="4" t="s">
        <v>241</v>
      </c>
      <c r="BE888" s="4" t="s">
        <v>257</v>
      </c>
      <c r="BF888" s="4" t="s">
        <v>241</v>
      </c>
      <c r="BJ888" s="4" t="s">
        <v>288</v>
      </c>
      <c r="BK888" s="5" t="s">
        <v>289</v>
      </c>
      <c r="BL888" s="4" t="s">
        <v>290</v>
      </c>
      <c r="BM888" s="4" t="s">
        <v>290</v>
      </c>
      <c r="BN888" s="4" t="s">
        <v>241</v>
      </c>
      <c r="BO888" s="6">
        <f>0</f>
        <v>0</v>
      </c>
      <c r="BP888" s="6">
        <f>-1269594</f>
        <v>-1269594</v>
      </c>
      <c r="BQ888" s="4" t="s">
        <v>263</v>
      </c>
      <c r="BR888" s="4" t="s">
        <v>264</v>
      </c>
      <c r="BS888" s="4" t="s">
        <v>241</v>
      </c>
      <c r="BT888" s="4" t="s">
        <v>241</v>
      </c>
      <c r="BU888" s="4" t="s">
        <v>241</v>
      </c>
      <c r="BV888" s="4" t="s">
        <v>241</v>
      </c>
      <c r="CE888" s="4" t="s">
        <v>264</v>
      </c>
      <c r="CF888" s="4" t="s">
        <v>241</v>
      </c>
      <c r="CG888" s="4" t="s">
        <v>241</v>
      </c>
      <c r="CK888" s="4" t="s">
        <v>291</v>
      </c>
      <c r="CL888" s="4" t="s">
        <v>266</v>
      </c>
      <c r="CM888" s="4" t="s">
        <v>241</v>
      </c>
      <c r="CO888" s="4" t="s">
        <v>1127</v>
      </c>
      <c r="CP888" s="5" t="s">
        <v>268</v>
      </c>
      <c r="CQ888" s="4" t="s">
        <v>269</v>
      </c>
      <c r="CR888" s="4" t="s">
        <v>270</v>
      </c>
      <c r="CS888" s="4" t="s">
        <v>293</v>
      </c>
      <c r="CT888" s="4" t="s">
        <v>241</v>
      </c>
      <c r="CU888" s="4">
        <v>4.5999999999999999E-2</v>
      </c>
      <c r="CV888" s="4" t="s">
        <v>271</v>
      </c>
      <c r="CW888" s="4" t="s">
        <v>411</v>
      </c>
      <c r="CX888" s="4" t="s">
        <v>347</v>
      </c>
      <c r="CY888" s="6">
        <f>0</f>
        <v>0</v>
      </c>
      <c r="CZ888" s="6">
        <f>27599880</f>
        <v>27599880</v>
      </c>
      <c r="DA888" s="6">
        <f>2208000</f>
        <v>2208000</v>
      </c>
      <c r="DC888" s="4" t="s">
        <v>241</v>
      </c>
      <c r="DD888" s="4" t="s">
        <v>241</v>
      </c>
      <c r="DF888" s="4" t="s">
        <v>241</v>
      </c>
      <c r="DG888" s="6">
        <f>0</f>
        <v>0</v>
      </c>
      <c r="DI888" s="4" t="s">
        <v>241</v>
      </c>
      <c r="DJ888" s="4" t="s">
        <v>241</v>
      </c>
      <c r="DK888" s="4" t="s">
        <v>241</v>
      </c>
      <c r="DL888" s="4" t="s">
        <v>241</v>
      </c>
      <c r="DM888" s="4" t="s">
        <v>323</v>
      </c>
      <c r="DN888" s="4" t="s">
        <v>278</v>
      </c>
      <c r="DO888" s="6">
        <f>158.62</f>
        <v>158.62</v>
      </c>
      <c r="DP888" s="4" t="s">
        <v>241</v>
      </c>
      <c r="DQ888" s="4" t="s">
        <v>241</v>
      </c>
      <c r="DR888" s="4" t="s">
        <v>241</v>
      </c>
      <c r="DS888" s="4" t="s">
        <v>241</v>
      </c>
      <c r="DV888" s="4" t="s">
        <v>2400</v>
      </c>
      <c r="DW888" s="4" t="s">
        <v>277</v>
      </c>
      <c r="GN888" s="4" t="s">
        <v>2407</v>
      </c>
      <c r="HO888" s="4" t="s">
        <v>300</v>
      </c>
      <c r="HR888" s="4" t="s">
        <v>278</v>
      </c>
      <c r="HS888" s="4" t="s">
        <v>278</v>
      </c>
      <c r="HT888" s="4" t="s">
        <v>241</v>
      </c>
      <c r="HU888" s="4" t="s">
        <v>241</v>
      </c>
      <c r="HV888" s="4" t="s">
        <v>241</v>
      </c>
      <c r="HW888" s="4" t="s">
        <v>241</v>
      </c>
      <c r="HX888" s="4" t="s">
        <v>241</v>
      </c>
      <c r="HY888" s="4" t="s">
        <v>241</v>
      </c>
      <c r="HZ888" s="4" t="s">
        <v>241</v>
      </c>
      <c r="IA888" s="4" t="s">
        <v>241</v>
      </c>
      <c r="IB888" s="4" t="s">
        <v>241</v>
      </c>
      <c r="IC888" s="4" t="s">
        <v>241</v>
      </c>
      <c r="ID888" s="4" t="s">
        <v>241</v>
      </c>
      <c r="IE888" s="4" t="s">
        <v>241</v>
      </c>
      <c r="IF888" s="4" t="s">
        <v>241</v>
      </c>
    </row>
    <row r="889" spans="1:240" x14ac:dyDescent="0.4">
      <c r="A889" s="4">
        <v>2</v>
      </c>
      <c r="B889" s="4" t="s">
        <v>239</v>
      </c>
      <c r="C889" s="4">
        <v>957</v>
      </c>
      <c r="D889" s="4">
        <v>1</v>
      </c>
      <c r="E889" s="4">
        <v>3</v>
      </c>
      <c r="F889" s="4" t="s">
        <v>240</v>
      </c>
      <c r="G889" s="4" t="s">
        <v>241</v>
      </c>
      <c r="H889" s="4" t="s">
        <v>241</v>
      </c>
      <c r="I889" s="4" t="s">
        <v>2397</v>
      </c>
      <c r="J889" s="4" t="s">
        <v>344</v>
      </c>
      <c r="K889" s="4" t="s">
        <v>256</v>
      </c>
      <c r="L889" s="4" t="s">
        <v>2101</v>
      </c>
      <c r="M889" s="5" t="s">
        <v>2399</v>
      </c>
      <c r="N889" s="4" t="s">
        <v>2109</v>
      </c>
      <c r="O889" s="6">
        <f>158.62</f>
        <v>158.62</v>
      </c>
      <c r="P889" s="4" t="s">
        <v>276</v>
      </c>
      <c r="Q889" s="6">
        <f>2208000</f>
        <v>2208000</v>
      </c>
      <c r="R889" s="6">
        <f>27599880</f>
        <v>27599880</v>
      </c>
      <c r="S889" s="5" t="s">
        <v>1241</v>
      </c>
      <c r="T889" s="4" t="s">
        <v>314</v>
      </c>
      <c r="U889" s="4" t="s">
        <v>379</v>
      </c>
      <c r="V889" s="6">
        <f>1269594</f>
        <v>1269594</v>
      </c>
      <c r="W889" s="6">
        <f>25391880</f>
        <v>25391880</v>
      </c>
      <c r="X889" s="4" t="s">
        <v>243</v>
      </c>
      <c r="Y889" s="4" t="s">
        <v>244</v>
      </c>
      <c r="Z889" s="4" t="s">
        <v>338</v>
      </c>
      <c r="AA889" s="4" t="s">
        <v>241</v>
      </c>
      <c r="AD889" s="4" t="s">
        <v>241</v>
      </c>
      <c r="AE889" s="5" t="s">
        <v>241</v>
      </c>
      <c r="AF889" s="5" t="s">
        <v>241</v>
      </c>
      <c r="AH889" s="5" t="s">
        <v>241</v>
      </c>
      <c r="AI889" s="5" t="s">
        <v>249</v>
      </c>
      <c r="AJ889" s="4" t="s">
        <v>251</v>
      </c>
      <c r="AK889" s="4" t="s">
        <v>252</v>
      </c>
      <c r="AQ889" s="4" t="s">
        <v>241</v>
      </c>
      <c r="AR889" s="4" t="s">
        <v>241</v>
      </c>
      <c r="AS889" s="4" t="s">
        <v>241</v>
      </c>
      <c r="AT889" s="5" t="s">
        <v>241</v>
      </c>
      <c r="AU889" s="5" t="s">
        <v>241</v>
      </c>
      <c r="AV889" s="5" t="s">
        <v>241</v>
      </c>
      <c r="AY889" s="4" t="s">
        <v>286</v>
      </c>
      <c r="AZ889" s="4" t="s">
        <v>286</v>
      </c>
      <c r="BA889" s="4" t="s">
        <v>254</v>
      </c>
      <c r="BB889" s="4" t="s">
        <v>287</v>
      </c>
      <c r="BC889" s="4" t="s">
        <v>255</v>
      </c>
      <c r="BD889" s="4" t="s">
        <v>241</v>
      </c>
      <c r="BE889" s="4" t="s">
        <v>257</v>
      </c>
      <c r="BF889" s="4" t="s">
        <v>241</v>
      </c>
      <c r="BJ889" s="4" t="s">
        <v>288</v>
      </c>
      <c r="BK889" s="5" t="s">
        <v>289</v>
      </c>
      <c r="BL889" s="4" t="s">
        <v>290</v>
      </c>
      <c r="BM889" s="4" t="s">
        <v>290</v>
      </c>
      <c r="BN889" s="4" t="s">
        <v>241</v>
      </c>
      <c r="BO889" s="6">
        <f>0</f>
        <v>0</v>
      </c>
      <c r="BP889" s="6">
        <f>-1269594</f>
        <v>-1269594</v>
      </c>
      <c r="BQ889" s="4" t="s">
        <v>263</v>
      </c>
      <c r="BR889" s="4" t="s">
        <v>264</v>
      </c>
      <c r="BS889" s="4" t="s">
        <v>241</v>
      </c>
      <c r="BT889" s="4" t="s">
        <v>241</v>
      </c>
      <c r="BU889" s="4" t="s">
        <v>241</v>
      </c>
      <c r="BV889" s="4" t="s">
        <v>241</v>
      </c>
      <c r="CE889" s="4" t="s">
        <v>264</v>
      </c>
      <c r="CF889" s="4" t="s">
        <v>241</v>
      </c>
      <c r="CG889" s="4" t="s">
        <v>241</v>
      </c>
      <c r="CK889" s="4" t="s">
        <v>291</v>
      </c>
      <c r="CL889" s="4" t="s">
        <v>266</v>
      </c>
      <c r="CM889" s="4" t="s">
        <v>241</v>
      </c>
      <c r="CO889" s="4" t="s">
        <v>1127</v>
      </c>
      <c r="CP889" s="5" t="s">
        <v>268</v>
      </c>
      <c r="CQ889" s="4" t="s">
        <v>269</v>
      </c>
      <c r="CR889" s="4" t="s">
        <v>270</v>
      </c>
      <c r="CS889" s="4" t="s">
        <v>293</v>
      </c>
      <c r="CT889" s="4" t="s">
        <v>241</v>
      </c>
      <c r="CU889" s="4">
        <v>4.5999999999999999E-2</v>
      </c>
      <c r="CV889" s="4" t="s">
        <v>271</v>
      </c>
      <c r="CW889" s="4" t="s">
        <v>411</v>
      </c>
      <c r="CX889" s="4" t="s">
        <v>347</v>
      </c>
      <c r="CY889" s="6">
        <f>0</f>
        <v>0</v>
      </c>
      <c r="CZ889" s="6">
        <f>27599880</f>
        <v>27599880</v>
      </c>
      <c r="DA889" s="6">
        <f>2208000</f>
        <v>2208000</v>
      </c>
      <c r="DC889" s="4" t="s">
        <v>241</v>
      </c>
      <c r="DD889" s="4" t="s">
        <v>241</v>
      </c>
      <c r="DF889" s="4" t="s">
        <v>241</v>
      </c>
      <c r="DG889" s="6">
        <f>0</f>
        <v>0</v>
      </c>
      <c r="DI889" s="4" t="s">
        <v>241</v>
      </c>
      <c r="DJ889" s="4" t="s">
        <v>241</v>
      </c>
      <c r="DK889" s="4" t="s">
        <v>241</v>
      </c>
      <c r="DL889" s="4" t="s">
        <v>241</v>
      </c>
      <c r="DM889" s="4" t="s">
        <v>323</v>
      </c>
      <c r="DN889" s="4" t="s">
        <v>278</v>
      </c>
      <c r="DO889" s="6">
        <f>158.62</f>
        <v>158.62</v>
      </c>
      <c r="DP889" s="4" t="s">
        <v>241</v>
      </c>
      <c r="DQ889" s="4" t="s">
        <v>241</v>
      </c>
      <c r="DR889" s="4" t="s">
        <v>241</v>
      </c>
      <c r="DS889" s="4" t="s">
        <v>241</v>
      </c>
      <c r="DV889" s="4" t="s">
        <v>2400</v>
      </c>
      <c r="DW889" s="4" t="s">
        <v>323</v>
      </c>
      <c r="GN889" s="4" t="s">
        <v>2406</v>
      </c>
      <c r="HO889" s="4" t="s">
        <v>300</v>
      </c>
      <c r="HR889" s="4" t="s">
        <v>278</v>
      </c>
      <c r="HS889" s="4" t="s">
        <v>278</v>
      </c>
      <c r="HT889" s="4" t="s">
        <v>241</v>
      </c>
      <c r="HU889" s="4" t="s">
        <v>241</v>
      </c>
      <c r="HV889" s="4" t="s">
        <v>241</v>
      </c>
      <c r="HW889" s="4" t="s">
        <v>241</v>
      </c>
      <c r="HX889" s="4" t="s">
        <v>241</v>
      </c>
      <c r="HY889" s="4" t="s">
        <v>241</v>
      </c>
      <c r="HZ889" s="4" t="s">
        <v>241</v>
      </c>
      <c r="IA889" s="4" t="s">
        <v>241</v>
      </c>
      <c r="IB889" s="4" t="s">
        <v>241</v>
      </c>
      <c r="IC889" s="4" t="s">
        <v>241</v>
      </c>
      <c r="ID889" s="4" t="s">
        <v>241</v>
      </c>
      <c r="IE889" s="4" t="s">
        <v>241</v>
      </c>
      <c r="IF889" s="4" t="s">
        <v>241</v>
      </c>
    </row>
    <row r="890" spans="1:240" x14ac:dyDescent="0.4">
      <c r="A890" s="4">
        <v>2</v>
      </c>
      <c r="B890" s="4" t="s">
        <v>239</v>
      </c>
      <c r="C890" s="4">
        <v>958</v>
      </c>
      <c r="D890" s="4">
        <v>1</v>
      </c>
      <c r="E890" s="4">
        <v>3</v>
      </c>
      <c r="F890" s="4" t="s">
        <v>240</v>
      </c>
      <c r="G890" s="4" t="s">
        <v>241</v>
      </c>
      <c r="H890" s="4" t="s">
        <v>241</v>
      </c>
      <c r="I890" s="4" t="s">
        <v>2397</v>
      </c>
      <c r="J890" s="4" t="s">
        <v>344</v>
      </c>
      <c r="K890" s="4" t="s">
        <v>256</v>
      </c>
      <c r="L890" s="4" t="s">
        <v>2101</v>
      </c>
      <c r="M890" s="5" t="s">
        <v>2399</v>
      </c>
      <c r="N890" s="4" t="s">
        <v>2110</v>
      </c>
      <c r="O890" s="6">
        <f>158.62</f>
        <v>158.62</v>
      </c>
      <c r="P890" s="4" t="s">
        <v>276</v>
      </c>
      <c r="Q890" s="6">
        <f>2208000</f>
        <v>2208000</v>
      </c>
      <c r="R890" s="6">
        <f>27599880</f>
        <v>27599880</v>
      </c>
      <c r="S890" s="5" t="s">
        <v>1241</v>
      </c>
      <c r="T890" s="4" t="s">
        <v>314</v>
      </c>
      <c r="U890" s="4" t="s">
        <v>379</v>
      </c>
      <c r="V890" s="6">
        <f>1269594</f>
        <v>1269594</v>
      </c>
      <c r="W890" s="6">
        <f>25391880</f>
        <v>25391880</v>
      </c>
      <c r="X890" s="4" t="s">
        <v>243</v>
      </c>
      <c r="Y890" s="4" t="s">
        <v>244</v>
      </c>
      <c r="Z890" s="4" t="s">
        <v>338</v>
      </c>
      <c r="AA890" s="4" t="s">
        <v>241</v>
      </c>
      <c r="AD890" s="4" t="s">
        <v>241</v>
      </c>
      <c r="AE890" s="5" t="s">
        <v>241</v>
      </c>
      <c r="AF890" s="5" t="s">
        <v>241</v>
      </c>
      <c r="AH890" s="5" t="s">
        <v>241</v>
      </c>
      <c r="AI890" s="5" t="s">
        <v>249</v>
      </c>
      <c r="AJ890" s="4" t="s">
        <v>251</v>
      </c>
      <c r="AK890" s="4" t="s">
        <v>252</v>
      </c>
      <c r="AQ890" s="4" t="s">
        <v>241</v>
      </c>
      <c r="AR890" s="4" t="s">
        <v>241</v>
      </c>
      <c r="AS890" s="4" t="s">
        <v>241</v>
      </c>
      <c r="AT890" s="5" t="s">
        <v>241</v>
      </c>
      <c r="AU890" s="5" t="s">
        <v>241</v>
      </c>
      <c r="AV890" s="5" t="s">
        <v>241</v>
      </c>
      <c r="AY890" s="4" t="s">
        <v>286</v>
      </c>
      <c r="AZ890" s="4" t="s">
        <v>286</v>
      </c>
      <c r="BA890" s="4" t="s">
        <v>254</v>
      </c>
      <c r="BB890" s="4" t="s">
        <v>287</v>
      </c>
      <c r="BC890" s="4" t="s">
        <v>255</v>
      </c>
      <c r="BD890" s="4" t="s">
        <v>241</v>
      </c>
      <c r="BE890" s="4" t="s">
        <v>257</v>
      </c>
      <c r="BF890" s="4" t="s">
        <v>241</v>
      </c>
      <c r="BJ890" s="4" t="s">
        <v>288</v>
      </c>
      <c r="BK890" s="5" t="s">
        <v>289</v>
      </c>
      <c r="BL890" s="4" t="s">
        <v>290</v>
      </c>
      <c r="BM890" s="4" t="s">
        <v>290</v>
      </c>
      <c r="BN890" s="4" t="s">
        <v>241</v>
      </c>
      <c r="BO890" s="6">
        <f>0</f>
        <v>0</v>
      </c>
      <c r="BP890" s="6">
        <f>-1269594</f>
        <v>-1269594</v>
      </c>
      <c r="BQ890" s="4" t="s">
        <v>263</v>
      </c>
      <c r="BR890" s="4" t="s">
        <v>264</v>
      </c>
      <c r="BS890" s="4" t="s">
        <v>241</v>
      </c>
      <c r="BT890" s="4" t="s">
        <v>241</v>
      </c>
      <c r="BU890" s="4" t="s">
        <v>241</v>
      </c>
      <c r="BV890" s="4" t="s">
        <v>241</v>
      </c>
      <c r="CE890" s="4" t="s">
        <v>264</v>
      </c>
      <c r="CF890" s="4" t="s">
        <v>241</v>
      </c>
      <c r="CG890" s="4" t="s">
        <v>241</v>
      </c>
      <c r="CK890" s="4" t="s">
        <v>291</v>
      </c>
      <c r="CL890" s="4" t="s">
        <v>266</v>
      </c>
      <c r="CM890" s="4" t="s">
        <v>241</v>
      </c>
      <c r="CO890" s="4" t="s">
        <v>1127</v>
      </c>
      <c r="CP890" s="5" t="s">
        <v>268</v>
      </c>
      <c r="CQ890" s="4" t="s">
        <v>269</v>
      </c>
      <c r="CR890" s="4" t="s">
        <v>270</v>
      </c>
      <c r="CS890" s="4" t="s">
        <v>293</v>
      </c>
      <c r="CT890" s="4" t="s">
        <v>241</v>
      </c>
      <c r="CU890" s="4">
        <v>4.5999999999999999E-2</v>
      </c>
      <c r="CV890" s="4" t="s">
        <v>271</v>
      </c>
      <c r="CW890" s="4" t="s">
        <v>411</v>
      </c>
      <c r="CX890" s="4" t="s">
        <v>347</v>
      </c>
      <c r="CY890" s="6">
        <f>0</f>
        <v>0</v>
      </c>
      <c r="CZ890" s="6">
        <f>27599880</f>
        <v>27599880</v>
      </c>
      <c r="DA890" s="6">
        <f>2208000</f>
        <v>2208000</v>
      </c>
      <c r="DC890" s="4" t="s">
        <v>241</v>
      </c>
      <c r="DD890" s="4" t="s">
        <v>241</v>
      </c>
      <c r="DF890" s="4" t="s">
        <v>241</v>
      </c>
      <c r="DG890" s="6">
        <f>0</f>
        <v>0</v>
      </c>
      <c r="DI890" s="4" t="s">
        <v>241</v>
      </c>
      <c r="DJ890" s="4" t="s">
        <v>241</v>
      </c>
      <c r="DK890" s="4" t="s">
        <v>241</v>
      </c>
      <c r="DL890" s="4" t="s">
        <v>241</v>
      </c>
      <c r="DM890" s="4" t="s">
        <v>323</v>
      </c>
      <c r="DN890" s="4" t="s">
        <v>278</v>
      </c>
      <c r="DO890" s="6">
        <f>158.62</f>
        <v>158.62</v>
      </c>
      <c r="DP890" s="4" t="s">
        <v>241</v>
      </c>
      <c r="DQ890" s="4" t="s">
        <v>241</v>
      </c>
      <c r="DR890" s="4" t="s">
        <v>241</v>
      </c>
      <c r="DS890" s="4" t="s">
        <v>241</v>
      </c>
      <c r="DV890" s="4" t="s">
        <v>2400</v>
      </c>
      <c r="DW890" s="4" t="s">
        <v>297</v>
      </c>
      <c r="GN890" s="4" t="s">
        <v>2405</v>
      </c>
      <c r="HO890" s="4" t="s">
        <v>300</v>
      </c>
      <c r="HR890" s="4" t="s">
        <v>278</v>
      </c>
      <c r="HS890" s="4" t="s">
        <v>278</v>
      </c>
      <c r="HT890" s="4" t="s">
        <v>241</v>
      </c>
      <c r="HU890" s="4" t="s">
        <v>241</v>
      </c>
      <c r="HV890" s="4" t="s">
        <v>241</v>
      </c>
      <c r="HW890" s="4" t="s">
        <v>241</v>
      </c>
      <c r="HX890" s="4" t="s">
        <v>241</v>
      </c>
      <c r="HY890" s="4" t="s">
        <v>241</v>
      </c>
      <c r="HZ890" s="4" t="s">
        <v>241</v>
      </c>
      <c r="IA890" s="4" t="s">
        <v>241</v>
      </c>
      <c r="IB890" s="4" t="s">
        <v>241</v>
      </c>
      <c r="IC890" s="4" t="s">
        <v>241</v>
      </c>
      <c r="ID890" s="4" t="s">
        <v>241</v>
      </c>
      <c r="IE890" s="4" t="s">
        <v>241</v>
      </c>
      <c r="IF890" s="4" t="s">
        <v>241</v>
      </c>
    </row>
    <row r="891" spans="1:240" x14ac:dyDescent="0.4">
      <c r="A891" s="4">
        <v>2</v>
      </c>
      <c r="B891" s="4" t="s">
        <v>239</v>
      </c>
      <c r="C891" s="4">
        <v>959</v>
      </c>
      <c r="D891" s="4">
        <v>1</v>
      </c>
      <c r="E891" s="4">
        <v>3</v>
      </c>
      <c r="F891" s="4" t="s">
        <v>240</v>
      </c>
      <c r="G891" s="4" t="s">
        <v>241</v>
      </c>
      <c r="H891" s="4" t="s">
        <v>241</v>
      </c>
      <c r="I891" s="4" t="s">
        <v>2397</v>
      </c>
      <c r="J891" s="4" t="s">
        <v>344</v>
      </c>
      <c r="K891" s="4" t="s">
        <v>256</v>
      </c>
      <c r="L891" s="4" t="s">
        <v>2101</v>
      </c>
      <c r="M891" s="5" t="s">
        <v>2399</v>
      </c>
      <c r="N891" s="4" t="s">
        <v>2122</v>
      </c>
      <c r="O891" s="6">
        <f>74.6</f>
        <v>74.599999999999994</v>
      </c>
      <c r="P891" s="4" t="s">
        <v>276</v>
      </c>
      <c r="Q891" s="6">
        <f>4116428</f>
        <v>4116428</v>
      </c>
      <c r="R891" s="6">
        <f>11563000</f>
        <v>11563000</v>
      </c>
      <c r="S891" s="5" t="s">
        <v>319</v>
      </c>
      <c r="T891" s="4" t="s">
        <v>314</v>
      </c>
      <c r="U891" s="4" t="s">
        <v>322</v>
      </c>
      <c r="V891" s="6">
        <f>531898</f>
        <v>531898</v>
      </c>
      <c r="W891" s="6">
        <f>7446572</f>
        <v>7446572</v>
      </c>
      <c r="X891" s="4" t="s">
        <v>243</v>
      </c>
      <c r="Y891" s="4" t="s">
        <v>244</v>
      </c>
      <c r="Z891" s="4" t="s">
        <v>338</v>
      </c>
      <c r="AA891" s="4" t="s">
        <v>241</v>
      </c>
      <c r="AD891" s="4" t="s">
        <v>241</v>
      </c>
      <c r="AE891" s="5" t="s">
        <v>241</v>
      </c>
      <c r="AF891" s="5" t="s">
        <v>241</v>
      </c>
      <c r="AH891" s="5" t="s">
        <v>241</v>
      </c>
      <c r="AI891" s="5" t="s">
        <v>249</v>
      </c>
      <c r="AJ891" s="4" t="s">
        <v>251</v>
      </c>
      <c r="AK891" s="4" t="s">
        <v>252</v>
      </c>
      <c r="AQ891" s="4" t="s">
        <v>241</v>
      </c>
      <c r="AR891" s="4" t="s">
        <v>241</v>
      </c>
      <c r="AS891" s="4" t="s">
        <v>241</v>
      </c>
      <c r="AT891" s="5" t="s">
        <v>241</v>
      </c>
      <c r="AU891" s="5" t="s">
        <v>241</v>
      </c>
      <c r="AV891" s="5" t="s">
        <v>241</v>
      </c>
      <c r="AY891" s="4" t="s">
        <v>286</v>
      </c>
      <c r="AZ891" s="4" t="s">
        <v>286</v>
      </c>
      <c r="BA891" s="4" t="s">
        <v>254</v>
      </c>
      <c r="BB891" s="4" t="s">
        <v>287</v>
      </c>
      <c r="BC891" s="4" t="s">
        <v>255</v>
      </c>
      <c r="BD891" s="4" t="s">
        <v>241</v>
      </c>
      <c r="BE891" s="4" t="s">
        <v>257</v>
      </c>
      <c r="BF891" s="4" t="s">
        <v>241</v>
      </c>
      <c r="BJ891" s="4" t="s">
        <v>288</v>
      </c>
      <c r="BK891" s="5" t="s">
        <v>289</v>
      </c>
      <c r="BL891" s="4" t="s">
        <v>290</v>
      </c>
      <c r="BM891" s="4" t="s">
        <v>290</v>
      </c>
      <c r="BN891" s="4" t="s">
        <v>241</v>
      </c>
      <c r="BO891" s="6">
        <f>0</f>
        <v>0</v>
      </c>
      <c r="BP891" s="6">
        <f>-531898</f>
        <v>-531898</v>
      </c>
      <c r="BQ891" s="4" t="s">
        <v>263</v>
      </c>
      <c r="BR891" s="4" t="s">
        <v>264</v>
      </c>
      <c r="BS891" s="4" t="s">
        <v>241</v>
      </c>
      <c r="BT891" s="4" t="s">
        <v>241</v>
      </c>
      <c r="BU891" s="4" t="s">
        <v>241</v>
      </c>
      <c r="BV891" s="4" t="s">
        <v>241</v>
      </c>
      <c r="CE891" s="4" t="s">
        <v>264</v>
      </c>
      <c r="CF891" s="4" t="s">
        <v>241</v>
      </c>
      <c r="CG891" s="4" t="s">
        <v>241</v>
      </c>
      <c r="CK891" s="4" t="s">
        <v>291</v>
      </c>
      <c r="CL891" s="4" t="s">
        <v>266</v>
      </c>
      <c r="CM891" s="4" t="s">
        <v>241</v>
      </c>
      <c r="CO891" s="4" t="s">
        <v>321</v>
      </c>
      <c r="CP891" s="5" t="s">
        <v>268</v>
      </c>
      <c r="CQ891" s="4" t="s">
        <v>269</v>
      </c>
      <c r="CR891" s="4" t="s">
        <v>270</v>
      </c>
      <c r="CS891" s="4" t="s">
        <v>293</v>
      </c>
      <c r="CT891" s="4" t="s">
        <v>241</v>
      </c>
      <c r="CU891" s="4">
        <v>4.5999999999999999E-2</v>
      </c>
      <c r="CV891" s="4" t="s">
        <v>271</v>
      </c>
      <c r="CW891" s="4" t="s">
        <v>411</v>
      </c>
      <c r="CX891" s="4" t="s">
        <v>347</v>
      </c>
      <c r="CY891" s="6">
        <f>0</f>
        <v>0</v>
      </c>
      <c r="CZ891" s="6">
        <f>11563000</f>
        <v>11563000</v>
      </c>
      <c r="DA891" s="6">
        <f>4116428</f>
        <v>4116428</v>
      </c>
      <c r="DC891" s="4" t="s">
        <v>241</v>
      </c>
      <c r="DD891" s="4" t="s">
        <v>241</v>
      </c>
      <c r="DF891" s="4" t="s">
        <v>241</v>
      </c>
      <c r="DG891" s="6">
        <f>0</f>
        <v>0</v>
      </c>
      <c r="DI891" s="4" t="s">
        <v>241</v>
      </c>
      <c r="DJ891" s="4" t="s">
        <v>241</v>
      </c>
      <c r="DK891" s="4" t="s">
        <v>241</v>
      </c>
      <c r="DL891" s="4" t="s">
        <v>241</v>
      </c>
      <c r="DM891" s="4" t="s">
        <v>277</v>
      </c>
      <c r="DN891" s="4" t="s">
        <v>278</v>
      </c>
      <c r="DO891" s="6">
        <f>74.6</f>
        <v>74.599999999999994</v>
      </c>
      <c r="DP891" s="4" t="s">
        <v>241</v>
      </c>
      <c r="DQ891" s="4" t="s">
        <v>241</v>
      </c>
      <c r="DR891" s="4" t="s">
        <v>241</v>
      </c>
      <c r="DS891" s="4" t="s">
        <v>241</v>
      </c>
      <c r="DV891" s="4" t="s">
        <v>2400</v>
      </c>
      <c r="DW891" s="4" t="s">
        <v>336</v>
      </c>
      <c r="GN891" s="4" t="s">
        <v>2404</v>
      </c>
      <c r="HO891" s="4" t="s">
        <v>300</v>
      </c>
      <c r="HR891" s="4" t="s">
        <v>278</v>
      </c>
      <c r="HS891" s="4" t="s">
        <v>278</v>
      </c>
      <c r="HT891" s="4" t="s">
        <v>241</v>
      </c>
      <c r="HU891" s="4" t="s">
        <v>241</v>
      </c>
      <c r="HV891" s="4" t="s">
        <v>241</v>
      </c>
      <c r="HW891" s="4" t="s">
        <v>241</v>
      </c>
      <c r="HX891" s="4" t="s">
        <v>241</v>
      </c>
      <c r="HY891" s="4" t="s">
        <v>241</v>
      </c>
      <c r="HZ891" s="4" t="s">
        <v>241</v>
      </c>
      <c r="IA891" s="4" t="s">
        <v>241</v>
      </c>
      <c r="IB891" s="4" t="s">
        <v>241</v>
      </c>
      <c r="IC891" s="4" t="s">
        <v>241</v>
      </c>
      <c r="ID891" s="4" t="s">
        <v>241</v>
      </c>
      <c r="IE891" s="4" t="s">
        <v>241</v>
      </c>
      <c r="IF891" s="4" t="s">
        <v>241</v>
      </c>
    </row>
    <row r="892" spans="1:240" x14ac:dyDescent="0.4">
      <c r="A892" s="4">
        <v>2</v>
      </c>
      <c r="B892" s="4" t="s">
        <v>239</v>
      </c>
      <c r="C892" s="4">
        <v>960</v>
      </c>
      <c r="D892" s="4">
        <v>1</v>
      </c>
      <c r="E892" s="4">
        <v>3</v>
      </c>
      <c r="F892" s="4" t="s">
        <v>240</v>
      </c>
      <c r="G892" s="4" t="s">
        <v>241</v>
      </c>
      <c r="H892" s="4" t="s">
        <v>241</v>
      </c>
      <c r="I892" s="4" t="s">
        <v>2397</v>
      </c>
      <c r="J892" s="4" t="s">
        <v>344</v>
      </c>
      <c r="K892" s="4" t="s">
        <v>256</v>
      </c>
      <c r="L892" s="4" t="s">
        <v>2101</v>
      </c>
      <c r="M892" s="5" t="s">
        <v>2399</v>
      </c>
      <c r="N892" s="4" t="s">
        <v>2191</v>
      </c>
      <c r="O892" s="6">
        <f>74.6</f>
        <v>74.599999999999994</v>
      </c>
      <c r="P892" s="4" t="s">
        <v>276</v>
      </c>
      <c r="Q892" s="6">
        <f>5770107</f>
        <v>5770107</v>
      </c>
      <c r="R892" s="6">
        <f>14353500</f>
        <v>14353500</v>
      </c>
      <c r="S892" s="5" t="s">
        <v>2398</v>
      </c>
      <c r="T892" s="4" t="s">
        <v>314</v>
      </c>
      <c r="U892" s="4" t="s">
        <v>409</v>
      </c>
      <c r="V892" s="6">
        <f>660261</f>
        <v>660261</v>
      </c>
      <c r="W892" s="6">
        <f>8583393</f>
        <v>8583393</v>
      </c>
      <c r="X892" s="4" t="s">
        <v>243</v>
      </c>
      <c r="Y892" s="4" t="s">
        <v>244</v>
      </c>
      <c r="Z892" s="4" t="s">
        <v>338</v>
      </c>
      <c r="AA892" s="4" t="s">
        <v>241</v>
      </c>
      <c r="AD892" s="4" t="s">
        <v>241</v>
      </c>
      <c r="AE892" s="5" t="s">
        <v>241</v>
      </c>
      <c r="AF892" s="5" t="s">
        <v>241</v>
      </c>
      <c r="AH892" s="5" t="s">
        <v>241</v>
      </c>
      <c r="AI892" s="5" t="s">
        <v>249</v>
      </c>
      <c r="AJ892" s="4" t="s">
        <v>251</v>
      </c>
      <c r="AK892" s="4" t="s">
        <v>252</v>
      </c>
      <c r="AQ892" s="4" t="s">
        <v>241</v>
      </c>
      <c r="AR892" s="4" t="s">
        <v>241</v>
      </c>
      <c r="AS892" s="4" t="s">
        <v>241</v>
      </c>
      <c r="AT892" s="5" t="s">
        <v>241</v>
      </c>
      <c r="AU892" s="5" t="s">
        <v>241</v>
      </c>
      <c r="AV892" s="5" t="s">
        <v>241</v>
      </c>
      <c r="AY892" s="4" t="s">
        <v>286</v>
      </c>
      <c r="AZ892" s="4" t="s">
        <v>286</v>
      </c>
      <c r="BA892" s="4" t="s">
        <v>254</v>
      </c>
      <c r="BB892" s="4" t="s">
        <v>287</v>
      </c>
      <c r="BC892" s="4" t="s">
        <v>255</v>
      </c>
      <c r="BD892" s="4" t="s">
        <v>241</v>
      </c>
      <c r="BE892" s="4" t="s">
        <v>257</v>
      </c>
      <c r="BF892" s="4" t="s">
        <v>241</v>
      </c>
      <c r="BJ892" s="4" t="s">
        <v>288</v>
      </c>
      <c r="BK892" s="5" t="s">
        <v>289</v>
      </c>
      <c r="BL892" s="4" t="s">
        <v>290</v>
      </c>
      <c r="BM892" s="4" t="s">
        <v>290</v>
      </c>
      <c r="BN892" s="4" t="s">
        <v>241</v>
      </c>
      <c r="BO892" s="6">
        <f>0</f>
        <v>0</v>
      </c>
      <c r="BP892" s="6">
        <f>-660261</f>
        <v>-660261</v>
      </c>
      <c r="BQ892" s="4" t="s">
        <v>263</v>
      </c>
      <c r="BR892" s="4" t="s">
        <v>264</v>
      </c>
      <c r="BS892" s="4" t="s">
        <v>241</v>
      </c>
      <c r="BT892" s="4" t="s">
        <v>241</v>
      </c>
      <c r="BU892" s="4" t="s">
        <v>241</v>
      </c>
      <c r="BV892" s="4" t="s">
        <v>241</v>
      </c>
      <c r="CE892" s="4" t="s">
        <v>264</v>
      </c>
      <c r="CF892" s="4" t="s">
        <v>241</v>
      </c>
      <c r="CG892" s="4" t="s">
        <v>241</v>
      </c>
      <c r="CK892" s="4" t="s">
        <v>291</v>
      </c>
      <c r="CL892" s="4" t="s">
        <v>266</v>
      </c>
      <c r="CM892" s="4" t="s">
        <v>241</v>
      </c>
      <c r="CO892" s="4" t="s">
        <v>567</v>
      </c>
      <c r="CP892" s="5" t="s">
        <v>268</v>
      </c>
      <c r="CQ892" s="4" t="s">
        <v>269</v>
      </c>
      <c r="CR892" s="4" t="s">
        <v>270</v>
      </c>
      <c r="CS892" s="4" t="s">
        <v>293</v>
      </c>
      <c r="CT892" s="4" t="s">
        <v>241</v>
      </c>
      <c r="CU892" s="4">
        <v>4.5999999999999999E-2</v>
      </c>
      <c r="CV892" s="4" t="s">
        <v>271</v>
      </c>
      <c r="CW892" s="4" t="s">
        <v>411</v>
      </c>
      <c r="CX892" s="4" t="s">
        <v>347</v>
      </c>
      <c r="CY892" s="6">
        <f>0</f>
        <v>0</v>
      </c>
      <c r="CZ892" s="6">
        <f>14353500</f>
        <v>14353500</v>
      </c>
      <c r="DA892" s="6">
        <f>5770107</f>
        <v>5770107</v>
      </c>
      <c r="DC892" s="4" t="s">
        <v>241</v>
      </c>
      <c r="DD892" s="4" t="s">
        <v>241</v>
      </c>
      <c r="DF892" s="4" t="s">
        <v>241</v>
      </c>
      <c r="DG892" s="6">
        <f>0</f>
        <v>0</v>
      </c>
      <c r="DI892" s="4" t="s">
        <v>241</v>
      </c>
      <c r="DJ892" s="4" t="s">
        <v>241</v>
      </c>
      <c r="DK892" s="4" t="s">
        <v>241</v>
      </c>
      <c r="DL892" s="4" t="s">
        <v>241</v>
      </c>
      <c r="DM892" s="4" t="s">
        <v>277</v>
      </c>
      <c r="DN892" s="4" t="s">
        <v>278</v>
      </c>
      <c r="DO892" s="6">
        <f>74.6</f>
        <v>74.599999999999994</v>
      </c>
      <c r="DP892" s="4" t="s">
        <v>241</v>
      </c>
      <c r="DQ892" s="4" t="s">
        <v>241</v>
      </c>
      <c r="DR892" s="4" t="s">
        <v>241</v>
      </c>
      <c r="DS892" s="4" t="s">
        <v>241</v>
      </c>
      <c r="DV892" s="4" t="s">
        <v>2400</v>
      </c>
      <c r="DW892" s="4" t="s">
        <v>351</v>
      </c>
      <c r="GN892" s="4" t="s">
        <v>2403</v>
      </c>
      <c r="HO892" s="4" t="s">
        <v>300</v>
      </c>
      <c r="HR892" s="4" t="s">
        <v>278</v>
      </c>
      <c r="HS892" s="4" t="s">
        <v>278</v>
      </c>
      <c r="HT892" s="4" t="s">
        <v>241</v>
      </c>
      <c r="HU892" s="4" t="s">
        <v>241</v>
      </c>
      <c r="HV892" s="4" t="s">
        <v>241</v>
      </c>
      <c r="HW892" s="4" t="s">
        <v>241</v>
      </c>
      <c r="HX892" s="4" t="s">
        <v>241</v>
      </c>
      <c r="HY892" s="4" t="s">
        <v>241</v>
      </c>
      <c r="HZ892" s="4" t="s">
        <v>241</v>
      </c>
      <c r="IA892" s="4" t="s">
        <v>241</v>
      </c>
      <c r="IB892" s="4" t="s">
        <v>241</v>
      </c>
      <c r="IC892" s="4" t="s">
        <v>241</v>
      </c>
      <c r="ID892" s="4" t="s">
        <v>241</v>
      </c>
      <c r="IE892" s="4" t="s">
        <v>241</v>
      </c>
      <c r="IF892" s="4" t="s">
        <v>241</v>
      </c>
    </row>
    <row r="893" spans="1:240" x14ac:dyDescent="0.4">
      <c r="A893" s="4">
        <v>2</v>
      </c>
      <c r="B893" s="4" t="s">
        <v>239</v>
      </c>
      <c r="C893" s="4">
        <v>961</v>
      </c>
      <c r="D893" s="4">
        <v>1</v>
      </c>
      <c r="E893" s="4">
        <v>3</v>
      </c>
      <c r="F893" s="4" t="s">
        <v>326</v>
      </c>
      <c r="G893" s="4" t="s">
        <v>241</v>
      </c>
      <c r="H893" s="4" t="s">
        <v>241</v>
      </c>
      <c r="I893" s="4" t="s">
        <v>2397</v>
      </c>
      <c r="J893" s="4" t="s">
        <v>344</v>
      </c>
      <c r="K893" s="4" t="s">
        <v>256</v>
      </c>
      <c r="L893" s="4" t="s">
        <v>2101</v>
      </c>
      <c r="M893" s="5" t="s">
        <v>2399</v>
      </c>
      <c r="N893" s="4" t="s">
        <v>2098</v>
      </c>
      <c r="O893" s="6">
        <f>74.6</f>
        <v>74.599999999999994</v>
      </c>
      <c r="P893" s="4" t="s">
        <v>276</v>
      </c>
      <c r="Q893" s="6">
        <f>4116428</f>
        <v>4116428</v>
      </c>
      <c r="R893" s="6">
        <f>11563000</f>
        <v>11563000</v>
      </c>
      <c r="S893" s="5" t="s">
        <v>319</v>
      </c>
      <c r="T893" s="4" t="s">
        <v>314</v>
      </c>
      <c r="U893" s="4" t="s">
        <v>322</v>
      </c>
      <c r="V893" s="6">
        <f>531898</f>
        <v>531898</v>
      </c>
      <c r="W893" s="6">
        <f>7446572</f>
        <v>7446572</v>
      </c>
      <c r="X893" s="4" t="s">
        <v>243</v>
      </c>
      <c r="Y893" s="4" t="s">
        <v>244</v>
      </c>
      <c r="Z893" s="4" t="s">
        <v>338</v>
      </c>
      <c r="AA893" s="4" t="s">
        <v>241</v>
      </c>
      <c r="AD893" s="4" t="s">
        <v>241</v>
      </c>
      <c r="AE893" s="5" t="s">
        <v>241</v>
      </c>
      <c r="AF893" s="5" t="s">
        <v>241</v>
      </c>
      <c r="AH893" s="5" t="s">
        <v>241</v>
      </c>
      <c r="AI893" s="5" t="s">
        <v>249</v>
      </c>
      <c r="AJ893" s="4" t="s">
        <v>251</v>
      </c>
      <c r="AK893" s="4" t="s">
        <v>252</v>
      </c>
      <c r="AQ893" s="4" t="s">
        <v>241</v>
      </c>
      <c r="AR893" s="4" t="s">
        <v>241</v>
      </c>
      <c r="AS893" s="4" t="s">
        <v>241</v>
      </c>
      <c r="AT893" s="5" t="s">
        <v>241</v>
      </c>
      <c r="AU893" s="5" t="s">
        <v>241</v>
      </c>
      <c r="AV893" s="5" t="s">
        <v>241</v>
      </c>
      <c r="AY893" s="4" t="s">
        <v>286</v>
      </c>
      <c r="AZ893" s="4" t="s">
        <v>286</v>
      </c>
      <c r="BA893" s="4" t="s">
        <v>254</v>
      </c>
      <c r="BB893" s="4" t="s">
        <v>287</v>
      </c>
      <c r="BC893" s="4" t="s">
        <v>255</v>
      </c>
      <c r="BD893" s="4" t="s">
        <v>241</v>
      </c>
      <c r="BE893" s="4" t="s">
        <v>257</v>
      </c>
      <c r="BF893" s="4" t="s">
        <v>241</v>
      </c>
      <c r="BJ893" s="4" t="s">
        <v>288</v>
      </c>
      <c r="BK893" s="5" t="s">
        <v>289</v>
      </c>
      <c r="BL893" s="4" t="s">
        <v>290</v>
      </c>
      <c r="BM893" s="4" t="s">
        <v>290</v>
      </c>
      <c r="BN893" s="4" t="s">
        <v>241</v>
      </c>
      <c r="BO893" s="6">
        <f>0</f>
        <v>0</v>
      </c>
      <c r="BP893" s="6">
        <f>-531898</f>
        <v>-531898</v>
      </c>
      <c r="BQ893" s="4" t="s">
        <v>263</v>
      </c>
      <c r="BR893" s="4" t="s">
        <v>264</v>
      </c>
      <c r="BS893" s="4" t="s">
        <v>241</v>
      </c>
      <c r="BT893" s="4" t="s">
        <v>241</v>
      </c>
      <c r="BU893" s="4" t="s">
        <v>241</v>
      </c>
      <c r="BV893" s="4" t="s">
        <v>241</v>
      </c>
      <c r="CE893" s="4" t="s">
        <v>264</v>
      </c>
      <c r="CF893" s="4" t="s">
        <v>241</v>
      </c>
      <c r="CG893" s="4" t="s">
        <v>241</v>
      </c>
      <c r="CK893" s="4" t="s">
        <v>291</v>
      </c>
      <c r="CL893" s="4" t="s">
        <v>266</v>
      </c>
      <c r="CM893" s="4" t="s">
        <v>241</v>
      </c>
      <c r="CO893" s="4" t="s">
        <v>321</v>
      </c>
      <c r="CP893" s="5" t="s">
        <v>268</v>
      </c>
      <c r="CQ893" s="4" t="s">
        <v>269</v>
      </c>
      <c r="CR893" s="4" t="s">
        <v>270</v>
      </c>
      <c r="CS893" s="4" t="s">
        <v>293</v>
      </c>
      <c r="CT893" s="4" t="s">
        <v>241</v>
      </c>
      <c r="CU893" s="4">
        <v>4.5999999999999999E-2</v>
      </c>
      <c r="CV893" s="4" t="s">
        <v>271</v>
      </c>
      <c r="CW893" s="4" t="s">
        <v>411</v>
      </c>
      <c r="CX893" s="4" t="s">
        <v>347</v>
      </c>
      <c r="CY893" s="6">
        <f>0</f>
        <v>0</v>
      </c>
      <c r="CZ893" s="6">
        <f>11563000</f>
        <v>11563000</v>
      </c>
      <c r="DA893" s="6">
        <f>4116428</f>
        <v>4116428</v>
      </c>
      <c r="DC893" s="4" t="s">
        <v>241</v>
      </c>
      <c r="DD893" s="4" t="s">
        <v>241</v>
      </c>
      <c r="DF893" s="4" t="s">
        <v>241</v>
      </c>
      <c r="DG893" s="6">
        <f>0</f>
        <v>0</v>
      </c>
      <c r="DI893" s="4" t="s">
        <v>241</v>
      </c>
      <c r="DJ893" s="4" t="s">
        <v>241</v>
      </c>
      <c r="DK893" s="4" t="s">
        <v>241</v>
      </c>
      <c r="DL893" s="4" t="s">
        <v>241</v>
      </c>
      <c r="DM893" s="4" t="s">
        <v>278</v>
      </c>
      <c r="DN893" s="4" t="s">
        <v>278</v>
      </c>
      <c r="DO893" s="6">
        <f>74.6</f>
        <v>74.599999999999994</v>
      </c>
      <c r="DP893" s="4" t="s">
        <v>241</v>
      </c>
      <c r="DQ893" s="4" t="s">
        <v>241</v>
      </c>
      <c r="DR893" s="4" t="s">
        <v>241</v>
      </c>
      <c r="DS893" s="4" t="s">
        <v>241</v>
      </c>
      <c r="DV893" s="4" t="s">
        <v>2400</v>
      </c>
      <c r="DW893" s="4" t="s">
        <v>300</v>
      </c>
      <c r="GN893" s="4" t="s">
        <v>2402</v>
      </c>
      <c r="HO893" s="4" t="s">
        <v>300</v>
      </c>
      <c r="HR893" s="4" t="s">
        <v>278</v>
      </c>
      <c r="HS893" s="4" t="s">
        <v>278</v>
      </c>
      <c r="HT893" s="4" t="s">
        <v>241</v>
      </c>
      <c r="HU893" s="4" t="s">
        <v>241</v>
      </c>
      <c r="HV893" s="4" t="s">
        <v>241</v>
      </c>
      <c r="HW893" s="4" t="s">
        <v>241</v>
      </c>
      <c r="HX893" s="4" t="s">
        <v>241</v>
      </c>
      <c r="HY893" s="4" t="s">
        <v>241</v>
      </c>
      <c r="HZ893" s="4" t="s">
        <v>241</v>
      </c>
      <c r="IA893" s="4" t="s">
        <v>241</v>
      </c>
      <c r="IB893" s="4" t="s">
        <v>241</v>
      </c>
      <c r="IC893" s="4" t="s">
        <v>241</v>
      </c>
      <c r="ID893" s="4" t="s">
        <v>241</v>
      </c>
      <c r="IE893" s="4" t="s">
        <v>241</v>
      </c>
      <c r="IF893" s="4" t="s">
        <v>241</v>
      </c>
    </row>
    <row r="894" spans="1:240" x14ac:dyDescent="0.4">
      <c r="A894" s="4">
        <v>2</v>
      </c>
      <c r="B894" s="4" t="s">
        <v>239</v>
      </c>
      <c r="C894" s="4">
        <v>962</v>
      </c>
      <c r="D894" s="4">
        <v>1</v>
      </c>
      <c r="E894" s="4">
        <v>3</v>
      </c>
      <c r="F894" s="4" t="s">
        <v>326</v>
      </c>
      <c r="G894" s="4" t="s">
        <v>241</v>
      </c>
      <c r="H894" s="4" t="s">
        <v>241</v>
      </c>
      <c r="I894" s="4" t="s">
        <v>2397</v>
      </c>
      <c r="J894" s="4" t="s">
        <v>344</v>
      </c>
      <c r="K894" s="4" t="s">
        <v>256</v>
      </c>
      <c r="L894" s="4" t="s">
        <v>2101</v>
      </c>
      <c r="M894" s="5" t="s">
        <v>2399</v>
      </c>
      <c r="N894" s="4" t="s">
        <v>2192</v>
      </c>
      <c r="O894" s="6">
        <f>74.6</f>
        <v>74.599999999999994</v>
      </c>
      <c r="P894" s="4" t="s">
        <v>276</v>
      </c>
      <c r="Q894" s="6">
        <f>5770107</f>
        <v>5770107</v>
      </c>
      <c r="R894" s="6">
        <f>14353500</f>
        <v>14353500</v>
      </c>
      <c r="S894" s="5" t="s">
        <v>2398</v>
      </c>
      <c r="T894" s="4" t="s">
        <v>314</v>
      </c>
      <c r="U894" s="4" t="s">
        <v>409</v>
      </c>
      <c r="V894" s="6">
        <f>660261</f>
        <v>660261</v>
      </c>
      <c r="W894" s="6">
        <f>8583393</f>
        <v>8583393</v>
      </c>
      <c r="X894" s="4" t="s">
        <v>243</v>
      </c>
      <c r="Y894" s="4" t="s">
        <v>244</v>
      </c>
      <c r="Z894" s="4" t="s">
        <v>338</v>
      </c>
      <c r="AA894" s="4" t="s">
        <v>241</v>
      </c>
      <c r="AD894" s="4" t="s">
        <v>241</v>
      </c>
      <c r="AE894" s="5" t="s">
        <v>241</v>
      </c>
      <c r="AF894" s="5" t="s">
        <v>241</v>
      </c>
      <c r="AH894" s="5" t="s">
        <v>241</v>
      </c>
      <c r="AI894" s="5" t="s">
        <v>249</v>
      </c>
      <c r="AJ894" s="4" t="s">
        <v>251</v>
      </c>
      <c r="AK894" s="4" t="s">
        <v>252</v>
      </c>
      <c r="AQ894" s="4" t="s">
        <v>241</v>
      </c>
      <c r="AR894" s="4" t="s">
        <v>241</v>
      </c>
      <c r="AS894" s="4" t="s">
        <v>241</v>
      </c>
      <c r="AT894" s="5" t="s">
        <v>241</v>
      </c>
      <c r="AU894" s="5" t="s">
        <v>241</v>
      </c>
      <c r="AV894" s="5" t="s">
        <v>241</v>
      </c>
      <c r="AY894" s="4" t="s">
        <v>286</v>
      </c>
      <c r="AZ894" s="4" t="s">
        <v>286</v>
      </c>
      <c r="BA894" s="4" t="s">
        <v>254</v>
      </c>
      <c r="BB894" s="4" t="s">
        <v>287</v>
      </c>
      <c r="BC894" s="4" t="s">
        <v>255</v>
      </c>
      <c r="BD894" s="4" t="s">
        <v>241</v>
      </c>
      <c r="BE894" s="4" t="s">
        <v>257</v>
      </c>
      <c r="BF894" s="4" t="s">
        <v>241</v>
      </c>
      <c r="BJ894" s="4" t="s">
        <v>288</v>
      </c>
      <c r="BK894" s="5" t="s">
        <v>289</v>
      </c>
      <c r="BL894" s="4" t="s">
        <v>290</v>
      </c>
      <c r="BM894" s="4" t="s">
        <v>290</v>
      </c>
      <c r="BN894" s="4" t="s">
        <v>241</v>
      </c>
      <c r="BO894" s="6">
        <f>0</f>
        <v>0</v>
      </c>
      <c r="BP894" s="6">
        <f>-660261</f>
        <v>-660261</v>
      </c>
      <c r="BQ894" s="4" t="s">
        <v>263</v>
      </c>
      <c r="BR894" s="4" t="s">
        <v>264</v>
      </c>
      <c r="BS894" s="4" t="s">
        <v>241</v>
      </c>
      <c r="BT894" s="4" t="s">
        <v>241</v>
      </c>
      <c r="BU894" s="4" t="s">
        <v>241</v>
      </c>
      <c r="BV894" s="4" t="s">
        <v>241</v>
      </c>
      <c r="CE894" s="4" t="s">
        <v>264</v>
      </c>
      <c r="CF894" s="4" t="s">
        <v>241</v>
      </c>
      <c r="CG894" s="4" t="s">
        <v>241</v>
      </c>
      <c r="CK894" s="4" t="s">
        <v>291</v>
      </c>
      <c r="CL894" s="4" t="s">
        <v>266</v>
      </c>
      <c r="CM894" s="4" t="s">
        <v>241</v>
      </c>
      <c r="CO894" s="4" t="s">
        <v>567</v>
      </c>
      <c r="CP894" s="5" t="s">
        <v>268</v>
      </c>
      <c r="CQ894" s="4" t="s">
        <v>269</v>
      </c>
      <c r="CR894" s="4" t="s">
        <v>270</v>
      </c>
      <c r="CS894" s="4" t="s">
        <v>293</v>
      </c>
      <c r="CT894" s="4" t="s">
        <v>241</v>
      </c>
      <c r="CU894" s="4">
        <v>4.5999999999999999E-2</v>
      </c>
      <c r="CV894" s="4" t="s">
        <v>271</v>
      </c>
      <c r="CW894" s="4" t="s">
        <v>411</v>
      </c>
      <c r="CX894" s="4" t="s">
        <v>347</v>
      </c>
      <c r="CY894" s="6">
        <f>0</f>
        <v>0</v>
      </c>
      <c r="CZ894" s="6">
        <f>14353500</f>
        <v>14353500</v>
      </c>
      <c r="DA894" s="6">
        <f>5770107</f>
        <v>5770107</v>
      </c>
      <c r="DC894" s="4" t="s">
        <v>241</v>
      </c>
      <c r="DD894" s="4" t="s">
        <v>241</v>
      </c>
      <c r="DF894" s="4" t="s">
        <v>241</v>
      </c>
      <c r="DG894" s="6">
        <f>0</f>
        <v>0</v>
      </c>
      <c r="DI894" s="4" t="s">
        <v>241</v>
      </c>
      <c r="DJ894" s="4" t="s">
        <v>241</v>
      </c>
      <c r="DK894" s="4" t="s">
        <v>241</v>
      </c>
      <c r="DL894" s="4" t="s">
        <v>241</v>
      </c>
      <c r="DM894" s="4" t="s">
        <v>278</v>
      </c>
      <c r="DN894" s="4" t="s">
        <v>278</v>
      </c>
      <c r="DO894" s="6">
        <f>74.6</f>
        <v>74.599999999999994</v>
      </c>
      <c r="DP894" s="4" t="s">
        <v>241</v>
      </c>
      <c r="DQ894" s="4" t="s">
        <v>241</v>
      </c>
      <c r="DR894" s="4" t="s">
        <v>241</v>
      </c>
      <c r="DS894" s="4" t="s">
        <v>241</v>
      </c>
      <c r="DV894" s="4" t="s">
        <v>2400</v>
      </c>
      <c r="DW894" s="4" t="s">
        <v>341</v>
      </c>
      <c r="GN894" s="4" t="s">
        <v>2401</v>
      </c>
      <c r="HO894" s="4" t="s">
        <v>300</v>
      </c>
      <c r="HR894" s="4" t="s">
        <v>278</v>
      </c>
      <c r="HS894" s="4" t="s">
        <v>278</v>
      </c>
      <c r="HT894" s="4" t="s">
        <v>241</v>
      </c>
      <c r="HU894" s="4" t="s">
        <v>241</v>
      </c>
      <c r="HV894" s="4" t="s">
        <v>241</v>
      </c>
      <c r="HW894" s="4" t="s">
        <v>241</v>
      </c>
      <c r="HX894" s="4" t="s">
        <v>241</v>
      </c>
      <c r="HY894" s="4" t="s">
        <v>241</v>
      </c>
      <c r="HZ894" s="4" t="s">
        <v>241</v>
      </c>
      <c r="IA894" s="4" t="s">
        <v>241</v>
      </c>
      <c r="IB894" s="4" t="s">
        <v>241</v>
      </c>
      <c r="IC894" s="4" t="s">
        <v>241</v>
      </c>
      <c r="ID894" s="4" t="s">
        <v>241</v>
      </c>
      <c r="IE894" s="4" t="s">
        <v>241</v>
      </c>
      <c r="IF894" s="4" t="s">
        <v>241</v>
      </c>
    </row>
    <row r="895" spans="1:240" x14ac:dyDescent="0.4">
      <c r="A895" s="4">
        <v>2</v>
      </c>
      <c r="B895" s="4" t="s">
        <v>239</v>
      </c>
      <c r="C895" s="4">
        <v>964</v>
      </c>
      <c r="D895" s="4">
        <v>1</v>
      </c>
      <c r="E895" s="4">
        <v>1</v>
      </c>
      <c r="F895" s="4" t="s">
        <v>240</v>
      </c>
      <c r="G895" s="4" t="s">
        <v>241</v>
      </c>
      <c r="H895" s="4" t="s">
        <v>241</v>
      </c>
      <c r="I895" s="4" t="s">
        <v>2115</v>
      </c>
      <c r="J895" s="4" t="s">
        <v>344</v>
      </c>
      <c r="K895" s="4" t="s">
        <v>256</v>
      </c>
      <c r="L895" s="4" t="s">
        <v>2101</v>
      </c>
      <c r="M895" s="5" t="s">
        <v>2116</v>
      </c>
      <c r="N895" s="4" t="s">
        <v>2114</v>
      </c>
      <c r="O895" s="6">
        <f>69.94</f>
        <v>69.94</v>
      </c>
      <c r="P895" s="4" t="s">
        <v>276</v>
      </c>
      <c r="Q895" s="6">
        <f>1</f>
        <v>1</v>
      </c>
      <c r="R895" s="6">
        <f>6994000</f>
        <v>6994000</v>
      </c>
      <c r="S895" s="5" t="s">
        <v>1021</v>
      </c>
      <c r="T895" s="4" t="s">
        <v>314</v>
      </c>
      <c r="U895" s="4" t="s">
        <v>306</v>
      </c>
      <c r="W895" s="6">
        <f>6993999</f>
        <v>6993999</v>
      </c>
      <c r="X895" s="4" t="s">
        <v>243</v>
      </c>
      <c r="Y895" s="4" t="s">
        <v>244</v>
      </c>
      <c r="Z895" s="4" t="s">
        <v>338</v>
      </c>
      <c r="AA895" s="4" t="s">
        <v>241</v>
      </c>
      <c r="AD895" s="4" t="s">
        <v>241</v>
      </c>
      <c r="AF895" s="5" t="s">
        <v>241</v>
      </c>
      <c r="AI895" s="5" t="s">
        <v>249</v>
      </c>
      <c r="AJ895" s="4" t="s">
        <v>251</v>
      </c>
      <c r="AK895" s="4" t="s">
        <v>252</v>
      </c>
      <c r="BA895" s="4" t="s">
        <v>254</v>
      </c>
      <c r="BB895" s="4" t="s">
        <v>241</v>
      </c>
      <c r="BC895" s="4" t="s">
        <v>255</v>
      </c>
      <c r="BD895" s="4" t="s">
        <v>241</v>
      </c>
      <c r="BE895" s="4" t="s">
        <v>257</v>
      </c>
      <c r="BF895" s="4" t="s">
        <v>241</v>
      </c>
      <c r="BJ895" s="4" t="s">
        <v>367</v>
      </c>
      <c r="BK895" s="5" t="s">
        <v>249</v>
      </c>
      <c r="BL895" s="4" t="s">
        <v>261</v>
      </c>
      <c r="BM895" s="4" t="s">
        <v>262</v>
      </c>
      <c r="BN895" s="4" t="s">
        <v>241</v>
      </c>
      <c r="BO895" s="6">
        <f>0</f>
        <v>0</v>
      </c>
      <c r="BP895" s="6">
        <f>0</f>
        <v>0</v>
      </c>
      <c r="BQ895" s="4" t="s">
        <v>263</v>
      </c>
      <c r="BR895" s="4" t="s">
        <v>264</v>
      </c>
      <c r="CF895" s="4" t="s">
        <v>241</v>
      </c>
      <c r="CG895" s="4" t="s">
        <v>241</v>
      </c>
      <c r="CK895" s="4" t="s">
        <v>265</v>
      </c>
      <c r="CL895" s="4" t="s">
        <v>266</v>
      </c>
      <c r="CM895" s="4" t="s">
        <v>241</v>
      </c>
      <c r="CO895" s="4" t="s">
        <v>1603</v>
      </c>
      <c r="CP895" s="5" t="s">
        <v>268</v>
      </c>
      <c r="CQ895" s="4" t="s">
        <v>269</v>
      </c>
      <c r="CR895" s="4" t="s">
        <v>270</v>
      </c>
      <c r="CS895" s="4" t="s">
        <v>241</v>
      </c>
      <c r="CT895" s="4" t="s">
        <v>241</v>
      </c>
      <c r="CU895" s="4">
        <v>0</v>
      </c>
      <c r="CV895" s="4" t="s">
        <v>271</v>
      </c>
      <c r="CW895" s="4" t="s">
        <v>411</v>
      </c>
      <c r="CX895" s="4" t="s">
        <v>347</v>
      </c>
      <c r="CZ895" s="6">
        <f>6994000</f>
        <v>6994000</v>
      </c>
      <c r="DA895" s="6">
        <f>0</f>
        <v>0</v>
      </c>
      <c r="DC895" s="4" t="s">
        <v>241</v>
      </c>
      <c r="DD895" s="4" t="s">
        <v>241</v>
      </c>
      <c r="DF895" s="4" t="s">
        <v>241</v>
      </c>
      <c r="DI895" s="4" t="s">
        <v>241</v>
      </c>
      <c r="DJ895" s="4" t="s">
        <v>241</v>
      </c>
      <c r="DK895" s="4" t="s">
        <v>241</v>
      </c>
      <c r="DL895" s="4" t="s">
        <v>241</v>
      </c>
      <c r="DM895" s="4" t="s">
        <v>277</v>
      </c>
      <c r="DN895" s="4" t="s">
        <v>278</v>
      </c>
      <c r="DO895" s="6">
        <f>69.94</f>
        <v>69.94</v>
      </c>
      <c r="DP895" s="4" t="s">
        <v>241</v>
      </c>
      <c r="DQ895" s="4" t="s">
        <v>241</v>
      </c>
      <c r="DR895" s="4" t="s">
        <v>241</v>
      </c>
      <c r="DS895" s="4" t="s">
        <v>241</v>
      </c>
      <c r="DV895" s="4" t="s">
        <v>2117</v>
      </c>
      <c r="DW895" s="4" t="s">
        <v>277</v>
      </c>
      <c r="HO895" s="4" t="s">
        <v>277</v>
      </c>
      <c r="HR895" s="4" t="s">
        <v>278</v>
      </c>
      <c r="HS895" s="4" t="s">
        <v>278</v>
      </c>
    </row>
    <row r="896" spans="1:240" x14ac:dyDescent="0.4">
      <c r="A896" s="4">
        <v>2</v>
      </c>
      <c r="B896" s="4" t="s">
        <v>239</v>
      </c>
      <c r="C896" s="4">
        <v>965</v>
      </c>
      <c r="D896" s="4">
        <v>1</v>
      </c>
      <c r="E896" s="4">
        <v>1</v>
      </c>
      <c r="F896" s="4" t="s">
        <v>240</v>
      </c>
      <c r="G896" s="4" t="s">
        <v>241</v>
      </c>
      <c r="H896" s="4" t="s">
        <v>241</v>
      </c>
      <c r="I896" s="4" t="s">
        <v>2115</v>
      </c>
      <c r="J896" s="4" t="s">
        <v>344</v>
      </c>
      <c r="K896" s="4" t="s">
        <v>256</v>
      </c>
      <c r="L896" s="4" t="s">
        <v>2101</v>
      </c>
      <c r="M896" s="5" t="s">
        <v>2116</v>
      </c>
      <c r="N896" s="4" t="s">
        <v>2114</v>
      </c>
      <c r="O896" s="6">
        <f>69.94</f>
        <v>69.94</v>
      </c>
      <c r="P896" s="4" t="s">
        <v>276</v>
      </c>
      <c r="Q896" s="6">
        <f>1</f>
        <v>1</v>
      </c>
      <c r="R896" s="6">
        <f>6994000</f>
        <v>6994000</v>
      </c>
      <c r="S896" s="5" t="s">
        <v>1021</v>
      </c>
      <c r="T896" s="4" t="s">
        <v>314</v>
      </c>
      <c r="U896" s="4" t="s">
        <v>306</v>
      </c>
      <c r="W896" s="6">
        <f>6993999</f>
        <v>6993999</v>
      </c>
      <c r="X896" s="4" t="s">
        <v>243</v>
      </c>
      <c r="Y896" s="4" t="s">
        <v>244</v>
      </c>
      <c r="Z896" s="4" t="s">
        <v>338</v>
      </c>
      <c r="AA896" s="4" t="s">
        <v>241</v>
      </c>
      <c r="AD896" s="4" t="s">
        <v>241</v>
      </c>
      <c r="AF896" s="5" t="s">
        <v>241</v>
      </c>
      <c r="AI896" s="5" t="s">
        <v>249</v>
      </c>
      <c r="AJ896" s="4" t="s">
        <v>251</v>
      </c>
      <c r="AK896" s="4" t="s">
        <v>252</v>
      </c>
      <c r="BA896" s="4" t="s">
        <v>254</v>
      </c>
      <c r="BB896" s="4" t="s">
        <v>241</v>
      </c>
      <c r="BC896" s="4" t="s">
        <v>255</v>
      </c>
      <c r="BD896" s="4" t="s">
        <v>241</v>
      </c>
      <c r="BE896" s="4" t="s">
        <v>257</v>
      </c>
      <c r="BF896" s="4" t="s">
        <v>241</v>
      </c>
      <c r="BJ896" s="4" t="s">
        <v>374</v>
      </c>
      <c r="BK896" s="5" t="s">
        <v>375</v>
      </c>
      <c r="BL896" s="4" t="s">
        <v>261</v>
      </c>
      <c r="BM896" s="4" t="s">
        <v>262</v>
      </c>
      <c r="BN896" s="4" t="s">
        <v>241</v>
      </c>
      <c r="BO896" s="6">
        <f>0</f>
        <v>0</v>
      </c>
      <c r="BP896" s="6">
        <f>0</f>
        <v>0</v>
      </c>
      <c r="BQ896" s="4" t="s">
        <v>263</v>
      </c>
      <c r="BR896" s="4" t="s">
        <v>264</v>
      </c>
      <c r="CF896" s="4" t="s">
        <v>241</v>
      </c>
      <c r="CG896" s="4" t="s">
        <v>241</v>
      </c>
      <c r="CK896" s="4" t="s">
        <v>265</v>
      </c>
      <c r="CL896" s="4" t="s">
        <v>266</v>
      </c>
      <c r="CM896" s="4" t="s">
        <v>241</v>
      </c>
      <c r="CO896" s="4" t="s">
        <v>1603</v>
      </c>
      <c r="CP896" s="5" t="s">
        <v>268</v>
      </c>
      <c r="CQ896" s="4" t="s">
        <v>269</v>
      </c>
      <c r="CR896" s="4" t="s">
        <v>270</v>
      </c>
      <c r="CS896" s="4" t="s">
        <v>241</v>
      </c>
      <c r="CT896" s="4" t="s">
        <v>241</v>
      </c>
      <c r="CU896" s="4">
        <v>0</v>
      </c>
      <c r="CV896" s="4" t="s">
        <v>271</v>
      </c>
      <c r="CW896" s="4" t="s">
        <v>411</v>
      </c>
      <c r="CX896" s="4" t="s">
        <v>347</v>
      </c>
      <c r="CZ896" s="6">
        <f>6994000</f>
        <v>6994000</v>
      </c>
      <c r="DA896" s="6">
        <f>0</f>
        <v>0</v>
      </c>
      <c r="DC896" s="4" t="s">
        <v>241</v>
      </c>
      <c r="DD896" s="4" t="s">
        <v>241</v>
      </c>
      <c r="DF896" s="4" t="s">
        <v>241</v>
      </c>
      <c r="DI896" s="4" t="s">
        <v>241</v>
      </c>
      <c r="DJ896" s="4" t="s">
        <v>241</v>
      </c>
      <c r="DK896" s="4" t="s">
        <v>241</v>
      </c>
      <c r="DL896" s="4" t="s">
        <v>241</v>
      </c>
      <c r="DM896" s="4" t="s">
        <v>277</v>
      </c>
      <c r="DN896" s="4" t="s">
        <v>278</v>
      </c>
      <c r="DO896" s="6">
        <f>69.94</f>
        <v>69.94</v>
      </c>
      <c r="DP896" s="4" t="s">
        <v>241</v>
      </c>
      <c r="DQ896" s="4" t="s">
        <v>241</v>
      </c>
      <c r="DR896" s="4" t="s">
        <v>241</v>
      </c>
      <c r="DS896" s="4" t="s">
        <v>241</v>
      </c>
      <c r="DV896" s="4" t="s">
        <v>2117</v>
      </c>
      <c r="DW896" s="4" t="s">
        <v>323</v>
      </c>
      <c r="HO896" s="4" t="s">
        <v>277</v>
      </c>
      <c r="HR896" s="4" t="s">
        <v>278</v>
      </c>
      <c r="HS896" s="4" t="s">
        <v>278</v>
      </c>
    </row>
    <row r="897" spans="1:240" x14ac:dyDescent="0.4">
      <c r="A897" s="4">
        <v>2</v>
      </c>
      <c r="B897" s="4" t="s">
        <v>239</v>
      </c>
      <c r="C897" s="4">
        <v>966</v>
      </c>
      <c r="D897" s="4">
        <v>1</v>
      </c>
      <c r="E897" s="4">
        <v>1</v>
      </c>
      <c r="F897" s="4" t="s">
        <v>240</v>
      </c>
      <c r="G897" s="4" t="s">
        <v>241</v>
      </c>
      <c r="H897" s="4" t="s">
        <v>241</v>
      </c>
      <c r="I897" s="4" t="s">
        <v>2118</v>
      </c>
      <c r="J897" s="4" t="s">
        <v>344</v>
      </c>
      <c r="K897" s="4" t="s">
        <v>256</v>
      </c>
      <c r="L897" s="4" t="s">
        <v>2101</v>
      </c>
      <c r="M897" s="5" t="s">
        <v>2120</v>
      </c>
      <c r="N897" s="4" t="s">
        <v>2114</v>
      </c>
      <c r="O897" s="6">
        <f>32.4</f>
        <v>32.4</v>
      </c>
      <c r="P897" s="4" t="s">
        <v>276</v>
      </c>
      <c r="Q897" s="6">
        <f>1</f>
        <v>1</v>
      </c>
      <c r="R897" s="6">
        <f>3240000</f>
        <v>3240000</v>
      </c>
      <c r="S897" s="5" t="s">
        <v>2119</v>
      </c>
      <c r="T897" s="4" t="s">
        <v>314</v>
      </c>
      <c r="U897" s="4" t="s">
        <v>1110</v>
      </c>
      <c r="W897" s="6">
        <f>3239999</f>
        <v>3239999</v>
      </c>
      <c r="X897" s="4" t="s">
        <v>243</v>
      </c>
      <c r="Y897" s="4" t="s">
        <v>244</v>
      </c>
      <c r="Z897" s="4" t="s">
        <v>338</v>
      </c>
      <c r="AA897" s="4" t="s">
        <v>241</v>
      </c>
      <c r="AD897" s="4" t="s">
        <v>241</v>
      </c>
      <c r="AF897" s="5" t="s">
        <v>241</v>
      </c>
      <c r="AI897" s="5" t="s">
        <v>249</v>
      </c>
      <c r="AJ897" s="4" t="s">
        <v>251</v>
      </c>
      <c r="AK897" s="4" t="s">
        <v>252</v>
      </c>
      <c r="BA897" s="4" t="s">
        <v>254</v>
      </c>
      <c r="BB897" s="4" t="s">
        <v>241</v>
      </c>
      <c r="BC897" s="4" t="s">
        <v>255</v>
      </c>
      <c r="BD897" s="4" t="s">
        <v>241</v>
      </c>
      <c r="BE897" s="4" t="s">
        <v>257</v>
      </c>
      <c r="BF897" s="4" t="s">
        <v>241</v>
      </c>
      <c r="BH897" s="4" t="s">
        <v>2107</v>
      </c>
      <c r="BJ897" s="4" t="s">
        <v>377</v>
      </c>
      <c r="BK897" s="5" t="s">
        <v>378</v>
      </c>
      <c r="BL897" s="4" t="s">
        <v>261</v>
      </c>
      <c r="BM897" s="4" t="s">
        <v>262</v>
      </c>
      <c r="BN897" s="4" t="s">
        <v>241</v>
      </c>
      <c r="BO897" s="6">
        <f>0</f>
        <v>0</v>
      </c>
      <c r="BP897" s="6">
        <f>0</f>
        <v>0</v>
      </c>
      <c r="BQ897" s="4" t="s">
        <v>263</v>
      </c>
      <c r="BR897" s="4" t="s">
        <v>264</v>
      </c>
      <c r="CF897" s="4" t="s">
        <v>241</v>
      </c>
      <c r="CG897" s="4" t="s">
        <v>241</v>
      </c>
      <c r="CK897" s="4" t="s">
        <v>265</v>
      </c>
      <c r="CL897" s="4" t="s">
        <v>266</v>
      </c>
      <c r="CM897" s="4" t="s">
        <v>241</v>
      </c>
      <c r="CO897" s="4" t="s">
        <v>1109</v>
      </c>
      <c r="CP897" s="5" t="s">
        <v>268</v>
      </c>
      <c r="CQ897" s="4" t="s">
        <v>269</v>
      </c>
      <c r="CR897" s="4" t="s">
        <v>270</v>
      </c>
      <c r="CS897" s="4" t="s">
        <v>241</v>
      </c>
      <c r="CT897" s="4" t="s">
        <v>241</v>
      </c>
      <c r="CU897" s="4">
        <v>0</v>
      </c>
      <c r="CV897" s="4" t="s">
        <v>271</v>
      </c>
      <c r="CW897" s="4" t="s">
        <v>411</v>
      </c>
      <c r="CX897" s="4" t="s">
        <v>347</v>
      </c>
      <c r="CZ897" s="6">
        <f>3240000</f>
        <v>3240000</v>
      </c>
      <c r="DA897" s="6">
        <f>0</f>
        <v>0</v>
      </c>
      <c r="DC897" s="4" t="s">
        <v>241</v>
      </c>
      <c r="DD897" s="4" t="s">
        <v>241</v>
      </c>
      <c r="DF897" s="4" t="s">
        <v>241</v>
      </c>
      <c r="DI897" s="4" t="s">
        <v>241</v>
      </c>
      <c r="DJ897" s="4" t="s">
        <v>241</v>
      </c>
      <c r="DK897" s="4" t="s">
        <v>241</v>
      </c>
      <c r="DL897" s="4" t="s">
        <v>241</v>
      </c>
      <c r="DM897" s="4" t="s">
        <v>277</v>
      </c>
      <c r="DN897" s="4" t="s">
        <v>278</v>
      </c>
      <c r="DO897" s="6">
        <f>32.4</f>
        <v>32.4</v>
      </c>
      <c r="DP897" s="4" t="s">
        <v>241</v>
      </c>
      <c r="DQ897" s="4" t="s">
        <v>241</v>
      </c>
      <c r="DR897" s="4" t="s">
        <v>241</v>
      </c>
      <c r="DS897" s="4" t="s">
        <v>241</v>
      </c>
      <c r="DV897" s="4" t="s">
        <v>2121</v>
      </c>
      <c r="DW897" s="4" t="s">
        <v>277</v>
      </c>
      <c r="HO897" s="4" t="s">
        <v>277</v>
      </c>
      <c r="HR897" s="4" t="s">
        <v>278</v>
      </c>
      <c r="HS897" s="4" t="s">
        <v>278</v>
      </c>
    </row>
    <row r="898" spans="1:240" x14ac:dyDescent="0.4">
      <c r="A898" s="4">
        <v>2</v>
      </c>
      <c r="B898" s="4" t="s">
        <v>239</v>
      </c>
      <c r="C898" s="4">
        <v>969</v>
      </c>
      <c r="D898" s="4">
        <v>1</v>
      </c>
      <c r="E898" s="4">
        <v>3</v>
      </c>
      <c r="F898" s="4" t="s">
        <v>240</v>
      </c>
      <c r="G898" s="4" t="s">
        <v>241</v>
      </c>
      <c r="H898" s="4" t="s">
        <v>241</v>
      </c>
      <c r="I898" s="4" t="s">
        <v>2390</v>
      </c>
      <c r="J898" s="4" t="s">
        <v>344</v>
      </c>
      <c r="K898" s="4" t="s">
        <v>256</v>
      </c>
      <c r="L898" s="4" t="s">
        <v>2101</v>
      </c>
      <c r="M898" s="5" t="s">
        <v>2392</v>
      </c>
      <c r="N898" s="4" t="s">
        <v>2114</v>
      </c>
      <c r="O898" s="6">
        <f>54.69</f>
        <v>54.69</v>
      </c>
      <c r="P898" s="4" t="s">
        <v>276</v>
      </c>
      <c r="Q898" s="6">
        <f>1</f>
        <v>1</v>
      </c>
      <c r="R898" s="6">
        <f>8312880</f>
        <v>8312880</v>
      </c>
      <c r="S898" s="5" t="s">
        <v>2391</v>
      </c>
      <c r="T898" s="4" t="s">
        <v>314</v>
      </c>
      <c r="U898" s="4" t="s">
        <v>361</v>
      </c>
      <c r="V898" s="6">
        <f>282647</f>
        <v>282647</v>
      </c>
      <c r="W898" s="6">
        <f>8312879</f>
        <v>8312879</v>
      </c>
      <c r="X898" s="4" t="s">
        <v>243</v>
      </c>
      <c r="Y898" s="4" t="s">
        <v>244</v>
      </c>
      <c r="Z898" s="4" t="s">
        <v>338</v>
      </c>
      <c r="AA898" s="4" t="s">
        <v>241</v>
      </c>
      <c r="AD898" s="4" t="s">
        <v>241</v>
      </c>
      <c r="AE898" s="5" t="s">
        <v>241</v>
      </c>
      <c r="AF898" s="5" t="s">
        <v>241</v>
      </c>
      <c r="AH898" s="5" t="s">
        <v>241</v>
      </c>
      <c r="AI898" s="5" t="s">
        <v>249</v>
      </c>
      <c r="AJ898" s="4" t="s">
        <v>251</v>
      </c>
      <c r="AK898" s="4" t="s">
        <v>252</v>
      </c>
      <c r="AQ898" s="4" t="s">
        <v>241</v>
      </c>
      <c r="AR898" s="4" t="s">
        <v>241</v>
      </c>
      <c r="AS898" s="4" t="s">
        <v>241</v>
      </c>
      <c r="AT898" s="5" t="s">
        <v>241</v>
      </c>
      <c r="AU898" s="5" t="s">
        <v>241</v>
      </c>
      <c r="AV898" s="5" t="s">
        <v>241</v>
      </c>
      <c r="AY898" s="4" t="s">
        <v>286</v>
      </c>
      <c r="AZ898" s="4" t="s">
        <v>286</v>
      </c>
      <c r="BA898" s="4" t="s">
        <v>254</v>
      </c>
      <c r="BB898" s="4" t="s">
        <v>287</v>
      </c>
      <c r="BC898" s="4" t="s">
        <v>255</v>
      </c>
      <c r="BD898" s="4" t="s">
        <v>241</v>
      </c>
      <c r="BE898" s="4" t="s">
        <v>257</v>
      </c>
      <c r="BF898" s="4" t="s">
        <v>241</v>
      </c>
      <c r="BJ898" s="4" t="s">
        <v>288</v>
      </c>
      <c r="BK898" s="5" t="s">
        <v>289</v>
      </c>
      <c r="BL898" s="4" t="s">
        <v>290</v>
      </c>
      <c r="BM898" s="4" t="s">
        <v>290</v>
      </c>
      <c r="BN898" s="4" t="s">
        <v>241</v>
      </c>
      <c r="BO898" s="6">
        <f>0</f>
        <v>0</v>
      </c>
      <c r="BP898" s="6">
        <f>-282647</f>
        <v>-282647</v>
      </c>
      <c r="BQ898" s="4" t="s">
        <v>263</v>
      </c>
      <c r="BR898" s="4" t="s">
        <v>264</v>
      </c>
      <c r="BS898" s="4" t="s">
        <v>241</v>
      </c>
      <c r="BT898" s="4" t="s">
        <v>241</v>
      </c>
      <c r="BU898" s="4" t="s">
        <v>241</v>
      </c>
      <c r="BV898" s="4" t="s">
        <v>241</v>
      </c>
      <c r="CE898" s="4" t="s">
        <v>264</v>
      </c>
      <c r="CF898" s="4" t="s">
        <v>241</v>
      </c>
      <c r="CG898" s="4" t="s">
        <v>241</v>
      </c>
      <c r="CK898" s="4" t="s">
        <v>291</v>
      </c>
      <c r="CL898" s="4" t="s">
        <v>266</v>
      </c>
      <c r="CM898" s="4" t="s">
        <v>241</v>
      </c>
      <c r="CO898" s="4" t="s">
        <v>360</v>
      </c>
      <c r="CP898" s="5" t="s">
        <v>268</v>
      </c>
      <c r="CQ898" s="4" t="s">
        <v>269</v>
      </c>
      <c r="CR898" s="4" t="s">
        <v>270</v>
      </c>
      <c r="CS898" s="4" t="s">
        <v>293</v>
      </c>
      <c r="CT898" s="4" t="s">
        <v>241</v>
      </c>
      <c r="CU898" s="4">
        <v>4.5999999999999999E-2</v>
      </c>
      <c r="CV898" s="4" t="s">
        <v>271</v>
      </c>
      <c r="CW898" s="4" t="s">
        <v>411</v>
      </c>
      <c r="CX898" s="4" t="s">
        <v>347</v>
      </c>
      <c r="CY898" s="6">
        <f>0</f>
        <v>0</v>
      </c>
      <c r="CZ898" s="6">
        <f>8312880</f>
        <v>8312880</v>
      </c>
      <c r="DA898" s="6">
        <f>1</f>
        <v>1</v>
      </c>
      <c r="DC898" s="4" t="s">
        <v>241</v>
      </c>
      <c r="DD898" s="4" t="s">
        <v>241</v>
      </c>
      <c r="DF898" s="4" t="s">
        <v>241</v>
      </c>
      <c r="DG898" s="6">
        <f>0</f>
        <v>0</v>
      </c>
      <c r="DI898" s="4" t="s">
        <v>241</v>
      </c>
      <c r="DJ898" s="4" t="s">
        <v>241</v>
      </c>
      <c r="DK898" s="4" t="s">
        <v>241</v>
      </c>
      <c r="DL898" s="4" t="s">
        <v>241</v>
      </c>
      <c r="DM898" s="4" t="s">
        <v>277</v>
      </c>
      <c r="DN898" s="4" t="s">
        <v>278</v>
      </c>
      <c r="DO898" s="6">
        <f>54.69</f>
        <v>54.69</v>
      </c>
      <c r="DP898" s="4" t="s">
        <v>241</v>
      </c>
      <c r="DQ898" s="4" t="s">
        <v>241</v>
      </c>
      <c r="DR898" s="4" t="s">
        <v>241</v>
      </c>
      <c r="DS898" s="4" t="s">
        <v>241</v>
      </c>
      <c r="DV898" s="4" t="s">
        <v>2393</v>
      </c>
      <c r="DW898" s="4" t="s">
        <v>323</v>
      </c>
      <c r="GN898" s="4" t="s">
        <v>2396</v>
      </c>
      <c r="HO898" s="4" t="s">
        <v>300</v>
      </c>
      <c r="HR898" s="4" t="s">
        <v>278</v>
      </c>
      <c r="HS898" s="4" t="s">
        <v>278</v>
      </c>
      <c r="HT898" s="4" t="s">
        <v>241</v>
      </c>
      <c r="HU898" s="4" t="s">
        <v>241</v>
      </c>
      <c r="HV898" s="4" t="s">
        <v>241</v>
      </c>
      <c r="HW898" s="4" t="s">
        <v>241</v>
      </c>
      <c r="HX898" s="4" t="s">
        <v>241</v>
      </c>
      <c r="HY898" s="4" t="s">
        <v>241</v>
      </c>
      <c r="HZ898" s="4" t="s">
        <v>241</v>
      </c>
      <c r="IA898" s="4" t="s">
        <v>241</v>
      </c>
      <c r="IB898" s="4" t="s">
        <v>241</v>
      </c>
      <c r="IC898" s="4" t="s">
        <v>241</v>
      </c>
      <c r="ID898" s="4" t="s">
        <v>241</v>
      </c>
      <c r="IE898" s="4" t="s">
        <v>241</v>
      </c>
      <c r="IF898" s="4" t="s">
        <v>241</v>
      </c>
    </row>
    <row r="899" spans="1:240" x14ac:dyDescent="0.4">
      <c r="A899" s="4">
        <v>2</v>
      </c>
      <c r="B899" s="4" t="s">
        <v>239</v>
      </c>
      <c r="C899" s="4">
        <v>970</v>
      </c>
      <c r="D899" s="4">
        <v>1</v>
      </c>
      <c r="E899" s="4">
        <v>3</v>
      </c>
      <c r="F899" s="4" t="s">
        <v>240</v>
      </c>
      <c r="G899" s="4" t="s">
        <v>241</v>
      </c>
      <c r="H899" s="4" t="s">
        <v>241</v>
      </c>
      <c r="I899" s="4" t="s">
        <v>2390</v>
      </c>
      <c r="J899" s="4" t="s">
        <v>344</v>
      </c>
      <c r="K899" s="4" t="s">
        <v>256</v>
      </c>
      <c r="L899" s="4" t="s">
        <v>2101</v>
      </c>
      <c r="M899" s="5" t="s">
        <v>2392</v>
      </c>
      <c r="N899" s="4" t="s">
        <v>2114</v>
      </c>
      <c r="O899" s="6">
        <f>54.69</f>
        <v>54.69</v>
      </c>
      <c r="P899" s="4" t="s">
        <v>276</v>
      </c>
      <c r="Q899" s="6">
        <f>1</f>
        <v>1</v>
      </c>
      <c r="R899" s="6">
        <f>8312880</f>
        <v>8312880</v>
      </c>
      <c r="S899" s="5" t="s">
        <v>2391</v>
      </c>
      <c r="T899" s="4" t="s">
        <v>314</v>
      </c>
      <c r="U899" s="4" t="s">
        <v>361</v>
      </c>
      <c r="V899" s="6">
        <f>282647</f>
        <v>282647</v>
      </c>
      <c r="W899" s="6">
        <f>8312879</f>
        <v>8312879</v>
      </c>
      <c r="X899" s="4" t="s">
        <v>243</v>
      </c>
      <c r="Y899" s="4" t="s">
        <v>244</v>
      </c>
      <c r="Z899" s="4" t="s">
        <v>338</v>
      </c>
      <c r="AA899" s="4" t="s">
        <v>241</v>
      </c>
      <c r="AD899" s="4" t="s">
        <v>241</v>
      </c>
      <c r="AE899" s="5" t="s">
        <v>241</v>
      </c>
      <c r="AF899" s="5" t="s">
        <v>241</v>
      </c>
      <c r="AH899" s="5" t="s">
        <v>241</v>
      </c>
      <c r="AI899" s="5" t="s">
        <v>249</v>
      </c>
      <c r="AJ899" s="4" t="s">
        <v>251</v>
      </c>
      <c r="AK899" s="4" t="s">
        <v>252</v>
      </c>
      <c r="AQ899" s="4" t="s">
        <v>241</v>
      </c>
      <c r="AR899" s="4" t="s">
        <v>241</v>
      </c>
      <c r="AS899" s="4" t="s">
        <v>241</v>
      </c>
      <c r="AT899" s="5" t="s">
        <v>241</v>
      </c>
      <c r="AU899" s="5" t="s">
        <v>241</v>
      </c>
      <c r="AV899" s="5" t="s">
        <v>241</v>
      </c>
      <c r="AY899" s="4" t="s">
        <v>286</v>
      </c>
      <c r="AZ899" s="4" t="s">
        <v>286</v>
      </c>
      <c r="BA899" s="4" t="s">
        <v>254</v>
      </c>
      <c r="BB899" s="4" t="s">
        <v>287</v>
      </c>
      <c r="BC899" s="4" t="s">
        <v>255</v>
      </c>
      <c r="BD899" s="4" t="s">
        <v>241</v>
      </c>
      <c r="BE899" s="4" t="s">
        <v>257</v>
      </c>
      <c r="BF899" s="4" t="s">
        <v>241</v>
      </c>
      <c r="BJ899" s="4" t="s">
        <v>288</v>
      </c>
      <c r="BK899" s="5" t="s">
        <v>289</v>
      </c>
      <c r="BL899" s="4" t="s">
        <v>290</v>
      </c>
      <c r="BM899" s="4" t="s">
        <v>290</v>
      </c>
      <c r="BN899" s="4" t="s">
        <v>241</v>
      </c>
      <c r="BO899" s="6">
        <f>0</f>
        <v>0</v>
      </c>
      <c r="BP899" s="6">
        <f>-282647</f>
        <v>-282647</v>
      </c>
      <c r="BQ899" s="4" t="s">
        <v>263</v>
      </c>
      <c r="BR899" s="4" t="s">
        <v>264</v>
      </c>
      <c r="BS899" s="4" t="s">
        <v>241</v>
      </c>
      <c r="BT899" s="4" t="s">
        <v>241</v>
      </c>
      <c r="BU899" s="4" t="s">
        <v>241</v>
      </c>
      <c r="BV899" s="4" t="s">
        <v>241</v>
      </c>
      <c r="CE899" s="4" t="s">
        <v>264</v>
      </c>
      <c r="CF899" s="4" t="s">
        <v>241</v>
      </c>
      <c r="CG899" s="4" t="s">
        <v>241</v>
      </c>
      <c r="CK899" s="4" t="s">
        <v>291</v>
      </c>
      <c r="CL899" s="4" t="s">
        <v>266</v>
      </c>
      <c r="CM899" s="4" t="s">
        <v>241</v>
      </c>
      <c r="CO899" s="4" t="s">
        <v>360</v>
      </c>
      <c r="CP899" s="5" t="s">
        <v>268</v>
      </c>
      <c r="CQ899" s="4" t="s">
        <v>269</v>
      </c>
      <c r="CR899" s="4" t="s">
        <v>270</v>
      </c>
      <c r="CS899" s="4" t="s">
        <v>293</v>
      </c>
      <c r="CT899" s="4" t="s">
        <v>241</v>
      </c>
      <c r="CU899" s="4">
        <v>4.5999999999999999E-2</v>
      </c>
      <c r="CV899" s="4" t="s">
        <v>271</v>
      </c>
      <c r="CW899" s="4" t="s">
        <v>411</v>
      </c>
      <c r="CX899" s="4" t="s">
        <v>347</v>
      </c>
      <c r="CY899" s="6">
        <f>0</f>
        <v>0</v>
      </c>
      <c r="CZ899" s="6">
        <f>8312880</f>
        <v>8312880</v>
      </c>
      <c r="DA899" s="6">
        <f>1</f>
        <v>1</v>
      </c>
      <c r="DC899" s="4" t="s">
        <v>241</v>
      </c>
      <c r="DD899" s="4" t="s">
        <v>241</v>
      </c>
      <c r="DF899" s="4" t="s">
        <v>241</v>
      </c>
      <c r="DG899" s="6">
        <f>0</f>
        <v>0</v>
      </c>
      <c r="DI899" s="4" t="s">
        <v>241</v>
      </c>
      <c r="DJ899" s="4" t="s">
        <v>241</v>
      </c>
      <c r="DK899" s="4" t="s">
        <v>241</v>
      </c>
      <c r="DL899" s="4" t="s">
        <v>241</v>
      </c>
      <c r="DM899" s="4" t="s">
        <v>277</v>
      </c>
      <c r="DN899" s="4" t="s">
        <v>278</v>
      </c>
      <c r="DO899" s="6">
        <f>54.69</f>
        <v>54.69</v>
      </c>
      <c r="DP899" s="4" t="s">
        <v>241</v>
      </c>
      <c r="DQ899" s="4" t="s">
        <v>241</v>
      </c>
      <c r="DR899" s="4" t="s">
        <v>241</v>
      </c>
      <c r="DS899" s="4" t="s">
        <v>241</v>
      </c>
      <c r="DV899" s="4" t="s">
        <v>2393</v>
      </c>
      <c r="DW899" s="4" t="s">
        <v>297</v>
      </c>
      <c r="GN899" s="4" t="s">
        <v>2395</v>
      </c>
      <c r="HO899" s="4" t="s">
        <v>300</v>
      </c>
      <c r="HR899" s="4" t="s">
        <v>278</v>
      </c>
      <c r="HS899" s="4" t="s">
        <v>278</v>
      </c>
      <c r="HT899" s="4" t="s">
        <v>241</v>
      </c>
      <c r="HU899" s="4" t="s">
        <v>241</v>
      </c>
      <c r="HV899" s="4" t="s">
        <v>241</v>
      </c>
      <c r="HW899" s="4" t="s">
        <v>241</v>
      </c>
      <c r="HX899" s="4" t="s">
        <v>241</v>
      </c>
      <c r="HY899" s="4" t="s">
        <v>241</v>
      </c>
      <c r="HZ899" s="4" t="s">
        <v>241</v>
      </c>
      <c r="IA899" s="4" t="s">
        <v>241</v>
      </c>
      <c r="IB899" s="4" t="s">
        <v>241</v>
      </c>
      <c r="IC899" s="4" t="s">
        <v>241</v>
      </c>
      <c r="ID899" s="4" t="s">
        <v>241</v>
      </c>
      <c r="IE899" s="4" t="s">
        <v>241</v>
      </c>
      <c r="IF899" s="4" t="s">
        <v>241</v>
      </c>
    </row>
    <row r="900" spans="1:240" x14ac:dyDescent="0.4">
      <c r="A900" s="4">
        <v>2</v>
      </c>
      <c r="B900" s="4" t="s">
        <v>239</v>
      </c>
      <c r="C900" s="4">
        <v>971</v>
      </c>
      <c r="D900" s="4">
        <v>1</v>
      </c>
      <c r="E900" s="4">
        <v>3</v>
      </c>
      <c r="F900" s="4" t="s">
        <v>240</v>
      </c>
      <c r="G900" s="4" t="s">
        <v>241</v>
      </c>
      <c r="H900" s="4" t="s">
        <v>241</v>
      </c>
      <c r="I900" s="4" t="s">
        <v>2390</v>
      </c>
      <c r="J900" s="4" t="s">
        <v>344</v>
      </c>
      <c r="K900" s="4" t="s">
        <v>256</v>
      </c>
      <c r="L900" s="4" t="s">
        <v>2101</v>
      </c>
      <c r="M900" s="5" t="s">
        <v>2392</v>
      </c>
      <c r="N900" s="4" t="s">
        <v>2114</v>
      </c>
      <c r="O900" s="6">
        <f>54.69</f>
        <v>54.69</v>
      </c>
      <c r="P900" s="4" t="s">
        <v>276</v>
      </c>
      <c r="Q900" s="6">
        <f>1</f>
        <v>1</v>
      </c>
      <c r="R900" s="6">
        <f>8312880</f>
        <v>8312880</v>
      </c>
      <c r="S900" s="5" t="s">
        <v>2391</v>
      </c>
      <c r="T900" s="4" t="s">
        <v>314</v>
      </c>
      <c r="U900" s="4" t="s">
        <v>361</v>
      </c>
      <c r="V900" s="6">
        <f>282647</f>
        <v>282647</v>
      </c>
      <c r="W900" s="6">
        <f>8312879</f>
        <v>8312879</v>
      </c>
      <c r="X900" s="4" t="s">
        <v>243</v>
      </c>
      <c r="Y900" s="4" t="s">
        <v>244</v>
      </c>
      <c r="Z900" s="4" t="s">
        <v>338</v>
      </c>
      <c r="AA900" s="4" t="s">
        <v>241</v>
      </c>
      <c r="AD900" s="4" t="s">
        <v>241</v>
      </c>
      <c r="AE900" s="5" t="s">
        <v>241</v>
      </c>
      <c r="AF900" s="5" t="s">
        <v>241</v>
      </c>
      <c r="AH900" s="5" t="s">
        <v>241</v>
      </c>
      <c r="AI900" s="5" t="s">
        <v>249</v>
      </c>
      <c r="AJ900" s="4" t="s">
        <v>251</v>
      </c>
      <c r="AK900" s="4" t="s">
        <v>252</v>
      </c>
      <c r="AQ900" s="4" t="s">
        <v>241</v>
      </c>
      <c r="AR900" s="4" t="s">
        <v>241</v>
      </c>
      <c r="AS900" s="4" t="s">
        <v>241</v>
      </c>
      <c r="AT900" s="5" t="s">
        <v>241</v>
      </c>
      <c r="AU900" s="5" t="s">
        <v>241</v>
      </c>
      <c r="AV900" s="5" t="s">
        <v>241</v>
      </c>
      <c r="AY900" s="4" t="s">
        <v>286</v>
      </c>
      <c r="AZ900" s="4" t="s">
        <v>286</v>
      </c>
      <c r="BA900" s="4" t="s">
        <v>254</v>
      </c>
      <c r="BB900" s="4" t="s">
        <v>287</v>
      </c>
      <c r="BC900" s="4" t="s">
        <v>255</v>
      </c>
      <c r="BD900" s="4" t="s">
        <v>241</v>
      </c>
      <c r="BE900" s="4" t="s">
        <v>257</v>
      </c>
      <c r="BF900" s="4" t="s">
        <v>241</v>
      </c>
      <c r="BJ900" s="4" t="s">
        <v>288</v>
      </c>
      <c r="BK900" s="5" t="s">
        <v>289</v>
      </c>
      <c r="BL900" s="4" t="s">
        <v>290</v>
      </c>
      <c r="BM900" s="4" t="s">
        <v>290</v>
      </c>
      <c r="BN900" s="4" t="s">
        <v>241</v>
      </c>
      <c r="BO900" s="6">
        <f>0</f>
        <v>0</v>
      </c>
      <c r="BP900" s="6">
        <f>-282647</f>
        <v>-282647</v>
      </c>
      <c r="BQ900" s="4" t="s">
        <v>263</v>
      </c>
      <c r="BR900" s="4" t="s">
        <v>264</v>
      </c>
      <c r="BS900" s="4" t="s">
        <v>241</v>
      </c>
      <c r="BT900" s="4" t="s">
        <v>241</v>
      </c>
      <c r="BU900" s="4" t="s">
        <v>241</v>
      </c>
      <c r="BV900" s="4" t="s">
        <v>241</v>
      </c>
      <c r="CE900" s="4" t="s">
        <v>264</v>
      </c>
      <c r="CF900" s="4" t="s">
        <v>241</v>
      </c>
      <c r="CG900" s="4" t="s">
        <v>241</v>
      </c>
      <c r="CK900" s="4" t="s">
        <v>291</v>
      </c>
      <c r="CL900" s="4" t="s">
        <v>266</v>
      </c>
      <c r="CM900" s="4" t="s">
        <v>241</v>
      </c>
      <c r="CO900" s="4" t="s">
        <v>360</v>
      </c>
      <c r="CP900" s="5" t="s">
        <v>268</v>
      </c>
      <c r="CQ900" s="4" t="s">
        <v>269</v>
      </c>
      <c r="CR900" s="4" t="s">
        <v>270</v>
      </c>
      <c r="CS900" s="4" t="s">
        <v>293</v>
      </c>
      <c r="CT900" s="4" t="s">
        <v>241</v>
      </c>
      <c r="CU900" s="4">
        <v>4.5999999999999999E-2</v>
      </c>
      <c r="CV900" s="4" t="s">
        <v>271</v>
      </c>
      <c r="CW900" s="4" t="s">
        <v>411</v>
      </c>
      <c r="CX900" s="4" t="s">
        <v>347</v>
      </c>
      <c r="CY900" s="6">
        <f>0</f>
        <v>0</v>
      </c>
      <c r="CZ900" s="6">
        <f>8312880</f>
        <v>8312880</v>
      </c>
      <c r="DA900" s="6">
        <f>1</f>
        <v>1</v>
      </c>
      <c r="DC900" s="4" t="s">
        <v>241</v>
      </c>
      <c r="DD900" s="4" t="s">
        <v>241</v>
      </c>
      <c r="DF900" s="4" t="s">
        <v>241</v>
      </c>
      <c r="DG900" s="6">
        <f>0</f>
        <v>0</v>
      </c>
      <c r="DI900" s="4" t="s">
        <v>241</v>
      </c>
      <c r="DJ900" s="4" t="s">
        <v>241</v>
      </c>
      <c r="DK900" s="4" t="s">
        <v>241</v>
      </c>
      <c r="DL900" s="4" t="s">
        <v>241</v>
      </c>
      <c r="DM900" s="4" t="s">
        <v>277</v>
      </c>
      <c r="DN900" s="4" t="s">
        <v>278</v>
      </c>
      <c r="DO900" s="6">
        <f>54.69</f>
        <v>54.69</v>
      </c>
      <c r="DP900" s="4" t="s">
        <v>241</v>
      </c>
      <c r="DQ900" s="4" t="s">
        <v>241</v>
      </c>
      <c r="DR900" s="4" t="s">
        <v>241</v>
      </c>
      <c r="DS900" s="4" t="s">
        <v>241</v>
      </c>
      <c r="DV900" s="4" t="s">
        <v>2393</v>
      </c>
      <c r="DW900" s="4" t="s">
        <v>336</v>
      </c>
      <c r="GN900" s="4" t="s">
        <v>2394</v>
      </c>
      <c r="HO900" s="4" t="s">
        <v>300</v>
      </c>
      <c r="HR900" s="4" t="s">
        <v>278</v>
      </c>
      <c r="HS900" s="4" t="s">
        <v>278</v>
      </c>
      <c r="HT900" s="4" t="s">
        <v>241</v>
      </c>
      <c r="HU900" s="4" t="s">
        <v>241</v>
      </c>
      <c r="HV900" s="4" t="s">
        <v>241</v>
      </c>
      <c r="HW900" s="4" t="s">
        <v>241</v>
      </c>
      <c r="HX900" s="4" t="s">
        <v>241</v>
      </c>
      <c r="HY900" s="4" t="s">
        <v>241</v>
      </c>
      <c r="HZ900" s="4" t="s">
        <v>241</v>
      </c>
      <c r="IA900" s="4" t="s">
        <v>241</v>
      </c>
      <c r="IB900" s="4" t="s">
        <v>241</v>
      </c>
      <c r="IC900" s="4" t="s">
        <v>241</v>
      </c>
      <c r="ID900" s="4" t="s">
        <v>241</v>
      </c>
      <c r="IE900" s="4" t="s">
        <v>241</v>
      </c>
      <c r="IF900" s="4" t="s">
        <v>241</v>
      </c>
    </row>
    <row r="901" spans="1:240" x14ac:dyDescent="0.4">
      <c r="A901" s="4">
        <v>2</v>
      </c>
      <c r="B901" s="4" t="s">
        <v>239</v>
      </c>
      <c r="C901" s="4">
        <v>972</v>
      </c>
      <c r="D901" s="4">
        <v>1</v>
      </c>
      <c r="E901" s="4">
        <v>1</v>
      </c>
      <c r="F901" s="4" t="s">
        <v>240</v>
      </c>
      <c r="G901" s="4" t="s">
        <v>241</v>
      </c>
      <c r="H901" s="4" t="s">
        <v>241</v>
      </c>
      <c r="I901" s="4" t="s">
        <v>2241</v>
      </c>
      <c r="J901" s="4" t="s">
        <v>344</v>
      </c>
      <c r="K901" s="4" t="s">
        <v>256</v>
      </c>
      <c r="L901" s="4" t="s">
        <v>2101</v>
      </c>
      <c r="M901" s="5" t="s">
        <v>2242</v>
      </c>
      <c r="N901" s="4" t="s">
        <v>2104</v>
      </c>
      <c r="O901" s="6">
        <f>169.26</f>
        <v>169.26</v>
      </c>
      <c r="P901" s="4" t="s">
        <v>276</v>
      </c>
      <c r="Q901" s="6">
        <f>1</f>
        <v>1</v>
      </c>
      <c r="R901" s="6">
        <f>30128280</f>
        <v>30128280</v>
      </c>
      <c r="S901" s="5" t="s">
        <v>339</v>
      </c>
      <c r="T901" s="4" t="s">
        <v>314</v>
      </c>
      <c r="U901" s="4" t="s">
        <v>314</v>
      </c>
      <c r="W901" s="6">
        <f>30128279</f>
        <v>30128279</v>
      </c>
      <c r="X901" s="4" t="s">
        <v>243</v>
      </c>
      <c r="Y901" s="4" t="s">
        <v>244</v>
      </c>
      <c r="Z901" s="4" t="s">
        <v>338</v>
      </c>
      <c r="AA901" s="4" t="s">
        <v>241</v>
      </c>
      <c r="AD901" s="4" t="s">
        <v>241</v>
      </c>
      <c r="AF901" s="5" t="s">
        <v>241</v>
      </c>
      <c r="AI901" s="5" t="s">
        <v>249</v>
      </c>
      <c r="AJ901" s="4" t="s">
        <v>251</v>
      </c>
      <c r="AK901" s="4" t="s">
        <v>252</v>
      </c>
      <c r="BA901" s="4" t="s">
        <v>254</v>
      </c>
      <c r="BB901" s="4" t="s">
        <v>241</v>
      </c>
      <c r="BC901" s="4" t="s">
        <v>255</v>
      </c>
      <c r="BD901" s="4" t="s">
        <v>241</v>
      </c>
      <c r="BE901" s="4" t="s">
        <v>257</v>
      </c>
      <c r="BF901" s="4" t="s">
        <v>241</v>
      </c>
      <c r="BJ901" s="4" t="s">
        <v>367</v>
      </c>
      <c r="BK901" s="5" t="s">
        <v>249</v>
      </c>
      <c r="BL901" s="4" t="s">
        <v>261</v>
      </c>
      <c r="BM901" s="4" t="s">
        <v>290</v>
      </c>
      <c r="BN901" s="4" t="s">
        <v>241</v>
      </c>
      <c r="BO901" s="6">
        <f>0</f>
        <v>0</v>
      </c>
      <c r="BP901" s="6">
        <f>0</f>
        <v>0</v>
      </c>
      <c r="BQ901" s="4" t="s">
        <v>263</v>
      </c>
      <c r="BR901" s="4" t="s">
        <v>264</v>
      </c>
      <c r="CF901" s="4" t="s">
        <v>241</v>
      </c>
      <c r="CG901" s="4" t="s">
        <v>241</v>
      </c>
      <c r="CK901" s="4" t="s">
        <v>291</v>
      </c>
      <c r="CL901" s="4" t="s">
        <v>266</v>
      </c>
      <c r="CM901" s="4" t="s">
        <v>241</v>
      </c>
      <c r="CO901" s="4" t="s">
        <v>292</v>
      </c>
      <c r="CP901" s="5" t="s">
        <v>268</v>
      </c>
      <c r="CQ901" s="4" t="s">
        <v>269</v>
      </c>
      <c r="CR901" s="4" t="s">
        <v>270</v>
      </c>
      <c r="CS901" s="4" t="s">
        <v>241</v>
      </c>
      <c r="CT901" s="4" t="s">
        <v>241</v>
      </c>
      <c r="CU901" s="4">
        <v>0</v>
      </c>
      <c r="CV901" s="4" t="s">
        <v>271</v>
      </c>
      <c r="CW901" s="4" t="s">
        <v>411</v>
      </c>
      <c r="CX901" s="4" t="s">
        <v>347</v>
      </c>
      <c r="CZ901" s="6">
        <f>30128280</f>
        <v>30128280</v>
      </c>
      <c r="DA901" s="6">
        <f>0</f>
        <v>0</v>
      </c>
      <c r="DC901" s="4" t="s">
        <v>241</v>
      </c>
      <c r="DD901" s="4" t="s">
        <v>241</v>
      </c>
      <c r="DF901" s="4" t="s">
        <v>241</v>
      </c>
      <c r="DI901" s="4" t="s">
        <v>241</v>
      </c>
      <c r="DJ901" s="4" t="s">
        <v>241</v>
      </c>
      <c r="DK901" s="4" t="s">
        <v>241</v>
      </c>
      <c r="DL901" s="4" t="s">
        <v>241</v>
      </c>
      <c r="DM901" s="4" t="s">
        <v>323</v>
      </c>
      <c r="DN901" s="4" t="s">
        <v>278</v>
      </c>
      <c r="DO901" s="6">
        <f>169.26</f>
        <v>169.26</v>
      </c>
      <c r="DP901" s="4" t="s">
        <v>241</v>
      </c>
      <c r="DQ901" s="4" t="s">
        <v>241</v>
      </c>
      <c r="DR901" s="4" t="s">
        <v>241</v>
      </c>
      <c r="DS901" s="4" t="s">
        <v>241</v>
      </c>
      <c r="DV901" s="4" t="s">
        <v>2243</v>
      </c>
      <c r="DW901" s="4" t="s">
        <v>277</v>
      </c>
      <c r="HO901" s="4" t="s">
        <v>336</v>
      </c>
      <c r="HR901" s="4" t="s">
        <v>278</v>
      </c>
      <c r="HS901" s="4" t="s">
        <v>278</v>
      </c>
    </row>
    <row r="902" spans="1:240" x14ac:dyDescent="0.4">
      <c r="A902" s="4">
        <v>2</v>
      </c>
      <c r="B902" s="4" t="s">
        <v>239</v>
      </c>
      <c r="C902" s="4">
        <v>973</v>
      </c>
      <c r="D902" s="4">
        <v>1</v>
      </c>
      <c r="E902" s="4">
        <v>1</v>
      </c>
      <c r="F902" s="4" t="s">
        <v>240</v>
      </c>
      <c r="G902" s="4" t="s">
        <v>241</v>
      </c>
      <c r="H902" s="4" t="s">
        <v>241</v>
      </c>
      <c r="I902" s="4" t="s">
        <v>2241</v>
      </c>
      <c r="J902" s="4" t="s">
        <v>344</v>
      </c>
      <c r="K902" s="4" t="s">
        <v>256</v>
      </c>
      <c r="L902" s="4" t="s">
        <v>2101</v>
      </c>
      <c r="M902" s="5" t="s">
        <v>2242</v>
      </c>
      <c r="N902" s="4" t="s">
        <v>2109</v>
      </c>
      <c r="O902" s="6">
        <f>169.26</f>
        <v>169.26</v>
      </c>
      <c r="P902" s="4" t="s">
        <v>276</v>
      </c>
      <c r="Q902" s="6">
        <f>1</f>
        <v>1</v>
      </c>
      <c r="R902" s="6">
        <f>30128280</f>
        <v>30128280</v>
      </c>
      <c r="S902" s="5" t="s">
        <v>339</v>
      </c>
      <c r="T902" s="4" t="s">
        <v>314</v>
      </c>
      <c r="U902" s="4" t="s">
        <v>314</v>
      </c>
      <c r="W902" s="6">
        <f>30128279</f>
        <v>30128279</v>
      </c>
      <c r="X902" s="4" t="s">
        <v>243</v>
      </c>
      <c r="Y902" s="4" t="s">
        <v>244</v>
      </c>
      <c r="Z902" s="4" t="s">
        <v>338</v>
      </c>
      <c r="AA902" s="4" t="s">
        <v>241</v>
      </c>
      <c r="AD902" s="4" t="s">
        <v>241</v>
      </c>
      <c r="AF902" s="5" t="s">
        <v>241</v>
      </c>
      <c r="AI902" s="5" t="s">
        <v>249</v>
      </c>
      <c r="AJ902" s="4" t="s">
        <v>251</v>
      </c>
      <c r="AK902" s="4" t="s">
        <v>252</v>
      </c>
      <c r="BA902" s="4" t="s">
        <v>254</v>
      </c>
      <c r="BB902" s="4" t="s">
        <v>241</v>
      </c>
      <c r="BC902" s="4" t="s">
        <v>255</v>
      </c>
      <c r="BD902" s="4" t="s">
        <v>241</v>
      </c>
      <c r="BE902" s="4" t="s">
        <v>257</v>
      </c>
      <c r="BF902" s="4" t="s">
        <v>241</v>
      </c>
      <c r="BJ902" s="4" t="s">
        <v>374</v>
      </c>
      <c r="BK902" s="5" t="s">
        <v>375</v>
      </c>
      <c r="BL902" s="4" t="s">
        <v>261</v>
      </c>
      <c r="BM902" s="4" t="s">
        <v>290</v>
      </c>
      <c r="BN902" s="4" t="s">
        <v>241</v>
      </c>
      <c r="BO902" s="6">
        <f>0</f>
        <v>0</v>
      </c>
      <c r="BP902" s="6">
        <f>0</f>
        <v>0</v>
      </c>
      <c r="BQ902" s="4" t="s">
        <v>263</v>
      </c>
      <c r="BR902" s="4" t="s">
        <v>264</v>
      </c>
      <c r="CF902" s="4" t="s">
        <v>241</v>
      </c>
      <c r="CG902" s="4" t="s">
        <v>241</v>
      </c>
      <c r="CK902" s="4" t="s">
        <v>291</v>
      </c>
      <c r="CL902" s="4" t="s">
        <v>266</v>
      </c>
      <c r="CM902" s="4" t="s">
        <v>241</v>
      </c>
      <c r="CO902" s="4" t="s">
        <v>292</v>
      </c>
      <c r="CP902" s="5" t="s">
        <v>268</v>
      </c>
      <c r="CQ902" s="4" t="s">
        <v>269</v>
      </c>
      <c r="CR902" s="4" t="s">
        <v>270</v>
      </c>
      <c r="CS902" s="4" t="s">
        <v>241</v>
      </c>
      <c r="CT902" s="4" t="s">
        <v>241</v>
      </c>
      <c r="CU902" s="4">
        <v>0</v>
      </c>
      <c r="CV902" s="4" t="s">
        <v>271</v>
      </c>
      <c r="CW902" s="4" t="s">
        <v>411</v>
      </c>
      <c r="CX902" s="4" t="s">
        <v>347</v>
      </c>
      <c r="CZ902" s="6">
        <f>30128280</f>
        <v>30128280</v>
      </c>
      <c r="DA902" s="6">
        <f>0</f>
        <v>0</v>
      </c>
      <c r="DC902" s="4" t="s">
        <v>241</v>
      </c>
      <c r="DD902" s="4" t="s">
        <v>241</v>
      </c>
      <c r="DF902" s="4" t="s">
        <v>241</v>
      </c>
      <c r="DI902" s="4" t="s">
        <v>241</v>
      </c>
      <c r="DJ902" s="4" t="s">
        <v>241</v>
      </c>
      <c r="DK902" s="4" t="s">
        <v>241</v>
      </c>
      <c r="DL902" s="4" t="s">
        <v>241</v>
      </c>
      <c r="DM902" s="4" t="s">
        <v>323</v>
      </c>
      <c r="DN902" s="4" t="s">
        <v>278</v>
      </c>
      <c r="DO902" s="6">
        <f>169.26</f>
        <v>169.26</v>
      </c>
      <c r="DP902" s="4" t="s">
        <v>241</v>
      </c>
      <c r="DQ902" s="4" t="s">
        <v>241</v>
      </c>
      <c r="DR902" s="4" t="s">
        <v>241</v>
      </c>
      <c r="DS902" s="4" t="s">
        <v>241</v>
      </c>
      <c r="DV902" s="4" t="s">
        <v>2243</v>
      </c>
      <c r="DW902" s="4" t="s">
        <v>323</v>
      </c>
      <c r="HO902" s="4" t="s">
        <v>336</v>
      </c>
      <c r="HR902" s="4" t="s">
        <v>278</v>
      </c>
      <c r="HS902" s="4" t="s">
        <v>278</v>
      </c>
    </row>
    <row r="903" spans="1:240" x14ac:dyDescent="0.4">
      <c r="A903" s="4">
        <v>2</v>
      </c>
      <c r="B903" s="4" t="s">
        <v>239</v>
      </c>
      <c r="C903" s="4">
        <v>974</v>
      </c>
      <c r="D903" s="4">
        <v>1</v>
      </c>
      <c r="E903" s="4">
        <v>1</v>
      </c>
      <c r="F903" s="4" t="s">
        <v>240</v>
      </c>
      <c r="G903" s="4" t="s">
        <v>241</v>
      </c>
      <c r="H903" s="4" t="s">
        <v>241</v>
      </c>
      <c r="I903" s="4" t="s">
        <v>2241</v>
      </c>
      <c r="J903" s="4" t="s">
        <v>344</v>
      </c>
      <c r="K903" s="4" t="s">
        <v>256</v>
      </c>
      <c r="L903" s="4" t="s">
        <v>2101</v>
      </c>
      <c r="M903" s="5" t="s">
        <v>2242</v>
      </c>
      <c r="N903" s="4" t="s">
        <v>2110</v>
      </c>
      <c r="O903" s="6">
        <f>90.05</f>
        <v>90.05</v>
      </c>
      <c r="P903" s="4" t="s">
        <v>276</v>
      </c>
      <c r="Q903" s="6">
        <f>1</f>
        <v>1</v>
      </c>
      <c r="R903" s="6">
        <f>16028900</f>
        <v>16028900</v>
      </c>
      <c r="S903" s="5" t="s">
        <v>339</v>
      </c>
      <c r="T903" s="4" t="s">
        <v>314</v>
      </c>
      <c r="U903" s="4" t="s">
        <v>314</v>
      </c>
      <c r="W903" s="6">
        <f>16028899</f>
        <v>16028899</v>
      </c>
      <c r="X903" s="4" t="s">
        <v>243</v>
      </c>
      <c r="Y903" s="4" t="s">
        <v>244</v>
      </c>
      <c r="Z903" s="4" t="s">
        <v>338</v>
      </c>
      <c r="AA903" s="4" t="s">
        <v>241</v>
      </c>
      <c r="AD903" s="4" t="s">
        <v>241</v>
      </c>
      <c r="AF903" s="5" t="s">
        <v>241</v>
      </c>
      <c r="AI903" s="5" t="s">
        <v>249</v>
      </c>
      <c r="AJ903" s="4" t="s">
        <v>251</v>
      </c>
      <c r="AK903" s="4" t="s">
        <v>252</v>
      </c>
      <c r="BA903" s="4" t="s">
        <v>254</v>
      </c>
      <c r="BB903" s="4" t="s">
        <v>241</v>
      </c>
      <c r="BC903" s="4" t="s">
        <v>255</v>
      </c>
      <c r="BD903" s="4" t="s">
        <v>241</v>
      </c>
      <c r="BE903" s="4" t="s">
        <v>257</v>
      </c>
      <c r="BF903" s="4" t="s">
        <v>241</v>
      </c>
      <c r="BJ903" s="4" t="s">
        <v>377</v>
      </c>
      <c r="BK903" s="5" t="s">
        <v>378</v>
      </c>
      <c r="BL903" s="4" t="s">
        <v>261</v>
      </c>
      <c r="BM903" s="4" t="s">
        <v>290</v>
      </c>
      <c r="BN903" s="4" t="s">
        <v>241</v>
      </c>
      <c r="BO903" s="6">
        <f>0</f>
        <v>0</v>
      </c>
      <c r="BP903" s="6">
        <f>0</f>
        <v>0</v>
      </c>
      <c r="BQ903" s="4" t="s">
        <v>263</v>
      </c>
      <c r="BR903" s="4" t="s">
        <v>264</v>
      </c>
      <c r="CF903" s="4" t="s">
        <v>241</v>
      </c>
      <c r="CG903" s="4" t="s">
        <v>241</v>
      </c>
      <c r="CK903" s="4" t="s">
        <v>291</v>
      </c>
      <c r="CL903" s="4" t="s">
        <v>266</v>
      </c>
      <c r="CM903" s="4" t="s">
        <v>241</v>
      </c>
      <c r="CO903" s="4" t="s">
        <v>292</v>
      </c>
      <c r="CP903" s="5" t="s">
        <v>268</v>
      </c>
      <c r="CQ903" s="4" t="s">
        <v>269</v>
      </c>
      <c r="CR903" s="4" t="s">
        <v>270</v>
      </c>
      <c r="CS903" s="4" t="s">
        <v>241</v>
      </c>
      <c r="CT903" s="4" t="s">
        <v>241</v>
      </c>
      <c r="CU903" s="4">
        <v>0</v>
      </c>
      <c r="CV903" s="4" t="s">
        <v>271</v>
      </c>
      <c r="CW903" s="4" t="s">
        <v>411</v>
      </c>
      <c r="CX903" s="4" t="s">
        <v>347</v>
      </c>
      <c r="CZ903" s="6">
        <f>16028900</f>
        <v>16028900</v>
      </c>
      <c r="DA903" s="6">
        <f>0</f>
        <v>0</v>
      </c>
      <c r="DC903" s="4" t="s">
        <v>241</v>
      </c>
      <c r="DD903" s="4" t="s">
        <v>241</v>
      </c>
      <c r="DF903" s="4" t="s">
        <v>241</v>
      </c>
      <c r="DI903" s="4" t="s">
        <v>241</v>
      </c>
      <c r="DJ903" s="4" t="s">
        <v>241</v>
      </c>
      <c r="DK903" s="4" t="s">
        <v>241</v>
      </c>
      <c r="DL903" s="4" t="s">
        <v>241</v>
      </c>
      <c r="DM903" s="4" t="s">
        <v>323</v>
      </c>
      <c r="DN903" s="4" t="s">
        <v>278</v>
      </c>
      <c r="DO903" s="6">
        <f>90.05</f>
        <v>90.05</v>
      </c>
      <c r="DP903" s="4" t="s">
        <v>241</v>
      </c>
      <c r="DQ903" s="4" t="s">
        <v>241</v>
      </c>
      <c r="DR903" s="4" t="s">
        <v>241</v>
      </c>
      <c r="DS903" s="4" t="s">
        <v>241</v>
      </c>
      <c r="DV903" s="4" t="s">
        <v>2243</v>
      </c>
      <c r="DW903" s="4" t="s">
        <v>297</v>
      </c>
      <c r="HO903" s="4" t="s">
        <v>336</v>
      </c>
      <c r="HR903" s="4" t="s">
        <v>278</v>
      </c>
      <c r="HS903" s="4" t="s">
        <v>278</v>
      </c>
    </row>
    <row r="904" spans="1:240" x14ac:dyDescent="0.4">
      <c r="A904" s="4">
        <v>2</v>
      </c>
      <c r="B904" s="4" t="s">
        <v>239</v>
      </c>
      <c r="C904" s="4">
        <v>975</v>
      </c>
      <c r="D904" s="4">
        <v>1</v>
      </c>
      <c r="E904" s="4">
        <v>1</v>
      </c>
      <c r="F904" s="4" t="s">
        <v>240</v>
      </c>
      <c r="G904" s="4" t="s">
        <v>241</v>
      </c>
      <c r="H904" s="4" t="s">
        <v>241</v>
      </c>
      <c r="I904" s="4" t="s">
        <v>2241</v>
      </c>
      <c r="J904" s="4" t="s">
        <v>344</v>
      </c>
      <c r="K904" s="4" t="s">
        <v>256</v>
      </c>
      <c r="L904" s="4" t="s">
        <v>2101</v>
      </c>
      <c r="M904" s="5" t="s">
        <v>2242</v>
      </c>
      <c r="N904" s="4" t="s">
        <v>2122</v>
      </c>
      <c r="O904" s="6">
        <f>90.05</f>
        <v>90.05</v>
      </c>
      <c r="P904" s="4" t="s">
        <v>276</v>
      </c>
      <c r="Q904" s="6">
        <f>1</f>
        <v>1</v>
      </c>
      <c r="R904" s="6">
        <f>16028900</f>
        <v>16028900</v>
      </c>
      <c r="S904" s="5" t="s">
        <v>339</v>
      </c>
      <c r="T904" s="4" t="s">
        <v>314</v>
      </c>
      <c r="U904" s="4" t="s">
        <v>314</v>
      </c>
      <c r="W904" s="6">
        <f>16028899</f>
        <v>16028899</v>
      </c>
      <c r="X904" s="4" t="s">
        <v>243</v>
      </c>
      <c r="Y904" s="4" t="s">
        <v>244</v>
      </c>
      <c r="Z904" s="4" t="s">
        <v>338</v>
      </c>
      <c r="AA904" s="4" t="s">
        <v>241</v>
      </c>
      <c r="AD904" s="4" t="s">
        <v>241</v>
      </c>
      <c r="AF904" s="5" t="s">
        <v>241</v>
      </c>
      <c r="AI904" s="5" t="s">
        <v>249</v>
      </c>
      <c r="AJ904" s="4" t="s">
        <v>251</v>
      </c>
      <c r="AK904" s="4" t="s">
        <v>252</v>
      </c>
      <c r="BA904" s="4" t="s">
        <v>254</v>
      </c>
      <c r="BB904" s="4" t="s">
        <v>241</v>
      </c>
      <c r="BC904" s="4" t="s">
        <v>255</v>
      </c>
      <c r="BD904" s="4" t="s">
        <v>241</v>
      </c>
      <c r="BE904" s="4" t="s">
        <v>257</v>
      </c>
      <c r="BF904" s="4" t="s">
        <v>241</v>
      </c>
      <c r="BJ904" s="4" t="s">
        <v>259</v>
      </c>
      <c r="BK904" s="5" t="s">
        <v>260</v>
      </c>
      <c r="BL904" s="4" t="s">
        <v>261</v>
      </c>
      <c r="BM904" s="4" t="s">
        <v>290</v>
      </c>
      <c r="BN904" s="4" t="s">
        <v>241</v>
      </c>
      <c r="BO904" s="6">
        <f>0</f>
        <v>0</v>
      </c>
      <c r="BP904" s="6">
        <f>0</f>
        <v>0</v>
      </c>
      <c r="BQ904" s="4" t="s">
        <v>263</v>
      </c>
      <c r="BR904" s="4" t="s">
        <v>264</v>
      </c>
      <c r="CF904" s="4" t="s">
        <v>241</v>
      </c>
      <c r="CG904" s="4" t="s">
        <v>241</v>
      </c>
      <c r="CK904" s="4" t="s">
        <v>291</v>
      </c>
      <c r="CL904" s="4" t="s">
        <v>266</v>
      </c>
      <c r="CM904" s="4" t="s">
        <v>241</v>
      </c>
      <c r="CO904" s="4" t="s">
        <v>292</v>
      </c>
      <c r="CP904" s="5" t="s">
        <v>268</v>
      </c>
      <c r="CQ904" s="4" t="s">
        <v>269</v>
      </c>
      <c r="CR904" s="4" t="s">
        <v>270</v>
      </c>
      <c r="CS904" s="4" t="s">
        <v>241</v>
      </c>
      <c r="CT904" s="4" t="s">
        <v>241</v>
      </c>
      <c r="CU904" s="4">
        <v>0</v>
      </c>
      <c r="CV904" s="4" t="s">
        <v>271</v>
      </c>
      <c r="CW904" s="4" t="s">
        <v>411</v>
      </c>
      <c r="CX904" s="4" t="s">
        <v>347</v>
      </c>
      <c r="CZ904" s="6">
        <f>16028900</f>
        <v>16028900</v>
      </c>
      <c r="DA904" s="6">
        <f>0</f>
        <v>0</v>
      </c>
      <c r="DC904" s="4" t="s">
        <v>241</v>
      </c>
      <c r="DD904" s="4" t="s">
        <v>241</v>
      </c>
      <c r="DF904" s="4" t="s">
        <v>241</v>
      </c>
      <c r="DI904" s="4" t="s">
        <v>241</v>
      </c>
      <c r="DJ904" s="4" t="s">
        <v>241</v>
      </c>
      <c r="DK904" s="4" t="s">
        <v>241</v>
      </c>
      <c r="DL904" s="4" t="s">
        <v>241</v>
      </c>
      <c r="DM904" s="4" t="s">
        <v>323</v>
      </c>
      <c r="DN904" s="4" t="s">
        <v>278</v>
      </c>
      <c r="DO904" s="6">
        <f>90.05</f>
        <v>90.05</v>
      </c>
      <c r="DP904" s="4" t="s">
        <v>241</v>
      </c>
      <c r="DQ904" s="4" t="s">
        <v>241</v>
      </c>
      <c r="DR904" s="4" t="s">
        <v>241</v>
      </c>
      <c r="DS904" s="4" t="s">
        <v>241</v>
      </c>
      <c r="DV904" s="4" t="s">
        <v>2243</v>
      </c>
      <c r="DW904" s="4" t="s">
        <v>336</v>
      </c>
      <c r="HO904" s="4" t="s">
        <v>336</v>
      </c>
      <c r="HR904" s="4" t="s">
        <v>278</v>
      </c>
      <c r="HS904" s="4" t="s">
        <v>278</v>
      </c>
    </row>
    <row r="905" spans="1:240" x14ac:dyDescent="0.4">
      <c r="A905" s="4">
        <v>2</v>
      </c>
      <c r="B905" s="4" t="s">
        <v>239</v>
      </c>
      <c r="C905" s="4">
        <v>976</v>
      </c>
      <c r="D905" s="4">
        <v>1</v>
      </c>
      <c r="E905" s="4">
        <v>1</v>
      </c>
      <c r="F905" s="4" t="s">
        <v>240</v>
      </c>
      <c r="G905" s="4" t="s">
        <v>241</v>
      </c>
      <c r="H905" s="4" t="s">
        <v>241</v>
      </c>
      <c r="I905" s="4" t="s">
        <v>2241</v>
      </c>
      <c r="J905" s="4" t="s">
        <v>344</v>
      </c>
      <c r="K905" s="4" t="s">
        <v>256</v>
      </c>
      <c r="L905" s="4" t="s">
        <v>2101</v>
      </c>
      <c r="M905" s="5" t="s">
        <v>2242</v>
      </c>
      <c r="N905" s="4" t="s">
        <v>2098</v>
      </c>
      <c r="O905" s="6">
        <f>90.05</f>
        <v>90.05</v>
      </c>
      <c r="P905" s="4" t="s">
        <v>276</v>
      </c>
      <c r="Q905" s="6">
        <f>1</f>
        <v>1</v>
      </c>
      <c r="R905" s="6">
        <f>16028900</f>
        <v>16028900</v>
      </c>
      <c r="S905" s="5" t="s">
        <v>339</v>
      </c>
      <c r="T905" s="4" t="s">
        <v>314</v>
      </c>
      <c r="U905" s="4" t="s">
        <v>314</v>
      </c>
      <c r="W905" s="6">
        <f>16028899</f>
        <v>16028899</v>
      </c>
      <c r="X905" s="4" t="s">
        <v>243</v>
      </c>
      <c r="Y905" s="4" t="s">
        <v>244</v>
      </c>
      <c r="Z905" s="4" t="s">
        <v>338</v>
      </c>
      <c r="AA905" s="4" t="s">
        <v>241</v>
      </c>
      <c r="AD905" s="4" t="s">
        <v>241</v>
      </c>
      <c r="AF905" s="5" t="s">
        <v>241</v>
      </c>
      <c r="AI905" s="5" t="s">
        <v>249</v>
      </c>
      <c r="AJ905" s="4" t="s">
        <v>251</v>
      </c>
      <c r="AK905" s="4" t="s">
        <v>252</v>
      </c>
      <c r="BA905" s="4" t="s">
        <v>254</v>
      </c>
      <c r="BB905" s="4" t="s">
        <v>241</v>
      </c>
      <c r="BC905" s="4" t="s">
        <v>255</v>
      </c>
      <c r="BD905" s="4" t="s">
        <v>241</v>
      </c>
      <c r="BE905" s="4" t="s">
        <v>257</v>
      </c>
      <c r="BF905" s="4" t="s">
        <v>241</v>
      </c>
      <c r="BJ905" s="4" t="s">
        <v>367</v>
      </c>
      <c r="BK905" s="5" t="s">
        <v>249</v>
      </c>
      <c r="BL905" s="4" t="s">
        <v>261</v>
      </c>
      <c r="BM905" s="4" t="s">
        <v>290</v>
      </c>
      <c r="BN905" s="4" t="s">
        <v>241</v>
      </c>
      <c r="BO905" s="6">
        <f>0</f>
        <v>0</v>
      </c>
      <c r="BP905" s="6">
        <f>0</f>
        <v>0</v>
      </c>
      <c r="BQ905" s="4" t="s">
        <v>263</v>
      </c>
      <c r="BR905" s="4" t="s">
        <v>264</v>
      </c>
      <c r="CF905" s="4" t="s">
        <v>241</v>
      </c>
      <c r="CG905" s="4" t="s">
        <v>241</v>
      </c>
      <c r="CK905" s="4" t="s">
        <v>291</v>
      </c>
      <c r="CL905" s="4" t="s">
        <v>266</v>
      </c>
      <c r="CM905" s="4" t="s">
        <v>241</v>
      </c>
      <c r="CO905" s="4" t="s">
        <v>292</v>
      </c>
      <c r="CP905" s="5" t="s">
        <v>268</v>
      </c>
      <c r="CQ905" s="4" t="s">
        <v>269</v>
      </c>
      <c r="CR905" s="4" t="s">
        <v>270</v>
      </c>
      <c r="CS905" s="4" t="s">
        <v>241</v>
      </c>
      <c r="CT905" s="4" t="s">
        <v>241</v>
      </c>
      <c r="CU905" s="4">
        <v>0</v>
      </c>
      <c r="CV905" s="4" t="s">
        <v>271</v>
      </c>
      <c r="CW905" s="4" t="s">
        <v>411</v>
      </c>
      <c r="CX905" s="4" t="s">
        <v>347</v>
      </c>
      <c r="CZ905" s="6">
        <f>16028900</f>
        <v>16028900</v>
      </c>
      <c r="DA905" s="6">
        <f>0</f>
        <v>0</v>
      </c>
      <c r="DC905" s="4" t="s">
        <v>241</v>
      </c>
      <c r="DD905" s="4" t="s">
        <v>241</v>
      </c>
      <c r="DF905" s="4" t="s">
        <v>241</v>
      </c>
      <c r="DI905" s="4" t="s">
        <v>241</v>
      </c>
      <c r="DJ905" s="4" t="s">
        <v>241</v>
      </c>
      <c r="DK905" s="4" t="s">
        <v>241</v>
      </c>
      <c r="DL905" s="4" t="s">
        <v>241</v>
      </c>
      <c r="DM905" s="4" t="s">
        <v>323</v>
      </c>
      <c r="DN905" s="4" t="s">
        <v>278</v>
      </c>
      <c r="DO905" s="6">
        <f>90.05</f>
        <v>90.05</v>
      </c>
      <c r="DP905" s="4" t="s">
        <v>241</v>
      </c>
      <c r="DQ905" s="4" t="s">
        <v>241</v>
      </c>
      <c r="DR905" s="4" t="s">
        <v>241</v>
      </c>
      <c r="DS905" s="4" t="s">
        <v>241</v>
      </c>
      <c r="DV905" s="4" t="s">
        <v>2243</v>
      </c>
      <c r="DW905" s="4" t="s">
        <v>351</v>
      </c>
      <c r="HO905" s="4" t="s">
        <v>336</v>
      </c>
      <c r="HR905" s="4" t="s">
        <v>278</v>
      </c>
      <c r="HS905" s="4" t="s">
        <v>278</v>
      </c>
    </row>
    <row r="906" spans="1:240" x14ac:dyDescent="0.4">
      <c r="A906" s="4">
        <v>2</v>
      </c>
      <c r="B906" s="4" t="s">
        <v>239</v>
      </c>
      <c r="C906" s="4">
        <v>977</v>
      </c>
      <c r="D906" s="4">
        <v>1</v>
      </c>
      <c r="E906" s="4">
        <v>3</v>
      </c>
      <c r="F906" s="4" t="s">
        <v>240</v>
      </c>
      <c r="G906" s="4" t="s">
        <v>241</v>
      </c>
      <c r="H906" s="4" t="s">
        <v>241</v>
      </c>
      <c r="I906" s="4" t="s">
        <v>2386</v>
      </c>
      <c r="J906" s="4" t="s">
        <v>344</v>
      </c>
      <c r="K906" s="4" t="s">
        <v>256</v>
      </c>
      <c r="L906" s="4" t="s">
        <v>2101</v>
      </c>
      <c r="M906" s="5" t="s">
        <v>2387</v>
      </c>
      <c r="N906" s="4" t="s">
        <v>2104</v>
      </c>
      <c r="O906" s="6">
        <f>52.95</f>
        <v>52.95</v>
      </c>
      <c r="P906" s="4" t="s">
        <v>276</v>
      </c>
      <c r="Q906" s="6">
        <f>2140248</f>
        <v>2140248</v>
      </c>
      <c r="R906" s="6">
        <f>12443250</f>
        <v>12443250</v>
      </c>
      <c r="S906" s="5" t="s">
        <v>442</v>
      </c>
      <c r="T906" s="4" t="s">
        <v>314</v>
      </c>
      <c r="U906" s="4" t="s">
        <v>401</v>
      </c>
      <c r="V906" s="6">
        <f>572389</f>
        <v>572389</v>
      </c>
      <c r="W906" s="6">
        <f>10303002</f>
        <v>10303002</v>
      </c>
      <c r="X906" s="4" t="s">
        <v>243</v>
      </c>
      <c r="Y906" s="4" t="s">
        <v>244</v>
      </c>
      <c r="Z906" s="4" t="s">
        <v>338</v>
      </c>
      <c r="AA906" s="4" t="s">
        <v>241</v>
      </c>
      <c r="AD906" s="4" t="s">
        <v>241</v>
      </c>
      <c r="AE906" s="5" t="s">
        <v>241</v>
      </c>
      <c r="AF906" s="5" t="s">
        <v>241</v>
      </c>
      <c r="AH906" s="5" t="s">
        <v>241</v>
      </c>
      <c r="AI906" s="5" t="s">
        <v>249</v>
      </c>
      <c r="AJ906" s="4" t="s">
        <v>251</v>
      </c>
      <c r="AK906" s="4" t="s">
        <v>252</v>
      </c>
      <c r="AQ906" s="4" t="s">
        <v>241</v>
      </c>
      <c r="AR906" s="4" t="s">
        <v>241</v>
      </c>
      <c r="AS906" s="4" t="s">
        <v>241</v>
      </c>
      <c r="AT906" s="5" t="s">
        <v>241</v>
      </c>
      <c r="AU906" s="5" t="s">
        <v>241</v>
      </c>
      <c r="AV906" s="5" t="s">
        <v>241</v>
      </c>
      <c r="AY906" s="4" t="s">
        <v>286</v>
      </c>
      <c r="AZ906" s="4" t="s">
        <v>286</v>
      </c>
      <c r="BA906" s="4" t="s">
        <v>254</v>
      </c>
      <c r="BB906" s="4" t="s">
        <v>287</v>
      </c>
      <c r="BC906" s="4" t="s">
        <v>255</v>
      </c>
      <c r="BD906" s="4" t="s">
        <v>241</v>
      </c>
      <c r="BE906" s="4" t="s">
        <v>257</v>
      </c>
      <c r="BF906" s="4" t="s">
        <v>241</v>
      </c>
      <c r="BH906" s="4" t="s">
        <v>2107</v>
      </c>
      <c r="BJ906" s="4" t="s">
        <v>288</v>
      </c>
      <c r="BK906" s="5" t="s">
        <v>289</v>
      </c>
      <c r="BL906" s="4" t="s">
        <v>290</v>
      </c>
      <c r="BM906" s="4" t="s">
        <v>290</v>
      </c>
      <c r="BN906" s="4" t="s">
        <v>241</v>
      </c>
      <c r="BO906" s="6">
        <f>0</f>
        <v>0</v>
      </c>
      <c r="BP906" s="6">
        <f>-572389</f>
        <v>-572389</v>
      </c>
      <c r="BQ906" s="4" t="s">
        <v>263</v>
      </c>
      <c r="BR906" s="4" t="s">
        <v>264</v>
      </c>
      <c r="BS906" s="4" t="s">
        <v>241</v>
      </c>
      <c r="BT906" s="4" t="s">
        <v>241</v>
      </c>
      <c r="BU906" s="4" t="s">
        <v>241</v>
      </c>
      <c r="BV906" s="4" t="s">
        <v>241</v>
      </c>
      <c r="CE906" s="4" t="s">
        <v>264</v>
      </c>
      <c r="CF906" s="4" t="s">
        <v>241</v>
      </c>
      <c r="CG906" s="4" t="s">
        <v>241</v>
      </c>
      <c r="CK906" s="4" t="s">
        <v>291</v>
      </c>
      <c r="CL906" s="4" t="s">
        <v>266</v>
      </c>
      <c r="CM906" s="4" t="s">
        <v>241</v>
      </c>
      <c r="CO906" s="4" t="s">
        <v>446</v>
      </c>
      <c r="CP906" s="5" t="s">
        <v>268</v>
      </c>
      <c r="CQ906" s="4" t="s">
        <v>269</v>
      </c>
      <c r="CR906" s="4" t="s">
        <v>270</v>
      </c>
      <c r="CS906" s="4" t="s">
        <v>293</v>
      </c>
      <c r="CT906" s="4" t="s">
        <v>241</v>
      </c>
      <c r="CU906" s="4">
        <v>4.5999999999999999E-2</v>
      </c>
      <c r="CV906" s="4" t="s">
        <v>271</v>
      </c>
      <c r="CW906" s="4" t="s">
        <v>411</v>
      </c>
      <c r="CX906" s="4" t="s">
        <v>347</v>
      </c>
      <c r="CY906" s="6">
        <f>0</f>
        <v>0</v>
      </c>
      <c r="CZ906" s="6">
        <f>12443250</f>
        <v>12443250</v>
      </c>
      <c r="DA906" s="6">
        <f>2140248</f>
        <v>2140248</v>
      </c>
      <c r="DC906" s="4" t="s">
        <v>241</v>
      </c>
      <c r="DD906" s="4" t="s">
        <v>241</v>
      </c>
      <c r="DF906" s="4" t="s">
        <v>241</v>
      </c>
      <c r="DG906" s="6">
        <f>0</f>
        <v>0</v>
      </c>
      <c r="DI906" s="4" t="s">
        <v>241</v>
      </c>
      <c r="DJ906" s="4" t="s">
        <v>241</v>
      </c>
      <c r="DK906" s="4" t="s">
        <v>241</v>
      </c>
      <c r="DL906" s="4" t="s">
        <v>241</v>
      </c>
      <c r="DM906" s="4" t="s">
        <v>277</v>
      </c>
      <c r="DN906" s="4" t="s">
        <v>278</v>
      </c>
      <c r="DO906" s="6">
        <f>52.95</f>
        <v>52.95</v>
      </c>
      <c r="DP906" s="4" t="s">
        <v>241</v>
      </c>
      <c r="DQ906" s="4" t="s">
        <v>241</v>
      </c>
      <c r="DR906" s="4" t="s">
        <v>241</v>
      </c>
      <c r="DS906" s="4" t="s">
        <v>241</v>
      </c>
      <c r="DV906" s="4" t="s">
        <v>2388</v>
      </c>
      <c r="DW906" s="4" t="s">
        <v>277</v>
      </c>
      <c r="GN906" s="4" t="s">
        <v>2389</v>
      </c>
      <c r="HO906" s="4" t="s">
        <v>300</v>
      </c>
      <c r="HR906" s="4" t="s">
        <v>278</v>
      </c>
      <c r="HS906" s="4" t="s">
        <v>278</v>
      </c>
      <c r="HT906" s="4" t="s">
        <v>241</v>
      </c>
      <c r="HU906" s="4" t="s">
        <v>241</v>
      </c>
      <c r="HV906" s="4" t="s">
        <v>241</v>
      </c>
      <c r="HW906" s="4" t="s">
        <v>241</v>
      </c>
      <c r="HX906" s="4" t="s">
        <v>241</v>
      </c>
      <c r="HY906" s="4" t="s">
        <v>241</v>
      </c>
      <c r="HZ906" s="4" t="s">
        <v>241</v>
      </c>
      <c r="IA906" s="4" t="s">
        <v>241</v>
      </c>
      <c r="IB906" s="4" t="s">
        <v>241</v>
      </c>
      <c r="IC906" s="4" t="s">
        <v>241</v>
      </c>
      <c r="ID906" s="4" t="s">
        <v>241</v>
      </c>
      <c r="IE906" s="4" t="s">
        <v>241</v>
      </c>
      <c r="IF906" s="4" t="s">
        <v>241</v>
      </c>
    </row>
    <row r="907" spans="1:240" x14ac:dyDescent="0.4">
      <c r="A907" s="4">
        <v>2</v>
      </c>
      <c r="B907" s="4" t="s">
        <v>239</v>
      </c>
      <c r="C907" s="4">
        <v>978</v>
      </c>
      <c r="D907" s="4">
        <v>1</v>
      </c>
      <c r="E907" s="4">
        <v>3</v>
      </c>
      <c r="F907" s="4" t="s">
        <v>240</v>
      </c>
      <c r="G907" s="4" t="s">
        <v>241</v>
      </c>
      <c r="H907" s="4" t="s">
        <v>241</v>
      </c>
      <c r="I907" s="4" t="s">
        <v>2005</v>
      </c>
      <c r="J907" s="4" t="s">
        <v>344</v>
      </c>
      <c r="K907" s="4" t="s">
        <v>256</v>
      </c>
      <c r="L907" s="4" t="s">
        <v>2101</v>
      </c>
      <c r="M907" s="5" t="s">
        <v>2007</v>
      </c>
      <c r="N907" s="4" t="s">
        <v>2104</v>
      </c>
      <c r="O907" s="6">
        <f>1182.64</f>
        <v>1182.6400000000001</v>
      </c>
      <c r="P907" s="4" t="s">
        <v>276</v>
      </c>
      <c r="Q907" s="6">
        <f>17964318</f>
        <v>17964318</v>
      </c>
      <c r="R907" s="6">
        <f>183309200</f>
        <v>183309200</v>
      </c>
      <c r="S907" s="5" t="s">
        <v>2006</v>
      </c>
      <c r="T907" s="4" t="s">
        <v>668</v>
      </c>
      <c r="U907" s="4" t="s">
        <v>412</v>
      </c>
      <c r="V907" s="6">
        <f>4032802</f>
        <v>4032802</v>
      </c>
      <c r="W907" s="6">
        <f>165344882</f>
        <v>165344882</v>
      </c>
      <c r="X907" s="4" t="s">
        <v>243</v>
      </c>
      <c r="Y907" s="4" t="s">
        <v>244</v>
      </c>
      <c r="Z907" s="4" t="s">
        <v>338</v>
      </c>
      <c r="AA907" s="4" t="s">
        <v>241</v>
      </c>
      <c r="AD907" s="4" t="s">
        <v>241</v>
      </c>
      <c r="AE907" s="5" t="s">
        <v>241</v>
      </c>
      <c r="AF907" s="5" t="s">
        <v>241</v>
      </c>
      <c r="AH907" s="5" t="s">
        <v>241</v>
      </c>
      <c r="AI907" s="5" t="s">
        <v>249</v>
      </c>
      <c r="AJ907" s="4" t="s">
        <v>251</v>
      </c>
      <c r="AK907" s="4" t="s">
        <v>252</v>
      </c>
      <c r="AQ907" s="4" t="s">
        <v>241</v>
      </c>
      <c r="AR907" s="4" t="s">
        <v>241</v>
      </c>
      <c r="AS907" s="4" t="s">
        <v>241</v>
      </c>
      <c r="AT907" s="5" t="s">
        <v>241</v>
      </c>
      <c r="AU907" s="5" t="s">
        <v>241</v>
      </c>
      <c r="AV907" s="5" t="s">
        <v>241</v>
      </c>
      <c r="AY907" s="4" t="s">
        <v>286</v>
      </c>
      <c r="AZ907" s="4" t="s">
        <v>286</v>
      </c>
      <c r="BA907" s="4" t="s">
        <v>254</v>
      </c>
      <c r="BB907" s="4" t="s">
        <v>287</v>
      </c>
      <c r="BC907" s="4" t="s">
        <v>255</v>
      </c>
      <c r="BD907" s="4" t="s">
        <v>241</v>
      </c>
      <c r="BE907" s="4" t="s">
        <v>257</v>
      </c>
      <c r="BF907" s="4" t="s">
        <v>241</v>
      </c>
      <c r="BJ907" s="4" t="s">
        <v>288</v>
      </c>
      <c r="BK907" s="5" t="s">
        <v>289</v>
      </c>
      <c r="BL907" s="4" t="s">
        <v>290</v>
      </c>
      <c r="BM907" s="4" t="s">
        <v>290</v>
      </c>
      <c r="BN907" s="4" t="s">
        <v>241</v>
      </c>
      <c r="BO907" s="6">
        <f>0</f>
        <v>0</v>
      </c>
      <c r="BP907" s="6">
        <f>-4032802</f>
        <v>-4032802</v>
      </c>
      <c r="BQ907" s="4" t="s">
        <v>263</v>
      </c>
      <c r="BR907" s="4" t="s">
        <v>264</v>
      </c>
      <c r="BS907" s="4" t="s">
        <v>241</v>
      </c>
      <c r="BT907" s="4" t="s">
        <v>241</v>
      </c>
      <c r="BU907" s="4" t="s">
        <v>241</v>
      </c>
      <c r="BV907" s="4" t="s">
        <v>241</v>
      </c>
      <c r="CE907" s="4" t="s">
        <v>264</v>
      </c>
      <c r="CF907" s="4" t="s">
        <v>241</v>
      </c>
      <c r="CG907" s="4" t="s">
        <v>241</v>
      </c>
      <c r="CK907" s="4" t="s">
        <v>265</v>
      </c>
      <c r="CL907" s="4" t="s">
        <v>266</v>
      </c>
      <c r="CM907" s="4" t="s">
        <v>241</v>
      </c>
      <c r="CO907" s="4" t="s">
        <v>841</v>
      </c>
      <c r="CP907" s="5" t="s">
        <v>268</v>
      </c>
      <c r="CQ907" s="4" t="s">
        <v>269</v>
      </c>
      <c r="CR907" s="4" t="s">
        <v>270</v>
      </c>
      <c r="CS907" s="4" t="s">
        <v>293</v>
      </c>
      <c r="CT907" s="4" t="s">
        <v>241</v>
      </c>
      <c r="CU907" s="4">
        <v>2.1999999999999999E-2</v>
      </c>
      <c r="CV907" s="4" t="s">
        <v>271</v>
      </c>
      <c r="CW907" s="4" t="s">
        <v>411</v>
      </c>
      <c r="CX907" s="4" t="s">
        <v>295</v>
      </c>
      <c r="CY907" s="6">
        <f>0</f>
        <v>0</v>
      </c>
      <c r="CZ907" s="6">
        <f>183309200</f>
        <v>183309200</v>
      </c>
      <c r="DA907" s="6">
        <f>17964318</f>
        <v>17964318</v>
      </c>
      <c r="DC907" s="4" t="s">
        <v>241</v>
      </c>
      <c r="DD907" s="4" t="s">
        <v>241</v>
      </c>
      <c r="DF907" s="4" t="s">
        <v>241</v>
      </c>
      <c r="DG907" s="6">
        <f>0</f>
        <v>0</v>
      </c>
      <c r="DI907" s="4" t="s">
        <v>241</v>
      </c>
      <c r="DJ907" s="4" t="s">
        <v>241</v>
      </c>
      <c r="DK907" s="4" t="s">
        <v>241</v>
      </c>
      <c r="DL907" s="4" t="s">
        <v>241</v>
      </c>
      <c r="DM907" s="4" t="s">
        <v>351</v>
      </c>
      <c r="DN907" s="4" t="s">
        <v>278</v>
      </c>
      <c r="DO907" s="6">
        <f>1182.64</f>
        <v>1182.6400000000001</v>
      </c>
      <c r="DP907" s="4" t="s">
        <v>241</v>
      </c>
      <c r="DQ907" s="4" t="s">
        <v>241</v>
      </c>
      <c r="DR907" s="4" t="s">
        <v>241</v>
      </c>
      <c r="DS907" s="4" t="s">
        <v>241</v>
      </c>
      <c r="DV907" s="4" t="s">
        <v>2008</v>
      </c>
      <c r="DW907" s="4" t="s">
        <v>277</v>
      </c>
      <c r="GN907" s="4" t="s">
        <v>2385</v>
      </c>
      <c r="HO907" s="4" t="s">
        <v>300</v>
      </c>
      <c r="HR907" s="4" t="s">
        <v>278</v>
      </c>
      <c r="HS907" s="4" t="s">
        <v>278</v>
      </c>
      <c r="HT907" s="4" t="s">
        <v>241</v>
      </c>
      <c r="HU907" s="4" t="s">
        <v>241</v>
      </c>
      <c r="HV907" s="4" t="s">
        <v>241</v>
      </c>
      <c r="HW907" s="4" t="s">
        <v>241</v>
      </c>
      <c r="HX907" s="4" t="s">
        <v>241</v>
      </c>
      <c r="HY907" s="4" t="s">
        <v>241</v>
      </c>
      <c r="HZ907" s="4" t="s">
        <v>241</v>
      </c>
      <c r="IA907" s="4" t="s">
        <v>241</v>
      </c>
      <c r="IB907" s="4" t="s">
        <v>241</v>
      </c>
      <c r="IC907" s="4" t="s">
        <v>241</v>
      </c>
      <c r="ID907" s="4" t="s">
        <v>241</v>
      </c>
      <c r="IE907" s="4" t="s">
        <v>241</v>
      </c>
      <c r="IF907" s="4" t="s">
        <v>241</v>
      </c>
    </row>
    <row r="908" spans="1:240" x14ac:dyDescent="0.4">
      <c r="A908" s="4">
        <v>2</v>
      </c>
      <c r="B908" s="4" t="s">
        <v>239</v>
      </c>
      <c r="C908" s="4">
        <v>979</v>
      </c>
      <c r="D908" s="4">
        <v>1</v>
      </c>
      <c r="E908" s="4">
        <v>1</v>
      </c>
      <c r="F908" s="4" t="s">
        <v>240</v>
      </c>
      <c r="G908" s="4" t="s">
        <v>241</v>
      </c>
      <c r="H908" s="4" t="s">
        <v>241</v>
      </c>
      <c r="I908" s="4" t="s">
        <v>2005</v>
      </c>
      <c r="J908" s="4" t="s">
        <v>344</v>
      </c>
      <c r="K908" s="4" t="s">
        <v>256</v>
      </c>
      <c r="L908" s="4" t="s">
        <v>414</v>
      </c>
      <c r="M908" s="5" t="s">
        <v>2007</v>
      </c>
      <c r="N908" s="4" t="s">
        <v>1995</v>
      </c>
      <c r="O908" s="6">
        <f>22.13</f>
        <v>22.13</v>
      </c>
      <c r="P908" s="4" t="s">
        <v>276</v>
      </c>
      <c r="Q908" s="6">
        <f>1</f>
        <v>1</v>
      </c>
      <c r="R908" s="6">
        <f>2876900</f>
        <v>2876900</v>
      </c>
      <c r="S908" s="5" t="s">
        <v>2006</v>
      </c>
      <c r="T908" s="4" t="s">
        <v>333</v>
      </c>
      <c r="U908" s="4" t="s">
        <v>333</v>
      </c>
      <c r="W908" s="6">
        <f>2876899</f>
        <v>2876899</v>
      </c>
      <c r="X908" s="4" t="s">
        <v>243</v>
      </c>
      <c r="Y908" s="4" t="s">
        <v>244</v>
      </c>
      <c r="Z908" s="4" t="s">
        <v>338</v>
      </c>
      <c r="AA908" s="4" t="s">
        <v>241</v>
      </c>
      <c r="AD908" s="4" t="s">
        <v>241</v>
      </c>
      <c r="AF908" s="5" t="s">
        <v>241</v>
      </c>
      <c r="AI908" s="5" t="s">
        <v>249</v>
      </c>
      <c r="AJ908" s="4" t="s">
        <v>251</v>
      </c>
      <c r="AK908" s="4" t="s">
        <v>252</v>
      </c>
      <c r="BA908" s="4" t="s">
        <v>254</v>
      </c>
      <c r="BB908" s="4" t="s">
        <v>241</v>
      </c>
      <c r="BC908" s="4" t="s">
        <v>255</v>
      </c>
      <c r="BD908" s="4" t="s">
        <v>241</v>
      </c>
      <c r="BE908" s="4" t="s">
        <v>257</v>
      </c>
      <c r="BF908" s="4" t="s">
        <v>241</v>
      </c>
      <c r="BJ908" s="4" t="s">
        <v>259</v>
      </c>
      <c r="BK908" s="5" t="s">
        <v>260</v>
      </c>
      <c r="BL908" s="4" t="s">
        <v>261</v>
      </c>
      <c r="BM908" s="4" t="s">
        <v>290</v>
      </c>
      <c r="BN908" s="4" t="s">
        <v>241</v>
      </c>
      <c r="BO908" s="6">
        <f>0</f>
        <v>0</v>
      </c>
      <c r="BP908" s="6">
        <f>0</f>
        <v>0</v>
      </c>
      <c r="BQ908" s="4" t="s">
        <v>263</v>
      </c>
      <c r="BR908" s="4" t="s">
        <v>264</v>
      </c>
      <c r="CF908" s="4" t="s">
        <v>241</v>
      </c>
      <c r="CG908" s="4" t="s">
        <v>241</v>
      </c>
      <c r="CK908" s="4" t="s">
        <v>265</v>
      </c>
      <c r="CL908" s="4" t="s">
        <v>266</v>
      </c>
      <c r="CM908" s="4" t="s">
        <v>241</v>
      </c>
      <c r="CO908" s="4" t="s">
        <v>841</v>
      </c>
      <c r="CP908" s="5" t="s">
        <v>268</v>
      </c>
      <c r="CQ908" s="4" t="s">
        <v>269</v>
      </c>
      <c r="CR908" s="4" t="s">
        <v>270</v>
      </c>
      <c r="CS908" s="4" t="s">
        <v>241</v>
      </c>
      <c r="CT908" s="4" t="s">
        <v>241</v>
      </c>
      <c r="CU908" s="4">
        <v>0</v>
      </c>
      <c r="CV908" s="4" t="s">
        <v>271</v>
      </c>
      <c r="CW908" s="4" t="s">
        <v>1986</v>
      </c>
      <c r="CX908" s="4" t="s">
        <v>295</v>
      </c>
      <c r="CZ908" s="6">
        <f>2876900</f>
        <v>2876900</v>
      </c>
      <c r="DA908" s="6">
        <f>0</f>
        <v>0</v>
      </c>
      <c r="DC908" s="4" t="s">
        <v>241</v>
      </c>
      <c r="DD908" s="4" t="s">
        <v>241</v>
      </c>
      <c r="DF908" s="4" t="s">
        <v>241</v>
      </c>
      <c r="DI908" s="4" t="s">
        <v>241</v>
      </c>
      <c r="DJ908" s="4" t="s">
        <v>241</v>
      </c>
      <c r="DK908" s="4" t="s">
        <v>241</v>
      </c>
      <c r="DL908" s="4" t="s">
        <v>241</v>
      </c>
      <c r="DM908" s="4" t="s">
        <v>277</v>
      </c>
      <c r="DN908" s="4" t="s">
        <v>278</v>
      </c>
      <c r="DO908" s="6">
        <f>22.13</f>
        <v>22.13</v>
      </c>
      <c r="DP908" s="4" t="s">
        <v>241</v>
      </c>
      <c r="DQ908" s="4" t="s">
        <v>241</v>
      </c>
      <c r="DR908" s="4" t="s">
        <v>241</v>
      </c>
      <c r="DS908" s="4" t="s">
        <v>241</v>
      </c>
      <c r="DV908" s="4" t="s">
        <v>2008</v>
      </c>
      <c r="DW908" s="4" t="s">
        <v>323</v>
      </c>
      <c r="HO908" s="4" t="s">
        <v>336</v>
      </c>
      <c r="HR908" s="4" t="s">
        <v>278</v>
      </c>
      <c r="HS908" s="4" t="s">
        <v>278</v>
      </c>
    </row>
    <row r="909" spans="1:240" x14ac:dyDescent="0.4">
      <c r="A909" s="4">
        <v>2</v>
      </c>
      <c r="B909" s="4" t="s">
        <v>239</v>
      </c>
      <c r="C909" s="4">
        <v>980</v>
      </c>
      <c r="D909" s="4">
        <v>1</v>
      </c>
      <c r="E909" s="4">
        <v>1</v>
      </c>
      <c r="F909" s="4" t="s">
        <v>240</v>
      </c>
      <c r="G909" s="4" t="s">
        <v>241</v>
      </c>
      <c r="H909" s="4" t="s">
        <v>241</v>
      </c>
      <c r="I909" s="4" t="s">
        <v>2005</v>
      </c>
      <c r="J909" s="4" t="s">
        <v>344</v>
      </c>
      <c r="K909" s="4" t="s">
        <v>256</v>
      </c>
      <c r="L909" s="4" t="s">
        <v>414</v>
      </c>
      <c r="M909" s="5" t="s">
        <v>2007</v>
      </c>
      <c r="N909" s="4" t="s">
        <v>2952</v>
      </c>
      <c r="O909" s="6">
        <f>10</f>
        <v>10</v>
      </c>
      <c r="P909" s="4" t="s">
        <v>276</v>
      </c>
      <c r="Q909" s="6">
        <f>1</f>
        <v>1</v>
      </c>
      <c r="R909" s="6">
        <f>1300000</f>
        <v>1300000</v>
      </c>
      <c r="S909" s="5" t="s">
        <v>2006</v>
      </c>
      <c r="T909" s="4" t="s">
        <v>333</v>
      </c>
      <c r="U909" s="4" t="s">
        <v>333</v>
      </c>
      <c r="W909" s="6">
        <f>1299999</f>
        <v>1299999</v>
      </c>
      <c r="X909" s="4" t="s">
        <v>243</v>
      </c>
      <c r="Y909" s="4" t="s">
        <v>244</v>
      </c>
      <c r="Z909" s="4" t="s">
        <v>338</v>
      </c>
      <c r="AA909" s="4" t="s">
        <v>241</v>
      </c>
      <c r="AD909" s="4" t="s">
        <v>241</v>
      </c>
      <c r="AF909" s="5" t="s">
        <v>241</v>
      </c>
      <c r="AI909" s="5" t="s">
        <v>249</v>
      </c>
      <c r="AJ909" s="4" t="s">
        <v>251</v>
      </c>
      <c r="AK909" s="4" t="s">
        <v>252</v>
      </c>
      <c r="BA909" s="4" t="s">
        <v>254</v>
      </c>
      <c r="BB909" s="4" t="s">
        <v>241</v>
      </c>
      <c r="BC909" s="4" t="s">
        <v>255</v>
      </c>
      <c r="BD909" s="4" t="s">
        <v>241</v>
      </c>
      <c r="BE909" s="4" t="s">
        <v>257</v>
      </c>
      <c r="BF909" s="4" t="s">
        <v>241</v>
      </c>
      <c r="BJ909" s="4" t="s">
        <v>367</v>
      </c>
      <c r="BK909" s="5" t="s">
        <v>249</v>
      </c>
      <c r="BL909" s="4" t="s">
        <v>261</v>
      </c>
      <c r="BM909" s="4" t="s">
        <v>290</v>
      </c>
      <c r="BN909" s="4" t="s">
        <v>241</v>
      </c>
      <c r="BO909" s="6">
        <f>0</f>
        <v>0</v>
      </c>
      <c r="BP909" s="6">
        <f>0</f>
        <v>0</v>
      </c>
      <c r="BQ909" s="4" t="s">
        <v>263</v>
      </c>
      <c r="BR909" s="4" t="s">
        <v>264</v>
      </c>
      <c r="CF909" s="4" t="s">
        <v>241</v>
      </c>
      <c r="CG909" s="4" t="s">
        <v>241</v>
      </c>
      <c r="CK909" s="4" t="s">
        <v>265</v>
      </c>
      <c r="CL909" s="4" t="s">
        <v>266</v>
      </c>
      <c r="CM909" s="4" t="s">
        <v>241</v>
      </c>
      <c r="CO909" s="4" t="s">
        <v>841</v>
      </c>
      <c r="CP909" s="5" t="s">
        <v>268</v>
      </c>
      <c r="CQ909" s="4" t="s">
        <v>269</v>
      </c>
      <c r="CR909" s="4" t="s">
        <v>270</v>
      </c>
      <c r="CS909" s="4" t="s">
        <v>241</v>
      </c>
      <c r="CT909" s="4" t="s">
        <v>241</v>
      </c>
      <c r="CU909" s="4">
        <v>0</v>
      </c>
      <c r="CV909" s="4" t="s">
        <v>271</v>
      </c>
      <c r="CW909" s="4" t="s">
        <v>272</v>
      </c>
      <c r="CX909" s="4" t="s">
        <v>295</v>
      </c>
      <c r="CZ909" s="6">
        <f>1300000</f>
        <v>1300000</v>
      </c>
      <c r="DA909" s="6">
        <f>0</f>
        <v>0</v>
      </c>
      <c r="DC909" s="4" t="s">
        <v>241</v>
      </c>
      <c r="DD909" s="4" t="s">
        <v>241</v>
      </c>
      <c r="DF909" s="4" t="s">
        <v>241</v>
      </c>
      <c r="DI909" s="4" t="s">
        <v>241</v>
      </c>
      <c r="DJ909" s="4" t="s">
        <v>241</v>
      </c>
      <c r="DK909" s="4" t="s">
        <v>241</v>
      </c>
      <c r="DL909" s="4" t="s">
        <v>241</v>
      </c>
      <c r="DM909" s="4" t="s">
        <v>277</v>
      </c>
      <c r="DN909" s="4" t="s">
        <v>278</v>
      </c>
      <c r="DO909" s="6">
        <f>10</f>
        <v>10</v>
      </c>
      <c r="DP909" s="4" t="s">
        <v>241</v>
      </c>
      <c r="DQ909" s="4" t="s">
        <v>241</v>
      </c>
      <c r="DR909" s="4" t="s">
        <v>241</v>
      </c>
      <c r="DS909" s="4" t="s">
        <v>241</v>
      </c>
      <c r="DV909" s="4" t="s">
        <v>2008</v>
      </c>
      <c r="DW909" s="4" t="s">
        <v>297</v>
      </c>
      <c r="HO909" s="4" t="s">
        <v>336</v>
      </c>
      <c r="HR909" s="4" t="s">
        <v>278</v>
      </c>
      <c r="HS909" s="4" t="s">
        <v>278</v>
      </c>
    </row>
    <row r="910" spans="1:240" x14ac:dyDescent="0.4">
      <c r="A910" s="4">
        <v>2</v>
      </c>
      <c r="B910" s="4" t="s">
        <v>239</v>
      </c>
      <c r="C910" s="4">
        <v>981</v>
      </c>
      <c r="D910" s="4">
        <v>1</v>
      </c>
      <c r="E910" s="4">
        <v>3</v>
      </c>
      <c r="F910" s="4" t="s">
        <v>240</v>
      </c>
      <c r="G910" s="4" t="s">
        <v>241</v>
      </c>
      <c r="H910" s="4" t="s">
        <v>241</v>
      </c>
      <c r="I910" s="4" t="s">
        <v>2005</v>
      </c>
      <c r="J910" s="4" t="s">
        <v>344</v>
      </c>
      <c r="K910" s="4" t="s">
        <v>256</v>
      </c>
      <c r="L910" s="4" t="s">
        <v>2101</v>
      </c>
      <c r="M910" s="5" t="s">
        <v>2007</v>
      </c>
      <c r="N910" s="4" t="s">
        <v>2109</v>
      </c>
      <c r="O910" s="6">
        <f>889.98</f>
        <v>889.98</v>
      </c>
      <c r="P910" s="4" t="s">
        <v>276</v>
      </c>
      <c r="Q910" s="6">
        <f>13518829</f>
        <v>13518829</v>
      </c>
      <c r="R910" s="6">
        <f>137946900</f>
        <v>137946900</v>
      </c>
      <c r="S910" s="5" t="s">
        <v>2006</v>
      </c>
      <c r="T910" s="4" t="s">
        <v>668</v>
      </c>
      <c r="U910" s="4" t="s">
        <v>412</v>
      </c>
      <c r="V910" s="6">
        <f>3034831</f>
        <v>3034831</v>
      </c>
      <c r="W910" s="6">
        <f>124428071</f>
        <v>124428071</v>
      </c>
      <c r="X910" s="4" t="s">
        <v>243</v>
      </c>
      <c r="Y910" s="4" t="s">
        <v>244</v>
      </c>
      <c r="Z910" s="4" t="s">
        <v>338</v>
      </c>
      <c r="AA910" s="4" t="s">
        <v>241</v>
      </c>
      <c r="AD910" s="4" t="s">
        <v>241</v>
      </c>
      <c r="AE910" s="5" t="s">
        <v>241</v>
      </c>
      <c r="AF910" s="5" t="s">
        <v>241</v>
      </c>
      <c r="AH910" s="5" t="s">
        <v>241</v>
      </c>
      <c r="AI910" s="5" t="s">
        <v>249</v>
      </c>
      <c r="AJ910" s="4" t="s">
        <v>251</v>
      </c>
      <c r="AK910" s="4" t="s">
        <v>252</v>
      </c>
      <c r="AQ910" s="4" t="s">
        <v>241</v>
      </c>
      <c r="AR910" s="4" t="s">
        <v>241</v>
      </c>
      <c r="AS910" s="4" t="s">
        <v>241</v>
      </c>
      <c r="AT910" s="5" t="s">
        <v>241</v>
      </c>
      <c r="AU910" s="5" t="s">
        <v>241</v>
      </c>
      <c r="AV910" s="5" t="s">
        <v>241</v>
      </c>
      <c r="AY910" s="4" t="s">
        <v>286</v>
      </c>
      <c r="AZ910" s="4" t="s">
        <v>286</v>
      </c>
      <c r="BA910" s="4" t="s">
        <v>254</v>
      </c>
      <c r="BB910" s="4" t="s">
        <v>287</v>
      </c>
      <c r="BC910" s="4" t="s">
        <v>255</v>
      </c>
      <c r="BD910" s="4" t="s">
        <v>241</v>
      </c>
      <c r="BE910" s="4" t="s">
        <v>257</v>
      </c>
      <c r="BF910" s="4" t="s">
        <v>241</v>
      </c>
      <c r="BJ910" s="4" t="s">
        <v>288</v>
      </c>
      <c r="BK910" s="5" t="s">
        <v>289</v>
      </c>
      <c r="BL910" s="4" t="s">
        <v>290</v>
      </c>
      <c r="BM910" s="4" t="s">
        <v>290</v>
      </c>
      <c r="BN910" s="4" t="s">
        <v>241</v>
      </c>
      <c r="BO910" s="6">
        <f>0</f>
        <v>0</v>
      </c>
      <c r="BP910" s="6">
        <f>-3034831</f>
        <v>-3034831</v>
      </c>
      <c r="BQ910" s="4" t="s">
        <v>263</v>
      </c>
      <c r="BR910" s="4" t="s">
        <v>264</v>
      </c>
      <c r="BS910" s="4" t="s">
        <v>241</v>
      </c>
      <c r="BT910" s="4" t="s">
        <v>241</v>
      </c>
      <c r="BU910" s="4" t="s">
        <v>241</v>
      </c>
      <c r="BV910" s="4" t="s">
        <v>241</v>
      </c>
      <c r="CE910" s="4" t="s">
        <v>264</v>
      </c>
      <c r="CF910" s="4" t="s">
        <v>241</v>
      </c>
      <c r="CG910" s="4" t="s">
        <v>241</v>
      </c>
      <c r="CK910" s="4" t="s">
        <v>265</v>
      </c>
      <c r="CL910" s="4" t="s">
        <v>266</v>
      </c>
      <c r="CM910" s="4" t="s">
        <v>241</v>
      </c>
      <c r="CO910" s="4" t="s">
        <v>841</v>
      </c>
      <c r="CP910" s="5" t="s">
        <v>268</v>
      </c>
      <c r="CQ910" s="4" t="s">
        <v>269</v>
      </c>
      <c r="CR910" s="4" t="s">
        <v>270</v>
      </c>
      <c r="CS910" s="4" t="s">
        <v>293</v>
      </c>
      <c r="CT910" s="4" t="s">
        <v>241</v>
      </c>
      <c r="CU910" s="4">
        <v>2.1999999999999999E-2</v>
      </c>
      <c r="CV910" s="4" t="s">
        <v>271</v>
      </c>
      <c r="CW910" s="4" t="s">
        <v>411</v>
      </c>
      <c r="CX910" s="4" t="s">
        <v>295</v>
      </c>
      <c r="CY910" s="6">
        <f>0</f>
        <v>0</v>
      </c>
      <c r="CZ910" s="6">
        <f>137946900</f>
        <v>137946900</v>
      </c>
      <c r="DA910" s="6">
        <f>13518829</f>
        <v>13518829</v>
      </c>
      <c r="DC910" s="4" t="s">
        <v>241</v>
      </c>
      <c r="DD910" s="4" t="s">
        <v>241</v>
      </c>
      <c r="DF910" s="4" t="s">
        <v>241</v>
      </c>
      <c r="DG910" s="6">
        <f>0</f>
        <v>0</v>
      </c>
      <c r="DI910" s="4" t="s">
        <v>241</v>
      </c>
      <c r="DJ910" s="4" t="s">
        <v>241</v>
      </c>
      <c r="DK910" s="4" t="s">
        <v>241</v>
      </c>
      <c r="DL910" s="4" t="s">
        <v>241</v>
      </c>
      <c r="DM910" s="4" t="s">
        <v>277</v>
      </c>
      <c r="DN910" s="4" t="s">
        <v>278</v>
      </c>
      <c r="DO910" s="6">
        <f>889.98</f>
        <v>889.98</v>
      </c>
      <c r="DP910" s="4" t="s">
        <v>241</v>
      </c>
      <c r="DQ910" s="4" t="s">
        <v>241</v>
      </c>
      <c r="DR910" s="4" t="s">
        <v>241</v>
      </c>
      <c r="DS910" s="4" t="s">
        <v>241</v>
      </c>
      <c r="DV910" s="4" t="s">
        <v>2008</v>
      </c>
      <c r="DW910" s="4" t="s">
        <v>336</v>
      </c>
      <c r="GN910" s="4" t="s">
        <v>2384</v>
      </c>
      <c r="HO910" s="4" t="s">
        <v>300</v>
      </c>
      <c r="HR910" s="4" t="s">
        <v>278</v>
      </c>
      <c r="HS910" s="4" t="s">
        <v>278</v>
      </c>
      <c r="HT910" s="4" t="s">
        <v>241</v>
      </c>
      <c r="HU910" s="4" t="s">
        <v>241</v>
      </c>
      <c r="HV910" s="4" t="s">
        <v>241</v>
      </c>
      <c r="HW910" s="4" t="s">
        <v>241</v>
      </c>
      <c r="HX910" s="4" t="s">
        <v>241</v>
      </c>
      <c r="HY910" s="4" t="s">
        <v>241</v>
      </c>
      <c r="HZ910" s="4" t="s">
        <v>241</v>
      </c>
      <c r="IA910" s="4" t="s">
        <v>241</v>
      </c>
      <c r="IB910" s="4" t="s">
        <v>241</v>
      </c>
      <c r="IC910" s="4" t="s">
        <v>241</v>
      </c>
      <c r="ID910" s="4" t="s">
        <v>241</v>
      </c>
      <c r="IE910" s="4" t="s">
        <v>241</v>
      </c>
      <c r="IF910" s="4" t="s">
        <v>241</v>
      </c>
    </row>
    <row r="911" spans="1:240" x14ac:dyDescent="0.4">
      <c r="A911" s="4">
        <v>2</v>
      </c>
      <c r="B911" s="4" t="s">
        <v>239</v>
      </c>
      <c r="C911" s="4">
        <v>982</v>
      </c>
      <c r="D911" s="4">
        <v>1</v>
      </c>
      <c r="E911" s="4">
        <v>3</v>
      </c>
      <c r="F911" s="4" t="s">
        <v>326</v>
      </c>
      <c r="G911" s="4" t="s">
        <v>241</v>
      </c>
      <c r="H911" s="4" t="s">
        <v>241</v>
      </c>
      <c r="I911" s="4" t="s">
        <v>2005</v>
      </c>
      <c r="J911" s="4" t="s">
        <v>344</v>
      </c>
      <c r="K911" s="4" t="s">
        <v>256</v>
      </c>
      <c r="L911" s="4" t="s">
        <v>2739</v>
      </c>
      <c r="M911" s="5" t="s">
        <v>2007</v>
      </c>
      <c r="N911" s="4" t="s">
        <v>2734</v>
      </c>
      <c r="O911" s="6">
        <f>0</f>
        <v>0</v>
      </c>
      <c r="P911" s="4" t="s">
        <v>276</v>
      </c>
      <c r="Q911" s="6">
        <f>4169749</f>
        <v>4169749</v>
      </c>
      <c r="R911" s="6">
        <f>5696377</f>
        <v>5696377</v>
      </c>
      <c r="S911" s="5" t="s">
        <v>775</v>
      </c>
      <c r="T911" s="4" t="s">
        <v>348</v>
      </c>
      <c r="U911" s="4" t="s">
        <v>297</v>
      </c>
      <c r="V911" s="6">
        <f>381657</f>
        <v>381657</v>
      </c>
      <c r="W911" s="6">
        <f>1526628</f>
        <v>1526628</v>
      </c>
      <c r="X911" s="4" t="s">
        <v>243</v>
      </c>
      <c r="Y911" s="4" t="s">
        <v>244</v>
      </c>
      <c r="Z911" s="4" t="s">
        <v>338</v>
      </c>
      <c r="AA911" s="4" t="s">
        <v>241</v>
      </c>
      <c r="AD911" s="4" t="s">
        <v>241</v>
      </c>
      <c r="AE911" s="5" t="s">
        <v>241</v>
      </c>
      <c r="AF911" s="5" t="s">
        <v>241</v>
      </c>
      <c r="AH911" s="5" t="s">
        <v>241</v>
      </c>
      <c r="AI911" s="5" t="s">
        <v>249</v>
      </c>
      <c r="AJ911" s="4" t="s">
        <v>251</v>
      </c>
      <c r="AK911" s="4" t="s">
        <v>252</v>
      </c>
      <c r="AQ911" s="4" t="s">
        <v>241</v>
      </c>
      <c r="AR911" s="4" t="s">
        <v>241</v>
      </c>
      <c r="AS911" s="4" t="s">
        <v>241</v>
      </c>
      <c r="AT911" s="5" t="s">
        <v>241</v>
      </c>
      <c r="AU911" s="5" t="s">
        <v>241</v>
      </c>
      <c r="AV911" s="5" t="s">
        <v>241</v>
      </c>
      <c r="AY911" s="4" t="s">
        <v>286</v>
      </c>
      <c r="AZ911" s="4" t="s">
        <v>286</v>
      </c>
      <c r="BA911" s="4" t="s">
        <v>254</v>
      </c>
      <c r="BB911" s="4" t="s">
        <v>287</v>
      </c>
      <c r="BC911" s="4" t="s">
        <v>255</v>
      </c>
      <c r="BD911" s="4" t="s">
        <v>241</v>
      </c>
      <c r="BE911" s="4" t="s">
        <v>257</v>
      </c>
      <c r="BF911" s="4" t="s">
        <v>241</v>
      </c>
      <c r="BJ911" s="4" t="s">
        <v>288</v>
      </c>
      <c r="BK911" s="5" t="s">
        <v>289</v>
      </c>
      <c r="BL911" s="4" t="s">
        <v>290</v>
      </c>
      <c r="BM911" s="4" t="s">
        <v>290</v>
      </c>
      <c r="BN911" s="4" t="s">
        <v>241</v>
      </c>
      <c r="BP911" s="6">
        <f>-381657</f>
        <v>-381657</v>
      </c>
      <c r="BQ911" s="4" t="s">
        <v>263</v>
      </c>
      <c r="BR911" s="4" t="s">
        <v>264</v>
      </c>
      <c r="BS911" s="4" t="s">
        <v>241</v>
      </c>
      <c r="BT911" s="4" t="s">
        <v>241</v>
      </c>
      <c r="BU911" s="4" t="s">
        <v>241</v>
      </c>
      <c r="BV911" s="4" t="s">
        <v>241</v>
      </c>
      <c r="CE911" s="4" t="s">
        <v>264</v>
      </c>
      <c r="CF911" s="4" t="s">
        <v>241</v>
      </c>
      <c r="CG911" s="4" t="s">
        <v>241</v>
      </c>
      <c r="CK911" s="4" t="s">
        <v>291</v>
      </c>
      <c r="CL911" s="4" t="s">
        <v>266</v>
      </c>
      <c r="CM911" s="4" t="s">
        <v>241</v>
      </c>
      <c r="CO911" s="4" t="s">
        <v>413</v>
      </c>
      <c r="CP911" s="5" t="s">
        <v>268</v>
      </c>
      <c r="CQ911" s="4" t="s">
        <v>269</v>
      </c>
      <c r="CR911" s="4" t="s">
        <v>270</v>
      </c>
      <c r="CS911" s="4" t="s">
        <v>293</v>
      </c>
      <c r="CT911" s="4" t="s">
        <v>241</v>
      </c>
      <c r="CU911" s="4">
        <v>6.7000000000000004E-2</v>
      </c>
      <c r="CV911" s="4" t="s">
        <v>271</v>
      </c>
      <c r="CW911" s="4" t="s">
        <v>415</v>
      </c>
      <c r="CX911" s="4" t="s">
        <v>416</v>
      </c>
      <c r="CY911" s="6">
        <f>0</f>
        <v>0</v>
      </c>
      <c r="CZ911" s="6">
        <f>5696377</f>
        <v>5696377</v>
      </c>
      <c r="DA911" s="6">
        <f>4169749</f>
        <v>4169749</v>
      </c>
      <c r="DC911" s="4" t="s">
        <v>241</v>
      </c>
      <c r="DD911" s="4" t="s">
        <v>241</v>
      </c>
      <c r="DF911" s="4" t="s">
        <v>241</v>
      </c>
      <c r="DG911" s="6">
        <f>0</f>
        <v>0</v>
      </c>
      <c r="DI911" s="4" t="s">
        <v>241</v>
      </c>
      <c r="DJ911" s="4" t="s">
        <v>241</v>
      </c>
      <c r="DK911" s="4" t="s">
        <v>241</v>
      </c>
      <c r="DL911" s="4" t="s">
        <v>241</v>
      </c>
      <c r="DM911" s="4" t="s">
        <v>278</v>
      </c>
      <c r="DN911" s="4" t="s">
        <v>278</v>
      </c>
      <c r="DO911" s="6" t="s">
        <v>241</v>
      </c>
      <c r="DP911" s="4" t="s">
        <v>241</v>
      </c>
      <c r="DQ911" s="4" t="s">
        <v>241</v>
      </c>
      <c r="DR911" s="4" t="s">
        <v>241</v>
      </c>
      <c r="DS911" s="4" t="s">
        <v>241</v>
      </c>
      <c r="DV911" s="4" t="s">
        <v>2008</v>
      </c>
      <c r="DW911" s="4" t="s">
        <v>351</v>
      </c>
      <c r="GN911" s="4" t="s">
        <v>2740</v>
      </c>
      <c r="HO911" s="4" t="s">
        <v>351</v>
      </c>
      <c r="HR911" s="4" t="s">
        <v>278</v>
      </c>
      <c r="HS911" s="4" t="s">
        <v>278</v>
      </c>
      <c r="HT911" s="4" t="s">
        <v>241</v>
      </c>
      <c r="HU911" s="4" t="s">
        <v>241</v>
      </c>
      <c r="HV911" s="4" t="s">
        <v>241</v>
      </c>
      <c r="HW911" s="4" t="s">
        <v>241</v>
      </c>
      <c r="HX911" s="4" t="s">
        <v>241</v>
      </c>
      <c r="HY911" s="4" t="s">
        <v>241</v>
      </c>
      <c r="HZ911" s="4" t="s">
        <v>241</v>
      </c>
      <c r="IA911" s="4" t="s">
        <v>241</v>
      </c>
      <c r="IB911" s="4" t="s">
        <v>241</v>
      </c>
      <c r="IC911" s="4" t="s">
        <v>241</v>
      </c>
      <c r="ID911" s="4" t="s">
        <v>241</v>
      </c>
      <c r="IE911" s="4" t="s">
        <v>241</v>
      </c>
      <c r="IF911" s="4" t="s">
        <v>241</v>
      </c>
    </row>
    <row r="912" spans="1:240" x14ac:dyDescent="0.4">
      <c r="A912" s="4">
        <v>2</v>
      </c>
      <c r="B912" s="4" t="s">
        <v>239</v>
      </c>
      <c r="C912" s="4">
        <v>983</v>
      </c>
      <c r="D912" s="4">
        <v>1</v>
      </c>
      <c r="E912" s="4">
        <v>3</v>
      </c>
      <c r="F912" s="4" t="s">
        <v>326</v>
      </c>
      <c r="G912" s="4" t="s">
        <v>241</v>
      </c>
      <c r="H912" s="4" t="s">
        <v>241</v>
      </c>
      <c r="I912" s="4" t="s">
        <v>2005</v>
      </c>
      <c r="J912" s="4" t="s">
        <v>344</v>
      </c>
      <c r="K912" s="4" t="s">
        <v>256</v>
      </c>
      <c r="L912" s="4" t="s">
        <v>2101</v>
      </c>
      <c r="M912" s="5" t="s">
        <v>2007</v>
      </c>
      <c r="N912" s="4" t="s">
        <v>2381</v>
      </c>
      <c r="O912" s="6">
        <f>0</f>
        <v>0</v>
      </c>
      <c r="P912" s="4" t="s">
        <v>276</v>
      </c>
      <c r="Q912" s="6">
        <f>41091466</f>
        <v>41091466</v>
      </c>
      <c r="R912" s="6">
        <f>42982704</f>
        <v>42982704</v>
      </c>
      <c r="S912" s="5" t="s">
        <v>2382</v>
      </c>
      <c r="T912" s="4" t="s">
        <v>668</v>
      </c>
      <c r="U912" s="4" t="s">
        <v>277</v>
      </c>
      <c r="V912" s="6">
        <f>945619</f>
        <v>945619</v>
      </c>
      <c r="W912" s="6">
        <f>1891238</f>
        <v>1891238</v>
      </c>
      <c r="X912" s="4" t="s">
        <v>243</v>
      </c>
      <c r="Y912" s="4" t="s">
        <v>244</v>
      </c>
      <c r="Z912" s="4" t="s">
        <v>338</v>
      </c>
      <c r="AA912" s="4" t="s">
        <v>241</v>
      </c>
      <c r="AD912" s="4" t="s">
        <v>241</v>
      </c>
      <c r="AE912" s="5" t="s">
        <v>241</v>
      </c>
      <c r="AF912" s="5" t="s">
        <v>241</v>
      </c>
      <c r="AH912" s="5" t="s">
        <v>241</v>
      </c>
      <c r="AI912" s="5" t="s">
        <v>249</v>
      </c>
      <c r="AJ912" s="4" t="s">
        <v>251</v>
      </c>
      <c r="AK912" s="4" t="s">
        <v>252</v>
      </c>
      <c r="AQ912" s="4" t="s">
        <v>241</v>
      </c>
      <c r="AR912" s="4" t="s">
        <v>241</v>
      </c>
      <c r="AS912" s="4" t="s">
        <v>241</v>
      </c>
      <c r="AT912" s="5" t="s">
        <v>241</v>
      </c>
      <c r="AU912" s="5" t="s">
        <v>241</v>
      </c>
      <c r="AV912" s="5" t="s">
        <v>241</v>
      </c>
      <c r="AY912" s="4" t="s">
        <v>286</v>
      </c>
      <c r="AZ912" s="4" t="s">
        <v>286</v>
      </c>
      <c r="BA912" s="4" t="s">
        <v>254</v>
      </c>
      <c r="BB912" s="4" t="s">
        <v>287</v>
      </c>
      <c r="BC912" s="4" t="s">
        <v>255</v>
      </c>
      <c r="BD912" s="4" t="s">
        <v>241</v>
      </c>
      <c r="BE912" s="4" t="s">
        <v>257</v>
      </c>
      <c r="BF912" s="4" t="s">
        <v>241</v>
      </c>
      <c r="BJ912" s="4" t="s">
        <v>288</v>
      </c>
      <c r="BK912" s="5" t="s">
        <v>289</v>
      </c>
      <c r="BL912" s="4" t="s">
        <v>290</v>
      </c>
      <c r="BM912" s="4" t="s">
        <v>290</v>
      </c>
      <c r="BN912" s="4" t="s">
        <v>241</v>
      </c>
      <c r="BP912" s="6">
        <f>-945619</f>
        <v>-945619</v>
      </c>
      <c r="BQ912" s="4" t="s">
        <v>263</v>
      </c>
      <c r="BR912" s="4" t="s">
        <v>264</v>
      </c>
      <c r="BS912" s="4" t="s">
        <v>241</v>
      </c>
      <c r="BT912" s="4" t="s">
        <v>241</v>
      </c>
      <c r="BU912" s="4" t="s">
        <v>241</v>
      </c>
      <c r="BV912" s="4" t="s">
        <v>241</v>
      </c>
      <c r="CE912" s="4" t="s">
        <v>264</v>
      </c>
      <c r="CF912" s="4" t="s">
        <v>241</v>
      </c>
      <c r="CG912" s="4" t="s">
        <v>241</v>
      </c>
      <c r="CK912" s="4" t="s">
        <v>291</v>
      </c>
      <c r="CL912" s="4" t="s">
        <v>266</v>
      </c>
      <c r="CM912" s="4" t="s">
        <v>241</v>
      </c>
      <c r="CO912" s="4" t="s">
        <v>331</v>
      </c>
      <c r="CP912" s="5" t="s">
        <v>268</v>
      </c>
      <c r="CQ912" s="4" t="s">
        <v>269</v>
      </c>
      <c r="CR912" s="4" t="s">
        <v>270</v>
      </c>
      <c r="CS912" s="4" t="s">
        <v>293</v>
      </c>
      <c r="CT912" s="4" t="s">
        <v>241</v>
      </c>
      <c r="CU912" s="4">
        <v>2.1999999999999999E-2</v>
      </c>
      <c r="CV912" s="4" t="s">
        <v>271</v>
      </c>
      <c r="CW912" s="4" t="s">
        <v>411</v>
      </c>
      <c r="CX912" s="4" t="s">
        <v>295</v>
      </c>
      <c r="CY912" s="6">
        <f>0</f>
        <v>0</v>
      </c>
      <c r="CZ912" s="6">
        <f>42982704</f>
        <v>42982704</v>
      </c>
      <c r="DA912" s="6">
        <f>41091466</f>
        <v>41091466</v>
      </c>
      <c r="DC912" s="4" t="s">
        <v>241</v>
      </c>
      <c r="DD912" s="4" t="s">
        <v>241</v>
      </c>
      <c r="DF912" s="4" t="s">
        <v>241</v>
      </c>
      <c r="DG912" s="6">
        <f>0</f>
        <v>0</v>
      </c>
      <c r="DI912" s="4" t="s">
        <v>241</v>
      </c>
      <c r="DJ912" s="4" t="s">
        <v>241</v>
      </c>
      <c r="DK912" s="4" t="s">
        <v>241</v>
      </c>
      <c r="DL912" s="4" t="s">
        <v>241</v>
      </c>
      <c r="DM912" s="4" t="s">
        <v>278</v>
      </c>
      <c r="DN912" s="4" t="s">
        <v>278</v>
      </c>
      <c r="DO912" s="6" t="s">
        <v>241</v>
      </c>
      <c r="DP912" s="4" t="s">
        <v>241</v>
      </c>
      <c r="DQ912" s="4" t="s">
        <v>241</v>
      </c>
      <c r="DR912" s="4" t="s">
        <v>241</v>
      </c>
      <c r="DS912" s="4" t="s">
        <v>241</v>
      </c>
      <c r="DV912" s="4" t="s">
        <v>2008</v>
      </c>
      <c r="DW912" s="4" t="s">
        <v>300</v>
      </c>
      <c r="GN912" s="4" t="s">
        <v>2383</v>
      </c>
      <c r="HO912" s="4" t="s">
        <v>297</v>
      </c>
      <c r="HR912" s="4" t="s">
        <v>278</v>
      </c>
      <c r="HS912" s="4" t="s">
        <v>278</v>
      </c>
      <c r="HT912" s="4" t="s">
        <v>241</v>
      </c>
      <c r="HU912" s="4" t="s">
        <v>241</v>
      </c>
      <c r="HV912" s="4" t="s">
        <v>241</v>
      </c>
      <c r="HW912" s="4" t="s">
        <v>241</v>
      </c>
      <c r="HX912" s="4" t="s">
        <v>241</v>
      </c>
      <c r="HY912" s="4" t="s">
        <v>241</v>
      </c>
      <c r="HZ912" s="4" t="s">
        <v>241</v>
      </c>
      <c r="IA912" s="4" t="s">
        <v>241</v>
      </c>
      <c r="IB912" s="4" t="s">
        <v>241</v>
      </c>
      <c r="IC912" s="4" t="s">
        <v>241</v>
      </c>
      <c r="ID912" s="4" t="s">
        <v>241</v>
      </c>
      <c r="IE912" s="4" t="s">
        <v>241</v>
      </c>
      <c r="IF912" s="4" t="s">
        <v>241</v>
      </c>
    </row>
    <row r="913" spans="1:240" x14ac:dyDescent="0.4">
      <c r="A913" s="4">
        <v>2</v>
      </c>
      <c r="B913" s="4" t="s">
        <v>239</v>
      </c>
      <c r="C913" s="4">
        <v>984</v>
      </c>
      <c r="D913" s="4">
        <v>1</v>
      </c>
      <c r="E913" s="4">
        <v>3</v>
      </c>
      <c r="F913" s="4" t="s">
        <v>326</v>
      </c>
      <c r="G913" s="4" t="s">
        <v>241</v>
      </c>
      <c r="H913" s="4" t="s">
        <v>241</v>
      </c>
      <c r="I913" s="4" t="s">
        <v>2005</v>
      </c>
      <c r="J913" s="4" t="s">
        <v>344</v>
      </c>
      <c r="K913" s="4" t="s">
        <v>256</v>
      </c>
      <c r="L913" s="4" t="s">
        <v>2101</v>
      </c>
      <c r="M913" s="5" t="s">
        <v>2007</v>
      </c>
      <c r="N913" s="4" t="s">
        <v>2378</v>
      </c>
      <c r="O913" s="6">
        <f>0</f>
        <v>0</v>
      </c>
      <c r="P913" s="4" t="s">
        <v>276</v>
      </c>
      <c r="Q913" s="6">
        <f>37804348</f>
        <v>37804348</v>
      </c>
      <c r="R913" s="6">
        <f>39544296</f>
        <v>39544296</v>
      </c>
      <c r="S913" s="5" t="s">
        <v>2379</v>
      </c>
      <c r="T913" s="4" t="s">
        <v>668</v>
      </c>
      <c r="U913" s="4" t="s">
        <v>277</v>
      </c>
      <c r="V913" s="6">
        <f>869974</f>
        <v>869974</v>
      </c>
      <c r="W913" s="6">
        <f>1739948</f>
        <v>1739948</v>
      </c>
      <c r="X913" s="4" t="s">
        <v>243</v>
      </c>
      <c r="Y913" s="4" t="s">
        <v>244</v>
      </c>
      <c r="Z913" s="4" t="s">
        <v>338</v>
      </c>
      <c r="AA913" s="4" t="s">
        <v>241</v>
      </c>
      <c r="AD913" s="4" t="s">
        <v>241</v>
      </c>
      <c r="AE913" s="5" t="s">
        <v>241</v>
      </c>
      <c r="AF913" s="5" t="s">
        <v>241</v>
      </c>
      <c r="AH913" s="5" t="s">
        <v>241</v>
      </c>
      <c r="AI913" s="5" t="s">
        <v>249</v>
      </c>
      <c r="AJ913" s="4" t="s">
        <v>251</v>
      </c>
      <c r="AK913" s="4" t="s">
        <v>252</v>
      </c>
      <c r="AQ913" s="4" t="s">
        <v>241</v>
      </c>
      <c r="AR913" s="4" t="s">
        <v>241</v>
      </c>
      <c r="AS913" s="4" t="s">
        <v>241</v>
      </c>
      <c r="AT913" s="5" t="s">
        <v>241</v>
      </c>
      <c r="AU913" s="5" t="s">
        <v>241</v>
      </c>
      <c r="AV913" s="5" t="s">
        <v>241</v>
      </c>
      <c r="AY913" s="4" t="s">
        <v>286</v>
      </c>
      <c r="AZ913" s="4" t="s">
        <v>286</v>
      </c>
      <c r="BA913" s="4" t="s">
        <v>254</v>
      </c>
      <c r="BB913" s="4" t="s">
        <v>287</v>
      </c>
      <c r="BC913" s="4" t="s">
        <v>255</v>
      </c>
      <c r="BD913" s="4" t="s">
        <v>241</v>
      </c>
      <c r="BE913" s="4" t="s">
        <v>257</v>
      </c>
      <c r="BF913" s="4" t="s">
        <v>241</v>
      </c>
      <c r="BJ913" s="4" t="s">
        <v>288</v>
      </c>
      <c r="BK913" s="5" t="s">
        <v>289</v>
      </c>
      <c r="BL913" s="4" t="s">
        <v>290</v>
      </c>
      <c r="BM913" s="4" t="s">
        <v>290</v>
      </c>
      <c r="BN913" s="4" t="s">
        <v>241</v>
      </c>
      <c r="BP913" s="6">
        <f>-869974</f>
        <v>-869974</v>
      </c>
      <c r="BQ913" s="4" t="s">
        <v>263</v>
      </c>
      <c r="BR913" s="4" t="s">
        <v>264</v>
      </c>
      <c r="BS913" s="4" t="s">
        <v>241</v>
      </c>
      <c r="BT913" s="4" t="s">
        <v>241</v>
      </c>
      <c r="BU913" s="4" t="s">
        <v>241</v>
      </c>
      <c r="BV913" s="4" t="s">
        <v>241</v>
      </c>
      <c r="CE913" s="4" t="s">
        <v>264</v>
      </c>
      <c r="CF913" s="4" t="s">
        <v>241</v>
      </c>
      <c r="CG913" s="4" t="s">
        <v>241</v>
      </c>
      <c r="CK913" s="4" t="s">
        <v>291</v>
      </c>
      <c r="CL913" s="4" t="s">
        <v>266</v>
      </c>
      <c r="CM913" s="4" t="s">
        <v>241</v>
      </c>
      <c r="CO913" s="4" t="s">
        <v>331</v>
      </c>
      <c r="CP913" s="5" t="s">
        <v>268</v>
      </c>
      <c r="CQ913" s="4" t="s">
        <v>269</v>
      </c>
      <c r="CR913" s="4" t="s">
        <v>270</v>
      </c>
      <c r="CS913" s="4" t="s">
        <v>293</v>
      </c>
      <c r="CT913" s="4" t="s">
        <v>241</v>
      </c>
      <c r="CU913" s="4">
        <v>2.1999999999999999E-2</v>
      </c>
      <c r="CV913" s="4" t="s">
        <v>271</v>
      </c>
      <c r="CW913" s="4" t="s">
        <v>411</v>
      </c>
      <c r="CX913" s="4" t="s">
        <v>295</v>
      </c>
      <c r="CY913" s="6">
        <f>0</f>
        <v>0</v>
      </c>
      <c r="CZ913" s="6">
        <f>39544296</f>
        <v>39544296</v>
      </c>
      <c r="DA913" s="6">
        <f>37804348</f>
        <v>37804348</v>
      </c>
      <c r="DC913" s="4" t="s">
        <v>241</v>
      </c>
      <c r="DD913" s="4" t="s">
        <v>241</v>
      </c>
      <c r="DF913" s="4" t="s">
        <v>241</v>
      </c>
      <c r="DG913" s="6">
        <f>0</f>
        <v>0</v>
      </c>
      <c r="DI913" s="4" t="s">
        <v>241</v>
      </c>
      <c r="DJ913" s="4" t="s">
        <v>241</v>
      </c>
      <c r="DK913" s="4" t="s">
        <v>241</v>
      </c>
      <c r="DL913" s="4" t="s">
        <v>241</v>
      </c>
      <c r="DM913" s="4" t="s">
        <v>278</v>
      </c>
      <c r="DN913" s="4" t="s">
        <v>278</v>
      </c>
      <c r="DO913" s="6" t="s">
        <v>241</v>
      </c>
      <c r="DP913" s="4" t="s">
        <v>241</v>
      </c>
      <c r="DQ913" s="4" t="s">
        <v>241</v>
      </c>
      <c r="DR913" s="4" t="s">
        <v>241</v>
      </c>
      <c r="DS913" s="4" t="s">
        <v>241</v>
      </c>
      <c r="DV913" s="4" t="s">
        <v>2008</v>
      </c>
      <c r="DW913" s="4" t="s">
        <v>341</v>
      </c>
      <c r="GN913" s="4" t="s">
        <v>2380</v>
      </c>
      <c r="HO913" s="4" t="s">
        <v>297</v>
      </c>
      <c r="HR913" s="4" t="s">
        <v>278</v>
      </c>
      <c r="HS913" s="4" t="s">
        <v>278</v>
      </c>
      <c r="HT913" s="4" t="s">
        <v>241</v>
      </c>
      <c r="HU913" s="4" t="s">
        <v>241</v>
      </c>
      <c r="HV913" s="4" t="s">
        <v>241</v>
      </c>
      <c r="HW913" s="4" t="s">
        <v>241</v>
      </c>
      <c r="HX913" s="4" t="s">
        <v>241</v>
      </c>
      <c r="HY913" s="4" t="s">
        <v>241</v>
      </c>
      <c r="HZ913" s="4" t="s">
        <v>241</v>
      </c>
      <c r="IA913" s="4" t="s">
        <v>241</v>
      </c>
      <c r="IB913" s="4" t="s">
        <v>241</v>
      </c>
      <c r="IC913" s="4" t="s">
        <v>241</v>
      </c>
      <c r="ID913" s="4" t="s">
        <v>241</v>
      </c>
      <c r="IE913" s="4" t="s">
        <v>241</v>
      </c>
      <c r="IF913" s="4" t="s">
        <v>241</v>
      </c>
    </row>
    <row r="914" spans="1:240" x14ac:dyDescent="0.4">
      <c r="A914" s="4">
        <v>2</v>
      </c>
      <c r="B914" s="4" t="s">
        <v>239</v>
      </c>
      <c r="C914" s="4">
        <v>985</v>
      </c>
      <c r="D914" s="4">
        <v>1</v>
      </c>
      <c r="E914" s="4">
        <v>3</v>
      </c>
      <c r="F914" s="4" t="s">
        <v>240</v>
      </c>
      <c r="G914" s="4" t="s">
        <v>241</v>
      </c>
      <c r="H914" s="4" t="s">
        <v>241</v>
      </c>
      <c r="I914" s="4" t="s">
        <v>1996</v>
      </c>
      <c r="J914" s="4" t="s">
        <v>344</v>
      </c>
      <c r="K914" s="4" t="s">
        <v>256</v>
      </c>
      <c r="L914" s="4" t="s">
        <v>2101</v>
      </c>
      <c r="M914" s="5" t="s">
        <v>1998</v>
      </c>
      <c r="N914" s="4" t="s">
        <v>2109</v>
      </c>
      <c r="O914" s="6">
        <f>883.06</f>
        <v>883.06</v>
      </c>
      <c r="P914" s="4" t="s">
        <v>276</v>
      </c>
      <c r="Q914" s="6">
        <f>13413706</f>
        <v>13413706</v>
      </c>
      <c r="R914" s="6">
        <f>136874300</f>
        <v>136874300</v>
      </c>
      <c r="S914" s="5" t="s">
        <v>1997</v>
      </c>
      <c r="T914" s="4" t="s">
        <v>668</v>
      </c>
      <c r="U914" s="4" t="s">
        <v>412</v>
      </c>
      <c r="V914" s="6">
        <f>3011234</f>
        <v>3011234</v>
      </c>
      <c r="W914" s="6">
        <f>123460594</f>
        <v>123460594</v>
      </c>
      <c r="X914" s="4" t="s">
        <v>243</v>
      </c>
      <c r="Y914" s="4" t="s">
        <v>244</v>
      </c>
      <c r="Z914" s="4" t="s">
        <v>338</v>
      </c>
      <c r="AA914" s="4" t="s">
        <v>241</v>
      </c>
      <c r="AD914" s="4" t="s">
        <v>241</v>
      </c>
      <c r="AE914" s="5" t="s">
        <v>241</v>
      </c>
      <c r="AF914" s="5" t="s">
        <v>241</v>
      </c>
      <c r="AH914" s="5" t="s">
        <v>241</v>
      </c>
      <c r="AI914" s="5" t="s">
        <v>249</v>
      </c>
      <c r="AJ914" s="4" t="s">
        <v>251</v>
      </c>
      <c r="AK914" s="4" t="s">
        <v>252</v>
      </c>
      <c r="AQ914" s="4" t="s">
        <v>241</v>
      </c>
      <c r="AR914" s="4" t="s">
        <v>241</v>
      </c>
      <c r="AS914" s="4" t="s">
        <v>241</v>
      </c>
      <c r="AT914" s="5" t="s">
        <v>241</v>
      </c>
      <c r="AU914" s="5" t="s">
        <v>241</v>
      </c>
      <c r="AV914" s="5" t="s">
        <v>241</v>
      </c>
      <c r="AY914" s="4" t="s">
        <v>286</v>
      </c>
      <c r="AZ914" s="4" t="s">
        <v>286</v>
      </c>
      <c r="BA914" s="4" t="s">
        <v>254</v>
      </c>
      <c r="BB914" s="4" t="s">
        <v>287</v>
      </c>
      <c r="BC914" s="4" t="s">
        <v>255</v>
      </c>
      <c r="BD914" s="4" t="s">
        <v>241</v>
      </c>
      <c r="BE914" s="4" t="s">
        <v>257</v>
      </c>
      <c r="BF914" s="4" t="s">
        <v>241</v>
      </c>
      <c r="BJ914" s="4" t="s">
        <v>288</v>
      </c>
      <c r="BK914" s="5" t="s">
        <v>289</v>
      </c>
      <c r="BL914" s="4" t="s">
        <v>290</v>
      </c>
      <c r="BM914" s="4" t="s">
        <v>290</v>
      </c>
      <c r="BN914" s="4" t="s">
        <v>241</v>
      </c>
      <c r="BO914" s="6">
        <f>0</f>
        <v>0</v>
      </c>
      <c r="BP914" s="6">
        <f>-3011234</f>
        <v>-3011234</v>
      </c>
      <c r="BQ914" s="4" t="s">
        <v>263</v>
      </c>
      <c r="BR914" s="4" t="s">
        <v>264</v>
      </c>
      <c r="BS914" s="4" t="s">
        <v>241</v>
      </c>
      <c r="BT914" s="4" t="s">
        <v>241</v>
      </c>
      <c r="BU914" s="4" t="s">
        <v>241</v>
      </c>
      <c r="BV914" s="4" t="s">
        <v>241</v>
      </c>
      <c r="CE914" s="4" t="s">
        <v>264</v>
      </c>
      <c r="CF914" s="4" t="s">
        <v>241</v>
      </c>
      <c r="CG914" s="4" t="s">
        <v>241</v>
      </c>
      <c r="CK914" s="4" t="s">
        <v>265</v>
      </c>
      <c r="CL914" s="4" t="s">
        <v>266</v>
      </c>
      <c r="CM914" s="4" t="s">
        <v>241</v>
      </c>
      <c r="CO914" s="4" t="s">
        <v>841</v>
      </c>
      <c r="CP914" s="5" t="s">
        <v>268</v>
      </c>
      <c r="CQ914" s="4" t="s">
        <v>269</v>
      </c>
      <c r="CR914" s="4" t="s">
        <v>270</v>
      </c>
      <c r="CS914" s="4" t="s">
        <v>293</v>
      </c>
      <c r="CT914" s="4" t="s">
        <v>241</v>
      </c>
      <c r="CU914" s="4">
        <v>2.1999999999999999E-2</v>
      </c>
      <c r="CV914" s="4" t="s">
        <v>271</v>
      </c>
      <c r="CW914" s="4" t="s">
        <v>411</v>
      </c>
      <c r="CX914" s="4" t="s">
        <v>295</v>
      </c>
      <c r="CY914" s="6">
        <f>0</f>
        <v>0</v>
      </c>
      <c r="CZ914" s="6">
        <f>136874300</f>
        <v>136874300</v>
      </c>
      <c r="DA914" s="6">
        <f>13413706</f>
        <v>13413706</v>
      </c>
      <c r="DC914" s="4" t="s">
        <v>241</v>
      </c>
      <c r="DD914" s="4" t="s">
        <v>241</v>
      </c>
      <c r="DF914" s="4" t="s">
        <v>241</v>
      </c>
      <c r="DG914" s="6">
        <f>0</f>
        <v>0</v>
      </c>
      <c r="DI914" s="4" t="s">
        <v>241</v>
      </c>
      <c r="DJ914" s="4" t="s">
        <v>241</v>
      </c>
      <c r="DK914" s="4" t="s">
        <v>241</v>
      </c>
      <c r="DL914" s="4" t="s">
        <v>241</v>
      </c>
      <c r="DM914" s="4" t="s">
        <v>351</v>
      </c>
      <c r="DN914" s="4" t="s">
        <v>278</v>
      </c>
      <c r="DO914" s="6">
        <f>883.06</f>
        <v>883.06</v>
      </c>
      <c r="DP914" s="4" t="s">
        <v>241</v>
      </c>
      <c r="DQ914" s="4" t="s">
        <v>241</v>
      </c>
      <c r="DR914" s="4" t="s">
        <v>241</v>
      </c>
      <c r="DS914" s="4" t="s">
        <v>241</v>
      </c>
      <c r="DV914" s="4" t="s">
        <v>1999</v>
      </c>
      <c r="DW914" s="4" t="s">
        <v>277</v>
      </c>
      <c r="GN914" s="4" t="s">
        <v>2377</v>
      </c>
      <c r="HO914" s="4" t="s">
        <v>300</v>
      </c>
      <c r="HR914" s="4" t="s">
        <v>278</v>
      </c>
      <c r="HS914" s="4" t="s">
        <v>278</v>
      </c>
      <c r="HT914" s="4" t="s">
        <v>241</v>
      </c>
      <c r="HU914" s="4" t="s">
        <v>241</v>
      </c>
      <c r="HV914" s="4" t="s">
        <v>241</v>
      </c>
      <c r="HW914" s="4" t="s">
        <v>241</v>
      </c>
      <c r="HX914" s="4" t="s">
        <v>241</v>
      </c>
      <c r="HY914" s="4" t="s">
        <v>241</v>
      </c>
      <c r="HZ914" s="4" t="s">
        <v>241</v>
      </c>
      <c r="IA914" s="4" t="s">
        <v>241</v>
      </c>
      <c r="IB914" s="4" t="s">
        <v>241</v>
      </c>
      <c r="IC914" s="4" t="s">
        <v>241</v>
      </c>
      <c r="ID914" s="4" t="s">
        <v>241</v>
      </c>
      <c r="IE914" s="4" t="s">
        <v>241</v>
      </c>
      <c r="IF914" s="4" t="s">
        <v>241</v>
      </c>
    </row>
    <row r="915" spans="1:240" x14ac:dyDescent="0.4">
      <c r="A915" s="4">
        <v>2</v>
      </c>
      <c r="B915" s="4" t="s">
        <v>239</v>
      </c>
      <c r="C915" s="4">
        <v>986</v>
      </c>
      <c r="D915" s="4">
        <v>1</v>
      </c>
      <c r="E915" s="4">
        <v>1</v>
      </c>
      <c r="F915" s="4" t="s">
        <v>240</v>
      </c>
      <c r="G915" s="4" t="s">
        <v>241</v>
      </c>
      <c r="H915" s="4" t="s">
        <v>241</v>
      </c>
      <c r="I915" s="4" t="s">
        <v>1996</v>
      </c>
      <c r="J915" s="4" t="s">
        <v>344</v>
      </c>
      <c r="K915" s="4" t="s">
        <v>256</v>
      </c>
      <c r="L915" s="4" t="s">
        <v>414</v>
      </c>
      <c r="M915" s="5" t="s">
        <v>1998</v>
      </c>
      <c r="N915" s="4" t="s">
        <v>2952</v>
      </c>
      <c r="O915" s="6">
        <f>10</f>
        <v>10</v>
      </c>
      <c r="P915" s="4" t="s">
        <v>276</v>
      </c>
      <c r="Q915" s="6">
        <f>1</f>
        <v>1</v>
      </c>
      <c r="R915" s="6">
        <f>1300000</f>
        <v>1300000</v>
      </c>
      <c r="S915" s="5" t="s">
        <v>1997</v>
      </c>
      <c r="T915" s="4" t="s">
        <v>333</v>
      </c>
      <c r="U915" s="4" t="s">
        <v>333</v>
      </c>
      <c r="W915" s="6">
        <f>1299999</f>
        <v>1299999</v>
      </c>
      <c r="X915" s="4" t="s">
        <v>243</v>
      </c>
      <c r="Y915" s="4" t="s">
        <v>244</v>
      </c>
      <c r="Z915" s="4" t="s">
        <v>338</v>
      </c>
      <c r="AA915" s="4" t="s">
        <v>241</v>
      </c>
      <c r="AD915" s="4" t="s">
        <v>241</v>
      </c>
      <c r="AF915" s="5" t="s">
        <v>241</v>
      </c>
      <c r="AI915" s="5" t="s">
        <v>249</v>
      </c>
      <c r="AJ915" s="4" t="s">
        <v>251</v>
      </c>
      <c r="AK915" s="4" t="s">
        <v>252</v>
      </c>
      <c r="BA915" s="4" t="s">
        <v>254</v>
      </c>
      <c r="BB915" s="4" t="s">
        <v>241</v>
      </c>
      <c r="BC915" s="4" t="s">
        <v>255</v>
      </c>
      <c r="BD915" s="4" t="s">
        <v>241</v>
      </c>
      <c r="BE915" s="4" t="s">
        <v>257</v>
      </c>
      <c r="BF915" s="4" t="s">
        <v>241</v>
      </c>
      <c r="BJ915" s="4" t="s">
        <v>377</v>
      </c>
      <c r="BK915" s="5" t="s">
        <v>378</v>
      </c>
      <c r="BL915" s="4" t="s">
        <v>261</v>
      </c>
      <c r="BM915" s="4" t="s">
        <v>290</v>
      </c>
      <c r="BN915" s="4" t="s">
        <v>241</v>
      </c>
      <c r="BO915" s="6">
        <f>0</f>
        <v>0</v>
      </c>
      <c r="BP915" s="6">
        <f>0</f>
        <v>0</v>
      </c>
      <c r="BQ915" s="4" t="s">
        <v>263</v>
      </c>
      <c r="BR915" s="4" t="s">
        <v>264</v>
      </c>
      <c r="CF915" s="4" t="s">
        <v>241</v>
      </c>
      <c r="CG915" s="4" t="s">
        <v>241</v>
      </c>
      <c r="CK915" s="4" t="s">
        <v>265</v>
      </c>
      <c r="CL915" s="4" t="s">
        <v>266</v>
      </c>
      <c r="CM915" s="4" t="s">
        <v>241</v>
      </c>
      <c r="CO915" s="4" t="s">
        <v>841</v>
      </c>
      <c r="CP915" s="5" t="s">
        <v>268</v>
      </c>
      <c r="CQ915" s="4" t="s">
        <v>269</v>
      </c>
      <c r="CR915" s="4" t="s">
        <v>270</v>
      </c>
      <c r="CS915" s="4" t="s">
        <v>241</v>
      </c>
      <c r="CT915" s="4" t="s">
        <v>241</v>
      </c>
      <c r="CU915" s="4">
        <v>0</v>
      </c>
      <c r="CV915" s="4" t="s">
        <v>271</v>
      </c>
      <c r="CW915" s="4" t="s">
        <v>272</v>
      </c>
      <c r="CX915" s="4" t="s">
        <v>295</v>
      </c>
      <c r="CZ915" s="6">
        <f>1300000</f>
        <v>1300000</v>
      </c>
      <c r="DA915" s="6">
        <f>0</f>
        <v>0</v>
      </c>
      <c r="DC915" s="4" t="s">
        <v>241</v>
      </c>
      <c r="DD915" s="4" t="s">
        <v>241</v>
      </c>
      <c r="DF915" s="4" t="s">
        <v>241</v>
      </c>
      <c r="DI915" s="4" t="s">
        <v>241</v>
      </c>
      <c r="DJ915" s="4" t="s">
        <v>241</v>
      </c>
      <c r="DK915" s="4" t="s">
        <v>241</v>
      </c>
      <c r="DL915" s="4" t="s">
        <v>241</v>
      </c>
      <c r="DM915" s="4" t="s">
        <v>277</v>
      </c>
      <c r="DN915" s="4" t="s">
        <v>278</v>
      </c>
      <c r="DO915" s="6">
        <f>10</f>
        <v>10</v>
      </c>
      <c r="DP915" s="4" t="s">
        <v>241</v>
      </c>
      <c r="DQ915" s="4" t="s">
        <v>241</v>
      </c>
      <c r="DR915" s="4" t="s">
        <v>241</v>
      </c>
      <c r="DS915" s="4" t="s">
        <v>241</v>
      </c>
      <c r="DV915" s="4" t="s">
        <v>1999</v>
      </c>
      <c r="DW915" s="4" t="s">
        <v>323</v>
      </c>
      <c r="HO915" s="4" t="s">
        <v>336</v>
      </c>
      <c r="HR915" s="4" t="s">
        <v>278</v>
      </c>
      <c r="HS915" s="4" t="s">
        <v>278</v>
      </c>
    </row>
    <row r="916" spans="1:240" x14ac:dyDescent="0.4">
      <c r="A916" s="4">
        <v>2</v>
      </c>
      <c r="B916" s="4" t="s">
        <v>239</v>
      </c>
      <c r="C916" s="4">
        <v>987</v>
      </c>
      <c r="D916" s="4">
        <v>1</v>
      </c>
      <c r="E916" s="4">
        <v>1</v>
      </c>
      <c r="F916" s="4" t="s">
        <v>240</v>
      </c>
      <c r="G916" s="4" t="s">
        <v>241</v>
      </c>
      <c r="H916" s="4" t="s">
        <v>241</v>
      </c>
      <c r="I916" s="4" t="s">
        <v>1996</v>
      </c>
      <c r="J916" s="4" t="s">
        <v>344</v>
      </c>
      <c r="K916" s="4" t="s">
        <v>256</v>
      </c>
      <c r="L916" s="4" t="s">
        <v>414</v>
      </c>
      <c r="M916" s="5" t="s">
        <v>1998</v>
      </c>
      <c r="N916" s="4" t="s">
        <v>1995</v>
      </c>
      <c r="O916" s="6">
        <f>21</f>
        <v>21</v>
      </c>
      <c r="P916" s="4" t="s">
        <v>276</v>
      </c>
      <c r="Q916" s="6">
        <f>1</f>
        <v>1</v>
      </c>
      <c r="R916" s="6">
        <f>2730000</f>
        <v>2730000</v>
      </c>
      <c r="S916" s="5" t="s">
        <v>1997</v>
      </c>
      <c r="T916" s="4" t="s">
        <v>333</v>
      </c>
      <c r="U916" s="4" t="s">
        <v>333</v>
      </c>
      <c r="W916" s="6">
        <f>2729999</f>
        <v>2729999</v>
      </c>
      <c r="X916" s="4" t="s">
        <v>243</v>
      </c>
      <c r="Y916" s="4" t="s">
        <v>244</v>
      </c>
      <c r="Z916" s="4" t="s">
        <v>338</v>
      </c>
      <c r="AA916" s="4" t="s">
        <v>241</v>
      </c>
      <c r="AD916" s="4" t="s">
        <v>241</v>
      </c>
      <c r="AF916" s="5" t="s">
        <v>241</v>
      </c>
      <c r="AI916" s="5" t="s">
        <v>249</v>
      </c>
      <c r="AJ916" s="4" t="s">
        <v>251</v>
      </c>
      <c r="AK916" s="4" t="s">
        <v>252</v>
      </c>
      <c r="BA916" s="4" t="s">
        <v>254</v>
      </c>
      <c r="BB916" s="4" t="s">
        <v>241</v>
      </c>
      <c r="BC916" s="4" t="s">
        <v>255</v>
      </c>
      <c r="BD916" s="4" t="s">
        <v>241</v>
      </c>
      <c r="BE916" s="4" t="s">
        <v>257</v>
      </c>
      <c r="BF916" s="4" t="s">
        <v>241</v>
      </c>
      <c r="BJ916" s="4" t="s">
        <v>259</v>
      </c>
      <c r="BK916" s="5" t="s">
        <v>260</v>
      </c>
      <c r="BL916" s="4" t="s">
        <v>261</v>
      </c>
      <c r="BM916" s="4" t="s">
        <v>290</v>
      </c>
      <c r="BN916" s="4" t="s">
        <v>241</v>
      </c>
      <c r="BO916" s="6">
        <f>0</f>
        <v>0</v>
      </c>
      <c r="BP916" s="6">
        <f>0</f>
        <v>0</v>
      </c>
      <c r="BQ916" s="4" t="s">
        <v>263</v>
      </c>
      <c r="BR916" s="4" t="s">
        <v>264</v>
      </c>
      <c r="CF916" s="4" t="s">
        <v>241</v>
      </c>
      <c r="CG916" s="4" t="s">
        <v>241</v>
      </c>
      <c r="CK916" s="4" t="s">
        <v>265</v>
      </c>
      <c r="CL916" s="4" t="s">
        <v>266</v>
      </c>
      <c r="CM916" s="4" t="s">
        <v>241</v>
      </c>
      <c r="CO916" s="4" t="s">
        <v>841</v>
      </c>
      <c r="CP916" s="5" t="s">
        <v>268</v>
      </c>
      <c r="CQ916" s="4" t="s">
        <v>269</v>
      </c>
      <c r="CR916" s="4" t="s">
        <v>270</v>
      </c>
      <c r="CS916" s="4" t="s">
        <v>241</v>
      </c>
      <c r="CT916" s="4" t="s">
        <v>241</v>
      </c>
      <c r="CU916" s="4">
        <v>0</v>
      </c>
      <c r="CV916" s="4" t="s">
        <v>271</v>
      </c>
      <c r="CW916" s="4" t="s">
        <v>1986</v>
      </c>
      <c r="CX916" s="4" t="s">
        <v>295</v>
      </c>
      <c r="CZ916" s="6">
        <f>2730000</f>
        <v>2730000</v>
      </c>
      <c r="DA916" s="6">
        <f>0</f>
        <v>0</v>
      </c>
      <c r="DC916" s="4" t="s">
        <v>241</v>
      </c>
      <c r="DD916" s="4" t="s">
        <v>241</v>
      </c>
      <c r="DF916" s="4" t="s">
        <v>241</v>
      </c>
      <c r="DI916" s="4" t="s">
        <v>241</v>
      </c>
      <c r="DJ916" s="4" t="s">
        <v>241</v>
      </c>
      <c r="DK916" s="4" t="s">
        <v>241</v>
      </c>
      <c r="DL916" s="4" t="s">
        <v>241</v>
      </c>
      <c r="DM916" s="4" t="s">
        <v>277</v>
      </c>
      <c r="DN916" s="4" t="s">
        <v>278</v>
      </c>
      <c r="DO916" s="6">
        <f>21</f>
        <v>21</v>
      </c>
      <c r="DP916" s="4" t="s">
        <v>241</v>
      </c>
      <c r="DQ916" s="4" t="s">
        <v>241</v>
      </c>
      <c r="DR916" s="4" t="s">
        <v>241</v>
      </c>
      <c r="DS916" s="4" t="s">
        <v>241</v>
      </c>
      <c r="DV916" s="4" t="s">
        <v>1999</v>
      </c>
      <c r="DW916" s="4" t="s">
        <v>297</v>
      </c>
      <c r="HO916" s="4" t="s">
        <v>336</v>
      </c>
      <c r="HR916" s="4" t="s">
        <v>278</v>
      </c>
      <c r="HS916" s="4" t="s">
        <v>278</v>
      </c>
    </row>
    <row r="917" spans="1:240" x14ac:dyDescent="0.4">
      <c r="A917" s="4">
        <v>2</v>
      </c>
      <c r="B917" s="4" t="s">
        <v>239</v>
      </c>
      <c r="C917" s="4">
        <v>988</v>
      </c>
      <c r="D917" s="4">
        <v>1</v>
      </c>
      <c r="E917" s="4">
        <v>3</v>
      </c>
      <c r="F917" s="4" t="s">
        <v>240</v>
      </c>
      <c r="G917" s="4" t="s">
        <v>241</v>
      </c>
      <c r="H917" s="4" t="s">
        <v>241</v>
      </c>
      <c r="I917" s="4" t="s">
        <v>1996</v>
      </c>
      <c r="J917" s="4" t="s">
        <v>344</v>
      </c>
      <c r="K917" s="4" t="s">
        <v>256</v>
      </c>
      <c r="L917" s="4" t="s">
        <v>2101</v>
      </c>
      <c r="M917" s="5" t="s">
        <v>1998</v>
      </c>
      <c r="N917" s="4" t="s">
        <v>2104</v>
      </c>
      <c r="O917" s="6">
        <f>1172.32</f>
        <v>1172.32</v>
      </c>
      <c r="P917" s="4" t="s">
        <v>276</v>
      </c>
      <c r="Q917" s="6">
        <f>17807549</f>
        <v>17807549</v>
      </c>
      <c r="R917" s="6">
        <f>181709600</f>
        <v>181709600</v>
      </c>
      <c r="S917" s="5" t="s">
        <v>1997</v>
      </c>
      <c r="T917" s="4" t="s">
        <v>668</v>
      </c>
      <c r="U917" s="4" t="s">
        <v>412</v>
      </c>
      <c r="V917" s="6">
        <f>3997611</f>
        <v>3997611</v>
      </c>
      <c r="W917" s="6">
        <f>163902051</f>
        <v>163902051</v>
      </c>
      <c r="X917" s="4" t="s">
        <v>243</v>
      </c>
      <c r="Y917" s="4" t="s">
        <v>244</v>
      </c>
      <c r="Z917" s="4" t="s">
        <v>338</v>
      </c>
      <c r="AA917" s="4" t="s">
        <v>241</v>
      </c>
      <c r="AD917" s="4" t="s">
        <v>241</v>
      </c>
      <c r="AE917" s="5" t="s">
        <v>241</v>
      </c>
      <c r="AF917" s="5" t="s">
        <v>241</v>
      </c>
      <c r="AH917" s="5" t="s">
        <v>241</v>
      </c>
      <c r="AI917" s="5" t="s">
        <v>249</v>
      </c>
      <c r="AJ917" s="4" t="s">
        <v>251</v>
      </c>
      <c r="AK917" s="4" t="s">
        <v>252</v>
      </c>
      <c r="AQ917" s="4" t="s">
        <v>241</v>
      </c>
      <c r="AR917" s="4" t="s">
        <v>241</v>
      </c>
      <c r="AS917" s="4" t="s">
        <v>241</v>
      </c>
      <c r="AT917" s="5" t="s">
        <v>241</v>
      </c>
      <c r="AU917" s="5" t="s">
        <v>241</v>
      </c>
      <c r="AV917" s="5" t="s">
        <v>241</v>
      </c>
      <c r="AY917" s="4" t="s">
        <v>286</v>
      </c>
      <c r="AZ917" s="4" t="s">
        <v>286</v>
      </c>
      <c r="BA917" s="4" t="s">
        <v>254</v>
      </c>
      <c r="BB917" s="4" t="s">
        <v>287</v>
      </c>
      <c r="BC917" s="4" t="s">
        <v>255</v>
      </c>
      <c r="BD917" s="4" t="s">
        <v>241</v>
      </c>
      <c r="BE917" s="4" t="s">
        <v>257</v>
      </c>
      <c r="BF917" s="4" t="s">
        <v>241</v>
      </c>
      <c r="BJ917" s="4" t="s">
        <v>288</v>
      </c>
      <c r="BK917" s="5" t="s">
        <v>289</v>
      </c>
      <c r="BL917" s="4" t="s">
        <v>290</v>
      </c>
      <c r="BM917" s="4" t="s">
        <v>290</v>
      </c>
      <c r="BN917" s="4" t="s">
        <v>241</v>
      </c>
      <c r="BO917" s="6">
        <f>0</f>
        <v>0</v>
      </c>
      <c r="BP917" s="6">
        <f>-3997611</f>
        <v>-3997611</v>
      </c>
      <c r="BQ917" s="4" t="s">
        <v>263</v>
      </c>
      <c r="BR917" s="4" t="s">
        <v>264</v>
      </c>
      <c r="BS917" s="4" t="s">
        <v>241</v>
      </c>
      <c r="BT917" s="4" t="s">
        <v>241</v>
      </c>
      <c r="BU917" s="4" t="s">
        <v>241</v>
      </c>
      <c r="BV917" s="4" t="s">
        <v>241</v>
      </c>
      <c r="CE917" s="4" t="s">
        <v>264</v>
      </c>
      <c r="CF917" s="4" t="s">
        <v>241</v>
      </c>
      <c r="CG917" s="4" t="s">
        <v>241</v>
      </c>
      <c r="CK917" s="4" t="s">
        <v>265</v>
      </c>
      <c r="CL917" s="4" t="s">
        <v>266</v>
      </c>
      <c r="CM917" s="4" t="s">
        <v>241</v>
      </c>
      <c r="CO917" s="4" t="s">
        <v>841</v>
      </c>
      <c r="CP917" s="5" t="s">
        <v>268</v>
      </c>
      <c r="CQ917" s="4" t="s">
        <v>269</v>
      </c>
      <c r="CR917" s="4" t="s">
        <v>270</v>
      </c>
      <c r="CS917" s="4" t="s">
        <v>293</v>
      </c>
      <c r="CT917" s="4" t="s">
        <v>241</v>
      </c>
      <c r="CU917" s="4">
        <v>2.1999999999999999E-2</v>
      </c>
      <c r="CV917" s="4" t="s">
        <v>271</v>
      </c>
      <c r="CW917" s="4" t="s">
        <v>411</v>
      </c>
      <c r="CX917" s="4" t="s">
        <v>295</v>
      </c>
      <c r="CY917" s="6">
        <f>0</f>
        <v>0</v>
      </c>
      <c r="CZ917" s="6">
        <f>181709600</f>
        <v>181709600</v>
      </c>
      <c r="DA917" s="6">
        <f>17807549</f>
        <v>17807549</v>
      </c>
      <c r="DC917" s="4" t="s">
        <v>241</v>
      </c>
      <c r="DD917" s="4" t="s">
        <v>241</v>
      </c>
      <c r="DF917" s="4" t="s">
        <v>241</v>
      </c>
      <c r="DG917" s="6">
        <f>0</f>
        <v>0</v>
      </c>
      <c r="DI917" s="4" t="s">
        <v>241</v>
      </c>
      <c r="DJ917" s="4" t="s">
        <v>241</v>
      </c>
      <c r="DK917" s="4" t="s">
        <v>241</v>
      </c>
      <c r="DL917" s="4" t="s">
        <v>241</v>
      </c>
      <c r="DM917" s="4" t="s">
        <v>351</v>
      </c>
      <c r="DN917" s="4" t="s">
        <v>278</v>
      </c>
      <c r="DO917" s="6">
        <f>1172.32</f>
        <v>1172.32</v>
      </c>
      <c r="DP917" s="4" t="s">
        <v>241</v>
      </c>
      <c r="DQ917" s="4" t="s">
        <v>241</v>
      </c>
      <c r="DR917" s="4" t="s">
        <v>241</v>
      </c>
      <c r="DS917" s="4" t="s">
        <v>241</v>
      </c>
      <c r="DV917" s="4" t="s">
        <v>1999</v>
      </c>
      <c r="DW917" s="4" t="s">
        <v>336</v>
      </c>
      <c r="GN917" s="4" t="s">
        <v>2376</v>
      </c>
      <c r="HO917" s="4" t="s">
        <v>300</v>
      </c>
      <c r="HR917" s="4" t="s">
        <v>278</v>
      </c>
      <c r="HS917" s="4" t="s">
        <v>278</v>
      </c>
      <c r="HT917" s="4" t="s">
        <v>241</v>
      </c>
      <c r="HU917" s="4" t="s">
        <v>241</v>
      </c>
      <c r="HV917" s="4" t="s">
        <v>241</v>
      </c>
      <c r="HW917" s="4" t="s">
        <v>241</v>
      </c>
      <c r="HX917" s="4" t="s">
        <v>241</v>
      </c>
      <c r="HY917" s="4" t="s">
        <v>241</v>
      </c>
      <c r="HZ917" s="4" t="s">
        <v>241</v>
      </c>
      <c r="IA917" s="4" t="s">
        <v>241</v>
      </c>
      <c r="IB917" s="4" t="s">
        <v>241</v>
      </c>
      <c r="IC917" s="4" t="s">
        <v>241</v>
      </c>
      <c r="ID917" s="4" t="s">
        <v>241</v>
      </c>
      <c r="IE917" s="4" t="s">
        <v>241</v>
      </c>
      <c r="IF917" s="4" t="s">
        <v>241</v>
      </c>
    </row>
    <row r="918" spans="1:240" x14ac:dyDescent="0.4">
      <c r="A918" s="4">
        <v>2</v>
      </c>
      <c r="B918" s="4" t="s">
        <v>239</v>
      </c>
      <c r="C918" s="4">
        <v>989</v>
      </c>
      <c r="D918" s="4">
        <v>1</v>
      </c>
      <c r="E918" s="4">
        <v>3</v>
      </c>
      <c r="F918" s="4" t="s">
        <v>326</v>
      </c>
      <c r="G918" s="4" t="s">
        <v>241</v>
      </c>
      <c r="H918" s="4" t="s">
        <v>241</v>
      </c>
      <c r="I918" s="4" t="s">
        <v>1996</v>
      </c>
      <c r="J918" s="4" t="s">
        <v>344</v>
      </c>
      <c r="K918" s="4" t="s">
        <v>256</v>
      </c>
      <c r="L918" s="4" t="s">
        <v>2737</v>
      </c>
      <c r="M918" s="5" t="s">
        <v>1998</v>
      </c>
      <c r="N918" s="4" t="s">
        <v>2734</v>
      </c>
      <c r="O918" s="6">
        <f>0</f>
        <v>0</v>
      </c>
      <c r="P918" s="4" t="s">
        <v>276</v>
      </c>
      <c r="Q918" s="6">
        <f>41741568</f>
        <v>41741568</v>
      </c>
      <c r="R918" s="6">
        <f>57024000</f>
        <v>57024000</v>
      </c>
      <c r="S918" s="5" t="s">
        <v>678</v>
      </c>
      <c r="T918" s="4" t="s">
        <v>348</v>
      </c>
      <c r="U918" s="4" t="s">
        <v>297</v>
      </c>
      <c r="V918" s="6">
        <f>3820608</f>
        <v>3820608</v>
      </c>
      <c r="W918" s="6">
        <f>15282432</f>
        <v>15282432</v>
      </c>
      <c r="X918" s="4" t="s">
        <v>243</v>
      </c>
      <c r="Y918" s="4" t="s">
        <v>244</v>
      </c>
      <c r="Z918" s="4" t="s">
        <v>338</v>
      </c>
      <c r="AA918" s="4" t="s">
        <v>241</v>
      </c>
      <c r="AD918" s="4" t="s">
        <v>241</v>
      </c>
      <c r="AE918" s="5" t="s">
        <v>241</v>
      </c>
      <c r="AF918" s="5" t="s">
        <v>241</v>
      </c>
      <c r="AH918" s="5" t="s">
        <v>241</v>
      </c>
      <c r="AI918" s="5" t="s">
        <v>249</v>
      </c>
      <c r="AJ918" s="4" t="s">
        <v>251</v>
      </c>
      <c r="AK918" s="4" t="s">
        <v>252</v>
      </c>
      <c r="AQ918" s="4" t="s">
        <v>241</v>
      </c>
      <c r="AR918" s="4" t="s">
        <v>241</v>
      </c>
      <c r="AS918" s="4" t="s">
        <v>241</v>
      </c>
      <c r="AT918" s="5" t="s">
        <v>241</v>
      </c>
      <c r="AU918" s="5" t="s">
        <v>241</v>
      </c>
      <c r="AV918" s="5" t="s">
        <v>241</v>
      </c>
      <c r="AY918" s="4" t="s">
        <v>286</v>
      </c>
      <c r="AZ918" s="4" t="s">
        <v>286</v>
      </c>
      <c r="BA918" s="4" t="s">
        <v>254</v>
      </c>
      <c r="BB918" s="4" t="s">
        <v>287</v>
      </c>
      <c r="BC918" s="4" t="s">
        <v>255</v>
      </c>
      <c r="BD918" s="4" t="s">
        <v>241</v>
      </c>
      <c r="BE918" s="4" t="s">
        <v>257</v>
      </c>
      <c r="BF918" s="4" t="s">
        <v>241</v>
      </c>
      <c r="BJ918" s="4" t="s">
        <v>288</v>
      </c>
      <c r="BK918" s="5" t="s">
        <v>289</v>
      </c>
      <c r="BL918" s="4" t="s">
        <v>290</v>
      </c>
      <c r="BM918" s="4" t="s">
        <v>290</v>
      </c>
      <c r="BN918" s="4" t="s">
        <v>241</v>
      </c>
      <c r="BP918" s="6">
        <f>-3820608</f>
        <v>-3820608</v>
      </c>
      <c r="BQ918" s="4" t="s">
        <v>263</v>
      </c>
      <c r="BR918" s="4" t="s">
        <v>264</v>
      </c>
      <c r="BS918" s="4" t="s">
        <v>241</v>
      </c>
      <c r="BT918" s="4" t="s">
        <v>241</v>
      </c>
      <c r="BU918" s="4" t="s">
        <v>241</v>
      </c>
      <c r="BV918" s="4" t="s">
        <v>241</v>
      </c>
      <c r="CE918" s="4" t="s">
        <v>264</v>
      </c>
      <c r="CF918" s="4" t="s">
        <v>241</v>
      </c>
      <c r="CG918" s="4" t="s">
        <v>241</v>
      </c>
      <c r="CK918" s="4" t="s">
        <v>291</v>
      </c>
      <c r="CL918" s="4" t="s">
        <v>266</v>
      </c>
      <c r="CM918" s="4" t="s">
        <v>241</v>
      </c>
      <c r="CO918" s="4" t="s">
        <v>413</v>
      </c>
      <c r="CP918" s="5" t="s">
        <v>268</v>
      </c>
      <c r="CQ918" s="4" t="s">
        <v>269</v>
      </c>
      <c r="CR918" s="4" t="s">
        <v>270</v>
      </c>
      <c r="CS918" s="4" t="s">
        <v>293</v>
      </c>
      <c r="CT918" s="4" t="s">
        <v>241</v>
      </c>
      <c r="CU918" s="4">
        <v>6.7000000000000004E-2</v>
      </c>
      <c r="CV918" s="4" t="s">
        <v>271</v>
      </c>
      <c r="CW918" s="4" t="s">
        <v>415</v>
      </c>
      <c r="CX918" s="4" t="s">
        <v>416</v>
      </c>
      <c r="CY918" s="6">
        <f>0</f>
        <v>0</v>
      </c>
      <c r="CZ918" s="6">
        <f>57024000</f>
        <v>57024000</v>
      </c>
      <c r="DA918" s="6">
        <f>41741568</f>
        <v>41741568</v>
      </c>
      <c r="DC918" s="4" t="s">
        <v>241</v>
      </c>
      <c r="DD918" s="4" t="s">
        <v>241</v>
      </c>
      <c r="DF918" s="4" t="s">
        <v>241</v>
      </c>
      <c r="DG918" s="6">
        <f>0</f>
        <v>0</v>
      </c>
      <c r="DI918" s="4" t="s">
        <v>241</v>
      </c>
      <c r="DJ918" s="4" t="s">
        <v>241</v>
      </c>
      <c r="DK918" s="4" t="s">
        <v>241</v>
      </c>
      <c r="DL918" s="4" t="s">
        <v>241</v>
      </c>
      <c r="DM918" s="4" t="s">
        <v>278</v>
      </c>
      <c r="DN918" s="4" t="s">
        <v>278</v>
      </c>
      <c r="DO918" s="6" t="s">
        <v>241</v>
      </c>
      <c r="DP918" s="4" t="s">
        <v>241</v>
      </c>
      <c r="DQ918" s="4" t="s">
        <v>241</v>
      </c>
      <c r="DR918" s="4" t="s">
        <v>241</v>
      </c>
      <c r="DS918" s="4" t="s">
        <v>241</v>
      </c>
      <c r="DV918" s="4" t="s">
        <v>1999</v>
      </c>
      <c r="DW918" s="4" t="s">
        <v>351</v>
      </c>
      <c r="GN918" s="4" t="s">
        <v>2738</v>
      </c>
      <c r="HO918" s="4" t="s">
        <v>351</v>
      </c>
      <c r="HR918" s="4" t="s">
        <v>278</v>
      </c>
      <c r="HS918" s="4" t="s">
        <v>278</v>
      </c>
      <c r="HT918" s="4" t="s">
        <v>241</v>
      </c>
      <c r="HU918" s="4" t="s">
        <v>241</v>
      </c>
      <c r="HV918" s="4" t="s">
        <v>241</v>
      </c>
      <c r="HW918" s="4" t="s">
        <v>241</v>
      </c>
      <c r="HX918" s="4" t="s">
        <v>241</v>
      </c>
      <c r="HY918" s="4" t="s">
        <v>241</v>
      </c>
      <c r="HZ918" s="4" t="s">
        <v>241</v>
      </c>
      <c r="IA918" s="4" t="s">
        <v>241</v>
      </c>
      <c r="IB918" s="4" t="s">
        <v>241</v>
      </c>
      <c r="IC918" s="4" t="s">
        <v>241</v>
      </c>
      <c r="ID918" s="4" t="s">
        <v>241</v>
      </c>
      <c r="IE918" s="4" t="s">
        <v>241</v>
      </c>
      <c r="IF918" s="4" t="s">
        <v>241</v>
      </c>
    </row>
    <row r="919" spans="1:240" x14ac:dyDescent="0.4">
      <c r="A919" s="4">
        <v>2</v>
      </c>
      <c r="B919" s="4" t="s">
        <v>239</v>
      </c>
      <c r="C919" s="4">
        <v>990</v>
      </c>
      <c r="D919" s="4">
        <v>1</v>
      </c>
      <c r="E919" s="4">
        <v>3</v>
      </c>
      <c r="F919" s="4" t="s">
        <v>240</v>
      </c>
      <c r="G919" s="4" t="s">
        <v>241</v>
      </c>
      <c r="H919" s="4" t="s">
        <v>241</v>
      </c>
      <c r="I919" s="4" t="s">
        <v>1218</v>
      </c>
      <c r="J919" s="4" t="s">
        <v>344</v>
      </c>
      <c r="K919" s="4" t="s">
        <v>256</v>
      </c>
      <c r="L919" s="4" t="s">
        <v>2101</v>
      </c>
      <c r="M919" s="5" t="s">
        <v>1220</v>
      </c>
      <c r="N919" s="4" t="s">
        <v>2104</v>
      </c>
      <c r="O919" s="6">
        <f>1838.81</f>
        <v>1838.81</v>
      </c>
      <c r="P919" s="4" t="s">
        <v>276</v>
      </c>
      <c r="Q919" s="6">
        <f>31562371</f>
        <v>31562371</v>
      </c>
      <c r="R919" s="6">
        <f>99252700</f>
        <v>99252700</v>
      </c>
      <c r="S919" s="5" t="s">
        <v>1219</v>
      </c>
      <c r="T919" s="4" t="s">
        <v>668</v>
      </c>
      <c r="U919" s="4" t="s">
        <v>408</v>
      </c>
      <c r="V919" s="6">
        <f>2183559</f>
        <v>2183559</v>
      </c>
      <c r="W919" s="6">
        <f>67690329</f>
        <v>67690329</v>
      </c>
      <c r="X919" s="4" t="s">
        <v>243</v>
      </c>
      <c r="Y919" s="4" t="s">
        <v>244</v>
      </c>
      <c r="Z919" s="4" t="s">
        <v>338</v>
      </c>
      <c r="AA919" s="4" t="s">
        <v>241</v>
      </c>
      <c r="AD919" s="4" t="s">
        <v>241</v>
      </c>
      <c r="AE919" s="5" t="s">
        <v>241</v>
      </c>
      <c r="AF919" s="5" t="s">
        <v>241</v>
      </c>
      <c r="AH919" s="5" t="s">
        <v>241</v>
      </c>
      <c r="AI919" s="5" t="s">
        <v>249</v>
      </c>
      <c r="AJ919" s="4" t="s">
        <v>251</v>
      </c>
      <c r="AK919" s="4" t="s">
        <v>252</v>
      </c>
      <c r="AQ919" s="4" t="s">
        <v>241</v>
      </c>
      <c r="AR919" s="4" t="s">
        <v>241</v>
      </c>
      <c r="AS919" s="4" t="s">
        <v>241</v>
      </c>
      <c r="AT919" s="5" t="s">
        <v>241</v>
      </c>
      <c r="AU919" s="5" t="s">
        <v>241</v>
      </c>
      <c r="AV919" s="5" t="s">
        <v>241</v>
      </c>
      <c r="AY919" s="4" t="s">
        <v>286</v>
      </c>
      <c r="AZ919" s="4" t="s">
        <v>286</v>
      </c>
      <c r="BA919" s="4" t="s">
        <v>254</v>
      </c>
      <c r="BB919" s="4" t="s">
        <v>287</v>
      </c>
      <c r="BC919" s="4" t="s">
        <v>255</v>
      </c>
      <c r="BD919" s="4" t="s">
        <v>241</v>
      </c>
      <c r="BE919" s="4" t="s">
        <v>257</v>
      </c>
      <c r="BF919" s="4" t="s">
        <v>241</v>
      </c>
      <c r="BJ919" s="4" t="s">
        <v>288</v>
      </c>
      <c r="BK919" s="5" t="s">
        <v>289</v>
      </c>
      <c r="BL919" s="4" t="s">
        <v>290</v>
      </c>
      <c r="BM919" s="4" t="s">
        <v>290</v>
      </c>
      <c r="BN919" s="4" t="s">
        <v>241</v>
      </c>
      <c r="BO919" s="6">
        <f>0</f>
        <v>0</v>
      </c>
      <c r="BP919" s="6">
        <f>-2183559</f>
        <v>-2183559</v>
      </c>
      <c r="BQ919" s="4" t="s">
        <v>263</v>
      </c>
      <c r="BR919" s="4" t="s">
        <v>264</v>
      </c>
      <c r="BS919" s="4" t="s">
        <v>241</v>
      </c>
      <c r="BT919" s="4" t="s">
        <v>241</v>
      </c>
      <c r="BU919" s="4" t="s">
        <v>241</v>
      </c>
      <c r="BV919" s="4" t="s">
        <v>241</v>
      </c>
      <c r="CE919" s="4" t="s">
        <v>264</v>
      </c>
      <c r="CF919" s="4" t="s">
        <v>241</v>
      </c>
      <c r="CG919" s="4" t="s">
        <v>241</v>
      </c>
      <c r="CK919" s="4" t="s">
        <v>291</v>
      </c>
      <c r="CL919" s="4" t="s">
        <v>266</v>
      </c>
      <c r="CM919" s="4" t="s">
        <v>241</v>
      </c>
      <c r="CO919" s="4" t="s">
        <v>468</v>
      </c>
      <c r="CP919" s="5" t="s">
        <v>268</v>
      </c>
      <c r="CQ919" s="4" t="s">
        <v>269</v>
      </c>
      <c r="CR919" s="4" t="s">
        <v>270</v>
      </c>
      <c r="CS919" s="4" t="s">
        <v>293</v>
      </c>
      <c r="CT919" s="4" t="s">
        <v>241</v>
      </c>
      <c r="CU919" s="4">
        <v>2.1999999999999999E-2</v>
      </c>
      <c r="CV919" s="4" t="s">
        <v>271</v>
      </c>
      <c r="CW919" s="4" t="s">
        <v>411</v>
      </c>
      <c r="CX919" s="4" t="s">
        <v>295</v>
      </c>
      <c r="CY919" s="6">
        <f>0</f>
        <v>0</v>
      </c>
      <c r="CZ919" s="6">
        <f>99252700</f>
        <v>99252700</v>
      </c>
      <c r="DA919" s="6">
        <f>31562371</f>
        <v>31562371</v>
      </c>
      <c r="DC919" s="4" t="s">
        <v>241</v>
      </c>
      <c r="DD919" s="4" t="s">
        <v>241</v>
      </c>
      <c r="DF919" s="4" t="s">
        <v>241</v>
      </c>
      <c r="DG919" s="6">
        <f>0</f>
        <v>0</v>
      </c>
      <c r="DI919" s="4" t="s">
        <v>241</v>
      </c>
      <c r="DJ919" s="4" t="s">
        <v>241</v>
      </c>
      <c r="DK919" s="4" t="s">
        <v>241</v>
      </c>
      <c r="DL919" s="4" t="s">
        <v>241</v>
      </c>
      <c r="DM919" s="4" t="s">
        <v>351</v>
      </c>
      <c r="DN919" s="4" t="s">
        <v>278</v>
      </c>
      <c r="DO919" s="6">
        <f>1838.81</f>
        <v>1838.81</v>
      </c>
      <c r="DP919" s="4" t="s">
        <v>241</v>
      </c>
      <c r="DQ919" s="4" t="s">
        <v>241</v>
      </c>
      <c r="DR919" s="4" t="s">
        <v>241</v>
      </c>
      <c r="DS919" s="4" t="s">
        <v>241</v>
      </c>
      <c r="DV919" s="4" t="s">
        <v>1221</v>
      </c>
      <c r="DW919" s="4" t="s">
        <v>277</v>
      </c>
      <c r="GN919" s="4" t="s">
        <v>2375</v>
      </c>
      <c r="HO919" s="4" t="s">
        <v>300</v>
      </c>
      <c r="HR919" s="4" t="s">
        <v>278</v>
      </c>
      <c r="HS919" s="4" t="s">
        <v>278</v>
      </c>
      <c r="HT919" s="4" t="s">
        <v>241</v>
      </c>
      <c r="HU919" s="4" t="s">
        <v>241</v>
      </c>
      <c r="HV919" s="4" t="s">
        <v>241</v>
      </c>
      <c r="HW919" s="4" t="s">
        <v>241</v>
      </c>
      <c r="HX919" s="4" t="s">
        <v>241</v>
      </c>
      <c r="HY919" s="4" t="s">
        <v>241</v>
      </c>
      <c r="HZ919" s="4" t="s">
        <v>241</v>
      </c>
      <c r="IA919" s="4" t="s">
        <v>241</v>
      </c>
      <c r="IB919" s="4" t="s">
        <v>241</v>
      </c>
      <c r="IC919" s="4" t="s">
        <v>241</v>
      </c>
      <c r="ID919" s="4" t="s">
        <v>241</v>
      </c>
      <c r="IE919" s="4" t="s">
        <v>241</v>
      </c>
      <c r="IF919" s="4" t="s">
        <v>241</v>
      </c>
    </row>
    <row r="920" spans="1:240" x14ac:dyDescent="0.4">
      <c r="A920" s="4">
        <v>2</v>
      </c>
      <c r="B920" s="4" t="s">
        <v>239</v>
      </c>
      <c r="C920" s="4">
        <v>991</v>
      </c>
      <c r="D920" s="4">
        <v>1</v>
      </c>
      <c r="E920" s="4">
        <v>1</v>
      </c>
      <c r="F920" s="4" t="s">
        <v>240</v>
      </c>
      <c r="G920" s="4" t="s">
        <v>241</v>
      </c>
      <c r="H920" s="4" t="s">
        <v>241</v>
      </c>
      <c r="I920" s="4" t="s">
        <v>1218</v>
      </c>
      <c r="J920" s="4" t="s">
        <v>344</v>
      </c>
      <c r="K920" s="4" t="s">
        <v>256</v>
      </c>
      <c r="L920" s="4" t="s">
        <v>3822</v>
      </c>
      <c r="M920" s="5" t="s">
        <v>1220</v>
      </c>
      <c r="N920" s="4" t="s">
        <v>3822</v>
      </c>
      <c r="O920" s="6">
        <f>100.6</f>
        <v>100.6</v>
      </c>
      <c r="P920" s="4" t="s">
        <v>276</v>
      </c>
      <c r="Q920" s="6">
        <f>1</f>
        <v>1</v>
      </c>
      <c r="R920" s="6">
        <f>795434</f>
        <v>795434</v>
      </c>
      <c r="S920" s="5" t="s">
        <v>1219</v>
      </c>
      <c r="T920" s="4" t="s">
        <v>274</v>
      </c>
      <c r="U920" s="4" t="s">
        <v>404</v>
      </c>
      <c r="W920" s="6">
        <f>795433</f>
        <v>795433</v>
      </c>
      <c r="X920" s="4" t="s">
        <v>243</v>
      </c>
      <c r="Y920" s="4" t="s">
        <v>244</v>
      </c>
      <c r="Z920" s="4" t="s">
        <v>338</v>
      </c>
      <c r="AA920" s="4" t="s">
        <v>241</v>
      </c>
      <c r="AD920" s="4" t="s">
        <v>241</v>
      </c>
      <c r="AF920" s="5" t="s">
        <v>241</v>
      </c>
      <c r="AI920" s="5" t="s">
        <v>249</v>
      </c>
      <c r="AJ920" s="4" t="s">
        <v>251</v>
      </c>
      <c r="AK920" s="4" t="s">
        <v>252</v>
      </c>
      <c r="BA920" s="4" t="s">
        <v>254</v>
      </c>
      <c r="BB920" s="4" t="s">
        <v>241</v>
      </c>
      <c r="BC920" s="4" t="s">
        <v>255</v>
      </c>
      <c r="BD920" s="4" t="s">
        <v>241</v>
      </c>
      <c r="BE920" s="4" t="s">
        <v>257</v>
      </c>
      <c r="BF920" s="4" t="s">
        <v>241</v>
      </c>
      <c r="BJ920" s="4" t="s">
        <v>259</v>
      </c>
      <c r="BK920" s="5" t="s">
        <v>260</v>
      </c>
      <c r="BL920" s="4" t="s">
        <v>261</v>
      </c>
      <c r="BM920" s="4" t="s">
        <v>262</v>
      </c>
      <c r="BN920" s="4" t="s">
        <v>241</v>
      </c>
      <c r="BO920" s="6">
        <f>0</f>
        <v>0</v>
      </c>
      <c r="BP920" s="6">
        <f>0</f>
        <v>0</v>
      </c>
      <c r="BQ920" s="4" t="s">
        <v>263</v>
      </c>
      <c r="BR920" s="4" t="s">
        <v>264</v>
      </c>
      <c r="CF920" s="4" t="s">
        <v>241</v>
      </c>
      <c r="CG920" s="4" t="s">
        <v>241</v>
      </c>
      <c r="CK920" s="4" t="s">
        <v>291</v>
      </c>
      <c r="CL920" s="4" t="s">
        <v>266</v>
      </c>
      <c r="CM920" s="4" t="s">
        <v>241</v>
      </c>
      <c r="CO920" s="4" t="s">
        <v>468</v>
      </c>
      <c r="CP920" s="5" t="s">
        <v>268</v>
      </c>
      <c r="CQ920" s="4" t="s">
        <v>269</v>
      </c>
      <c r="CR920" s="4" t="s">
        <v>270</v>
      </c>
      <c r="CS920" s="4" t="s">
        <v>241</v>
      </c>
      <c r="CT920" s="4" t="s">
        <v>241</v>
      </c>
      <c r="CU920" s="4">
        <v>0</v>
      </c>
      <c r="CV920" s="4" t="s">
        <v>271</v>
      </c>
      <c r="CW920" s="4" t="s">
        <v>3823</v>
      </c>
      <c r="CX920" s="4" t="s">
        <v>273</v>
      </c>
      <c r="CZ920" s="6">
        <f>795434</f>
        <v>795434</v>
      </c>
      <c r="DA920" s="6">
        <f>0</f>
        <v>0</v>
      </c>
      <c r="DC920" s="4" t="s">
        <v>241</v>
      </c>
      <c r="DD920" s="4" t="s">
        <v>241</v>
      </c>
      <c r="DF920" s="4" t="s">
        <v>241</v>
      </c>
      <c r="DI920" s="4" t="s">
        <v>241</v>
      </c>
      <c r="DJ920" s="4" t="s">
        <v>241</v>
      </c>
      <c r="DK920" s="4" t="s">
        <v>241</v>
      </c>
      <c r="DL920" s="4" t="s">
        <v>241</v>
      </c>
      <c r="DM920" s="4" t="s">
        <v>277</v>
      </c>
      <c r="DN920" s="4" t="s">
        <v>278</v>
      </c>
      <c r="DO920" s="6">
        <f>100.6</f>
        <v>100.6</v>
      </c>
      <c r="DP920" s="4" t="s">
        <v>241</v>
      </c>
      <c r="DQ920" s="4" t="s">
        <v>241</v>
      </c>
      <c r="DR920" s="4" t="s">
        <v>241</v>
      </c>
      <c r="DS920" s="4" t="s">
        <v>241</v>
      </c>
      <c r="DV920" s="4" t="s">
        <v>1221</v>
      </c>
      <c r="DW920" s="4" t="s">
        <v>323</v>
      </c>
      <c r="HO920" s="4" t="s">
        <v>277</v>
      </c>
      <c r="HR920" s="4" t="s">
        <v>278</v>
      </c>
      <c r="HS920" s="4" t="s">
        <v>278</v>
      </c>
    </row>
    <row r="921" spans="1:240" x14ac:dyDescent="0.4">
      <c r="A921" s="4">
        <v>2</v>
      </c>
      <c r="B921" s="4" t="s">
        <v>239</v>
      </c>
      <c r="C921" s="4">
        <v>992</v>
      </c>
      <c r="D921" s="4">
        <v>1</v>
      </c>
      <c r="E921" s="4">
        <v>1</v>
      </c>
      <c r="F921" s="4" t="s">
        <v>240</v>
      </c>
      <c r="G921" s="4" t="s">
        <v>241</v>
      </c>
      <c r="H921" s="4" t="s">
        <v>241</v>
      </c>
      <c r="I921" s="4" t="s">
        <v>1218</v>
      </c>
      <c r="J921" s="4" t="s">
        <v>344</v>
      </c>
      <c r="K921" s="4" t="s">
        <v>256</v>
      </c>
      <c r="L921" s="4" t="s">
        <v>430</v>
      </c>
      <c r="M921" s="5" t="s">
        <v>1220</v>
      </c>
      <c r="N921" s="4" t="s">
        <v>2998</v>
      </c>
      <c r="O921" s="6">
        <f>11.49</f>
        <v>11.49</v>
      </c>
      <c r="P921" s="4" t="s">
        <v>276</v>
      </c>
      <c r="Q921" s="6">
        <f>1</f>
        <v>1</v>
      </c>
      <c r="R921" s="6">
        <f>119860</f>
        <v>119860</v>
      </c>
      <c r="S921" s="5" t="s">
        <v>1219</v>
      </c>
      <c r="T921" s="4" t="s">
        <v>274</v>
      </c>
      <c r="U921" s="4" t="s">
        <v>404</v>
      </c>
      <c r="W921" s="6">
        <f>119859</f>
        <v>119859</v>
      </c>
      <c r="X921" s="4" t="s">
        <v>243</v>
      </c>
      <c r="Y921" s="4" t="s">
        <v>244</v>
      </c>
      <c r="Z921" s="4" t="s">
        <v>338</v>
      </c>
      <c r="AA921" s="4" t="s">
        <v>241</v>
      </c>
      <c r="AD921" s="4" t="s">
        <v>241</v>
      </c>
      <c r="AF921" s="5" t="s">
        <v>241</v>
      </c>
      <c r="AI921" s="5" t="s">
        <v>249</v>
      </c>
      <c r="AJ921" s="4" t="s">
        <v>251</v>
      </c>
      <c r="AK921" s="4" t="s">
        <v>252</v>
      </c>
      <c r="BA921" s="4" t="s">
        <v>254</v>
      </c>
      <c r="BB921" s="4" t="s">
        <v>241</v>
      </c>
      <c r="BC921" s="4" t="s">
        <v>255</v>
      </c>
      <c r="BD921" s="4" t="s">
        <v>241</v>
      </c>
      <c r="BE921" s="4" t="s">
        <v>257</v>
      </c>
      <c r="BF921" s="4" t="s">
        <v>241</v>
      </c>
      <c r="BJ921" s="4" t="s">
        <v>367</v>
      </c>
      <c r="BK921" s="5" t="s">
        <v>249</v>
      </c>
      <c r="BL921" s="4" t="s">
        <v>261</v>
      </c>
      <c r="BM921" s="4" t="s">
        <v>262</v>
      </c>
      <c r="BN921" s="4" t="s">
        <v>241</v>
      </c>
      <c r="BO921" s="6">
        <f>0</f>
        <v>0</v>
      </c>
      <c r="BP921" s="6">
        <f>0</f>
        <v>0</v>
      </c>
      <c r="BQ921" s="4" t="s">
        <v>263</v>
      </c>
      <c r="BR921" s="4" t="s">
        <v>264</v>
      </c>
      <c r="CF921" s="4" t="s">
        <v>241</v>
      </c>
      <c r="CG921" s="4" t="s">
        <v>241</v>
      </c>
      <c r="CK921" s="4" t="s">
        <v>291</v>
      </c>
      <c r="CL921" s="4" t="s">
        <v>266</v>
      </c>
      <c r="CM921" s="4" t="s">
        <v>241</v>
      </c>
      <c r="CO921" s="4" t="s">
        <v>468</v>
      </c>
      <c r="CP921" s="5" t="s">
        <v>268</v>
      </c>
      <c r="CQ921" s="4" t="s">
        <v>269</v>
      </c>
      <c r="CR921" s="4" t="s">
        <v>270</v>
      </c>
      <c r="CS921" s="4" t="s">
        <v>241</v>
      </c>
      <c r="CT921" s="4" t="s">
        <v>241</v>
      </c>
      <c r="CU921" s="4">
        <v>0</v>
      </c>
      <c r="CV921" s="4" t="s">
        <v>271</v>
      </c>
      <c r="CW921" s="4" t="s">
        <v>272</v>
      </c>
      <c r="CX921" s="4" t="s">
        <v>273</v>
      </c>
      <c r="CZ921" s="6">
        <f>119860</f>
        <v>119860</v>
      </c>
      <c r="DA921" s="6">
        <f>0</f>
        <v>0</v>
      </c>
      <c r="DC921" s="4" t="s">
        <v>241</v>
      </c>
      <c r="DD921" s="4" t="s">
        <v>241</v>
      </c>
      <c r="DF921" s="4" t="s">
        <v>241</v>
      </c>
      <c r="DI921" s="4" t="s">
        <v>241</v>
      </c>
      <c r="DJ921" s="4" t="s">
        <v>241</v>
      </c>
      <c r="DK921" s="4" t="s">
        <v>241</v>
      </c>
      <c r="DL921" s="4" t="s">
        <v>241</v>
      </c>
      <c r="DM921" s="4" t="s">
        <v>277</v>
      </c>
      <c r="DN921" s="4" t="s">
        <v>278</v>
      </c>
      <c r="DO921" s="6">
        <f>11.49</f>
        <v>11.49</v>
      </c>
      <c r="DP921" s="4" t="s">
        <v>241</v>
      </c>
      <c r="DQ921" s="4" t="s">
        <v>241</v>
      </c>
      <c r="DR921" s="4" t="s">
        <v>241</v>
      </c>
      <c r="DS921" s="4" t="s">
        <v>241</v>
      </c>
      <c r="DV921" s="4" t="s">
        <v>1221</v>
      </c>
      <c r="DW921" s="4" t="s">
        <v>297</v>
      </c>
      <c r="HO921" s="4" t="s">
        <v>277</v>
      </c>
      <c r="HR921" s="4" t="s">
        <v>278</v>
      </c>
      <c r="HS921" s="4" t="s">
        <v>278</v>
      </c>
    </row>
    <row r="922" spans="1:240" x14ac:dyDescent="0.4">
      <c r="A922" s="4">
        <v>2</v>
      </c>
      <c r="B922" s="4" t="s">
        <v>239</v>
      </c>
      <c r="C922" s="4">
        <v>993</v>
      </c>
      <c r="D922" s="4">
        <v>1</v>
      </c>
      <c r="E922" s="4">
        <v>3</v>
      </c>
      <c r="F922" s="4" t="s">
        <v>240</v>
      </c>
      <c r="G922" s="4" t="s">
        <v>241</v>
      </c>
      <c r="H922" s="4" t="s">
        <v>241</v>
      </c>
      <c r="I922" s="4" t="s">
        <v>1218</v>
      </c>
      <c r="J922" s="4" t="s">
        <v>344</v>
      </c>
      <c r="K922" s="4" t="s">
        <v>256</v>
      </c>
      <c r="L922" s="4" t="s">
        <v>2101</v>
      </c>
      <c r="M922" s="5" t="s">
        <v>1220</v>
      </c>
      <c r="N922" s="4" t="s">
        <v>2109</v>
      </c>
      <c r="O922" s="6">
        <f>1830.13</f>
        <v>1830.13</v>
      </c>
      <c r="P922" s="4" t="s">
        <v>276</v>
      </c>
      <c r="Q922" s="6">
        <f>31562371</f>
        <v>31562371</v>
      </c>
      <c r="R922" s="6">
        <f>99252700</f>
        <v>99252700</v>
      </c>
      <c r="S922" s="5" t="s">
        <v>1219</v>
      </c>
      <c r="T922" s="4" t="s">
        <v>668</v>
      </c>
      <c r="U922" s="4" t="s">
        <v>408</v>
      </c>
      <c r="V922" s="6">
        <f>2183559</f>
        <v>2183559</v>
      </c>
      <c r="W922" s="6">
        <f>67690329</f>
        <v>67690329</v>
      </c>
      <c r="X922" s="4" t="s">
        <v>243</v>
      </c>
      <c r="Y922" s="4" t="s">
        <v>244</v>
      </c>
      <c r="Z922" s="4" t="s">
        <v>338</v>
      </c>
      <c r="AA922" s="4" t="s">
        <v>241</v>
      </c>
      <c r="AD922" s="4" t="s">
        <v>241</v>
      </c>
      <c r="AE922" s="5" t="s">
        <v>241</v>
      </c>
      <c r="AF922" s="5" t="s">
        <v>241</v>
      </c>
      <c r="AH922" s="5" t="s">
        <v>241</v>
      </c>
      <c r="AI922" s="5" t="s">
        <v>249</v>
      </c>
      <c r="AJ922" s="4" t="s">
        <v>251</v>
      </c>
      <c r="AK922" s="4" t="s">
        <v>252</v>
      </c>
      <c r="AQ922" s="4" t="s">
        <v>241</v>
      </c>
      <c r="AR922" s="4" t="s">
        <v>241</v>
      </c>
      <c r="AS922" s="4" t="s">
        <v>241</v>
      </c>
      <c r="AT922" s="5" t="s">
        <v>241</v>
      </c>
      <c r="AU922" s="5" t="s">
        <v>241</v>
      </c>
      <c r="AV922" s="5" t="s">
        <v>241</v>
      </c>
      <c r="AY922" s="4" t="s">
        <v>286</v>
      </c>
      <c r="AZ922" s="4" t="s">
        <v>286</v>
      </c>
      <c r="BA922" s="4" t="s">
        <v>254</v>
      </c>
      <c r="BB922" s="4" t="s">
        <v>287</v>
      </c>
      <c r="BC922" s="4" t="s">
        <v>255</v>
      </c>
      <c r="BD922" s="4" t="s">
        <v>241</v>
      </c>
      <c r="BE922" s="4" t="s">
        <v>257</v>
      </c>
      <c r="BF922" s="4" t="s">
        <v>241</v>
      </c>
      <c r="BJ922" s="4" t="s">
        <v>288</v>
      </c>
      <c r="BK922" s="5" t="s">
        <v>289</v>
      </c>
      <c r="BL922" s="4" t="s">
        <v>290</v>
      </c>
      <c r="BM922" s="4" t="s">
        <v>290</v>
      </c>
      <c r="BN922" s="4" t="s">
        <v>241</v>
      </c>
      <c r="BO922" s="6">
        <f>0</f>
        <v>0</v>
      </c>
      <c r="BP922" s="6">
        <f>-2183559</f>
        <v>-2183559</v>
      </c>
      <c r="BQ922" s="4" t="s">
        <v>263</v>
      </c>
      <c r="BR922" s="4" t="s">
        <v>264</v>
      </c>
      <c r="BS922" s="4" t="s">
        <v>241</v>
      </c>
      <c r="BT922" s="4" t="s">
        <v>241</v>
      </c>
      <c r="BU922" s="4" t="s">
        <v>241</v>
      </c>
      <c r="BV922" s="4" t="s">
        <v>241</v>
      </c>
      <c r="CE922" s="4" t="s">
        <v>264</v>
      </c>
      <c r="CF922" s="4" t="s">
        <v>241</v>
      </c>
      <c r="CG922" s="4" t="s">
        <v>241</v>
      </c>
      <c r="CK922" s="4" t="s">
        <v>291</v>
      </c>
      <c r="CL922" s="4" t="s">
        <v>266</v>
      </c>
      <c r="CM922" s="4" t="s">
        <v>241</v>
      </c>
      <c r="CO922" s="4" t="s">
        <v>468</v>
      </c>
      <c r="CP922" s="5" t="s">
        <v>268</v>
      </c>
      <c r="CQ922" s="4" t="s">
        <v>269</v>
      </c>
      <c r="CR922" s="4" t="s">
        <v>270</v>
      </c>
      <c r="CS922" s="4" t="s">
        <v>293</v>
      </c>
      <c r="CT922" s="4" t="s">
        <v>241</v>
      </c>
      <c r="CU922" s="4">
        <v>2.1999999999999999E-2</v>
      </c>
      <c r="CV922" s="4" t="s">
        <v>271</v>
      </c>
      <c r="CW922" s="4" t="s">
        <v>411</v>
      </c>
      <c r="CX922" s="4" t="s">
        <v>295</v>
      </c>
      <c r="CY922" s="6">
        <f>0</f>
        <v>0</v>
      </c>
      <c r="CZ922" s="6">
        <f>99252700</f>
        <v>99252700</v>
      </c>
      <c r="DA922" s="6">
        <f>31562371</f>
        <v>31562371</v>
      </c>
      <c r="DC922" s="4" t="s">
        <v>241</v>
      </c>
      <c r="DD922" s="4" t="s">
        <v>241</v>
      </c>
      <c r="DF922" s="4" t="s">
        <v>241</v>
      </c>
      <c r="DG922" s="6">
        <f>0</f>
        <v>0</v>
      </c>
      <c r="DI922" s="4" t="s">
        <v>241</v>
      </c>
      <c r="DJ922" s="4" t="s">
        <v>241</v>
      </c>
      <c r="DK922" s="4" t="s">
        <v>241</v>
      </c>
      <c r="DL922" s="4" t="s">
        <v>241</v>
      </c>
      <c r="DM922" s="4" t="s">
        <v>351</v>
      </c>
      <c r="DN922" s="4" t="s">
        <v>278</v>
      </c>
      <c r="DO922" s="6">
        <f>1830.13</f>
        <v>1830.13</v>
      </c>
      <c r="DP922" s="4" t="s">
        <v>241</v>
      </c>
      <c r="DQ922" s="4" t="s">
        <v>241</v>
      </c>
      <c r="DR922" s="4" t="s">
        <v>241</v>
      </c>
      <c r="DS922" s="4" t="s">
        <v>241</v>
      </c>
      <c r="DV922" s="4" t="s">
        <v>1221</v>
      </c>
      <c r="DW922" s="4" t="s">
        <v>336</v>
      </c>
      <c r="GN922" s="4" t="s">
        <v>2374</v>
      </c>
      <c r="HO922" s="4" t="s">
        <v>300</v>
      </c>
      <c r="HR922" s="4" t="s">
        <v>278</v>
      </c>
      <c r="HS922" s="4" t="s">
        <v>278</v>
      </c>
      <c r="HT922" s="4" t="s">
        <v>241</v>
      </c>
      <c r="HU922" s="4" t="s">
        <v>241</v>
      </c>
      <c r="HV922" s="4" t="s">
        <v>241</v>
      </c>
      <c r="HW922" s="4" t="s">
        <v>241</v>
      </c>
      <c r="HX922" s="4" t="s">
        <v>241</v>
      </c>
      <c r="HY922" s="4" t="s">
        <v>241</v>
      </c>
      <c r="HZ922" s="4" t="s">
        <v>241</v>
      </c>
      <c r="IA922" s="4" t="s">
        <v>241</v>
      </c>
      <c r="IB922" s="4" t="s">
        <v>241</v>
      </c>
      <c r="IC922" s="4" t="s">
        <v>241</v>
      </c>
      <c r="ID922" s="4" t="s">
        <v>241</v>
      </c>
      <c r="IE922" s="4" t="s">
        <v>241</v>
      </c>
      <c r="IF922" s="4" t="s">
        <v>241</v>
      </c>
    </row>
    <row r="923" spans="1:240" x14ac:dyDescent="0.4">
      <c r="A923" s="4">
        <v>2</v>
      </c>
      <c r="B923" s="4" t="s">
        <v>239</v>
      </c>
      <c r="C923" s="4">
        <v>994</v>
      </c>
      <c r="D923" s="4">
        <v>1</v>
      </c>
      <c r="E923" s="4">
        <v>3</v>
      </c>
      <c r="F923" s="4" t="s">
        <v>240</v>
      </c>
      <c r="G923" s="4" t="s">
        <v>241</v>
      </c>
      <c r="H923" s="4" t="s">
        <v>241</v>
      </c>
      <c r="I923" s="4" t="s">
        <v>1218</v>
      </c>
      <c r="J923" s="4" t="s">
        <v>344</v>
      </c>
      <c r="K923" s="4" t="s">
        <v>256</v>
      </c>
      <c r="L923" s="4" t="s">
        <v>414</v>
      </c>
      <c r="M923" s="5" t="s">
        <v>1220</v>
      </c>
      <c r="N923" s="4" t="s">
        <v>2952</v>
      </c>
      <c r="O923" s="6">
        <f>15.96</f>
        <v>15.96</v>
      </c>
      <c r="P923" s="4" t="s">
        <v>276</v>
      </c>
      <c r="Q923" s="6">
        <f>92031</f>
        <v>92031</v>
      </c>
      <c r="R923" s="6">
        <f>564595</f>
        <v>564595</v>
      </c>
      <c r="S923" s="5" t="s">
        <v>1219</v>
      </c>
      <c r="T923" s="4" t="s">
        <v>333</v>
      </c>
      <c r="U923" s="4" t="s">
        <v>408</v>
      </c>
      <c r="V923" s="6">
        <f>15244</f>
        <v>15244</v>
      </c>
      <c r="W923" s="6">
        <f>472564</f>
        <v>472564</v>
      </c>
      <c r="X923" s="4" t="s">
        <v>243</v>
      </c>
      <c r="Y923" s="4" t="s">
        <v>244</v>
      </c>
      <c r="Z923" s="4" t="s">
        <v>338</v>
      </c>
      <c r="AA923" s="4" t="s">
        <v>241</v>
      </c>
      <c r="AD923" s="4" t="s">
        <v>241</v>
      </c>
      <c r="AE923" s="5" t="s">
        <v>241</v>
      </c>
      <c r="AF923" s="5" t="s">
        <v>241</v>
      </c>
      <c r="AH923" s="5" t="s">
        <v>241</v>
      </c>
      <c r="AI923" s="5" t="s">
        <v>249</v>
      </c>
      <c r="AJ923" s="4" t="s">
        <v>251</v>
      </c>
      <c r="AK923" s="4" t="s">
        <v>252</v>
      </c>
      <c r="AQ923" s="4" t="s">
        <v>241</v>
      </c>
      <c r="AR923" s="4" t="s">
        <v>241</v>
      </c>
      <c r="AS923" s="4" t="s">
        <v>241</v>
      </c>
      <c r="AT923" s="5" t="s">
        <v>241</v>
      </c>
      <c r="AU923" s="5" t="s">
        <v>241</v>
      </c>
      <c r="AV923" s="5" t="s">
        <v>241</v>
      </c>
      <c r="AY923" s="4" t="s">
        <v>286</v>
      </c>
      <c r="AZ923" s="4" t="s">
        <v>286</v>
      </c>
      <c r="BA923" s="4" t="s">
        <v>254</v>
      </c>
      <c r="BB923" s="4" t="s">
        <v>287</v>
      </c>
      <c r="BC923" s="4" t="s">
        <v>255</v>
      </c>
      <c r="BD923" s="4" t="s">
        <v>241</v>
      </c>
      <c r="BE923" s="4" t="s">
        <v>257</v>
      </c>
      <c r="BF923" s="4" t="s">
        <v>241</v>
      </c>
      <c r="BJ923" s="4" t="s">
        <v>288</v>
      </c>
      <c r="BK923" s="5" t="s">
        <v>289</v>
      </c>
      <c r="BL923" s="4" t="s">
        <v>290</v>
      </c>
      <c r="BM923" s="4" t="s">
        <v>290</v>
      </c>
      <c r="BN923" s="4" t="s">
        <v>241</v>
      </c>
      <c r="BO923" s="6">
        <f>0</f>
        <v>0</v>
      </c>
      <c r="BP923" s="6">
        <f>-15244</f>
        <v>-15244</v>
      </c>
      <c r="BQ923" s="4" t="s">
        <v>263</v>
      </c>
      <c r="BR923" s="4" t="s">
        <v>264</v>
      </c>
      <c r="BS923" s="4" t="s">
        <v>241</v>
      </c>
      <c r="BT923" s="4" t="s">
        <v>241</v>
      </c>
      <c r="BU923" s="4" t="s">
        <v>241</v>
      </c>
      <c r="BV923" s="4" t="s">
        <v>241</v>
      </c>
      <c r="CE923" s="4" t="s">
        <v>264</v>
      </c>
      <c r="CF923" s="4" t="s">
        <v>241</v>
      </c>
      <c r="CG923" s="4" t="s">
        <v>241</v>
      </c>
      <c r="CK923" s="4" t="s">
        <v>291</v>
      </c>
      <c r="CL923" s="4" t="s">
        <v>266</v>
      </c>
      <c r="CM923" s="4" t="s">
        <v>241</v>
      </c>
      <c r="CO923" s="4" t="s">
        <v>468</v>
      </c>
      <c r="CP923" s="5" t="s">
        <v>268</v>
      </c>
      <c r="CQ923" s="4" t="s">
        <v>269</v>
      </c>
      <c r="CR923" s="4" t="s">
        <v>270</v>
      </c>
      <c r="CS923" s="4" t="s">
        <v>293</v>
      </c>
      <c r="CT923" s="4" t="s">
        <v>241</v>
      </c>
      <c r="CU923" s="4">
        <v>2.7E-2</v>
      </c>
      <c r="CV923" s="4" t="s">
        <v>271</v>
      </c>
      <c r="CW923" s="4" t="s">
        <v>272</v>
      </c>
      <c r="CX923" s="4" t="s">
        <v>295</v>
      </c>
      <c r="CY923" s="6">
        <f>0</f>
        <v>0</v>
      </c>
      <c r="CZ923" s="6">
        <f>564595</f>
        <v>564595</v>
      </c>
      <c r="DA923" s="6">
        <f>92031</f>
        <v>92031</v>
      </c>
      <c r="DC923" s="4" t="s">
        <v>241</v>
      </c>
      <c r="DD923" s="4" t="s">
        <v>241</v>
      </c>
      <c r="DF923" s="4" t="s">
        <v>241</v>
      </c>
      <c r="DG923" s="6">
        <f>0</f>
        <v>0</v>
      </c>
      <c r="DI923" s="4" t="s">
        <v>241</v>
      </c>
      <c r="DJ923" s="4" t="s">
        <v>241</v>
      </c>
      <c r="DK923" s="4" t="s">
        <v>241</v>
      </c>
      <c r="DL923" s="4" t="s">
        <v>241</v>
      </c>
      <c r="DM923" s="4" t="s">
        <v>277</v>
      </c>
      <c r="DN923" s="4" t="s">
        <v>278</v>
      </c>
      <c r="DO923" s="6">
        <f>15.96</f>
        <v>15.96</v>
      </c>
      <c r="DP923" s="4" t="s">
        <v>241</v>
      </c>
      <c r="DQ923" s="4" t="s">
        <v>241</v>
      </c>
      <c r="DR923" s="4" t="s">
        <v>241</v>
      </c>
      <c r="DS923" s="4" t="s">
        <v>241</v>
      </c>
      <c r="DV923" s="4" t="s">
        <v>1221</v>
      </c>
      <c r="DW923" s="4" t="s">
        <v>351</v>
      </c>
      <c r="GN923" s="4" t="s">
        <v>3600</v>
      </c>
      <c r="HO923" s="4" t="s">
        <v>300</v>
      </c>
      <c r="HR923" s="4" t="s">
        <v>278</v>
      </c>
      <c r="HS923" s="4" t="s">
        <v>278</v>
      </c>
      <c r="HT923" s="4" t="s">
        <v>241</v>
      </c>
      <c r="HU923" s="4" t="s">
        <v>241</v>
      </c>
      <c r="HV923" s="4" t="s">
        <v>241</v>
      </c>
      <c r="HW923" s="4" t="s">
        <v>241</v>
      </c>
      <c r="HX923" s="4" t="s">
        <v>241</v>
      </c>
      <c r="HY923" s="4" t="s">
        <v>241</v>
      </c>
      <c r="HZ923" s="4" t="s">
        <v>241</v>
      </c>
      <c r="IA923" s="4" t="s">
        <v>241</v>
      </c>
      <c r="IB923" s="4" t="s">
        <v>241</v>
      </c>
      <c r="IC923" s="4" t="s">
        <v>241</v>
      </c>
      <c r="ID923" s="4" t="s">
        <v>241</v>
      </c>
      <c r="IE923" s="4" t="s">
        <v>241</v>
      </c>
      <c r="IF923" s="4" t="s">
        <v>241</v>
      </c>
    </row>
    <row r="924" spans="1:240" x14ac:dyDescent="0.4">
      <c r="A924" s="4">
        <v>2</v>
      </c>
      <c r="B924" s="4" t="s">
        <v>239</v>
      </c>
      <c r="C924" s="4">
        <v>995</v>
      </c>
      <c r="D924" s="4">
        <v>1</v>
      </c>
      <c r="E924" s="4">
        <v>3</v>
      </c>
      <c r="F924" s="4" t="s">
        <v>240</v>
      </c>
      <c r="G924" s="4" t="s">
        <v>241</v>
      </c>
      <c r="H924" s="4" t="s">
        <v>241</v>
      </c>
      <c r="I924" s="4" t="s">
        <v>1218</v>
      </c>
      <c r="J924" s="4" t="s">
        <v>344</v>
      </c>
      <c r="K924" s="4" t="s">
        <v>256</v>
      </c>
      <c r="L924" s="4" t="s">
        <v>414</v>
      </c>
      <c r="M924" s="5" t="s">
        <v>1220</v>
      </c>
      <c r="N924" s="4" t="s">
        <v>1993</v>
      </c>
      <c r="O924" s="6">
        <f>49</f>
        <v>49</v>
      </c>
      <c r="P924" s="4" t="s">
        <v>276</v>
      </c>
      <c r="Q924" s="6">
        <f>707397</f>
        <v>707397</v>
      </c>
      <c r="R924" s="6">
        <f>4339760</f>
        <v>4339760</v>
      </c>
      <c r="S924" s="5" t="s">
        <v>1219</v>
      </c>
      <c r="T924" s="4" t="s">
        <v>333</v>
      </c>
      <c r="U924" s="4" t="s">
        <v>408</v>
      </c>
      <c r="V924" s="6">
        <f>117173</f>
        <v>117173</v>
      </c>
      <c r="W924" s="6">
        <f>3632363</f>
        <v>3632363</v>
      </c>
      <c r="X924" s="4" t="s">
        <v>243</v>
      </c>
      <c r="Y924" s="4" t="s">
        <v>244</v>
      </c>
      <c r="Z924" s="4" t="s">
        <v>338</v>
      </c>
      <c r="AA924" s="4" t="s">
        <v>241</v>
      </c>
      <c r="AD924" s="4" t="s">
        <v>241</v>
      </c>
      <c r="AE924" s="5" t="s">
        <v>241</v>
      </c>
      <c r="AF924" s="5" t="s">
        <v>241</v>
      </c>
      <c r="AH924" s="5" t="s">
        <v>241</v>
      </c>
      <c r="AI924" s="5" t="s">
        <v>249</v>
      </c>
      <c r="AJ924" s="4" t="s">
        <v>251</v>
      </c>
      <c r="AK924" s="4" t="s">
        <v>252</v>
      </c>
      <c r="AQ924" s="4" t="s">
        <v>241</v>
      </c>
      <c r="AR924" s="4" t="s">
        <v>241</v>
      </c>
      <c r="AS924" s="4" t="s">
        <v>241</v>
      </c>
      <c r="AT924" s="5" t="s">
        <v>241</v>
      </c>
      <c r="AU924" s="5" t="s">
        <v>241</v>
      </c>
      <c r="AV924" s="5" t="s">
        <v>241</v>
      </c>
      <c r="AY924" s="4" t="s">
        <v>286</v>
      </c>
      <c r="AZ924" s="4" t="s">
        <v>286</v>
      </c>
      <c r="BA924" s="4" t="s">
        <v>254</v>
      </c>
      <c r="BB924" s="4" t="s">
        <v>287</v>
      </c>
      <c r="BC924" s="4" t="s">
        <v>255</v>
      </c>
      <c r="BD924" s="4" t="s">
        <v>241</v>
      </c>
      <c r="BE924" s="4" t="s">
        <v>257</v>
      </c>
      <c r="BF924" s="4" t="s">
        <v>241</v>
      </c>
      <c r="BJ924" s="4" t="s">
        <v>288</v>
      </c>
      <c r="BK924" s="5" t="s">
        <v>289</v>
      </c>
      <c r="BL924" s="4" t="s">
        <v>290</v>
      </c>
      <c r="BM924" s="4" t="s">
        <v>290</v>
      </c>
      <c r="BN924" s="4" t="s">
        <v>241</v>
      </c>
      <c r="BO924" s="6">
        <f>0</f>
        <v>0</v>
      </c>
      <c r="BP924" s="6">
        <f>-117173</f>
        <v>-117173</v>
      </c>
      <c r="BQ924" s="4" t="s">
        <v>263</v>
      </c>
      <c r="BR924" s="4" t="s">
        <v>264</v>
      </c>
      <c r="BS924" s="4" t="s">
        <v>241</v>
      </c>
      <c r="BT924" s="4" t="s">
        <v>241</v>
      </c>
      <c r="BU924" s="4" t="s">
        <v>241</v>
      </c>
      <c r="BV924" s="4" t="s">
        <v>241</v>
      </c>
      <c r="CE924" s="4" t="s">
        <v>264</v>
      </c>
      <c r="CF924" s="4" t="s">
        <v>241</v>
      </c>
      <c r="CG924" s="4" t="s">
        <v>241</v>
      </c>
      <c r="CK924" s="4" t="s">
        <v>291</v>
      </c>
      <c r="CL924" s="4" t="s">
        <v>266</v>
      </c>
      <c r="CM924" s="4" t="s">
        <v>241</v>
      </c>
      <c r="CO924" s="4" t="s">
        <v>468</v>
      </c>
      <c r="CP924" s="5" t="s">
        <v>268</v>
      </c>
      <c r="CQ924" s="4" t="s">
        <v>269</v>
      </c>
      <c r="CR924" s="4" t="s">
        <v>270</v>
      </c>
      <c r="CS924" s="4" t="s">
        <v>293</v>
      </c>
      <c r="CT924" s="4" t="s">
        <v>241</v>
      </c>
      <c r="CU924" s="4">
        <v>2.7E-2</v>
      </c>
      <c r="CV924" s="4" t="s">
        <v>271</v>
      </c>
      <c r="CW924" s="4" t="s">
        <v>1986</v>
      </c>
      <c r="CX924" s="4" t="s">
        <v>295</v>
      </c>
      <c r="CY924" s="6">
        <f>0</f>
        <v>0</v>
      </c>
      <c r="CZ924" s="6">
        <f>4339760</f>
        <v>4339760</v>
      </c>
      <c r="DA924" s="6">
        <f>707397</f>
        <v>707397</v>
      </c>
      <c r="DC924" s="4" t="s">
        <v>241</v>
      </c>
      <c r="DD924" s="4" t="s">
        <v>241</v>
      </c>
      <c r="DF924" s="4" t="s">
        <v>241</v>
      </c>
      <c r="DG924" s="6">
        <f>0</f>
        <v>0</v>
      </c>
      <c r="DI924" s="4" t="s">
        <v>241</v>
      </c>
      <c r="DJ924" s="4" t="s">
        <v>241</v>
      </c>
      <c r="DK924" s="4" t="s">
        <v>241</v>
      </c>
      <c r="DL924" s="4" t="s">
        <v>241</v>
      </c>
      <c r="DM924" s="4" t="s">
        <v>277</v>
      </c>
      <c r="DN924" s="4" t="s">
        <v>278</v>
      </c>
      <c r="DO924" s="6">
        <f>49</f>
        <v>49</v>
      </c>
      <c r="DP924" s="4" t="s">
        <v>241</v>
      </c>
      <c r="DQ924" s="4" t="s">
        <v>241</v>
      </c>
      <c r="DR924" s="4" t="s">
        <v>241</v>
      </c>
      <c r="DS924" s="4" t="s">
        <v>241</v>
      </c>
      <c r="DV924" s="4" t="s">
        <v>1221</v>
      </c>
      <c r="DW924" s="4" t="s">
        <v>300</v>
      </c>
      <c r="GN924" s="4" t="s">
        <v>1994</v>
      </c>
      <c r="HO924" s="4" t="s">
        <v>300</v>
      </c>
      <c r="HR924" s="4" t="s">
        <v>278</v>
      </c>
      <c r="HS924" s="4" t="s">
        <v>278</v>
      </c>
      <c r="HT924" s="4" t="s">
        <v>241</v>
      </c>
      <c r="HU924" s="4" t="s">
        <v>241</v>
      </c>
      <c r="HV924" s="4" t="s">
        <v>241</v>
      </c>
      <c r="HW924" s="4" t="s">
        <v>241</v>
      </c>
      <c r="HX924" s="4" t="s">
        <v>241</v>
      </c>
      <c r="HY924" s="4" t="s">
        <v>241</v>
      </c>
      <c r="HZ924" s="4" t="s">
        <v>241</v>
      </c>
      <c r="IA924" s="4" t="s">
        <v>241</v>
      </c>
      <c r="IB924" s="4" t="s">
        <v>241</v>
      </c>
      <c r="IC924" s="4" t="s">
        <v>241</v>
      </c>
      <c r="ID924" s="4" t="s">
        <v>241</v>
      </c>
      <c r="IE924" s="4" t="s">
        <v>241</v>
      </c>
      <c r="IF924" s="4" t="s">
        <v>241</v>
      </c>
    </row>
    <row r="925" spans="1:240" x14ac:dyDescent="0.4">
      <c r="A925" s="4">
        <v>2</v>
      </c>
      <c r="B925" s="4" t="s">
        <v>239</v>
      </c>
      <c r="C925" s="4">
        <v>996</v>
      </c>
      <c r="D925" s="4">
        <v>1</v>
      </c>
      <c r="E925" s="4">
        <v>3</v>
      </c>
      <c r="F925" s="4" t="s">
        <v>240</v>
      </c>
      <c r="G925" s="4" t="s">
        <v>241</v>
      </c>
      <c r="H925" s="4" t="s">
        <v>241</v>
      </c>
      <c r="I925" s="4" t="s">
        <v>1218</v>
      </c>
      <c r="J925" s="4" t="s">
        <v>344</v>
      </c>
      <c r="K925" s="4" t="s">
        <v>256</v>
      </c>
      <c r="L925" s="4" t="s">
        <v>3822</v>
      </c>
      <c r="M925" s="5" t="s">
        <v>1220</v>
      </c>
      <c r="N925" s="4" t="s">
        <v>3822</v>
      </c>
      <c r="O925" s="6">
        <f>100.6</f>
        <v>100.6</v>
      </c>
      <c r="P925" s="4" t="s">
        <v>276</v>
      </c>
      <c r="Q925" s="6">
        <f>129678</f>
        <v>129678</v>
      </c>
      <c r="R925" s="6">
        <f>795434</f>
        <v>795434</v>
      </c>
      <c r="S925" s="5" t="s">
        <v>1219</v>
      </c>
      <c r="T925" s="4" t="s">
        <v>333</v>
      </c>
      <c r="U925" s="4" t="s">
        <v>408</v>
      </c>
      <c r="V925" s="6">
        <f>21476</f>
        <v>21476</v>
      </c>
      <c r="W925" s="6">
        <f>665756</f>
        <v>665756</v>
      </c>
      <c r="X925" s="4" t="s">
        <v>243</v>
      </c>
      <c r="Y925" s="4" t="s">
        <v>244</v>
      </c>
      <c r="Z925" s="4" t="s">
        <v>338</v>
      </c>
      <c r="AA925" s="4" t="s">
        <v>241</v>
      </c>
      <c r="AD925" s="4" t="s">
        <v>241</v>
      </c>
      <c r="AE925" s="5" t="s">
        <v>241</v>
      </c>
      <c r="AF925" s="5" t="s">
        <v>241</v>
      </c>
      <c r="AH925" s="5" t="s">
        <v>241</v>
      </c>
      <c r="AI925" s="5" t="s">
        <v>249</v>
      </c>
      <c r="AJ925" s="4" t="s">
        <v>251</v>
      </c>
      <c r="AK925" s="4" t="s">
        <v>252</v>
      </c>
      <c r="AQ925" s="4" t="s">
        <v>241</v>
      </c>
      <c r="AR925" s="4" t="s">
        <v>241</v>
      </c>
      <c r="AS925" s="4" t="s">
        <v>241</v>
      </c>
      <c r="AT925" s="5" t="s">
        <v>241</v>
      </c>
      <c r="AU925" s="5" t="s">
        <v>241</v>
      </c>
      <c r="AV925" s="5" t="s">
        <v>241</v>
      </c>
      <c r="AY925" s="4" t="s">
        <v>286</v>
      </c>
      <c r="AZ925" s="4" t="s">
        <v>286</v>
      </c>
      <c r="BA925" s="4" t="s">
        <v>254</v>
      </c>
      <c r="BB925" s="4" t="s">
        <v>287</v>
      </c>
      <c r="BC925" s="4" t="s">
        <v>255</v>
      </c>
      <c r="BD925" s="4" t="s">
        <v>241</v>
      </c>
      <c r="BE925" s="4" t="s">
        <v>257</v>
      </c>
      <c r="BF925" s="4" t="s">
        <v>241</v>
      </c>
      <c r="BJ925" s="4" t="s">
        <v>288</v>
      </c>
      <c r="BK925" s="5" t="s">
        <v>289</v>
      </c>
      <c r="BL925" s="4" t="s">
        <v>290</v>
      </c>
      <c r="BM925" s="4" t="s">
        <v>290</v>
      </c>
      <c r="BN925" s="4" t="s">
        <v>241</v>
      </c>
      <c r="BO925" s="6">
        <f>0</f>
        <v>0</v>
      </c>
      <c r="BP925" s="6">
        <f>-21476</f>
        <v>-21476</v>
      </c>
      <c r="BQ925" s="4" t="s">
        <v>263</v>
      </c>
      <c r="BR925" s="4" t="s">
        <v>264</v>
      </c>
      <c r="BS925" s="4" t="s">
        <v>241</v>
      </c>
      <c r="BT925" s="4" t="s">
        <v>241</v>
      </c>
      <c r="BU925" s="4" t="s">
        <v>241</v>
      </c>
      <c r="BV925" s="4" t="s">
        <v>241</v>
      </c>
      <c r="CE925" s="4" t="s">
        <v>264</v>
      </c>
      <c r="CF925" s="4" t="s">
        <v>241</v>
      </c>
      <c r="CG925" s="4" t="s">
        <v>241</v>
      </c>
      <c r="CK925" s="4" t="s">
        <v>291</v>
      </c>
      <c r="CL925" s="4" t="s">
        <v>266</v>
      </c>
      <c r="CM925" s="4" t="s">
        <v>241</v>
      </c>
      <c r="CO925" s="4" t="s">
        <v>468</v>
      </c>
      <c r="CP925" s="5" t="s">
        <v>268</v>
      </c>
      <c r="CQ925" s="4" t="s">
        <v>269</v>
      </c>
      <c r="CR925" s="4" t="s">
        <v>270</v>
      </c>
      <c r="CS925" s="4" t="s">
        <v>293</v>
      </c>
      <c r="CT925" s="4" t="s">
        <v>241</v>
      </c>
      <c r="CU925" s="4">
        <v>2.7E-2</v>
      </c>
      <c r="CV925" s="4" t="s">
        <v>271</v>
      </c>
      <c r="CW925" s="4" t="s">
        <v>3823</v>
      </c>
      <c r="CX925" s="4" t="s">
        <v>295</v>
      </c>
      <c r="CY925" s="6">
        <f>0</f>
        <v>0</v>
      </c>
      <c r="CZ925" s="6">
        <f>795434</f>
        <v>795434</v>
      </c>
      <c r="DA925" s="6">
        <f>129678</f>
        <v>129678</v>
      </c>
      <c r="DC925" s="4" t="s">
        <v>241</v>
      </c>
      <c r="DD925" s="4" t="s">
        <v>241</v>
      </c>
      <c r="DF925" s="4" t="s">
        <v>241</v>
      </c>
      <c r="DG925" s="6">
        <f>0</f>
        <v>0</v>
      </c>
      <c r="DI925" s="4" t="s">
        <v>241</v>
      </c>
      <c r="DJ925" s="4" t="s">
        <v>241</v>
      </c>
      <c r="DK925" s="4" t="s">
        <v>241</v>
      </c>
      <c r="DL925" s="4" t="s">
        <v>241</v>
      </c>
      <c r="DM925" s="4" t="s">
        <v>277</v>
      </c>
      <c r="DN925" s="4" t="s">
        <v>278</v>
      </c>
      <c r="DO925" s="6">
        <f>100.6</f>
        <v>100.6</v>
      </c>
      <c r="DP925" s="4" t="s">
        <v>241</v>
      </c>
      <c r="DQ925" s="4" t="s">
        <v>241</v>
      </c>
      <c r="DR925" s="4" t="s">
        <v>241</v>
      </c>
      <c r="DS925" s="4" t="s">
        <v>241</v>
      </c>
      <c r="DV925" s="4" t="s">
        <v>1221</v>
      </c>
      <c r="DW925" s="4" t="s">
        <v>341</v>
      </c>
      <c r="GN925" s="4" t="s">
        <v>3828</v>
      </c>
      <c r="HO925" s="4" t="s">
        <v>300</v>
      </c>
      <c r="HR925" s="4" t="s">
        <v>278</v>
      </c>
      <c r="HS925" s="4" t="s">
        <v>278</v>
      </c>
      <c r="HT925" s="4" t="s">
        <v>241</v>
      </c>
      <c r="HU925" s="4" t="s">
        <v>241</v>
      </c>
      <c r="HV925" s="4" t="s">
        <v>241</v>
      </c>
      <c r="HW925" s="4" t="s">
        <v>241</v>
      </c>
      <c r="HX925" s="4" t="s">
        <v>241</v>
      </c>
      <c r="HY925" s="4" t="s">
        <v>241</v>
      </c>
      <c r="HZ925" s="4" t="s">
        <v>241</v>
      </c>
      <c r="IA925" s="4" t="s">
        <v>241</v>
      </c>
      <c r="IB925" s="4" t="s">
        <v>241</v>
      </c>
      <c r="IC925" s="4" t="s">
        <v>241</v>
      </c>
      <c r="ID925" s="4" t="s">
        <v>241</v>
      </c>
      <c r="IE925" s="4" t="s">
        <v>241</v>
      </c>
      <c r="IF925" s="4" t="s">
        <v>241</v>
      </c>
    </row>
    <row r="926" spans="1:240" x14ac:dyDescent="0.4">
      <c r="A926" s="4">
        <v>2</v>
      </c>
      <c r="B926" s="4" t="s">
        <v>239</v>
      </c>
      <c r="C926" s="4">
        <v>997</v>
      </c>
      <c r="D926" s="4">
        <v>1</v>
      </c>
      <c r="E926" s="4">
        <v>3</v>
      </c>
      <c r="F926" s="4" t="s">
        <v>240</v>
      </c>
      <c r="G926" s="4" t="s">
        <v>241</v>
      </c>
      <c r="H926" s="4" t="s">
        <v>241</v>
      </c>
      <c r="I926" s="4" t="s">
        <v>1218</v>
      </c>
      <c r="J926" s="4" t="s">
        <v>344</v>
      </c>
      <c r="K926" s="4" t="s">
        <v>256</v>
      </c>
      <c r="L926" s="4" t="s">
        <v>1174</v>
      </c>
      <c r="M926" s="5" t="s">
        <v>1220</v>
      </c>
      <c r="N926" s="4" t="s">
        <v>1206</v>
      </c>
      <c r="O926" s="6">
        <f>78.45</f>
        <v>78.45</v>
      </c>
      <c r="P926" s="4" t="s">
        <v>276</v>
      </c>
      <c r="Q926" s="6">
        <f>3122977</f>
        <v>3122977</v>
      </c>
      <c r="R926" s="6">
        <f>9820620</f>
        <v>9820620</v>
      </c>
      <c r="S926" s="5" t="s">
        <v>1219</v>
      </c>
      <c r="T926" s="4" t="s">
        <v>668</v>
      </c>
      <c r="U926" s="4" t="s">
        <v>408</v>
      </c>
      <c r="V926" s="6">
        <f>216053</f>
        <v>216053</v>
      </c>
      <c r="W926" s="6">
        <f>6697643</f>
        <v>6697643</v>
      </c>
      <c r="X926" s="4" t="s">
        <v>243</v>
      </c>
      <c r="Y926" s="4" t="s">
        <v>244</v>
      </c>
      <c r="Z926" s="4" t="s">
        <v>338</v>
      </c>
      <c r="AA926" s="4" t="s">
        <v>241</v>
      </c>
      <c r="AD926" s="4" t="s">
        <v>241</v>
      </c>
      <c r="AE926" s="5" t="s">
        <v>241</v>
      </c>
      <c r="AF926" s="5" t="s">
        <v>241</v>
      </c>
      <c r="AH926" s="5" t="s">
        <v>241</v>
      </c>
      <c r="AI926" s="5" t="s">
        <v>249</v>
      </c>
      <c r="AJ926" s="4" t="s">
        <v>251</v>
      </c>
      <c r="AK926" s="4" t="s">
        <v>252</v>
      </c>
      <c r="AQ926" s="4" t="s">
        <v>241</v>
      </c>
      <c r="AR926" s="4" t="s">
        <v>241</v>
      </c>
      <c r="AS926" s="4" t="s">
        <v>241</v>
      </c>
      <c r="AT926" s="5" t="s">
        <v>241</v>
      </c>
      <c r="AU926" s="5" t="s">
        <v>241</v>
      </c>
      <c r="AV926" s="5" t="s">
        <v>241</v>
      </c>
      <c r="AY926" s="4" t="s">
        <v>286</v>
      </c>
      <c r="AZ926" s="4" t="s">
        <v>286</v>
      </c>
      <c r="BA926" s="4" t="s">
        <v>254</v>
      </c>
      <c r="BB926" s="4" t="s">
        <v>287</v>
      </c>
      <c r="BC926" s="4" t="s">
        <v>255</v>
      </c>
      <c r="BD926" s="4" t="s">
        <v>241</v>
      </c>
      <c r="BE926" s="4" t="s">
        <v>257</v>
      </c>
      <c r="BF926" s="4" t="s">
        <v>241</v>
      </c>
      <c r="BJ926" s="4" t="s">
        <v>288</v>
      </c>
      <c r="BK926" s="5" t="s">
        <v>289</v>
      </c>
      <c r="BL926" s="4" t="s">
        <v>290</v>
      </c>
      <c r="BM926" s="4" t="s">
        <v>290</v>
      </c>
      <c r="BN926" s="4" t="s">
        <v>241</v>
      </c>
      <c r="BO926" s="6">
        <f>0</f>
        <v>0</v>
      </c>
      <c r="BP926" s="6">
        <f>-216053</f>
        <v>-216053</v>
      </c>
      <c r="BQ926" s="4" t="s">
        <v>263</v>
      </c>
      <c r="BR926" s="4" t="s">
        <v>264</v>
      </c>
      <c r="BS926" s="4" t="s">
        <v>241</v>
      </c>
      <c r="BT926" s="4" t="s">
        <v>241</v>
      </c>
      <c r="BU926" s="4" t="s">
        <v>241</v>
      </c>
      <c r="BV926" s="4" t="s">
        <v>241</v>
      </c>
      <c r="CE926" s="4" t="s">
        <v>264</v>
      </c>
      <c r="CF926" s="4" t="s">
        <v>241</v>
      </c>
      <c r="CG926" s="4" t="s">
        <v>241</v>
      </c>
      <c r="CK926" s="4" t="s">
        <v>291</v>
      </c>
      <c r="CL926" s="4" t="s">
        <v>266</v>
      </c>
      <c r="CM926" s="4" t="s">
        <v>241</v>
      </c>
      <c r="CO926" s="4" t="s">
        <v>468</v>
      </c>
      <c r="CP926" s="5" t="s">
        <v>268</v>
      </c>
      <c r="CQ926" s="4" t="s">
        <v>269</v>
      </c>
      <c r="CR926" s="4" t="s">
        <v>270</v>
      </c>
      <c r="CS926" s="4" t="s">
        <v>293</v>
      </c>
      <c r="CT926" s="4" t="s">
        <v>241</v>
      </c>
      <c r="CU926" s="4">
        <v>2.1999999999999999E-2</v>
      </c>
      <c r="CV926" s="4" t="s">
        <v>271</v>
      </c>
      <c r="CW926" s="4" t="s">
        <v>1176</v>
      </c>
      <c r="CX926" s="4" t="s">
        <v>295</v>
      </c>
      <c r="CY926" s="6">
        <f>0</f>
        <v>0</v>
      </c>
      <c r="CZ926" s="6">
        <f>9820620</f>
        <v>9820620</v>
      </c>
      <c r="DA926" s="6">
        <f>3122977</f>
        <v>3122977</v>
      </c>
      <c r="DC926" s="4" t="s">
        <v>241</v>
      </c>
      <c r="DD926" s="4" t="s">
        <v>241</v>
      </c>
      <c r="DF926" s="4" t="s">
        <v>241</v>
      </c>
      <c r="DG926" s="6">
        <f>0</f>
        <v>0</v>
      </c>
      <c r="DI926" s="4" t="s">
        <v>241</v>
      </c>
      <c r="DJ926" s="4" t="s">
        <v>241</v>
      </c>
      <c r="DK926" s="4" t="s">
        <v>241</v>
      </c>
      <c r="DL926" s="4" t="s">
        <v>241</v>
      </c>
      <c r="DM926" s="4" t="s">
        <v>277</v>
      </c>
      <c r="DN926" s="4" t="s">
        <v>278</v>
      </c>
      <c r="DO926" s="6">
        <f>78.45</f>
        <v>78.45</v>
      </c>
      <c r="DP926" s="4" t="s">
        <v>241</v>
      </c>
      <c r="DQ926" s="4" t="s">
        <v>241</v>
      </c>
      <c r="DR926" s="4" t="s">
        <v>241</v>
      </c>
      <c r="DS926" s="4" t="s">
        <v>241</v>
      </c>
      <c r="DV926" s="4" t="s">
        <v>1221</v>
      </c>
      <c r="DW926" s="4" t="s">
        <v>343</v>
      </c>
      <c r="GN926" s="4" t="s">
        <v>1222</v>
      </c>
      <c r="HO926" s="4" t="s">
        <v>300</v>
      </c>
      <c r="HR926" s="4" t="s">
        <v>278</v>
      </c>
      <c r="HS926" s="4" t="s">
        <v>278</v>
      </c>
      <c r="HT926" s="4" t="s">
        <v>241</v>
      </c>
      <c r="HU926" s="4" t="s">
        <v>241</v>
      </c>
      <c r="HV926" s="4" t="s">
        <v>241</v>
      </c>
      <c r="HW926" s="4" t="s">
        <v>241</v>
      </c>
      <c r="HX926" s="4" t="s">
        <v>241</v>
      </c>
      <c r="HY926" s="4" t="s">
        <v>241</v>
      </c>
      <c r="HZ926" s="4" t="s">
        <v>241</v>
      </c>
      <c r="IA926" s="4" t="s">
        <v>241</v>
      </c>
      <c r="IB926" s="4" t="s">
        <v>241</v>
      </c>
      <c r="IC926" s="4" t="s">
        <v>241</v>
      </c>
      <c r="ID926" s="4" t="s">
        <v>241</v>
      </c>
      <c r="IE926" s="4" t="s">
        <v>241</v>
      </c>
      <c r="IF926" s="4" t="s">
        <v>241</v>
      </c>
    </row>
    <row r="927" spans="1:240" x14ac:dyDescent="0.4">
      <c r="A927" s="4">
        <v>2</v>
      </c>
      <c r="B927" s="4" t="s">
        <v>239</v>
      </c>
      <c r="C927" s="4">
        <v>998</v>
      </c>
      <c r="D927" s="4">
        <v>1</v>
      </c>
      <c r="E927" s="4">
        <v>3</v>
      </c>
      <c r="F927" s="4" t="s">
        <v>326</v>
      </c>
      <c r="G927" s="4" t="s">
        <v>241</v>
      </c>
      <c r="H927" s="4" t="s">
        <v>241</v>
      </c>
      <c r="I927" s="4" t="s">
        <v>1218</v>
      </c>
      <c r="J927" s="4" t="s">
        <v>344</v>
      </c>
      <c r="K927" s="4" t="s">
        <v>256</v>
      </c>
      <c r="L927" s="4" t="s">
        <v>2735</v>
      </c>
      <c r="M927" s="5" t="s">
        <v>1220</v>
      </c>
      <c r="N927" s="4" t="s">
        <v>2734</v>
      </c>
      <c r="O927" s="6">
        <f>0</f>
        <v>0</v>
      </c>
      <c r="P927" s="4" t="s">
        <v>276</v>
      </c>
      <c r="Q927" s="6">
        <f>3682887</f>
        <v>3682887</v>
      </c>
      <c r="R927" s="6">
        <f>5031263</f>
        <v>5031263</v>
      </c>
      <c r="S927" s="5" t="s">
        <v>775</v>
      </c>
      <c r="T927" s="4" t="s">
        <v>348</v>
      </c>
      <c r="U927" s="4" t="s">
        <v>297</v>
      </c>
      <c r="V927" s="6">
        <f>337094</f>
        <v>337094</v>
      </c>
      <c r="W927" s="6">
        <f>1348376</f>
        <v>1348376</v>
      </c>
      <c r="X927" s="4" t="s">
        <v>243</v>
      </c>
      <c r="Y927" s="4" t="s">
        <v>244</v>
      </c>
      <c r="Z927" s="4" t="s">
        <v>338</v>
      </c>
      <c r="AA927" s="4" t="s">
        <v>241</v>
      </c>
      <c r="AD927" s="4" t="s">
        <v>241</v>
      </c>
      <c r="AE927" s="5" t="s">
        <v>241</v>
      </c>
      <c r="AF927" s="5" t="s">
        <v>241</v>
      </c>
      <c r="AH927" s="5" t="s">
        <v>241</v>
      </c>
      <c r="AI927" s="5" t="s">
        <v>249</v>
      </c>
      <c r="AJ927" s="4" t="s">
        <v>251</v>
      </c>
      <c r="AK927" s="4" t="s">
        <v>252</v>
      </c>
      <c r="AQ927" s="4" t="s">
        <v>241</v>
      </c>
      <c r="AR927" s="4" t="s">
        <v>241</v>
      </c>
      <c r="AS927" s="4" t="s">
        <v>241</v>
      </c>
      <c r="AT927" s="5" t="s">
        <v>241</v>
      </c>
      <c r="AU927" s="5" t="s">
        <v>241</v>
      </c>
      <c r="AV927" s="5" t="s">
        <v>241</v>
      </c>
      <c r="AY927" s="4" t="s">
        <v>286</v>
      </c>
      <c r="AZ927" s="4" t="s">
        <v>286</v>
      </c>
      <c r="BA927" s="4" t="s">
        <v>254</v>
      </c>
      <c r="BB927" s="4" t="s">
        <v>287</v>
      </c>
      <c r="BC927" s="4" t="s">
        <v>255</v>
      </c>
      <c r="BD927" s="4" t="s">
        <v>241</v>
      </c>
      <c r="BE927" s="4" t="s">
        <v>257</v>
      </c>
      <c r="BF927" s="4" t="s">
        <v>241</v>
      </c>
      <c r="BJ927" s="4" t="s">
        <v>288</v>
      </c>
      <c r="BK927" s="5" t="s">
        <v>289</v>
      </c>
      <c r="BL927" s="4" t="s">
        <v>290</v>
      </c>
      <c r="BM927" s="4" t="s">
        <v>290</v>
      </c>
      <c r="BN927" s="4" t="s">
        <v>241</v>
      </c>
      <c r="BP927" s="6">
        <f>-337094</f>
        <v>-337094</v>
      </c>
      <c r="BQ927" s="4" t="s">
        <v>263</v>
      </c>
      <c r="BR927" s="4" t="s">
        <v>264</v>
      </c>
      <c r="BS927" s="4" t="s">
        <v>241</v>
      </c>
      <c r="BT927" s="4" t="s">
        <v>241</v>
      </c>
      <c r="BU927" s="4" t="s">
        <v>241</v>
      </c>
      <c r="BV927" s="4" t="s">
        <v>241</v>
      </c>
      <c r="CE927" s="4" t="s">
        <v>264</v>
      </c>
      <c r="CF927" s="4" t="s">
        <v>241</v>
      </c>
      <c r="CG927" s="4" t="s">
        <v>241</v>
      </c>
      <c r="CK927" s="4" t="s">
        <v>291</v>
      </c>
      <c r="CL927" s="4" t="s">
        <v>266</v>
      </c>
      <c r="CM927" s="4" t="s">
        <v>241</v>
      </c>
      <c r="CO927" s="4" t="s">
        <v>413</v>
      </c>
      <c r="CP927" s="5" t="s">
        <v>268</v>
      </c>
      <c r="CQ927" s="4" t="s">
        <v>269</v>
      </c>
      <c r="CR927" s="4" t="s">
        <v>270</v>
      </c>
      <c r="CS927" s="4" t="s">
        <v>293</v>
      </c>
      <c r="CT927" s="4" t="s">
        <v>241</v>
      </c>
      <c r="CU927" s="4">
        <v>6.7000000000000004E-2</v>
      </c>
      <c r="CV927" s="4" t="s">
        <v>271</v>
      </c>
      <c r="CW927" s="4" t="s">
        <v>415</v>
      </c>
      <c r="CX927" s="4" t="s">
        <v>416</v>
      </c>
      <c r="CY927" s="6">
        <f>0</f>
        <v>0</v>
      </c>
      <c r="CZ927" s="6">
        <f>5031263</f>
        <v>5031263</v>
      </c>
      <c r="DA927" s="6">
        <f>3682887</f>
        <v>3682887</v>
      </c>
      <c r="DC927" s="4" t="s">
        <v>241</v>
      </c>
      <c r="DD927" s="4" t="s">
        <v>241</v>
      </c>
      <c r="DF927" s="4" t="s">
        <v>241</v>
      </c>
      <c r="DG927" s="6">
        <f>0</f>
        <v>0</v>
      </c>
      <c r="DI927" s="4" t="s">
        <v>241</v>
      </c>
      <c r="DJ927" s="4" t="s">
        <v>241</v>
      </c>
      <c r="DK927" s="4" t="s">
        <v>241</v>
      </c>
      <c r="DL927" s="4" t="s">
        <v>241</v>
      </c>
      <c r="DM927" s="4" t="s">
        <v>278</v>
      </c>
      <c r="DN927" s="4" t="s">
        <v>278</v>
      </c>
      <c r="DO927" s="6" t="s">
        <v>241</v>
      </c>
      <c r="DP927" s="4" t="s">
        <v>241</v>
      </c>
      <c r="DQ927" s="4" t="s">
        <v>241</v>
      </c>
      <c r="DR927" s="4" t="s">
        <v>241</v>
      </c>
      <c r="DS927" s="4" t="s">
        <v>241</v>
      </c>
      <c r="DV927" s="4" t="s">
        <v>1221</v>
      </c>
      <c r="DW927" s="4" t="s">
        <v>417</v>
      </c>
      <c r="GN927" s="4" t="s">
        <v>2736</v>
      </c>
      <c r="HO927" s="4" t="s">
        <v>351</v>
      </c>
      <c r="HR927" s="4" t="s">
        <v>278</v>
      </c>
      <c r="HS927" s="4" t="s">
        <v>278</v>
      </c>
      <c r="HT927" s="4" t="s">
        <v>241</v>
      </c>
      <c r="HU927" s="4" t="s">
        <v>241</v>
      </c>
      <c r="HV927" s="4" t="s">
        <v>241</v>
      </c>
      <c r="HW927" s="4" t="s">
        <v>241</v>
      </c>
      <c r="HX927" s="4" t="s">
        <v>241</v>
      </c>
      <c r="HY927" s="4" t="s">
        <v>241</v>
      </c>
      <c r="HZ927" s="4" t="s">
        <v>241</v>
      </c>
      <c r="IA927" s="4" t="s">
        <v>241</v>
      </c>
      <c r="IB927" s="4" t="s">
        <v>241</v>
      </c>
      <c r="IC927" s="4" t="s">
        <v>241</v>
      </c>
      <c r="ID927" s="4" t="s">
        <v>241</v>
      </c>
      <c r="IE927" s="4" t="s">
        <v>241</v>
      </c>
      <c r="IF927" s="4" t="s">
        <v>241</v>
      </c>
    </row>
    <row r="928" spans="1:240" x14ac:dyDescent="0.4">
      <c r="A928" s="4">
        <v>2</v>
      </c>
      <c r="B928" s="4" t="s">
        <v>239</v>
      </c>
      <c r="C928" s="4">
        <v>999</v>
      </c>
      <c r="D928" s="4">
        <v>1</v>
      </c>
      <c r="E928" s="4">
        <v>3</v>
      </c>
      <c r="F928" s="4" t="s">
        <v>240</v>
      </c>
      <c r="G928" s="4" t="s">
        <v>241</v>
      </c>
      <c r="H928" s="4" t="s">
        <v>241</v>
      </c>
      <c r="I928" s="4" t="s">
        <v>1213</v>
      </c>
      <c r="J928" s="4" t="s">
        <v>344</v>
      </c>
      <c r="K928" s="4" t="s">
        <v>256</v>
      </c>
      <c r="L928" s="4" t="s">
        <v>2101</v>
      </c>
      <c r="M928" s="5" t="s">
        <v>1215</v>
      </c>
      <c r="N928" s="4" t="s">
        <v>2104</v>
      </c>
      <c r="O928" s="6">
        <f>1869.78</f>
        <v>1869.78</v>
      </c>
      <c r="P928" s="4" t="s">
        <v>276</v>
      </c>
      <c r="Q928" s="6">
        <f>37336312</f>
        <v>37336312</v>
      </c>
      <c r="R928" s="6">
        <f>97229908</f>
        <v>97229908</v>
      </c>
      <c r="S928" s="5" t="s">
        <v>1214</v>
      </c>
      <c r="T928" s="4" t="s">
        <v>668</v>
      </c>
      <c r="U928" s="4" t="s">
        <v>358</v>
      </c>
      <c r="V928" s="6">
        <f>2139057</f>
        <v>2139057</v>
      </c>
      <c r="W928" s="6">
        <f>59893596</f>
        <v>59893596</v>
      </c>
      <c r="X928" s="4" t="s">
        <v>243</v>
      </c>
      <c r="Y928" s="4" t="s">
        <v>244</v>
      </c>
      <c r="Z928" s="4" t="s">
        <v>338</v>
      </c>
      <c r="AA928" s="4" t="s">
        <v>241</v>
      </c>
      <c r="AD928" s="4" t="s">
        <v>241</v>
      </c>
      <c r="AE928" s="5" t="s">
        <v>241</v>
      </c>
      <c r="AF928" s="5" t="s">
        <v>241</v>
      </c>
      <c r="AH928" s="5" t="s">
        <v>241</v>
      </c>
      <c r="AI928" s="5" t="s">
        <v>249</v>
      </c>
      <c r="AJ928" s="4" t="s">
        <v>251</v>
      </c>
      <c r="AK928" s="4" t="s">
        <v>252</v>
      </c>
      <c r="AQ928" s="4" t="s">
        <v>241</v>
      </c>
      <c r="AR928" s="4" t="s">
        <v>241</v>
      </c>
      <c r="AS928" s="4" t="s">
        <v>241</v>
      </c>
      <c r="AT928" s="5" t="s">
        <v>241</v>
      </c>
      <c r="AU928" s="5" t="s">
        <v>241</v>
      </c>
      <c r="AV928" s="5" t="s">
        <v>241</v>
      </c>
      <c r="AY928" s="4" t="s">
        <v>286</v>
      </c>
      <c r="AZ928" s="4" t="s">
        <v>286</v>
      </c>
      <c r="BA928" s="4" t="s">
        <v>254</v>
      </c>
      <c r="BB928" s="4" t="s">
        <v>287</v>
      </c>
      <c r="BC928" s="4" t="s">
        <v>255</v>
      </c>
      <c r="BD928" s="4" t="s">
        <v>241</v>
      </c>
      <c r="BE928" s="4" t="s">
        <v>257</v>
      </c>
      <c r="BF928" s="4" t="s">
        <v>241</v>
      </c>
      <c r="BJ928" s="4" t="s">
        <v>288</v>
      </c>
      <c r="BK928" s="5" t="s">
        <v>289</v>
      </c>
      <c r="BL928" s="4" t="s">
        <v>290</v>
      </c>
      <c r="BM928" s="4" t="s">
        <v>290</v>
      </c>
      <c r="BN928" s="4" t="s">
        <v>241</v>
      </c>
      <c r="BO928" s="6">
        <f>0</f>
        <v>0</v>
      </c>
      <c r="BP928" s="6">
        <f>-2139057</f>
        <v>-2139057</v>
      </c>
      <c r="BQ928" s="4" t="s">
        <v>263</v>
      </c>
      <c r="BR928" s="4" t="s">
        <v>264</v>
      </c>
      <c r="BS928" s="4" t="s">
        <v>241</v>
      </c>
      <c r="BT928" s="4" t="s">
        <v>241</v>
      </c>
      <c r="BU928" s="4" t="s">
        <v>241</v>
      </c>
      <c r="BV928" s="4" t="s">
        <v>241</v>
      </c>
      <c r="CE928" s="4" t="s">
        <v>264</v>
      </c>
      <c r="CF928" s="4" t="s">
        <v>241</v>
      </c>
      <c r="CG928" s="4" t="s">
        <v>241</v>
      </c>
      <c r="CK928" s="4" t="s">
        <v>291</v>
      </c>
      <c r="CL928" s="4" t="s">
        <v>266</v>
      </c>
      <c r="CM928" s="4" t="s">
        <v>241</v>
      </c>
      <c r="CO928" s="4" t="s">
        <v>355</v>
      </c>
      <c r="CP928" s="5" t="s">
        <v>268</v>
      </c>
      <c r="CQ928" s="4" t="s">
        <v>269</v>
      </c>
      <c r="CR928" s="4" t="s">
        <v>270</v>
      </c>
      <c r="CS928" s="4" t="s">
        <v>293</v>
      </c>
      <c r="CT928" s="4" t="s">
        <v>241</v>
      </c>
      <c r="CU928" s="4">
        <v>2.1999999999999999E-2</v>
      </c>
      <c r="CV928" s="4" t="s">
        <v>271</v>
      </c>
      <c r="CW928" s="4" t="s">
        <v>411</v>
      </c>
      <c r="CX928" s="4" t="s">
        <v>295</v>
      </c>
      <c r="CY928" s="6">
        <f>0</f>
        <v>0</v>
      </c>
      <c r="CZ928" s="6">
        <f>97229908</f>
        <v>97229908</v>
      </c>
      <c r="DA928" s="6">
        <f>37336312</f>
        <v>37336312</v>
      </c>
      <c r="DC928" s="4" t="s">
        <v>241</v>
      </c>
      <c r="DD928" s="4" t="s">
        <v>241</v>
      </c>
      <c r="DF928" s="4" t="s">
        <v>241</v>
      </c>
      <c r="DG928" s="6">
        <f>0</f>
        <v>0</v>
      </c>
      <c r="DI928" s="4" t="s">
        <v>241</v>
      </c>
      <c r="DJ928" s="4" t="s">
        <v>241</v>
      </c>
      <c r="DK928" s="4" t="s">
        <v>241</v>
      </c>
      <c r="DL928" s="4" t="s">
        <v>241</v>
      </c>
      <c r="DM928" s="4" t="s">
        <v>351</v>
      </c>
      <c r="DN928" s="4" t="s">
        <v>278</v>
      </c>
      <c r="DO928" s="6">
        <f>1869.78</f>
        <v>1869.78</v>
      </c>
      <c r="DP928" s="4" t="s">
        <v>241</v>
      </c>
      <c r="DQ928" s="4" t="s">
        <v>241</v>
      </c>
      <c r="DR928" s="4" t="s">
        <v>241</v>
      </c>
      <c r="DS928" s="4" t="s">
        <v>241</v>
      </c>
      <c r="DV928" s="4" t="s">
        <v>1216</v>
      </c>
      <c r="DW928" s="4" t="s">
        <v>277</v>
      </c>
      <c r="GN928" s="4" t="s">
        <v>2373</v>
      </c>
      <c r="HO928" s="4" t="s">
        <v>300</v>
      </c>
      <c r="HR928" s="4" t="s">
        <v>278</v>
      </c>
      <c r="HS928" s="4" t="s">
        <v>278</v>
      </c>
      <c r="HT928" s="4" t="s">
        <v>241</v>
      </c>
      <c r="HU928" s="4" t="s">
        <v>241</v>
      </c>
      <c r="HV928" s="4" t="s">
        <v>241</v>
      </c>
      <c r="HW928" s="4" t="s">
        <v>241</v>
      </c>
      <c r="HX928" s="4" t="s">
        <v>241</v>
      </c>
      <c r="HY928" s="4" t="s">
        <v>241</v>
      </c>
      <c r="HZ928" s="4" t="s">
        <v>241</v>
      </c>
      <c r="IA928" s="4" t="s">
        <v>241</v>
      </c>
      <c r="IB928" s="4" t="s">
        <v>241</v>
      </c>
      <c r="IC928" s="4" t="s">
        <v>241</v>
      </c>
      <c r="ID928" s="4" t="s">
        <v>241</v>
      </c>
      <c r="IE928" s="4" t="s">
        <v>241</v>
      </c>
      <c r="IF928" s="4" t="s">
        <v>241</v>
      </c>
    </row>
    <row r="929" spans="1:240" x14ac:dyDescent="0.4">
      <c r="A929" s="4">
        <v>2</v>
      </c>
      <c r="B929" s="4" t="s">
        <v>239</v>
      </c>
      <c r="C929" s="4">
        <v>1000</v>
      </c>
      <c r="D929" s="4">
        <v>1</v>
      </c>
      <c r="E929" s="4">
        <v>3</v>
      </c>
      <c r="F929" s="4" t="s">
        <v>240</v>
      </c>
      <c r="G929" s="4" t="s">
        <v>241</v>
      </c>
      <c r="H929" s="4" t="s">
        <v>241</v>
      </c>
      <c r="I929" s="4" t="s">
        <v>1213</v>
      </c>
      <c r="J929" s="4" t="s">
        <v>344</v>
      </c>
      <c r="K929" s="4" t="s">
        <v>256</v>
      </c>
      <c r="L929" s="4" t="s">
        <v>2101</v>
      </c>
      <c r="M929" s="5" t="s">
        <v>1215</v>
      </c>
      <c r="N929" s="4" t="s">
        <v>2109</v>
      </c>
      <c r="O929" s="6">
        <f>1861.1</f>
        <v>1861.1</v>
      </c>
      <c r="P929" s="4" t="s">
        <v>276</v>
      </c>
      <c r="Q929" s="6">
        <f>37612194</f>
        <v>37612194</v>
      </c>
      <c r="R929" s="6">
        <f>97948358</f>
        <v>97948358</v>
      </c>
      <c r="S929" s="5" t="s">
        <v>1214</v>
      </c>
      <c r="T929" s="4" t="s">
        <v>668</v>
      </c>
      <c r="U929" s="4" t="s">
        <v>358</v>
      </c>
      <c r="V929" s="6">
        <f>2154863</f>
        <v>2154863</v>
      </c>
      <c r="W929" s="6">
        <f>60336164</f>
        <v>60336164</v>
      </c>
      <c r="X929" s="4" t="s">
        <v>243</v>
      </c>
      <c r="Y929" s="4" t="s">
        <v>244</v>
      </c>
      <c r="Z929" s="4" t="s">
        <v>338</v>
      </c>
      <c r="AA929" s="4" t="s">
        <v>241</v>
      </c>
      <c r="AD929" s="4" t="s">
        <v>241</v>
      </c>
      <c r="AE929" s="5" t="s">
        <v>241</v>
      </c>
      <c r="AF929" s="5" t="s">
        <v>241</v>
      </c>
      <c r="AH929" s="5" t="s">
        <v>241</v>
      </c>
      <c r="AI929" s="5" t="s">
        <v>249</v>
      </c>
      <c r="AJ929" s="4" t="s">
        <v>251</v>
      </c>
      <c r="AK929" s="4" t="s">
        <v>252</v>
      </c>
      <c r="AQ929" s="4" t="s">
        <v>241</v>
      </c>
      <c r="AR929" s="4" t="s">
        <v>241</v>
      </c>
      <c r="AS929" s="4" t="s">
        <v>241</v>
      </c>
      <c r="AT929" s="5" t="s">
        <v>241</v>
      </c>
      <c r="AU929" s="5" t="s">
        <v>241</v>
      </c>
      <c r="AV929" s="5" t="s">
        <v>241</v>
      </c>
      <c r="AY929" s="4" t="s">
        <v>286</v>
      </c>
      <c r="AZ929" s="4" t="s">
        <v>286</v>
      </c>
      <c r="BA929" s="4" t="s">
        <v>254</v>
      </c>
      <c r="BB929" s="4" t="s">
        <v>287</v>
      </c>
      <c r="BC929" s="4" t="s">
        <v>255</v>
      </c>
      <c r="BD929" s="4" t="s">
        <v>241</v>
      </c>
      <c r="BE929" s="4" t="s">
        <v>257</v>
      </c>
      <c r="BF929" s="4" t="s">
        <v>241</v>
      </c>
      <c r="BJ929" s="4" t="s">
        <v>288</v>
      </c>
      <c r="BK929" s="5" t="s">
        <v>289</v>
      </c>
      <c r="BL929" s="4" t="s">
        <v>290</v>
      </c>
      <c r="BM929" s="4" t="s">
        <v>290</v>
      </c>
      <c r="BN929" s="4" t="s">
        <v>241</v>
      </c>
      <c r="BO929" s="6">
        <f>0</f>
        <v>0</v>
      </c>
      <c r="BP929" s="6">
        <f>-2154863</f>
        <v>-2154863</v>
      </c>
      <c r="BQ929" s="4" t="s">
        <v>263</v>
      </c>
      <c r="BR929" s="4" t="s">
        <v>264</v>
      </c>
      <c r="BS929" s="4" t="s">
        <v>241</v>
      </c>
      <c r="BT929" s="4" t="s">
        <v>241</v>
      </c>
      <c r="BU929" s="4" t="s">
        <v>241</v>
      </c>
      <c r="BV929" s="4" t="s">
        <v>241</v>
      </c>
      <c r="CE929" s="4" t="s">
        <v>264</v>
      </c>
      <c r="CF929" s="4" t="s">
        <v>241</v>
      </c>
      <c r="CG929" s="4" t="s">
        <v>241</v>
      </c>
      <c r="CK929" s="4" t="s">
        <v>291</v>
      </c>
      <c r="CL929" s="4" t="s">
        <v>266</v>
      </c>
      <c r="CM929" s="4" t="s">
        <v>241</v>
      </c>
      <c r="CO929" s="4" t="s">
        <v>355</v>
      </c>
      <c r="CP929" s="5" t="s">
        <v>268</v>
      </c>
      <c r="CQ929" s="4" t="s">
        <v>269</v>
      </c>
      <c r="CR929" s="4" t="s">
        <v>270</v>
      </c>
      <c r="CS929" s="4" t="s">
        <v>293</v>
      </c>
      <c r="CT929" s="4" t="s">
        <v>241</v>
      </c>
      <c r="CU929" s="4">
        <v>2.1999999999999999E-2</v>
      </c>
      <c r="CV929" s="4" t="s">
        <v>271</v>
      </c>
      <c r="CW929" s="4" t="s">
        <v>411</v>
      </c>
      <c r="CX929" s="4" t="s">
        <v>295</v>
      </c>
      <c r="CY929" s="6">
        <f>0</f>
        <v>0</v>
      </c>
      <c r="CZ929" s="6">
        <f>97948358</f>
        <v>97948358</v>
      </c>
      <c r="DA929" s="6">
        <f>37612194</f>
        <v>37612194</v>
      </c>
      <c r="DC929" s="4" t="s">
        <v>241</v>
      </c>
      <c r="DD929" s="4" t="s">
        <v>241</v>
      </c>
      <c r="DF929" s="4" t="s">
        <v>241</v>
      </c>
      <c r="DG929" s="6">
        <f>0</f>
        <v>0</v>
      </c>
      <c r="DI929" s="4" t="s">
        <v>241</v>
      </c>
      <c r="DJ929" s="4" t="s">
        <v>241</v>
      </c>
      <c r="DK929" s="4" t="s">
        <v>241</v>
      </c>
      <c r="DL929" s="4" t="s">
        <v>241</v>
      </c>
      <c r="DM929" s="4" t="s">
        <v>351</v>
      </c>
      <c r="DN929" s="4" t="s">
        <v>278</v>
      </c>
      <c r="DO929" s="6">
        <f>1861.1</f>
        <v>1861.1</v>
      </c>
      <c r="DP929" s="4" t="s">
        <v>241</v>
      </c>
      <c r="DQ929" s="4" t="s">
        <v>241</v>
      </c>
      <c r="DR929" s="4" t="s">
        <v>241</v>
      </c>
      <c r="DS929" s="4" t="s">
        <v>241</v>
      </c>
      <c r="DV929" s="4" t="s">
        <v>1216</v>
      </c>
      <c r="DW929" s="4" t="s">
        <v>323</v>
      </c>
      <c r="GN929" s="4" t="s">
        <v>2372</v>
      </c>
      <c r="HO929" s="4" t="s">
        <v>300</v>
      </c>
      <c r="HR929" s="4" t="s">
        <v>278</v>
      </c>
      <c r="HS929" s="4" t="s">
        <v>278</v>
      </c>
      <c r="HT929" s="4" t="s">
        <v>241</v>
      </c>
      <c r="HU929" s="4" t="s">
        <v>241</v>
      </c>
      <c r="HV929" s="4" t="s">
        <v>241</v>
      </c>
      <c r="HW929" s="4" t="s">
        <v>241</v>
      </c>
      <c r="HX929" s="4" t="s">
        <v>241</v>
      </c>
      <c r="HY929" s="4" t="s">
        <v>241</v>
      </c>
      <c r="HZ929" s="4" t="s">
        <v>241</v>
      </c>
      <c r="IA929" s="4" t="s">
        <v>241</v>
      </c>
      <c r="IB929" s="4" t="s">
        <v>241</v>
      </c>
      <c r="IC929" s="4" t="s">
        <v>241</v>
      </c>
      <c r="ID929" s="4" t="s">
        <v>241</v>
      </c>
      <c r="IE929" s="4" t="s">
        <v>241</v>
      </c>
      <c r="IF929" s="4" t="s">
        <v>241</v>
      </c>
    </row>
    <row r="930" spans="1:240" x14ac:dyDescent="0.4">
      <c r="A930" s="4">
        <v>2</v>
      </c>
      <c r="B930" s="4" t="s">
        <v>239</v>
      </c>
      <c r="C930" s="4">
        <v>1001</v>
      </c>
      <c r="D930" s="4">
        <v>1</v>
      </c>
      <c r="E930" s="4">
        <v>3</v>
      </c>
      <c r="F930" s="4" t="s">
        <v>240</v>
      </c>
      <c r="G930" s="4" t="s">
        <v>241</v>
      </c>
      <c r="H930" s="4" t="s">
        <v>241</v>
      </c>
      <c r="I930" s="4" t="s">
        <v>1213</v>
      </c>
      <c r="J930" s="4" t="s">
        <v>344</v>
      </c>
      <c r="K930" s="4" t="s">
        <v>256</v>
      </c>
      <c r="L930" s="4" t="s">
        <v>1174</v>
      </c>
      <c r="M930" s="5" t="s">
        <v>1215</v>
      </c>
      <c r="N930" s="4" t="s">
        <v>1206</v>
      </c>
      <c r="O930" s="6">
        <f>77.4</f>
        <v>77.400000000000006</v>
      </c>
      <c r="P930" s="4" t="s">
        <v>276</v>
      </c>
      <c r="Q930" s="6">
        <f>2239668</f>
        <v>2239668</v>
      </c>
      <c r="R930" s="6">
        <f>5832460</f>
        <v>5832460</v>
      </c>
      <c r="S930" s="5" t="s">
        <v>1214</v>
      </c>
      <c r="T930" s="4" t="s">
        <v>668</v>
      </c>
      <c r="U930" s="4" t="s">
        <v>358</v>
      </c>
      <c r="V930" s="6">
        <f>128314</f>
        <v>128314</v>
      </c>
      <c r="W930" s="6">
        <f>3592792</f>
        <v>3592792</v>
      </c>
      <c r="X930" s="4" t="s">
        <v>243</v>
      </c>
      <c r="Y930" s="4" t="s">
        <v>244</v>
      </c>
      <c r="Z930" s="4" t="s">
        <v>338</v>
      </c>
      <c r="AA930" s="4" t="s">
        <v>241</v>
      </c>
      <c r="AD930" s="4" t="s">
        <v>241</v>
      </c>
      <c r="AE930" s="5" t="s">
        <v>241</v>
      </c>
      <c r="AF930" s="5" t="s">
        <v>241</v>
      </c>
      <c r="AH930" s="5" t="s">
        <v>241</v>
      </c>
      <c r="AI930" s="5" t="s">
        <v>249</v>
      </c>
      <c r="AJ930" s="4" t="s">
        <v>251</v>
      </c>
      <c r="AK930" s="4" t="s">
        <v>252</v>
      </c>
      <c r="AQ930" s="4" t="s">
        <v>241</v>
      </c>
      <c r="AR930" s="4" t="s">
        <v>241</v>
      </c>
      <c r="AS930" s="4" t="s">
        <v>241</v>
      </c>
      <c r="AT930" s="5" t="s">
        <v>241</v>
      </c>
      <c r="AU930" s="5" t="s">
        <v>241</v>
      </c>
      <c r="AV930" s="5" t="s">
        <v>241</v>
      </c>
      <c r="AY930" s="4" t="s">
        <v>286</v>
      </c>
      <c r="AZ930" s="4" t="s">
        <v>286</v>
      </c>
      <c r="BA930" s="4" t="s">
        <v>254</v>
      </c>
      <c r="BB930" s="4" t="s">
        <v>287</v>
      </c>
      <c r="BC930" s="4" t="s">
        <v>255</v>
      </c>
      <c r="BD930" s="4" t="s">
        <v>241</v>
      </c>
      <c r="BE930" s="4" t="s">
        <v>257</v>
      </c>
      <c r="BF930" s="4" t="s">
        <v>241</v>
      </c>
      <c r="BJ930" s="4" t="s">
        <v>288</v>
      </c>
      <c r="BK930" s="5" t="s">
        <v>289</v>
      </c>
      <c r="BL930" s="4" t="s">
        <v>290</v>
      </c>
      <c r="BM930" s="4" t="s">
        <v>290</v>
      </c>
      <c r="BN930" s="4" t="s">
        <v>241</v>
      </c>
      <c r="BO930" s="6">
        <f>0</f>
        <v>0</v>
      </c>
      <c r="BP930" s="6">
        <f>-128314</f>
        <v>-128314</v>
      </c>
      <c r="BQ930" s="4" t="s">
        <v>263</v>
      </c>
      <c r="BR930" s="4" t="s">
        <v>264</v>
      </c>
      <c r="BS930" s="4" t="s">
        <v>241</v>
      </c>
      <c r="BT930" s="4" t="s">
        <v>241</v>
      </c>
      <c r="BU930" s="4" t="s">
        <v>241</v>
      </c>
      <c r="BV930" s="4" t="s">
        <v>241</v>
      </c>
      <c r="CE930" s="4" t="s">
        <v>264</v>
      </c>
      <c r="CF930" s="4" t="s">
        <v>241</v>
      </c>
      <c r="CG930" s="4" t="s">
        <v>241</v>
      </c>
      <c r="CK930" s="4" t="s">
        <v>291</v>
      </c>
      <c r="CL930" s="4" t="s">
        <v>266</v>
      </c>
      <c r="CM930" s="4" t="s">
        <v>241</v>
      </c>
      <c r="CO930" s="4" t="s">
        <v>355</v>
      </c>
      <c r="CP930" s="5" t="s">
        <v>268</v>
      </c>
      <c r="CQ930" s="4" t="s">
        <v>269</v>
      </c>
      <c r="CR930" s="4" t="s">
        <v>270</v>
      </c>
      <c r="CS930" s="4" t="s">
        <v>293</v>
      </c>
      <c r="CT930" s="4" t="s">
        <v>241</v>
      </c>
      <c r="CU930" s="4">
        <v>2.1999999999999999E-2</v>
      </c>
      <c r="CV930" s="4" t="s">
        <v>271</v>
      </c>
      <c r="CW930" s="4" t="s">
        <v>1176</v>
      </c>
      <c r="CX930" s="4" t="s">
        <v>295</v>
      </c>
      <c r="CY930" s="6">
        <f>0</f>
        <v>0</v>
      </c>
      <c r="CZ930" s="6">
        <f>5832460</f>
        <v>5832460</v>
      </c>
      <c r="DA930" s="6">
        <f>2239668</f>
        <v>2239668</v>
      </c>
      <c r="DC930" s="4" t="s">
        <v>241</v>
      </c>
      <c r="DD930" s="4" t="s">
        <v>241</v>
      </c>
      <c r="DF930" s="4" t="s">
        <v>241</v>
      </c>
      <c r="DG930" s="6">
        <f>0</f>
        <v>0</v>
      </c>
      <c r="DI930" s="4" t="s">
        <v>241</v>
      </c>
      <c r="DJ930" s="4" t="s">
        <v>241</v>
      </c>
      <c r="DK930" s="4" t="s">
        <v>241</v>
      </c>
      <c r="DL930" s="4" t="s">
        <v>241</v>
      </c>
      <c r="DM930" s="4" t="s">
        <v>277</v>
      </c>
      <c r="DN930" s="4" t="s">
        <v>278</v>
      </c>
      <c r="DO930" s="6">
        <f>77.4</f>
        <v>77.400000000000006</v>
      </c>
      <c r="DP930" s="4" t="s">
        <v>241</v>
      </c>
      <c r="DQ930" s="4" t="s">
        <v>241</v>
      </c>
      <c r="DR930" s="4" t="s">
        <v>241</v>
      </c>
      <c r="DS930" s="4" t="s">
        <v>241</v>
      </c>
      <c r="DV930" s="4" t="s">
        <v>1216</v>
      </c>
      <c r="DW930" s="4" t="s">
        <v>297</v>
      </c>
      <c r="GN930" s="4" t="s">
        <v>1217</v>
      </c>
      <c r="HO930" s="4" t="s">
        <v>300</v>
      </c>
      <c r="HR930" s="4" t="s">
        <v>278</v>
      </c>
      <c r="HS930" s="4" t="s">
        <v>278</v>
      </c>
      <c r="HT930" s="4" t="s">
        <v>241</v>
      </c>
      <c r="HU930" s="4" t="s">
        <v>241</v>
      </c>
      <c r="HV930" s="4" t="s">
        <v>241</v>
      </c>
      <c r="HW930" s="4" t="s">
        <v>241</v>
      </c>
      <c r="HX930" s="4" t="s">
        <v>241</v>
      </c>
      <c r="HY930" s="4" t="s">
        <v>241</v>
      </c>
      <c r="HZ930" s="4" t="s">
        <v>241</v>
      </c>
      <c r="IA930" s="4" t="s">
        <v>241</v>
      </c>
      <c r="IB930" s="4" t="s">
        <v>241</v>
      </c>
      <c r="IC930" s="4" t="s">
        <v>241</v>
      </c>
      <c r="ID930" s="4" t="s">
        <v>241</v>
      </c>
      <c r="IE930" s="4" t="s">
        <v>241</v>
      </c>
      <c r="IF930" s="4" t="s">
        <v>241</v>
      </c>
    </row>
    <row r="931" spans="1:240" x14ac:dyDescent="0.4">
      <c r="A931" s="4">
        <v>2</v>
      </c>
      <c r="B931" s="4" t="s">
        <v>239</v>
      </c>
      <c r="C931" s="4">
        <v>1002</v>
      </c>
      <c r="D931" s="4">
        <v>1</v>
      </c>
      <c r="E931" s="4">
        <v>1</v>
      </c>
      <c r="F931" s="4" t="s">
        <v>240</v>
      </c>
      <c r="G931" s="4" t="s">
        <v>241</v>
      </c>
      <c r="H931" s="4" t="s">
        <v>241</v>
      </c>
      <c r="I931" s="4" t="s">
        <v>1213</v>
      </c>
      <c r="J931" s="4" t="s">
        <v>344</v>
      </c>
      <c r="K931" s="4" t="s">
        <v>256</v>
      </c>
      <c r="L931" s="4" t="s">
        <v>3822</v>
      </c>
      <c r="M931" s="5" t="s">
        <v>1215</v>
      </c>
      <c r="N931" s="4" t="s">
        <v>3822</v>
      </c>
      <c r="O931" s="6">
        <f>100.6</f>
        <v>100.6</v>
      </c>
      <c r="P931" s="4" t="s">
        <v>276</v>
      </c>
      <c r="Q931" s="6">
        <f>1</f>
        <v>1</v>
      </c>
      <c r="R931" s="6">
        <f>1553147</f>
        <v>1553147</v>
      </c>
      <c r="S931" s="5" t="s">
        <v>1214</v>
      </c>
      <c r="T931" s="4" t="s">
        <v>274</v>
      </c>
      <c r="U931" s="4" t="s">
        <v>274</v>
      </c>
      <c r="W931" s="6">
        <f>1553146</f>
        <v>1553146</v>
      </c>
      <c r="X931" s="4" t="s">
        <v>243</v>
      </c>
      <c r="Y931" s="4" t="s">
        <v>244</v>
      </c>
      <c r="Z931" s="4" t="s">
        <v>338</v>
      </c>
      <c r="AA931" s="4" t="s">
        <v>241</v>
      </c>
      <c r="AD931" s="4" t="s">
        <v>241</v>
      </c>
      <c r="AF931" s="5" t="s">
        <v>241</v>
      </c>
      <c r="AI931" s="5" t="s">
        <v>249</v>
      </c>
      <c r="AJ931" s="4" t="s">
        <v>251</v>
      </c>
      <c r="AK931" s="4" t="s">
        <v>252</v>
      </c>
      <c r="BA931" s="4" t="s">
        <v>254</v>
      </c>
      <c r="BB931" s="4" t="s">
        <v>241</v>
      </c>
      <c r="BC931" s="4" t="s">
        <v>255</v>
      </c>
      <c r="BD931" s="4" t="s">
        <v>241</v>
      </c>
      <c r="BE931" s="4" t="s">
        <v>257</v>
      </c>
      <c r="BF931" s="4" t="s">
        <v>241</v>
      </c>
      <c r="BJ931" s="4" t="s">
        <v>367</v>
      </c>
      <c r="BK931" s="5" t="s">
        <v>249</v>
      </c>
      <c r="BL931" s="4" t="s">
        <v>261</v>
      </c>
      <c r="BM931" s="4" t="s">
        <v>290</v>
      </c>
      <c r="BN931" s="4" t="s">
        <v>241</v>
      </c>
      <c r="BO931" s="6">
        <f>0</f>
        <v>0</v>
      </c>
      <c r="BP931" s="6">
        <f>0</f>
        <v>0</v>
      </c>
      <c r="BQ931" s="4" t="s">
        <v>263</v>
      </c>
      <c r="BR931" s="4" t="s">
        <v>264</v>
      </c>
      <c r="CF931" s="4" t="s">
        <v>241</v>
      </c>
      <c r="CG931" s="4" t="s">
        <v>241</v>
      </c>
      <c r="CK931" s="4" t="s">
        <v>291</v>
      </c>
      <c r="CL931" s="4" t="s">
        <v>266</v>
      </c>
      <c r="CM931" s="4" t="s">
        <v>241</v>
      </c>
      <c r="CO931" s="4" t="s">
        <v>355</v>
      </c>
      <c r="CP931" s="5" t="s">
        <v>268</v>
      </c>
      <c r="CQ931" s="4" t="s">
        <v>269</v>
      </c>
      <c r="CR931" s="4" t="s">
        <v>270</v>
      </c>
      <c r="CS931" s="4" t="s">
        <v>241</v>
      </c>
      <c r="CT931" s="4" t="s">
        <v>241</v>
      </c>
      <c r="CU931" s="4">
        <v>0</v>
      </c>
      <c r="CV931" s="4" t="s">
        <v>271</v>
      </c>
      <c r="CW931" s="4" t="s">
        <v>3823</v>
      </c>
      <c r="CX931" s="4" t="s">
        <v>273</v>
      </c>
      <c r="CZ931" s="6">
        <f>1553147</f>
        <v>1553147</v>
      </c>
      <c r="DA931" s="6">
        <f>0</f>
        <v>0</v>
      </c>
      <c r="DC931" s="4" t="s">
        <v>241</v>
      </c>
      <c r="DD931" s="4" t="s">
        <v>241</v>
      </c>
      <c r="DF931" s="4" t="s">
        <v>241</v>
      </c>
      <c r="DI931" s="4" t="s">
        <v>241</v>
      </c>
      <c r="DJ931" s="4" t="s">
        <v>241</v>
      </c>
      <c r="DK931" s="4" t="s">
        <v>241</v>
      </c>
      <c r="DL931" s="4" t="s">
        <v>241</v>
      </c>
      <c r="DM931" s="4" t="s">
        <v>277</v>
      </c>
      <c r="DN931" s="4" t="s">
        <v>278</v>
      </c>
      <c r="DO931" s="6">
        <f>100.6</f>
        <v>100.6</v>
      </c>
      <c r="DP931" s="4" t="s">
        <v>241</v>
      </c>
      <c r="DQ931" s="4" t="s">
        <v>241</v>
      </c>
      <c r="DR931" s="4" t="s">
        <v>241</v>
      </c>
      <c r="DS931" s="4" t="s">
        <v>241</v>
      </c>
      <c r="DV931" s="4" t="s">
        <v>1216</v>
      </c>
      <c r="DW931" s="4" t="s">
        <v>336</v>
      </c>
      <c r="HO931" s="4" t="s">
        <v>297</v>
      </c>
      <c r="HR931" s="4" t="s">
        <v>278</v>
      </c>
      <c r="HS931" s="4" t="s">
        <v>278</v>
      </c>
    </row>
    <row r="932" spans="1:240" x14ac:dyDescent="0.4">
      <c r="A932" s="4">
        <v>2</v>
      </c>
      <c r="B932" s="4" t="s">
        <v>239</v>
      </c>
      <c r="C932" s="4">
        <v>1003</v>
      </c>
      <c r="D932" s="4">
        <v>1</v>
      </c>
      <c r="E932" s="4">
        <v>1</v>
      </c>
      <c r="F932" s="4" t="s">
        <v>240</v>
      </c>
      <c r="G932" s="4" t="s">
        <v>241</v>
      </c>
      <c r="H932" s="4" t="s">
        <v>241</v>
      </c>
      <c r="I932" s="4" t="s">
        <v>1213</v>
      </c>
      <c r="J932" s="4" t="s">
        <v>344</v>
      </c>
      <c r="K932" s="4" t="s">
        <v>256</v>
      </c>
      <c r="L932" s="4" t="s">
        <v>414</v>
      </c>
      <c r="M932" s="5" t="s">
        <v>1215</v>
      </c>
      <c r="N932" s="4" t="s">
        <v>2880</v>
      </c>
      <c r="O932" s="6">
        <f>49</f>
        <v>49</v>
      </c>
      <c r="P932" s="4" t="s">
        <v>276</v>
      </c>
      <c r="Q932" s="6">
        <f>1</f>
        <v>1</v>
      </c>
      <c r="R932" s="6">
        <f>2413598</f>
        <v>2413598</v>
      </c>
      <c r="S932" s="5" t="s">
        <v>1214</v>
      </c>
      <c r="T932" s="4" t="s">
        <v>348</v>
      </c>
      <c r="U932" s="4" t="s">
        <v>314</v>
      </c>
      <c r="W932" s="6">
        <f>2413597</f>
        <v>2413597</v>
      </c>
      <c r="X932" s="4" t="s">
        <v>243</v>
      </c>
      <c r="Y932" s="4" t="s">
        <v>244</v>
      </c>
      <c r="Z932" s="4" t="s">
        <v>338</v>
      </c>
      <c r="AA932" s="4" t="s">
        <v>241</v>
      </c>
      <c r="AD932" s="4" t="s">
        <v>241</v>
      </c>
      <c r="AF932" s="5" t="s">
        <v>241</v>
      </c>
      <c r="AI932" s="5" t="s">
        <v>249</v>
      </c>
      <c r="AJ932" s="4" t="s">
        <v>251</v>
      </c>
      <c r="AK932" s="4" t="s">
        <v>252</v>
      </c>
      <c r="BA932" s="4" t="s">
        <v>254</v>
      </c>
      <c r="BB932" s="4" t="s">
        <v>241</v>
      </c>
      <c r="BC932" s="4" t="s">
        <v>255</v>
      </c>
      <c r="BD932" s="4" t="s">
        <v>241</v>
      </c>
      <c r="BE932" s="4" t="s">
        <v>257</v>
      </c>
      <c r="BF932" s="4" t="s">
        <v>241</v>
      </c>
      <c r="BJ932" s="4" t="s">
        <v>374</v>
      </c>
      <c r="BK932" s="5" t="s">
        <v>375</v>
      </c>
      <c r="BL932" s="4" t="s">
        <v>261</v>
      </c>
      <c r="BM932" s="4" t="s">
        <v>262</v>
      </c>
      <c r="BN932" s="4" t="s">
        <v>241</v>
      </c>
      <c r="BO932" s="6">
        <f>0</f>
        <v>0</v>
      </c>
      <c r="BP932" s="6">
        <f>0</f>
        <v>0</v>
      </c>
      <c r="BQ932" s="4" t="s">
        <v>263</v>
      </c>
      <c r="BR932" s="4" t="s">
        <v>264</v>
      </c>
      <c r="CF932" s="4" t="s">
        <v>241</v>
      </c>
      <c r="CG932" s="4" t="s">
        <v>241</v>
      </c>
      <c r="CK932" s="4" t="s">
        <v>291</v>
      </c>
      <c r="CL932" s="4" t="s">
        <v>266</v>
      </c>
      <c r="CM932" s="4" t="s">
        <v>241</v>
      </c>
      <c r="CO932" s="4" t="s">
        <v>355</v>
      </c>
      <c r="CP932" s="5" t="s">
        <v>268</v>
      </c>
      <c r="CQ932" s="4" t="s">
        <v>269</v>
      </c>
      <c r="CR932" s="4" t="s">
        <v>270</v>
      </c>
      <c r="CS932" s="4" t="s">
        <v>241</v>
      </c>
      <c r="CT932" s="4" t="s">
        <v>241</v>
      </c>
      <c r="CU932" s="4">
        <v>0</v>
      </c>
      <c r="CV932" s="4" t="s">
        <v>271</v>
      </c>
      <c r="CW932" s="4" t="s">
        <v>415</v>
      </c>
      <c r="CX932" s="4" t="s">
        <v>416</v>
      </c>
      <c r="CZ932" s="6">
        <f>2413598</f>
        <v>2413598</v>
      </c>
      <c r="DA932" s="6">
        <f>0</f>
        <v>0</v>
      </c>
      <c r="DC932" s="4" t="s">
        <v>241</v>
      </c>
      <c r="DD932" s="4" t="s">
        <v>241</v>
      </c>
      <c r="DF932" s="4" t="s">
        <v>241</v>
      </c>
      <c r="DI932" s="4" t="s">
        <v>241</v>
      </c>
      <c r="DJ932" s="4" t="s">
        <v>241</v>
      </c>
      <c r="DK932" s="4" t="s">
        <v>241</v>
      </c>
      <c r="DL932" s="4" t="s">
        <v>241</v>
      </c>
      <c r="DM932" s="4" t="s">
        <v>277</v>
      </c>
      <c r="DN932" s="4" t="s">
        <v>278</v>
      </c>
      <c r="DO932" s="6">
        <f>49</f>
        <v>49</v>
      </c>
      <c r="DP932" s="4" t="s">
        <v>241</v>
      </c>
      <c r="DQ932" s="4" t="s">
        <v>241</v>
      </c>
      <c r="DR932" s="4" t="s">
        <v>241</v>
      </c>
      <c r="DS932" s="4" t="s">
        <v>241</v>
      </c>
      <c r="DV932" s="4" t="s">
        <v>1216</v>
      </c>
      <c r="DW932" s="4" t="s">
        <v>351</v>
      </c>
      <c r="HO932" s="4" t="s">
        <v>277</v>
      </c>
      <c r="HR932" s="4" t="s">
        <v>278</v>
      </c>
      <c r="HS932" s="4" t="s">
        <v>278</v>
      </c>
    </row>
    <row r="933" spans="1:240" x14ac:dyDescent="0.4">
      <c r="A933" s="4">
        <v>2</v>
      </c>
      <c r="B933" s="4" t="s">
        <v>239</v>
      </c>
      <c r="C933" s="4">
        <v>1004</v>
      </c>
      <c r="D933" s="4">
        <v>1</v>
      </c>
      <c r="E933" s="4">
        <v>3</v>
      </c>
      <c r="F933" s="4" t="s">
        <v>240</v>
      </c>
      <c r="G933" s="4" t="s">
        <v>241</v>
      </c>
      <c r="H933" s="4" t="s">
        <v>241</v>
      </c>
      <c r="I933" s="4" t="s">
        <v>1213</v>
      </c>
      <c r="J933" s="4" t="s">
        <v>344</v>
      </c>
      <c r="K933" s="4" t="s">
        <v>256</v>
      </c>
      <c r="L933" s="4" t="s">
        <v>414</v>
      </c>
      <c r="M933" s="5" t="s">
        <v>1215</v>
      </c>
      <c r="N933" s="4" t="s">
        <v>2952</v>
      </c>
      <c r="O933" s="6">
        <f>15.96</f>
        <v>15.96</v>
      </c>
      <c r="P933" s="4" t="s">
        <v>276</v>
      </c>
      <c r="Q933" s="6">
        <f>171578</f>
        <v>171578</v>
      </c>
      <c r="R933" s="6">
        <f>703186</f>
        <v>703186</v>
      </c>
      <c r="S933" s="5" t="s">
        <v>1214</v>
      </c>
      <c r="T933" s="4" t="s">
        <v>333</v>
      </c>
      <c r="U933" s="4" t="s">
        <v>358</v>
      </c>
      <c r="V933" s="6">
        <f>18986</f>
        <v>18986</v>
      </c>
      <c r="W933" s="6">
        <f>531608</f>
        <v>531608</v>
      </c>
      <c r="X933" s="4" t="s">
        <v>243</v>
      </c>
      <c r="Y933" s="4" t="s">
        <v>244</v>
      </c>
      <c r="Z933" s="4" t="s">
        <v>338</v>
      </c>
      <c r="AA933" s="4" t="s">
        <v>241</v>
      </c>
      <c r="AD933" s="4" t="s">
        <v>241</v>
      </c>
      <c r="AE933" s="5" t="s">
        <v>241</v>
      </c>
      <c r="AF933" s="5" t="s">
        <v>241</v>
      </c>
      <c r="AH933" s="5" t="s">
        <v>241</v>
      </c>
      <c r="AI933" s="5" t="s">
        <v>249</v>
      </c>
      <c r="AJ933" s="4" t="s">
        <v>251</v>
      </c>
      <c r="AK933" s="4" t="s">
        <v>252</v>
      </c>
      <c r="AQ933" s="4" t="s">
        <v>241</v>
      </c>
      <c r="AR933" s="4" t="s">
        <v>241</v>
      </c>
      <c r="AS933" s="4" t="s">
        <v>241</v>
      </c>
      <c r="AT933" s="5" t="s">
        <v>241</v>
      </c>
      <c r="AU933" s="5" t="s">
        <v>241</v>
      </c>
      <c r="AV933" s="5" t="s">
        <v>241</v>
      </c>
      <c r="AY933" s="4" t="s">
        <v>286</v>
      </c>
      <c r="AZ933" s="4" t="s">
        <v>286</v>
      </c>
      <c r="BA933" s="4" t="s">
        <v>254</v>
      </c>
      <c r="BB933" s="4" t="s">
        <v>287</v>
      </c>
      <c r="BC933" s="4" t="s">
        <v>255</v>
      </c>
      <c r="BD933" s="4" t="s">
        <v>241</v>
      </c>
      <c r="BE933" s="4" t="s">
        <v>257</v>
      </c>
      <c r="BF933" s="4" t="s">
        <v>241</v>
      </c>
      <c r="BJ933" s="4" t="s">
        <v>288</v>
      </c>
      <c r="BK933" s="5" t="s">
        <v>289</v>
      </c>
      <c r="BL933" s="4" t="s">
        <v>290</v>
      </c>
      <c r="BM933" s="4" t="s">
        <v>290</v>
      </c>
      <c r="BN933" s="4" t="s">
        <v>241</v>
      </c>
      <c r="BO933" s="6">
        <f>0</f>
        <v>0</v>
      </c>
      <c r="BP933" s="6">
        <f>-18986</f>
        <v>-18986</v>
      </c>
      <c r="BQ933" s="4" t="s">
        <v>263</v>
      </c>
      <c r="BR933" s="4" t="s">
        <v>264</v>
      </c>
      <c r="BS933" s="4" t="s">
        <v>241</v>
      </c>
      <c r="BT933" s="4" t="s">
        <v>241</v>
      </c>
      <c r="BU933" s="4" t="s">
        <v>241</v>
      </c>
      <c r="BV933" s="4" t="s">
        <v>241</v>
      </c>
      <c r="CE933" s="4" t="s">
        <v>264</v>
      </c>
      <c r="CF933" s="4" t="s">
        <v>241</v>
      </c>
      <c r="CG933" s="4" t="s">
        <v>241</v>
      </c>
      <c r="CK933" s="4" t="s">
        <v>291</v>
      </c>
      <c r="CL933" s="4" t="s">
        <v>266</v>
      </c>
      <c r="CM933" s="4" t="s">
        <v>241</v>
      </c>
      <c r="CO933" s="4" t="s">
        <v>355</v>
      </c>
      <c r="CP933" s="5" t="s">
        <v>268</v>
      </c>
      <c r="CQ933" s="4" t="s">
        <v>269</v>
      </c>
      <c r="CR933" s="4" t="s">
        <v>270</v>
      </c>
      <c r="CS933" s="4" t="s">
        <v>293</v>
      </c>
      <c r="CT933" s="4" t="s">
        <v>241</v>
      </c>
      <c r="CU933" s="4">
        <v>2.7E-2</v>
      </c>
      <c r="CV933" s="4" t="s">
        <v>271</v>
      </c>
      <c r="CW933" s="4" t="s">
        <v>272</v>
      </c>
      <c r="CX933" s="4" t="s">
        <v>295</v>
      </c>
      <c r="CY933" s="6">
        <f>0</f>
        <v>0</v>
      </c>
      <c r="CZ933" s="6">
        <f>703186</f>
        <v>703186</v>
      </c>
      <c r="DA933" s="6">
        <f>171578</f>
        <v>171578</v>
      </c>
      <c r="DC933" s="4" t="s">
        <v>241</v>
      </c>
      <c r="DD933" s="4" t="s">
        <v>241</v>
      </c>
      <c r="DF933" s="4" t="s">
        <v>241</v>
      </c>
      <c r="DG933" s="6">
        <f>0</f>
        <v>0</v>
      </c>
      <c r="DI933" s="4" t="s">
        <v>241</v>
      </c>
      <c r="DJ933" s="4" t="s">
        <v>241</v>
      </c>
      <c r="DK933" s="4" t="s">
        <v>241</v>
      </c>
      <c r="DL933" s="4" t="s">
        <v>241</v>
      </c>
      <c r="DM933" s="4" t="s">
        <v>277</v>
      </c>
      <c r="DN933" s="4" t="s">
        <v>278</v>
      </c>
      <c r="DO933" s="6">
        <f>15.96</f>
        <v>15.96</v>
      </c>
      <c r="DP933" s="4" t="s">
        <v>241</v>
      </c>
      <c r="DQ933" s="4" t="s">
        <v>241</v>
      </c>
      <c r="DR933" s="4" t="s">
        <v>241</v>
      </c>
      <c r="DS933" s="4" t="s">
        <v>241</v>
      </c>
      <c r="DV933" s="4" t="s">
        <v>1216</v>
      </c>
      <c r="DW933" s="4" t="s">
        <v>300</v>
      </c>
      <c r="GN933" s="4" t="s">
        <v>3601</v>
      </c>
      <c r="HO933" s="4" t="s">
        <v>300</v>
      </c>
      <c r="HR933" s="4" t="s">
        <v>278</v>
      </c>
      <c r="HS933" s="4" t="s">
        <v>278</v>
      </c>
      <c r="HT933" s="4" t="s">
        <v>241</v>
      </c>
      <c r="HU933" s="4" t="s">
        <v>241</v>
      </c>
      <c r="HV933" s="4" t="s">
        <v>241</v>
      </c>
      <c r="HW933" s="4" t="s">
        <v>241</v>
      </c>
      <c r="HX933" s="4" t="s">
        <v>241</v>
      </c>
      <c r="HY933" s="4" t="s">
        <v>241</v>
      </c>
      <c r="HZ933" s="4" t="s">
        <v>241</v>
      </c>
      <c r="IA933" s="4" t="s">
        <v>241</v>
      </c>
      <c r="IB933" s="4" t="s">
        <v>241</v>
      </c>
      <c r="IC933" s="4" t="s">
        <v>241</v>
      </c>
      <c r="ID933" s="4" t="s">
        <v>241</v>
      </c>
      <c r="IE933" s="4" t="s">
        <v>241</v>
      </c>
      <c r="IF933" s="4" t="s">
        <v>241</v>
      </c>
    </row>
    <row r="934" spans="1:240" x14ac:dyDescent="0.4">
      <c r="A934" s="4">
        <v>2</v>
      </c>
      <c r="B934" s="4" t="s">
        <v>239</v>
      </c>
      <c r="C934" s="4">
        <v>1005</v>
      </c>
      <c r="D934" s="4">
        <v>1</v>
      </c>
      <c r="E934" s="4">
        <v>1</v>
      </c>
      <c r="F934" s="4" t="s">
        <v>240</v>
      </c>
      <c r="G934" s="4" t="s">
        <v>241</v>
      </c>
      <c r="H934" s="4" t="s">
        <v>241</v>
      </c>
      <c r="I934" s="4" t="s">
        <v>1213</v>
      </c>
      <c r="J934" s="4" t="s">
        <v>344</v>
      </c>
      <c r="K934" s="4" t="s">
        <v>256</v>
      </c>
      <c r="L934" s="4" t="s">
        <v>430</v>
      </c>
      <c r="M934" s="5" t="s">
        <v>1215</v>
      </c>
      <c r="N934" s="4" t="s">
        <v>2998</v>
      </c>
      <c r="O934" s="6">
        <f>12.23</f>
        <v>12.23</v>
      </c>
      <c r="P934" s="4" t="s">
        <v>276</v>
      </c>
      <c r="Q934" s="6">
        <f>1</f>
        <v>1</v>
      </c>
      <c r="R934" s="6">
        <f>310225</f>
        <v>310225</v>
      </c>
      <c r="S934" s="5" t="s">
        <v>1214</v>
      </c>
      <c r="T934" s="4" t="s">
        <v>274</v>
      </c>
      <c r="U934" s="4" t="s">
        <v>274</v>
      </c>
      <c r="W934" s="6">
        <f>310224</f>
        <v>310224</v>
      </c>
      <c r="X934" s="4" t="s">
        <v>243</v>
      </c>
      <c r="Y934" s="4" t="s">
        <v>244</v>
      </c>
      <c r="Z934" s="4" t="s">
        <v>338</v>
      </c>
      <c r="AA934" s="4" t="s">
        <v>241</v>
      </c>
      <c r="AD934" s="4" t="s">
        <v>241</v>
      </c>
      <c r="AF934" s="5" t="s">
        <v>241</v>
      </c>
      <c r="AI934" s="5" t="s">
        <v>249</v>
      </c>
      <c r="AJ934" s="4" t="s">
        <v>251</v>
      </c>
      <c r="AK934" s="4" t="s">
        <v>252</v>
      </c>
      <c r="BA934" s="4" t="s">
        <v>254</v>
      </c>
      <c r="BB934" s="4" t="s">
        <v>241</v>
      </c>
      <c r="BC934" s="4" t="s">
        <v>255</v>
      </c>
      <c r="BD934" s="4" t="s">
        <v>241</v>
      </c>
      <c r="BE934" s="4" t="s">
        <v>257</v>
      </c>
      <c r="BF934" s="4" t="s">
        <v>241</v>
      </c>
      <c r="BJ934" s="4" t="s">
        <v>259</v>
      </c>
      <c r="BK934" s="5" t="s">
        <v>260</v>
      </c>
      <c r="BL934" s="4" t="s">
        <v>261</v>
      </c>
      <c r="BM934" s="4" t="s">
        <v>290</v>
      </c>
      <c r="BN934" s="4" t="s">
        <v>241</v>
      </c>
      <c r="BO934" s="6">
        <f>0</f>
        <v>0</v>
      </c>
      <c r="BP934" s="6">
        <f>0</f>
        <v>0</v>
      </c>
      <c r="BQ934" s="4" t="s">
        <v>263</v>
      </c>
      <c r="BR934" s="4" t="s">
        <v>264</v>
      </c>
      <c r="CF934" s="4" t="s">
        <v>241</v>
      </c>
      <c r="CG934" s="4" t="s">
        <v>241</v>
      </c>
      <c r="CK934" s="4" t="s">
        <v>291</v>
      </c>
      <c r="CL934" s="4" t="s">
        <v>266</v>
      </c>
      <c r="CM934" s="4" t="s">
        <v>241</v>
      </c>
      <c r="CO934" s="4" t="s">
        <v>355</v>
      </c>
      <c r="CP934" s="5" t="s">
        <v>268</v>
      </c>
      <c r="CQ934" s="4" t="s">
        <v>269</v>
      </c>
      <c r="CR934" s="4" t="s">
        <v>270</v>
      </c>
      <c r="CS934" s="4" t="s">
        <v>241</v>
      </c>
      <c r="CT934" s="4" t="s">
        <v>241</v>
      </c>
      <c r="CU934" s="4">
        <v>0</v>
      </c>
      <c r="CV934" s="4" t="s">
        <v>271</v>
      </c>
      <c r="CW934" s="4" t="s">
        <v>272</v>
      </c>
      <c r="CX934" s="4" t="s">
        <v>273</v>
      </c>
      <c r="CZ934" s="6">
        <f>310225</f>
        <v>310225</v>
      </c>
      <c r="DA934" s="6">
        <f>0</f>
        <v>0</v>
      </c>
      <c r="DC934" s="4" t="s">
        <v>241</v>
      </c>
      <c r="DD934" s="4" t="s">
        <v>241</v>
      </c>
      <c r="DF934" s="4" t="s">
        <v>241</v>
      </c>
      <c r="DI934" s="4" t="s">
        <v>241</v>
      </c>
      <c r="DJ934" s="4" t="s">
        <v>241</v>
      </c>
      <c r="DK934" s="4" t="s">
        <v>241</v>
      </c>
      <c r="DL934" s="4" t="s">
        <v>241</v>
      </c>
      <c r="DM934" s="4" t="s">
        <v>277</v>
      </c>
      <c r="DN934" s="4" t="s">
        <v>278</v>
      </c>
      <c r="DO934" s="6">
        <f>12.23</f>
        <v>12.23</v>
      </c>
      <c r="DP934" s="4" t="s">
        <v>241</v>
      </c>
      <c r="DQ934" s="4" t="s">
        <v>241</v>
      </c>
      <c r="DR934" s="4" t="s">
        <v>241</v>
      </c>
      <c r="DS934" s="4" t="s">
        <v>241</v>
      </c>
      <c r="DV934" s="4" t="s">
        <v>1216</v>
      </c>
      <c r="DW934" s="4" t="s">
        <v>341</v>
      </c>
      <c r="HO934" s="4" t="s">
        <v>297</v>
      </c>
      <c r="HR934" s="4" t="s">
        <v>278</v>
      </c>
      <c r="HS934" s="4" t="s">
        <v>278</v>
      </c>
    </row>
    <row r="935" spans="1:240" x14ac:dyDescent="0.4">
      <c r="A935" s="4">
        <v>2</v>
      </c>
      <c r="B935" s="4" t="s">
        <v>239</v>
      </c>
      <c r="C935" s="4">
        <v>1006</v>
      </c>
      <c r="D935" s="4">
        <v>1</v>
      </c>
      <c r="E935" s="4">
        <v>1</v>
      </c>
      <c r="F935" s="4" t="s">
        <v>240</v>
      </c>
      <c r="G935" s="4" t="s">
        <v>241</v>
      </c>
      <c r="H935" s="4" t="s">
        <v>241</v>
      </c>
      <c r="I935" s="4" t="s">
        <v>1213</v>
      </c>
      <c r="J935" s="4" t="s">
        <v>344</v>
      </c>
      <c r="K935" s="4" t="s">
        <v>256</v>
      </c>
      <c r="L935" s="4" t="s">
        <v>3822</v>
      </c>
      <c r="M935" s="5" t="s">
        <v>1215</v>
      </c>
      <c r="N935" s="4" t="s">
        <v>3822</v>
      </c>
      <c r="O935" s="6">
        <f>151.05</f>
        <v>151.05000000000001</v>
      </c>
      <c r="P935" s="4" t="s">
        <v>276</v>
      </c>
      <c r="Q935" s="6">
        <f>1</f>
        <v>1</v>
      </c>
      <c r="R935" s="6">
        <f>2279908</f>
        <v>2279908</v>
      </c>
      <c r="S935" s="5" t="s">
        <v>1214</v>
      </c>
      <c r="T935" s="4" t="s">
        <v>274</v>
      </c>
      <c r="U935" s="4" t="s">
        <v>274</v>
      </c>
      <c r="W935" s="6">
        <f>2279907</f>
        <v>2279907</v>
      </c>
      <c r="X935" s="4" t="s">
        <v>243</v>
      </c>
      <c r="Y935" s="4" t="s">
        <v>244</v>
      </c>
      <c r="Z935" s="4" t="s">
        <v>338</v>
      </c>
      <c r="AA935" s="4" t="s">
        <v>241</v>
      </c>
      <c r="AD935" s="4" t="s">
        <v>241</v>
      </c>
      <c r="AF935" s="5" t="s">
        <v>241</v>
      </c>
      <c r="AI935" s="5" t="s">
        <v>249</v>
      </c>
      <c r="AJ935" s="4" t="s">
        <v>251</v>
      </c>
      <c r="AK935" s="4" t="s">
        <v>252</v>
      </c>
      <c r="BA935" s="4" t="s">
        <v>254</v>
      </c>
      <c r="BB935" s="4" t="s">
        <v>241</v>
      </c>
      <c r="BC935" s="4" t="s">
        <v>255</v>
      </c>
      <c r="BD935" s="4" t="s">
        <v>241</v>
      </c>
      <c r="BE935" s="4" t="s">
        <v>257</v>
      </c>
      <c r="BF935" s="4" t="s">
        <v>241</v>
      </c>
      <c r="BJ935" s="4" t="s">
        <v>367</v>
      </c>
      <c r="BK935" s="5" t="s">
        <v>249</v>
      </c>
      <c r="BL935" s="4" t="s">
        <v>261</v>
      </c>
      <c r="BM935" s="4" t="s">
        <v>290</v>
      </c>
      <c r="BN935" s="4" t="s">
        <v>241</v>
      </c>
      <c r="BO935" s="6">
        <f>0</f>
        <v>0</v>
      </c>
      <c r="BP935" s="6">
        <f>0</f>
        <v>0</v>
      </c>
      <c r="BQ935" s="4" t="s">
        <v>263</v>
      </c>
      <c r="BR935" s="4" t="s">
        <v>264</v>
      </c>
      <c r="CF935" s="4" t="s">
        <v>241</v>
      </c>
      <c r="CG935" s="4" t="s">
        <v>241</v>
      </c>
      <c r="CK935" s="4" t="s">
        <v>291</v>
      </c>
      <c r="CL935" s="4" t="s">
        <v>266</v>
      </c>
      <c r="CM935" s="4" t="s">
        <v>241</v>
      </c>
      <c r="CO935" s="4" t="s">
        <v>355</v>
      </c>
      <c r="CP935" s="5" t="s">
        <v>268</v>
      </c>
      <c r="CQ935" s="4" t="s">
        <v>269</v>
      </c>
      <c r="CR935" s="4" t="s">
        <v>270</v>
      </c>
      <c r="CS935" s="4" t="s">
        <v>241</v>
      </c>
      <c r="CT935" s="4" t="s">
        <v>241</v>
      </c>
      <c r="CU935" s="4">
        <v>0</v>
      </c>
      <c r="CV935" s="4" t="s">
        <v>271</v>
      </c>
      <c r="CW935" s="4" t="s">
        <v>3823</v>
      </c>
      <c r="CX935" s="4" t="s">
        <v>273</v>
      </c>
      <c r="CZ935" s="6">
        <f>2279908</f>
        <v>2279908</v>
      </c>
      <c r="DA935" s="6">
        <f>0</f>
        <v>0</v>
      </c>
      <c r="DC935" s="4" t="s">
        <v>241</v>
      </c>
      <c r="DD935" s="4" t="s">
        <v>241</v>
      </c>
      <c r="DF935" s="4" t="s">
        <v>241</v>
      </c>
      <c r="DI935" s="4" t="s">
        <v>241</v>
      </c>
      <c r="DJ935" s="4" t="s">
        <v>241</v>
      </c>
      <c r="DK935" s="4" t="s">
        <v>241</v>
      </c>
      <c r="DL935" s="4" t="s">
        <v>241</v>
      </c>
      <c r="DM935" s="4" t="s">
        <v>277</v>
      </c>
      <c r="DN935" s="4" t="s">
        <v>278</v>
      </c>
      <c r="DO935" s="6">
        <f>151.05</f>
        <v>151.05000000000001</v>
      </c>
      <c r="DP935" s="4" t="s">
        <v>241</v>
      </c>
      <c r="DQ935" s="4" t="s">
        <v>241</v>
      </c>
      <c r="DR935" s="4" t="s">
        <v>241</v>
      </c>
      <c r="DS935" s="4" t="s">
        <v>241</v>
      </c>
      <c r="DV935" s="4" t="s">
        <v>1216</v>
      </c>
      <c r="DW935" s="4" t="s">
        <v>343</v>
      </c>
      <c r="HO935" s="4" t="s">
        <v>297</v>
      </c>
      <c r="HR935" s="4" t="s">
        <v>278</v>
      </c>
      <c r="HS935" s="4" t="s">
        <v>278</v>
      </c>
    </row>
    <row r="936" spans="1:240" x14ac:dyDescent="0.4">
      <c r="A936" s="4">
        <v>2</v>
      </c>
      <c r="B936" s="4" t="s">
        <v>239</v>
      </c>
      <c r="C936" s="4">
        <v>1007</v>
      </c>
      <c r="D936" s="4">
        <v>1</v>
      </c>
      <c r="E936" s="4">
        <v>3</v>
      </c>
      <c r="F936" s="4" t="s">
        <v>240</v>
      </c>
      <c r="G936" s="4" t="s">
        <v>241</v>
      </c>
      <c r="H936" s="4" t="s">
        <v>241</v>
      </c>
      <c r="I936" s="4" t="s">
        <v>1207</v>
      </c>
      <c r="J936" s="4" t="s">
        <v>344</v>
      </c>
      <c r="K936" s="4" t="s">
        <v>256</v>
      </c>
      <c r="L936" s="4" t="s">
        <v>2101</v>
      </c>
      <c r="M936" s="5" t="s">
        <v>1210</v>
      </c>
      <c r="N936" s="4" t="s">
        <v>2104</v>
      </c>
      <c r="O936" s="6">
        <f>1866.06</f>
        <v>1866.06</v>
      </c>
      <c r="P936" s="4" t="s">
        <v>276</v>
      </c>
      <c r="Q936" s="6">
        <f>43135543</f>
        <v>43135543</v>
      </c>
      <c r="R936" s="6">
        <f>100783965</f>
        <v>100783965</v>
      </c>
      <c r="S936" s="5" t="s">
        <v>1208</v>
      </c>
      <c r="T936" s="4" t="s">
        <v>668</v>
      </c>
      <c r="U936" s="4" t="s">
        <v>404</v>
      </c>
      <c r="V936" s="6">
        <f>2217247</f>
        <v>2217247</v>
      </c>
      <c r="W936" s="6">
        <f>57648422</f>
        <v>57648422</v>
      </c>
      <c r="X936" s="4" t="s">
        <v>243</v>
      </c>
      <c r="Y936" s="4" t="s">
        <v>244</v>
      </c>
      <c r="Z936" s="4" t="s">
        <v>338</v>
      </c>
      <c r="AA936" s="4" t="s">
        <v>241</v>
      </c>
      <c r="AD936" s="4" t="s">
        <v>241</v>
      </c>
      <c r="AE936" s="5" t="s">
        <v>241</v>
      </c>
      <c r="AF936" s="5" t="s">
        <v>241</v>
      </c>
      <c r="AH936" s="5" t="s">
        <v>241</v>
      </c>
      <c r="AI936" s="5" t="s">
        <v>249</v>
      </c>
      <c r="AJ936" s="4" t="s">
        <v>251</v>
      </c>
      <c r="AK936" s="4" t="s">
        <v>252</v>
      </c>
      <c r="AQ936" s="4" t="s">
        <v>241</v>
      </c>
      <c r="AR936" s="4" t="s">
        <v>241</v>
      </c>
      <c r="AS936" s="4" t="s">
        <v>241</v>
      </c>
      <c r="AT936" s="5" t="s">
        <v>241</v>
      </c>
      <c r="AU936" s="5" t="s">
        <v>241</v>
      </c>
      <c r="AV936" s="5" t="s">
        <v>241</v>
      </c>
      <c r="AY936" s="4" t="s">
        <v>286</v>
      </c>
      <c r="AZ936" s="4" t="s">
        <v>286</v>
      </c>
      <c r="BA936" s="4" t="s">
        <v>254</v>
      </c>
      <c r="BB936" s="4" t="s">
        <v>287</v>
      </c>
      <c r="BC936" s="4" t="s">
        <v>255</v>
      </c>
      <c r="BD936" s="4" t="s">
        <v>241</v>
      </c>
      <c r="BE936" s="4" t="s">
        <v>257</v>
      </c>
      <c r="BF936" s="4" t="s">
        <v>241</v>
      </c>
      <c r="BJ936" s="4" t="s">
        <v>288</v>
      </c>
      <c r="BK936" s="5" t="s">
        <v>289</v>
      </c>
      <c r="BL936" s="4" t="s">
        <v>290</v>
      </c>
      <c r="BM936" s="4" t="s">
        <v>290</v>
      </c>
      <c r="BN936" s="4" t="s">
        <v>241</v>
      </c>
      <c r="BO936" s="6">
        <f>0</f>
        <v>0</v>
      </c>
      <c r="BP936" s="6">
        <f>-2217247</f>
        <v>-2217247</v>
      </c>
      <c r="BQ936" s="4" t="s">
        <v>263</v>
      </c>
      <c r="BR936" s="4" t="s">
        <v>264</v>
      </c>
      <c r="BS936" s="4" t="s">
        <v>241</v>
      </c>
      <c r="BT936" s="4" t="s">
        <v>241</v>
      </c>
      <c r="BU936" s="4" t="s">
        <v>241</v>
      </c>
      <c r="BV936" s="4" t="s">
        <v>241</v>
      </c>
      <c r="CE936" s="4" t="s">
        <v>264</v>
      </c>
      <c r="CF936" s="4" t="s">
        <v>241</v>
      </c>
      <c r="CG936" s="4" t="s">
        <v>241</v>
      </c>
      <c r="CK936" s="4" t="s">
        <v>291</v>
      </c>
      <c r="CL936" s="4" t="s">
        <v>266</v>
      </c>
      <c r="CM936" s="4" t="s">
        <v>241</v>
      </c>
      <c r="CO936" s="4" t="s">
        <v>387</v>
      </c>
      <c r="CP936" s="5" t="s">
        <v>268</v>
      </c>
      <c r="CQ936" s="4" t="s">
        <v>269</v>
      </c>
      <c r="CR936" s="4" t="s">
        <v>270</v>
      </c>
      <c r="CS936" s="4" t="s">
        <v>293</v>
      </c>
      <c r="CT936" s="4" t="s">
        <v>241</v>
      </c>
      <c r="CU936" s="4">
        <v>2.1999999999999999E-2</v>
      </c>
      <c r="CV936" s="4" t="s">
        <v>271</v>
      </c>
      <c r="CW936" s="4" t="s">
        <v>411</v>
      </c>
      <c r="CX936" s="4" t="s">
        <v>295</v>
      </c>
      <c r="CY936" s="6">
        <f>0</f>
        <v>0</v>
      </c>
      <c r="CZ936" s="6">
        <f>100783965</f>
        <v>100783965</v>
      </c>
      <c r="DA936" s="6">
        <f>43135543</f>
        <v>43135543</v>
      </c>
      <c r="DC936" s="4" t="s">
        <v>241</v>
      </c>
      <c r="DD936" s="4" t="s">
        <v>241</v>
      </c>
      <c r="DF936" s="4" t="s">
        <v>241</v>
      </c>
      <c r="DG936" s="6">
        <f>0</f>
        <v>0</v>
      </c>
      <c r="DI936" s="4" t="s">
        <v>241</v>
      </c>
      <c r="DJ936" s="4" t="s">
        <v>241</v>
      </c>
      <c r="DK936" s="4" t="s">
        <v>241</v>
      </c>
      <c r="DL936" s="4" t="s">
        <v>241</v>
      </c>
      <c r="DM936" s="4" t="s">
        <v>351</v>
      </c>
      <c r="DN936" s="4" t="s">
        <v>278</v>
      </c>
      <c r="DO936" s="6">
        <f>1866.06</f>
        <v>1866.06</v>
      </c>
      <c r="DP936" s="4" t="s">
        <v>241</v>
      </c>
      <c r="DQ936" s="4" t="s">
        <v>241</v>
      </c>
      <c r="DR936" s="4" t="s">
        <v>241</v>
      </c>
      <c r="DS936" s="4" t="s">
        <v>241</v>
      </c>
      <c r="DV936" s="4" t="s">
        <v>1211</v>
      </c>
      <c r="DW936" s="4" t="s">
        <v>277</v>
      </c>
      <c r="GN936" s="4" t="s">
        <v>2371</v>
      </c>
      <c r="HO936" s="4" t="s">
        <v>300</v>
      </c>
      <c r="HR936" s="4" t="s">
        <v>278</v>
      </c>
      <c r="HS936" s="4" t="s">
        <v>278</v>
      </c>
      <c r="HT936" s="4" t="s">
        <v>241</v>
      </c>
      <c r="HU936" s="4" t="s">
        <v>241</v>
      </c>
      <c r="HV936" s="4" t="s">
        <v>241</v>
      </c>
      <c r="HW936" s="4" t="s">
        <v>241</v>
      </c>
      <c r="HX936" s="4" t="s">
        <v>241</v>
      </c>
      <c r="HY936" s="4" t="s">
        <v>241</v>
      </c>
      <c r="HZ936" s="4" t="s">
        <v>241</v>
      </c>
      <c r="IA936" s="4" t="s">
        <v>241</v>
      </c>
      <c r="IB936" s="4" t="s">
        <v>241</v>
      </c>
      <c r="IC936" s="4" t="s">
        <v>241</v>
      </c>
      <c r="ID936" s="4" t="s">
        <v>241</v>
      </c>
      <c r="IE936" s="4" t="s">
        <v>241</v>
      </c>
      <c r="IF936" s="4" t="s">
        <v>241</v>
      </c>
    </row>
    <row r="937" spans="1:240" x14ac:dyDescent="0.4">
      <c r="A937" s="4">
        <v>2</v>
      </c>
      <c r="B937" s="4" t="s">
        <v>239</v>
      </c>
      <c r="C937" s="4">
        <v>1008</v>
      </c>
      <c r="D937" s="4">
        <v>1</v>
      </c>
      <c r="E937" s="4">
        <v>3</v>
      </c>
      <c r="F937" s="4" t="s">
        <v>240</v>
      </c>
      <c r="G937" s="4" t="s">
        <v>241</v>
      </c>
      <c r="H937" s="4" t="s">
        <v>241</v>
      </c>
      <c r="I937" s="4" t="s">
        <v>1207</v>
      </c>
      <c r="J937" s="4" t="s">
        <v>344</v>
      </c>
      <c r="K937" s="4" t="s">
        <v>256</v>
      </c>
      <c r="L937" s="4" t="s">
        <v>2101</v>
      </c>
      <c r="M937" s="5" t="s">
        <v>1210</v>
      </c>
      <c r="N937" s="4" t="s">
        <v>2109</v>
      </c>
      <c r="O937" s="6">
        <f>1857.67</f>
        <v>1857.67</v>
      </c>
      <c r="P937" s="4" t="s">
        <v>276</v>
      </c>
      <c r="Q937" s="6">
        <f>42875756</f>
        <v>42875756</v>
      </c>
      <c r="R937" s="6">
        <f>100176974</f>
        <v>100176974</v>
      </c>
      <c r="S937" s="5" t="s">
        <v>1208</v>
      </c>
      <c r="T937" s="4" t="s">
        <v>668</v>
      </c>
      <c r="U937" s="4" t="s">
        <v>404</v>
      </c>
      <c r="V937" s="6">
        <f>2203893</f>
        <v>2203893</v>
      </c>
      <c r="W937" s="6">
        <f>57301218</f>
        <v>57301218</v>
      </c>
      <c r="X937" s="4" t="s">
        <v>243</v>
      </c>
      <c r="Y937" s="4" t="s">
        <v>244</v>
      </c>
      <c r="Z937" s="4" t="s">
        <v>338</v>
      </c>
      <c r="AA937" s="4" t="s">
        <v>241</v>
      </c>
      <c r="AD937" s="4" t="s">
        <v>241</v>
      </c>
      <c r="AE937" s="5" t="s">
        <v>241</v>
      </c>
      <c r="AF937" s="5" t="s">
        <v>241</v>
      </c>
      <c r="AH937" s="5" t="s">
        <v>241</v>
      </c>
      <c r="AI937" s="5" t="s">
        <v>249</v>
      </c>
      <c r="AJ937" s="4" t="s">
        <v>251</v>
      </c>
      <c r="AK937" s="4" t="s">
        <v>252</v>
      </c>
      <c r="AQ937" s="4" t="s">
        <v>241</v>
      </c>
      <c r="AR937" s="4" t="s">
        <v>241</v>
      </c>
      <c r="AS937" s="4" t="s">
        <v>241</v>
      </c>
      <c r="AT937" s="5" t="s">
        <v>241</v>
      </c>
      <c r="AU937" s="5" t="s">
        <v>241</v>
      </c>
      <c r="AV937" s="5" t="s">
        <v>241</v>
      </c>
      <c r="AY937" s="4" t="s">
        <v>286</v>
      </c>
      <c r="AZ937" s="4" t="s">
        <v>286</v>
      </c>
      <c r="BA937" s="4" t="s">
        <v>254</v>
      </c>
      <c r="BB937" s="4" t="s">
        <v>287</v>
      </c>
      <c r="BC937" s="4" t="s">
        <v>255</v>
      </c>
      <c r="BD937" s="4" t="s">
        <v>241</v>
      </c>
      <c r="BE937" s="4" t="s">
        <v>257</v>
      </c>
      <c r="BF937" s="4" t="s">
        <v>241</v>
      </c>
      <c r="BJ937" s="4" t="s">
        <v>288</v>
      </c>
      <c r="BK937" s="5" t="s">
        <v>289</v>
      </c>
      <c r="BL937" s="4" t="s">
        <v>290</v>
      </c>
      <c r="BM937" s="4" t="s">
        <v>290</v>
      </c>
      <c r="BN937" s="4" t="s">
        <v>241</v>
      </c>
      <c r="BO937" s="6">
        <f>0</f>
        <v>0</v>
      </c>
      <c r="BP937" s="6">
        <f>-2203893</f>
        <v>-2203893</v>
      </c>
      <c r="BQ937" s="4" t="s">
        <v>263</v>
      </c>
      <c r="BR937" s="4" t="s">
        <v>264</v>
      </c>
      <c r="BS937" s="4" t="s">
        <v>241</v>
      </c>
      <c r="BT937" s="4" t="s">
        <v>241</v>
      </c>
      <c r="BU937" s="4" t="s">
        <v>241</v>
      </c>
      <c r="BV937" s="4" t="s">
        <v>241</v>
      </c>
      <c r="CE937" s="4" t="s">
        <v>264</v>
      </c>
      <c r="CF937" s="4" t="s">
        <v>241</v>
      </c>
      <c r="CG937" s="4" t="s">
        <v>241</v>
      </c>
      <c r="CK937" s="4" t="s">
        <v>291</v>
      </c>
      <c r="CL937" s="4" t="s">
        <v>266</v>
      </c>
      <c r="CM937" s="4" t="s">
        <v>241</v>
      </c>
      <c r="CO937" s="4" t="s">
        <v>387</v>
      </c>
      <c r="CP937" s="5" t="s">
        <v>268</v>
      </c>
      <c r="CQ937" s="4" t="s">
        <v>269</v>
      </c>
      <c r="CR937" s="4" t="s">
        <v>270</v>
      </c>
      <c r="CS937" s="4" t="s">
        <v>293</v>
      </c>
      <c r="CT937" s="4" t="s">
        <v>241</v>
      </c>
      <c r="CU937" s="4">
        <v>2.1999999999999999E-2</v>
      </c>
      <c r="CV937" s="4" t="s">
        <v>271</v>
      </c>
      <c r="CW937" s="4" t="s">
        <v>411</v>
      </c>
      <c r="CX937" s="4" t="s">
        <v>295</v>
      </c>
      <c r="CY937" s="6">
        <f>0</f>
        <v>0</v>
      </c>
      <c r="CZ937" s="6">
        <f>100176974</f>
        <v>100176974</v>
      </c>
      <c r="DA937" s="6">
        <f>42875756</f>
        <v>42875756</v>
      </c>
      <c r="DC937" s="4" t="s">
        <v>241</v>
      </c>
      <c r="DD937" s="4" t="s">
        <v>241</v>
      </c>
      <c r="DF937" s="4" t="s">
        <v>241</v>
      </c>
      <c r="DG937" s="6">
        <f>0</f>
        <v>0</v>
      </c>
      <c r="DI937" s="4" t="s">
        <v>241</v>
      </c>
      <c r="DJ937" s="4" t="s">
        <v>241</v>
      </c>
      <c r="DK937" s="4" t="s">
        <v>241</v>
      </c>
      <c r="DL937" s="4" t="s">
        <v>241</v>
      </c>
      <c r="DM937" s="4" t="s">
        <v>351</v>
      </c>
      <c r="DN937" s="4" t="s">
        <v>278</v>
      </c>
      <c r="DO937" s="6">
        <f>1857.67</f>
        <v>1857.67</v>
      </c>
      <c r="DP937" s="4" t="s">
        <v>241</v>
      </c>
      <c r="DQ937" s="4" t="s">
        <v>241</v>
      </c>
      <c r="DR937" s="4" t="s">
        <v>241</v>
      </c>
      <c r="DS937" s="4" t="s">
        <v>241</v>
      </c>
      <c r="DV937" s="4" t="s">
        <v>1211</v>
      </c>
      <c r="DW937" s="4" t="s">
        <v>323</v>
      </c>
      <c r="GN937" s="4" t="s">
        <v>2370</v>
      </c>
      <c r="HO937" s="4" t="s">
        <v>300</v>
      </c>
      <c r="HR937" s="4" t="s">
        <v>278</v>
      </c>
      <c r="HS937" s="4" t="s">
        <v>278</v>
      </c>
      <c r="HT937" s="4" t="s">
        <v>241</v>
      </c>
      <c r="HU937" s="4" t="s">
        <v>241</v>
      </c>
      <c r="HV937" s="4" t="s">
        <v>241</v>
      </c>
      <c r="HW937" s="4" t="s">
        <v>241</v>
      </c>
      <c r="HX937" s="4" t="s">
        <v>241</v>
      </c>
      <c r="HY937" s="4" t="s">
        <v>241</v>
      </c>
      <c r="HZ937" s="4" t="s">
        <v>241</v>
      </c>
      <c r="IA937" s="4" t="s">
        <v>241</v>
      </c>
      <c r="IB937" s="4" t="s">
        <v>241</v>
      </c>
      <c r="IC937" s="4" t="s">
        <v>241</v>
      </c>
      <c r="ID937" s="4" t="s">
        <v>241</v>
      </c>
      <c r="IE937" s="4" t="s">
        <v>241</v>
      </c>
      <c r="IF937" s="4" t="s">
        <v>241</v>
      </c>
    </row>
    <row r="938" spans="1:240" x14ac:dyDescent="0.4">
      <c r="A938" s="4">
        <v>2</v>
      </c>
      <c r="B938" s="4" t="s">
        <v>239</v>
      </c>
      <c r="C938" s="4">
        <v>1009</v>
      </c>
      <c r="D938" s="4">
        <v>1</v>
      </c>
      <c r="E938" s="4">
        <v>3</v>
      </c>
      <c r="F938" s="4" t="s">
        <v>240</v>
      </c>
      <c r="G938" s="4" t="s">
        <v>241</v>
      </c>
      <c r="H938" s="4" t="s">
        <v>241</v>
      </c>
      <c r="I938" s="4" t="s">
        <v>1207</v>
      </c>
      <c r="J938" s="4" t="s">
        <v>344</v>
      </c>
      <c r="K938" s="4" t="s">
        <v>256</v>
      </c>
      <c r="L938" s="4" t="s">
        <v>1174</v>
      </c>
      <c r="M938" s="5" t="s">
        <v>1210</v>
      </c>
      <c r="N938" s="4" t="s">
        <v>1206</v>
      </c>
      <c r="O938" s="6">
        <f>77.61</f>
        <v>77.61</v>
      </c>
      <c r="P938" s="4" t="s">
        <v>276</v>
      </c>
      <c r="Q938" s="6">
        <f>2874521</f>
        <v>2874521</v>
      </c>
      <c r="R938" s="6">
        <f>6716151</f>
        <v>6716151</v>
      </c>
      <c r="S938" s="5" t="s">
        <v>1208</v>
      </c>
      <c r="T938" s="4" t="s">
        <v>668</v>
      </c>
      <c r="U938" s="4" t="s">
        <v>404</v>
      </c>
      <c r="V938" s="6">
        <f>147755</f>
        <v>147755</v>
      </c>
      <c r="W938" s="6">
        <f>3841630</f>
        <v>3841630</v>
      </c>
      <c r="X938" s="4" t="s">
        <v>243</v>
      </c>
      <c r="Y938" s="4" t="s">
        <v>244</v>
      </c>
      <c r="Z938" s="4" t="s">
        <v>338</v>
      </c>
      <c r="AA938" s="4" t="s">
        <v>241</v>
      </c>
      <c r="AD938" s="4" t="s">
        <v>241</v>
      </c>
      <c r="AE938" s="5" t="s">
        <v>241</v>
      </c>
      <c r="AF938" s="5" t="s">
        <v>241</v>
      </c>
      <c r="AH938" s="5" t="s">
        <v>241</v>
      </c>
      <c r="AI938" s="5" t="s">
        <v>1209</v>
      </c>
      <c r="AJ938" s="4" t="s">
        <v>251</v>
      </c>
      <c r="AK938" s="4" t="s">
        <v>252</v>
      </c>
      <c r="AQ938" s="4" t="s">
        <v>241</v>
      </c>
      <c r="AR938" s="4" t="s">
        <v>241</v>
      </c>
      <c r="AS938" s="4" t="s">
        <v>241</v>
      </c>
      <c r="AT938" s="5" t="s">
        <v>241</v>
      </c>
      <c r="AU938" s="5" t="s">
        <v>241</v>
      </c>
      <c r="AV938" s="5" t="s">
        <v>241</v>
      </c>
      <c r="AY938" s="4" t="s">
        <v>286</v>
      </c>
      <c r="AZ938" s="4" t="s">
        <v>286</v>
      </c>
      <c r="BA938" s="4" t="s">
        <v>254</v>
      </c>
      <c r="BB938" s="4" t="s">
        <v>287</v>
      </c>
      <c r="BC938" s="4" t="s">
        <v>255</v>
      </c>
      <c r="BD938" s="4" t="s">
        <v>241</v>
      </c>
      <c r="BE938" s="4" t="s">
        <v>257</v>
      </c>
      <c r="BF938" s="4" t="s">
        <v>241</v>
      </c>
      <c r="BJ938" s="4" t="s">
        <v>288</v>
      </c>
      <c r="BK938" s="5" t="s">
        <v>289</v>
      </c>
      <c r="BL938" s="4" t="s">
        <v>290</v>
      </c>
      <c r="BM938" s="4" t="s">
        <v>290</v>
      </c>
      <c r="BN938" s="4" t="s">
        <v>241</v>
      </c>
      <c r="BO938" s="6">
        <f>0</f>
        <v>0</v>
      </c>
      <c r="BP938" s="6">
        <f>-147755</f>
        <v>-147755</v>
      </c>
      <c r="BQ938" s="4" t="s">
        <v>263</v>
      </c>
      <c r="BR938" s="4" t="s">
        <v>264</v>
      </c>
      <c r="BS938" s="4" t="s">
        <v>241</v>
      </c>
      <c r="BT938" s="4" t="s">
        <v>241</v>
      </c>
      <c r="BU938" s="4" t="s">
        <v>241</v>
      </c>
      <c r="BV938" s="4" t="s">
        <v>241</v>
      </c>
      <c r="CE938" s="4" t="s">
        <v>264</v>
      </c>
      <c r="CF938" s="4" t="s">
        <v>241</v>
      </c>
      <c r="CG938" s="4" t="s">
        <v>241</v>
      </c>
      <c r="CK938" s="4" t="s">
        <v>291</v>
      </c>
      <c r="CL938" s="4" t="s">
        <v>266</v>
      </c>
      <c r="CM938" s="4" t="s">
        <v>241</v>
      </c>
      <c r="CO938" s="4" t="s">
        <v>387</v>
      </c>
      <c r="CP938" s="5" t="s">
        <v>268</v>
      </c>
      <c r="CQ938" s="4" t="s">
        <v>269</v>
      </c>
      <c r="CR938" s="4" t="s">
        <v>270</v>
      </c>
      <c r="CS938" s="4" t="s">
        <v>293</v>
      </c>
      <c r="CT938" s="4" t="s">
        <v>241</v>
      </c>
      <c r="CU938" s="4">
        <v>2.1999999999999999E-2</v>
      </c>
      <c r="CV938" s="4" t="s">
        <v>271</v>
      </c>
      <c r="CW938" s="4" t="s">
        <v>1176</v>
      </c>
      <c r="CX938" s="4" t="s">
        <v>295</v>
      </c>
      <c r="CY938" s="6">
        <f>0</f>
        <v>0</v>
      </c>
      <c r="CZ938" s="6">
        <f>6716151</f>
        <v>6716151</v>
      </c>
      <c r="DA938" s="6">
        <f>2874521</f>
        <v>2874521</v>
      </c>
      <c r="DC938" s="4" t="s">
        <v>241</v>
      </c>
      <c r="DD938" s="4" t="s">
        <v>241</v>
      </c>
      <c r="DF938" s="4" t="s">
        <v>241</v>
      </c>
      <c r="DG938" s="6">
        <f>0</f>
        <v>0</v>
      </c>
      <c r="DI938" s="4" t="s">
        <v>241</v>
      </c>
      <c r="DJ938" s="4" t="s">
        <v>241</v>
      </c>
      <c r="DK938" s="4" t="s">
        <v>241</v>
      </c>
      <c r="DL938" s="4" t="s">
        <v>241</v>
      </c>
      <c r="DM938" s="4" t="s">
        <v>277</v>
      </c>
      <c r="DN938" s="4" t="s">
        <v>278</v>
      </c>
      <c r="DO938" s="6">
        <f>77.61</f>
        <v>77.61</v>
      </c>
      <c r="DP938" s="4" t="s">
        <v>241</v>
      </c>
      <c r="DQ938" s="4" t="s">
        <v>241</v>
      </c>
      <c r="DR938" s="4" t="s">
        <v>241</v>
      </c>
      <c r="DS938" s="4" t="s">
        <v>241</v>
      </c>
      <c r="DV938" s="4" t="s">
        <v>1211</v>
      </c>
      <c r="DW938" s="4" t="s">
        <v>297</v>
      </c>
      <c r="GN938" s="4" t="s">
        <v>1212</v>
      </c>
      <c r="HO938" s="4" t="s">
        <v>300</v>
      </c>
      <c r="HR938" s="4" t="s">
        <v>278</v>
      </c>
      <c r="HS938" s="4" t="s">
        <v>278</v>
      </c>
      <c r="HT938" s="4" t="s">
        <v>241</v>
      </c>
      <c r="HU938" s="4" t="s">
        <v>241</v>
      </c>
      <c r="HV938" s="4" t="s">
        <v>241</v>
      </c>
      <c r="HW938" s="4" t="s">
        <v>241</v>
      </c>
      <c r="HX938" s="4" t="s">
        <v>241</v>
      </c>
      <c r="HY938" s="4" t="s">
        <v>241</v>
      </c>
      <c r="HZ938" s="4" t="s">
        <v>241</v>
      </c>
      <c r="IA938" s="4" t="s">
        <v>241</v>
      </c>
      <c r="IB938" s="4" t="s">
        <v>241</v>
      </c>
      <c r="IC938" s="4" t="s">
        <v>241</v>
      </c>
      <c r="ID938" s="4" t="s">
        <v>241</v>
      </c>
      <c r="IE938" s="4" t="s">
        <v>241</v>
      </c>
      <c r="IF938" s="4" t="s">
        <v>241</v>
      </c>
    </row>
    <row r="939" spans="1:240" x14ac:dyDescent="0.4">
      <c r="A939" s="4">
        <v>2</v>
      </c>
      <c r="B939" s="4" t="s">
        <v>239</v>
      </c>
      <c r="C939" s="4">
        <v>1010</v>
      </c>
      <c r="D939" s="4">
        <v>1</v>
      </c>
      <c r="E939" s="4">
        <v>1</v>
      </c>
      <c r="F939" s="4" t="s">
        <v>240</v>
      </c>
      <c r="G939" s="4" t="s">
        <v>241</v>
      </c>
      <c r="H939" s="4" t="s">
        <v>241</v>
      </c>
      <c r="I939" s="4" t="s">
        <v>1207</v>
      </c>
      <c r="J939" s="4" t="s">
        <v>344</v>
      </c>
      <c r="K939" s="4" t="s">
        <v>256</v>
      </c>
      <c r="L939" s="4" t="s">
        <v>414</v>
      </c>
      <c r="M939" s="5" t="s">
        <v>1210</v>
      </c>
      <c r="N939" s="4" t="s">
        <v>414</v>
      </c>
      <c r="O939" s="6">
        <f>49</f>
        <v>49</v>
      </c>
      <c r="P939" s="4" t="s">
        <v>276</v>
      </c>
      <c r="Q939" s="6">
        <f>1</f>
        <v>1</v>
      </c>
      <c r="R939" s="6">
        <f>2690297</f>
        <v>2690297</v>
      </c>
      <c r="S939" s="5" t="s">
        <v>1208</v>
      </c>
      <c r="T939" s="4" t="s">
        <v>348</v>
      </c>
      <c r="U939" s="4" t="s">
        <v>335</v>
      </c>
      <c r="W939" s="6">
        <f>2690296</f>
        <v>2690296</v>
      </c>
      <c r="X939" s="4" t="s">
        <v>243</v>
      </c>
      <c r="Y939" s="4" t="s">
        <v>244</v>
      </c>
      <c r="Z939" s="4" t="s">
        <v>338</v>
      </c>
      <c r="AA939" s="4" t="s">
        <v>241</v>
      </c>
      <c r="AD939" s="4" t="s">
        <v>241</v>
      </c>
      <c r="AF939" s="5" t="s">
        <v>241</v>
      </c>
      <c r="AI939" s="5" t="s">
        <v>1209</v>
      </c>
      <c r="AJ939" s="4" t="s">
        <v>251</v>
      </c>
      <c r="AK939" s="4" t="s">
        <v>252</v>
      </c>
      <c r="BA939" s="4" t="s">
        <v>254</v>
      </c>
      <c r="BB939" s="4" t="s">
        <v>241</v>
      </c>
      <c r="BC939" s="4" t="s">
        <v>255</v>
      </c>
      <c r="BD939" s="4" t="s">
        <v>241</v>
      </c>
      <c r="BE939" s="4" t="s">
        <v>257</v>
      </c>
      <c r="BF939" s="4" t="s">
        <v>241</v>
      </c>
      <c r="BJ939" s="4" t="s">
        <v>259</v>
      </c>
      <c r="BK939" s="5" t="s">
        <v>260</v>
      </c>
      <c r="BL939" s="4" t="s">
        <v>261</v>
      </c>
      <c r="BM939" s="4" t="s">
        <v>262</v>
      </c>
      <c r="BN939" s="4" t="s">
        <v>241</v>
      </c>
      <c r="BO939" s="6">
        <f>0</f>
        <v>0</v>
      </c>
      <c r="BP939" s="6">
        <f>0</f>
        <v>0</v>
      </c>
      <c r="BQ939" s="4" t="s">
        <v>263</v>
      </c>
      <c r="BR939" s="4" t="s">
        <v>264</v>
      </c>
      <c r="CF939" s="4" t="s">
        <v>241</v>
      </c>
      <c r="CG939" s="4" t="s">
        <v>241</v>
      </c>
      <c r="CK939" s="4" t="s">
        <v>291</v>
      </c>
      <c r="CL939" s="4" t="s">
        <v>266</v>
      </c>
      <c r="CM939" s="4" t="s">
        <v>241</v>
      </c>
      <c r="CO939" s="4" t="s">
        <v>387</v>
      </c>
      <c r="CP939" s="5" t="s">
        <v>268</v>
      </c>
      <c r="CQ939" s="4" t="s">
        <v>269</v>
      </c>
      <c r="CR939" s="4" t="s">
        <v>270</v>
      </c>
      <c r="CS939" s="4" t="s">
        <v>241</v>
      </c>
      <c r="CT939" s="4" t="s">
        <v>241</v>
      </c>
      <c r="CU939" s="4">
        <v>0</v>
      </c>
      <c r="CV939" s="4" t="s">
        <v>271</v>
      </c>
      <c r="CW939" s="4" t="s">
        <v>415</v>
      </c>
      <c r="CX939" s="4" t="s">
        <v>416</v>
      </c>
      <c r="CZ939" s="6">
        <f>2690297</f>
        <v>2690297</v>
      </c>
      <c r="DA939" s="6">
        <f>0</f>
        <v>0</v>
      </c>
      <c r="DC939" s="4" t="s">
        <v>241</v>
      </c>
      <c r="DD939" s="4" t="s">
        <v>241</v>
      </c>
      <c r="DF939" s="4" t="s">
        <v>241</v>
      </c>
      <c r="DI939" s="4" t="s">
        <v>241</v>
      </c>
      <c r="DJ939" s="4" t="s">
        <v>241</v>
      </c>
      <c r="DK939" s="4" t="s">
        <v>241</v>
      </c>
      <c r="DL939" s="4" t="s">
        <v>241</v>
      </c>
      <c r="DM939" s="4" t="s">
        <v>277</v>
      </c>
      <c r="DN939" s="4" t="s">
        <v>278</v>
      </c>
      <c r="DO939" s="6">
        <f>49</f>
        <v>49</v>
      </c>
      <c r="DP939" s="4" t="s">
        <v>241</v>
      </c>
      <c r="DQ939" s="4" t="s">
        <v>241</v>
      </c>
      <c r="DR939" s="4" t="s">
        <v>241</v>
      </c>
      <c r="DS939" s="4" t="s">
        <v>241</v>
      </c>
      <c r="DV939" s="4" t="s">
        <v>1211</v>
      </c>
      <c r="DW939" s="4" t="s">
        <v>336</v>
      </c>
      <c r="HO939" s="4" t="s">
        <v>277</v>
      </c>
      <c r="HR939" s="4" t="s">
        <v>278</v>
      </c>
      <c r="HS939" s="4" t="s">
        <v>278</v>
      </c>
    </row>
    <row r="940" spans="1:240" x14ac:dyDescent="0.4">
      <c r="A940" s="4">
        <v>2</v>
      </c>
      <c r="B940" s="4" t="s">
        <v>239</v>
      </c>
      <c r="C940" s="4">
        <v>1011</v>
      </c>
      <c r="D940" s="4">
        <v>1</v>
      </c>
      <c r="E940" s="4">
        <v>1</v>
      </c>
      <c r="F940" s="4" t="s">
        <v>240</v>
      </c>
      <c r="G940" s="4" t="s">
        <v>241</v>
      </c>
      <c r="H940" s="4" t="s">
        <v>241</v>
      </c>
      <c r="I940" s="4" t="s">
        <v>1207</v>
      </c>
      <c r="J940" s="4" t="s">
        <v>344</v>
      </c>
      <c r="K940" s="4" t="s">
        <v>256</v>
      </c>
      <c r="L940" s="4" t="s">
        <v>3822</v>
      </c>
      <c r="M940" s="5" t="s">
        <v>1210</v>
      </c>
      <c r="N940" s="4" t="s">
        <v>3827</v>
      </c>
      <c r="O940" s="6">
        <f>153.58</f>
        <v>153.58000000000001</v>
      </c>
      <c r="P940" s="4" t="s">
        <v>276</v>
      </c>
      <c r="Q940" s="6">
        <f>1</f>
        <v>1</v>
      </c>
      <c r="R940" s="6">
        <f>1575879</f>
        <v>1575879</v>
      </c>
      <c r="S940" s="5" t="s">
        <v>1208</v>
      </c>
      <c r="T940" s="4" t="s">
        <v>274</v>
      </c>
      <c r="U940" s="4" t="s">
        <v>274</v>
      </c>
      <c r="W940" s="6">
        <f>1575878</f>
        <v>1575878</v>
      </c>
      <c r="X940" s="4" t="s">
        <v>243</v>
      </c>
      <c r="Y940" s="4" t="s">
        <v>244</v>
      </c>
      <c r="Z940" s="4" t="s">
        <v>338</v>
      </c>
      <c r="AA940" s="4" t="s">
        <v>241</v>
      </c>
      <c r="AD940" s="4" t="s">
        <v>241</v>
      </c>
      <c r="AF940" s="5" t="s">
        <v>241</v>
      </c>
      <c r="AI940" s="5" t="s">
        <v>249</v>
      </c>
      <c r="AJ940" s="4" t="s">
        <v>251</v>
      </c>
      <c r="AK940" s="4" t="s">
        <v>252</v>
      </c>
      <c r="BA940" s="4" t="s">
        <v>254</v>
      </c>
      <c r="BB940" s="4" t="s">
        <v>241</v>
      </c>
      <c r="BC940" s="4" t="s">
        <v>255</v>
      </c>
      <c r="BD940" s="4" t="s">
        <v>241</v>
      </c>
      <c r="BE940" s="4" t="s">
        <v>257</v>
      </c>
      <c r="BF940" s="4" t="s">
        <v>241</v>
      </c>
      <c r="BJ940" s="4" t="s">
        <v>367</v>
      </c>
      <c r="BK940" s="5" t="s">
        <v>249</v>
      </c>
      <c r="BL940" s="4" t="s">
        <v>261</v>
      </c>
      <c r="BM940" s="4" t="s">
        <v>290</v>
      </c>
      <c r="BN940" s="4" t="s">
        <v>241</v>
      </c>
      <c r="BO940" s="6">
        <f>0</f>
        <v>0</v>
      </c>
      <c r="BP940" s="6">
        <f>0</f>
        <v>0</v>
      </c>
      <c r="BQ940" s="4" t="s">
        <v>263</v>
      </c>
      <c r="BR940" s="4" t="s">
        <v>264</v>
      </c>
      <c r="CF940" s="4" t="s">
        <v>241</v>
      </c>
      <c r="CG940" s="4" t="s">
        <v>241</v>
      </c>
      <c r="CK940" s="4" t="s">
        <v>291</v>
      </c>
      <c r="CL940" s="4" t="s">
        <v>266</v>
      </c>
      <c r="CM940" s="4" t="s">
        <v>241</v>
      </c>
      <c r="CO940" s="4" t="s">
        <v>387</v>
      </c>
      <c r="CP940" s="5" t="s">
        <v>268</v>
      </c>
      <c r="CQ940" s="4" t="s">
        <v>269</v>
      </c>
      <c r="CR940" s="4" t="s">
        <v>270</v>
      </c>
      <c r="CS940" s="4" t="s">
        <v>241</v>
      </c>
      <c r="CT940" s="4" t="s">
        <v>241</v>
      </c>
      <c r="CU940" s="4">
        <v>0</v>
      </c>
      <c r="CV940" s="4" t="s">
        <v>271</v>
      </c>
      <c r="CW940" s="4" t="s">
        <v>3823</v>
      </c>
      <c r="CX940" s="4" t="s">
        <v>273</v>
      </c>
      <c r="CZ940" s="6">
        <f>1575879</f>
        <v>1575879</v>
      </c>
      <c r="DA940" s="6">
        <f>0</f>
        <v>0</v>
      </c>
      <c r="DC940" s="4" t="s">
        <v>241</v>
      </c>
      <c r="DD940" s="4" t="s">
        <v>241</v>
      </c>
      <c r="DF940" s="4" t="s">
        <v>241</v>
      </c>
      <c r="DI940" s="4" t="s">
        <v>241</v>
      </c>
      <c r="DJ940" s="4" t="s">
        <v>241</v>
      </c>
      <c r="DK940" s="4" t="s">
        <v>241</v>
      </c>
      <c r="DL940" s="4" t="s">
        <v>241</v>
      </c>
      <c r="DM940" s="4" t="s">
        <v>277</v>
      </c>
      <c r="DN940" s="4" t="s">
        <v>278</v>
      </c>
      <c r="DO940" s="6">
        <f>153.58</f>
        <v>153.58000000000001</v>
      </c>
      <c r="DP940" s="4" t="s">
        <v>241</v>
      </c>
      <c r="DQ940" s="4" t="s">
        <v>241</v>
      </c>
      <c r="DR940" s="4" t="s">
        <v>241</v>
      </c>
      <c r="DS940" s="4" t="s">
        <v>241</v>
      </c>
      <c r="DV940" s="4" t="s">
        <v>1211</v>
      </c>
      <c r="DW940" s="4" t="s">
        <v>351</v>
      </c>
      <c r="HO940" s="4" t="s">
        <v>351</v>
      </c>
      <c r="HR940" s="4" t="s">
        <v>278</v>
      </c>
      <c r="HS940" s="4" t="s">
        <v>278</v>
      </c>
    </row>
    <row r="941" spans="1:240" x14ac:dyDescent="0.4">
      <c r="A941" s="4">
        <v>2</v>
      </c>
      <c r="B941" s="4" t="s">
        <v>239</v>
      </c>
      <c r="C941" s="4">
        <v>1012</v>
      </c>
      <c r="D941" s="4">
        <v>1</v>
      </c>
      <c r="E941" s="4">
        <v>3</v>
      </c>
      <c r="F941" s="4" t="s">
        <v>240</v>
      </c>
      <c r="G941" s="4" t="s">
        <v>241</v>
      </c>
      <c r="H941" s="4" t="s">
        <v>241</v>
      </c>
      <c r="I941" s="4" t="s">
        <v>1207</v>
      </c>
      <c r="J941" s="4" t="s">
        <v>344</v>
      </c>
      <c r="K941" s="4" t="s">
        <v>256</v>
      </c>
      <c r="L941" s="4" t="s">
        <v>3822</v>
      </c>
      <c r="M941" s="5" t="s">
        <v>1210</v>
      </c>
      <c r="N941" s="4" t="s">
        <v>3825</v>
      </c>
      <c r="O941" s="6">
        <f>102.25</f>
        <v>102.25</v>
      </c>
      <c r="P941" s="4" t="s">
        <v>276</v>
      </c>
      <c r="Q941" s="6">
        <f>318933</f>
        <v>318933</v>
      </c>
      <c r="R941" s="6">
        <f>1070177</f>
        <v>1070177</v>
      </c>
      <c r="S941" s="5" t="s">
        <v>1208</v>
      </c>
      <c r="T941" s="4" t="s">
        <v>333</v>
      </c>
      <c r="U941" s="4" t="s">
        <v>404</v>
      </c>
      <c r="V941" s="6">
        <f>28894</f>
        <v>28894</v>
      </c>
      <c r="W941" s="6">
        <f>751244</f>
        <v>751244</v>
      </c>
      <c r="X941" s="4" t="s">
        <v>243</v>
      </c>
      <c r="Y941" s="4" t="s">
        <v>244</v>
      </c>
      <c r="Z941" s="4" t="s">
        <v>338</v>
      </c>
      <c r="AA941" s="4" t="s">
        <v>241</v>
      </c>
      <c r="AD941" s="4" t="s">
        <v>241</v>
      </c>
      <c r="AE941" s="5" t="s">
        <v>241</v>
      </c>
      <c r="AF941" s="5" t="s">
        <v>241</v>
      </c>
      <c r="AH941" s="5" t="s">
        <v>241</v>
      </c>
      <c r="AI941" s="5" t="s">
        <v>249</v>
      </c>
      <c r="AJ941" s="4" t="s">
        <v>251</v>
      </c>
      <c r="AK941" s="4" t="s">
        <v>252</v>
      </c>
      <c r="AQ941" s="4" t="s">
        <v>241</v>
      </c>
      <c r="AR941" s="4" t="s">
        <v>241</v>
      </c>
      <c r="AS941" s="4" t="s">
        <v>241</v>
      </c>
      <c r="AT941" s="5" t="s">
        <v>241</v>
      </c>
      <c r="AU941" s="5" t="s">
        <v>241</v>
      </c>
      <c r="AV941" s="5" t="s">
        <v>241</v>
      </c>
      <c r="AY941" s="4" t="s">
        <v>286</v>
      </c>
      <c r="AZ941" s="4" t="s">
        <v>286</v>
      </c>
      <c r="BA941" s="4" t="s">
        <v>254</v>
      </c>
      <c r="BB941" s="4" t="s">
        <v>287</v>
      </c>
      <c r="BC941" s="4" t="s">
        <v>255</v>
      </c>
      <c r="BD941" s="4" t="s">
        <v>241</v>
      </c>
      <c r="BE941" s="4" t="s">
        <v>257</v>
      </c>
      <c r="BF941" s="4" t="s">
        <v>241</v>
      </c>
      <c r="BJ941" s="4" t="s">
        <v>288</v>
      </c>
      <c r="BK941" s="5" t="s">
        <v>289</v>
      </c>
      <c r="BL941" s="4" t="s">
        <v>290</v>
      </c>
      <c r="BM941" s="4" t="s">
        <v>290</v>
      </c>
      <c r="BN941" s="4" t="s">
        <v>241</v>
      </c>
      <c r="BO941" s="6">
        <f>0</f>
        <v>0</v>
      </c>
      <c r="BP941" s="6">
        <f>-28894</f>
        <v>-28894</v>
      </c>
      <c r="BQ941" s="4" t="s">
        <v>263</v>
      </c>
      <c r="BR941" s="4" t="s">
        <v>264</v>
      </c>
      <c r="BS941" s="4" t="s">
        <v>241</v>
      </c>
      <c r="BT941" s="4" t="s">
        <v>241</v>
      </c>
      <c r="BU941" s="4" t="s">
        <v>241</v>
      </c>
      <c r="BV941" s="4" t="s">
        <v>241</v>
      </c>
      <c r="CE941" s="4" t="s">
        <v>264</v>
      </c>
      <c r="CF941" s="4" t="s">
        <v>241</v>
      </c>
      <c r="CG941" s="4" t="s">
        <v>241</v>
      </c>
      <c r="CK941" s="4" t="s">
        <v>291</v>
      </c>
      <c r="CL941" s="4" t="s">
        <v>266</v>
      </c>
      <c r="CM941" s="4" t="s">
        <v>241</v>
      </c>
      <c r="CO941" s="4" t="s">
        <v>387</v>
      </c>
      <c r="CP941" s="5" t="s">
        <v>268</v>
      </c>
      <c r="CQ941" s="4" t="s">
        <v>269</v>
      </c>
      <c r="CR941" s="4" t="s">
        <v>270</v>
      </c>
      <c r="CS941" s="4" t="s">
        <v>293</v>
      </c>
      <c r="CT941" s="4" t="s">
        <v>241</v>
      </c>
      <c r="CU941" s="4">
        <v>2.7E-2</v>
      </c>
      <c r="CV941" s="4" t="s">
        <v>271</v>
      </c>
      <c r="CW941" s="4" t="s">
        <v>3823</v>
      </c>
      <c r="CX941" s="4" t="s">
        <v>295</v>
      </c>
      <c r="CY941" s="6">
        <f>0</f>
        <v>0</v>
      </c>
      <c r="CZ941" s="6">
        <f>1070177</f>
        <v>1070177</v>
      </c>
      <c r="DA941" s="6">
        <f>318933</f>
        <v>318933</v>
      </c>
      <c r="DC941" s="4" t="s">
        <v>241</v>
      </c>
      <c r="DD941" s="4" t="s">
        <v>241</v>
      </c>
      <c r="DF941" s="4" t="s">
        <v>241</v>
      </c>
      <c r="DG941" s="6">
        <f>0</f>
        <v>0</v>
      </c>
      <c r="DI941" s="4" t="s">
        <v>241</v>
      </c>
      <c r="DJ941" s="4" t="s">
        <v>241</v>
      </c>
      <c r="DK941" s="4" t="s">
        <v>241</v>
      </c>
      <c r="DL941" s="4" t="s">
        <v>241</v>
      </c>
      <c r="DM941" s="4" t="s">
        <v>277</v>
      </c>
      <c r="DN941" s="4" t="s">
        <v>278</v>
      </c>
      <c r="DO941" s="6">
        <f>102.25</f>
        <v>102.25</v>
      </c>
      <c r="DP941" s="4" t="s">
        <v>241</v>
      </c>
      <c r="DQ941" s="4" t="s">
        <v>241</v>
      </c>
      <c r="DR941" s="4" t="s">
        <v>241</v>
      </c>
      <c r="DS941" s="4" t="s">
        <v>241</v>
      </c>
      <c r="DV941" s="4" t="s">
        <v>1211</v>
      </c>
      <c r="DW941" s="4" t="s">
        <v>300</v>
      </c>
      <c r="GN941" s="4" t="s">
        <v>3826</v>
      </c>
      <c r="HO941" s="4" t="s">
        <v>300</v>
      </c>
      <c r="HR941" s="4" t="s">
        <v>278</v>
      </c>
      <c r="HS941" s="4" t="s">
        <v>278</v>
      </c>
      <c r="HT941" s="4" t="s">
        <v>241</v>
      </c>
      <c r="HU941" s="4" t="s">
        <v>241</v>
      </c>
      <c r="HV941" s="4" t="s">
        <v>241</v>
      </c>
      <c r="HW941" s="4" t="s">
        <v>241</v>
      </c>
      <c r="HX941" s="4" t="s">
        <v>241</v>
      </c>
      <c r="HY941" s="4" t="s">
        <v>241</v>
      </c>
      <c r="HZ941" s="4" t="s">
        <v>241</v>
      </c>
      <c r="IA941" s="4" t="s">
        <v>241</v>
      </c>
      <c r="IB941" s="4" t="s">
        <v>241</v>
      </c>
      <c r="IC941" s="4" t="s">
        <v>241</v>
      </c>
      <c r="ID941" s="4" t="s">
        <v>241</v>
      </c>
      <c r="IE941" s="4" t="s">
        <v>241</v>
      </c>
      <c r="IF941" s="4" t="s">
        <v>241</v>
      </c>
    </row>
    <row r="942" spans="1:240" x14ac:dyDescent="0.4">
      <c r="A942" s="4">
        <v>2</v>
      </c>
      <c r="B942" s="4" t="s">
        <v>239</v>
      </c>
      <c r="C942" s="4">
        <v>1013</v>
      </c>
      <c r="D942" s="4">
        <v>1</v>
      </c>
      <c r="E942" s="4">
        <v>3</v>
      </c>
      <c r="F942" s="4" t="s">
        <v>240</v>
      </c>
      <c r="G942" s="4" t="s">
        <v>241</v>
      </c>
      <c r="H942" s="4" t="s">
        <v>241</v>
      </c>
      <c r="I942" s="4" t="s">
        <v>1207</v>
      </c>
      <c r="J942" s="4" t="s">
        <v>344</v>
      </c>
      <c r="K942" s="4" t="s">
        <v>256</v>
      </c>
      <c r="L942" s="4" t="s">
        <v>430</v>
      </c>
      <c r="M942" s="5" t="s">
        <v>1210</v>
      </c>
      <c r="N942" s="4" t="s">
        <v>430</v>
      </c>
      <c r="O942" s="6">
        <f>15.87</f>
        <v>15.87</v>
      </c>
      <c r="P942" s="4" t="s">
        <v>276</v>
      </c>
      <c r="Q942" s="6">
        <f>222725</f>
        <v>222725</v>
      </c>
      <c r="R942" s="6">
        <f>747379</f>
        <v>747379</v>
      </c>
      <c r="S942" s="5" t="s">
        <v>1208</v>
      </c>
      <c r="T942" s="4" t="s">
        <v>333</v>
      </c>
      <c r="U942" s="4" t="s">
        <v>404</v>
      </c>
      <c r="V942" s="6">
        <f>20179</f>
        <v>20179</v>
      </c>
      <c r="W942" s="6">
        <f>524654</f>
        <v>524654</v>
      </c>
      <c r="X942" s="4" t="s">
        <v>243</v>
      </c>
      <c r="Y942" s="4" t="s">
        <v>244</v>
      </c>
      <c r="Z942" s="4" t="s">
        <v>338</v>
      </c>
      <c r="AA942" s="4" t="s">
        <v>241</v>
      </c>
      <c r="AD942" s="4" t="s">
        <v>241</v>
      </c>
      <c r="AE942" s="5" t="s">
        <v>241</v>
      </c>
      <c r="AF942" s="5" t="s">
        <v>241</v>
      </c>
      <c r="AH942" s="5" t="s">
        <v>241</v>
      </c>
      <c r="AI942" s="5" t="s">
        <v>249</v>
      </c>
      <c r="AJ942" s="4" t="s">
        <v>251</v>
      </c>
      <c r="AK942" s="4" t="s">
        <v>252</v>
      </c>
      <c r="AQ942" s="4" t="s">
        <v>241</v>
      </c>
      <c r="AR942" s="4" t="s">
        <v>241</v>
      </c>
      <c r="AS942" s="4" t="s">
        <v>241</v>
      </c>
      <c r="AT942" s="5" t="s">
        <v>241</v>
      </c>
      <c r="AU942" s="5" t="s">
        <v>241</v>
      </c>
      <c r="AV942" s="5" t="s">
        <v>241</v>
      </c>
      <c r="AY942" s="4" t="s">
        <v>286</v>
      </c>
      <c r="AZ942" s="4" t="s">
        <v>286</v>
      </c>
      <c r="BA942" s="4" t="s">
        <v>254</v>
      </c>
      <c r="BB942" s="4" t="s">
        <v>287</v>
      </c>
      <c r="BC942" s="4" t="s">
        <v>255</v>
      </c>
      <c r="BD942" s="4" t="s">
        <v>241</v>
      </c>
      <c r="BE942" s="4" t="s">
        <v>257</v>
      </c>
      <c r="BF942" s="4" t="s">
        <v>241</v>
      </c>
      <c r="BJ942" s="4" t="s">
        <v>288</v>
      </c>
      <c r="BK942" s="5" t="s">
        <v>289</v>
      </c>
      <c r="BL942" s="4" t="s">
        <v>290</v>
      </c>
      <c r="BM942" s="4" t="s">
        <v>290</v>
      </c>
      <c r="BN942" s="4" t="s">
        <v>241</v>
      </c>
      <c r="BO942" s="6">
        <f>0</f>
        <v>0</v>
      </c>
      <c r="BP942" s="6">
        <f>-20179</f>
        <v>-20179</v>
      </c>
      <c r="BQ942" s="4" t="s">
        <v>263</v>
      </c>
      <c r="BR942" s="4" t="s">
        <v>264</v>
      </c>
      <c r="BS942" s="4" t="s">
        <v>241</v>
      </c>
      <c r="BT942" s="4" t="s">
        <v>241</v>
      </c>
      <c r="BU942" s="4" t="s">
        <v>241</v>
      </c>
      <c r="BV942" s="4" t="s">
        <v>241</v>
      </c>
      <c r="CE942" s="4" t="s">
        <v>264</v>
      </c>
      <c r="CF942" s="4" t="s">
        <v>241</v>
      </c>
      <c r="CG942" s="4" t="s">
        <v>241</v>
      </c>
      <c r="CK942" s="4" t="s">
        <v>291</v>
      </c>
      <c r="CL942" s="4" t="s">
        <v>266</v>
      </c>
      <c r="CM942" s="4" t="s">
        <v>241</v>
      </c>
      <c r="CO942" s="4" t="s">
        <v>387</v>
      </c>
      <c r="CP942" s="5" t="s">
        <v>268</v>
      </c>
      <c r="CQ942" s="4" t="s">
        <v>269</v>
      </c>
      <c r="CR942" s="4" t="s">
        <v>270</v>
      </c>
      <c r="CS942" s="4" t="s">
        <v>293</v>
      </c>
      <c r="CT942" s="4" t="s">
        <v>241</v>
      </c>
      <c r="CU942" s="4">
        <v>2.7E-2</v>
      </c>
      <c r="CV942" s="4" t="s">
        <v>271</v>
      </c>
      <c r="CW942" s="4" t="s">
        <v>272</v>
      </c>
      <c r="CX942" s="4" t="s">
        <v>295</v>
      </c>
      <c r="CY942" s="6">
        <f>0</f>
        <v>0</v>
      </c>
      <c r="CZ942" s="6">
        <f>747379</f>
        <v>747379</v>
      </c>
      <c r="DA942" s="6">
        <f>222725</f>
        <v>222725</v>
      </c>
      <c r="DC942" s="4" t="s">
        <v>241</v>
      </c>
      <c r="DD942" s="4" t="s">
        <v>241</v>
      </c>
      <c r="DF942" s="4" t="s">
        <v>241</v>
      </c>
      <c r="DG942" s="6">
        <f>0</f>
        <v>0</v>
      </c>
      <c r="DI942" s="4" t="s">
        <v>241</v>
      </c>
      <c r="DJ942" s="4" t="s">
        <v>241</v>
      </c>
      <c r="DK942" s="4" t="s">
        <v>241</v>
      </c>
      <c r="DL942" s="4" t="s">
        <v>241</v>
      </c>
      <c r="DM942" s="4" t="s">
        <v>277</v>
      </c>
      <c r="DN942" s="4" t="s">
        <v>278</v>
      </c>
      <c r="DO942" s="6">
        <f>15.87</f>
        <v>15.87</v>
      </c>
      <c r="DP942" s="4" t="s">
        <v>241</v>
      </c>
      <c r="DQ942" s="4" t="s">
        <v>241</v>
      </c>
      <c r="DR942" s="4" t="s">
        <v>241</v>
      </c>
      <c r="DS942" s="4" t="s">
        <v>241</v>
      </c>
      <c r="DV942" s="4" t="s">
        <v>1211</v>
      </c>
      <c r="DW942" s="4" t="s">
        <v>341</v>
      </c>
      <c r="GN942" s="4" t="s">
        <v>3602</v>
      </c>
      <c r="HO942" s="4" t="s">
        <v>300</v>
      </c>
      <c r="HR942" s="4" t="s">
        <v>278</v>
      </c>
      <c r="HS942" s="4" t="s">
        <v>278</v>
      </c>
      <c r="HT942" s="4" t="s">
        <v>241</v>
      </c>
      <c r="HU942" s="4" t="s">
        <v>241</v>
      </c>
      <c r="HV942" s="4" t="s">
        <v>241</v>
      </c>
      <c r="HW942" s="4" t="s">
        <v>241</v>
      </c>
      <c r="HX942" s="4" t="s">
        <v>241</v>
      </c>
      <c r="HY942" s="4" t="s">
        <v>241</v>
      </c>
      <c r="HZ942" s="4" t="s">
        <v>241</v>
      </c>
      <c r="IA942" s="4" t="s">
        <v>241</v>
      </c>
      <c r="IB942" s="4" t="s">
        <v>241</v>
      </c>
      <c r="IC942" s="4" t="s">
        <v>241</v>
      </c>
      <c r="ID942" s="4" t="s">
        <v>241</v>
      </c>
      <c r="IE942" s="4" t="s">
        <v>241</v>
      </c>
      <c r="IF942" s="4" t="s">
        <v>241</v>
      </c>
    </row>
    <row r="943" spans="1:240" x14ac:dyDescent="0.4">
      <c r="A943" s="4">
        <v>2</v>
      </c>
      <c r="B943" s="4" t="s">
        <v>239</v>
      </c>
      <c r="C943" s="4">
        <v>1014</v>
      </c>
      <c r="D943" s="4">
        <v>1</v>
      </c>
      <c r="E943" s="4">
        <v>3</v>
      </c>
      <c r="F943" s="4" t="s">
        <v>240</v>
      </c>
      <c r="G943" s="4" t="s">
        <v>241</v>
      </c>
      <c r="H943" s="4" t="s">
        <v>241</v>
      </c>
      <c r="I943" s="4" t="s">
        <v>1207</v>
      </c>
      <c r="J943" s="4" t="s">
        <v>344</v>
      </c>
      <c r="K943" s="4" t="s">
        <v>256</v>
      </c>
      <c r="L943" s="4" t="s">
        <v>430</v>
      </c>
      <c r="M943" s="5" t="s">
        <v>1210</v>
      </c>
      <c r="N943" s="4" t="s">
        <v>430</v>
      </c>
      <c r="O943" s="6">
        <f>11.75</f>
        <v>11.75</v>
      </c>
      <c r="P943" s="4" t="s">
        <v>276</v>
      </c>
      <c r="Q943" s="6">
        <f>114855</f>
        <v>114855</v>
      </c>
      <c r="R943" s="6">
        <f>385411</f>
        <v>385411</v>
      </c>
      <c r="S943" s="5" t="s">
        <v>1208</v>
      </c>
      <c r="T943" s="4" t="s">
        <v>333</v>
      </c>
      <c r="U943" s="4" t="s">
        <v>404</v>
      </c>
      <c r="V943" s="6">
        <f>10406</f>
        <v>10406</v>
      </c>
      <c r="W943" s="6">
        <f>270556</f>
        <v>270556</v>
      </c>
      <c r="X943" s="4" t="s">
        <v>243</v>
      </c>
      <c r="Y943" s="4" t="s">
        <v>244</v>
      </c>
      <c r="Z943" s="4" t="s">
        <v>338</v>
      </c>
      <c r="AA943" s="4" t="s">
        <v>241</v>
      </c>
      <c r="AD943" s="4" t="s">
        <v>241</v>
      </c>
      <c r="AE943" s="5" t="s">
        <v>241</v>
      </c>
      <c r="AF943" s="5" t="s">
        <v>241</v>
      </c>
      <c r="AH943" s="5" t="s">
        <v>241</v>
      </c>
      <c r="AI943" s="5" t="s">
        <v>249</v>
      </c>
      <c r="AJ943" s="4" t="s">
        <v>251</v>
      </c>
      <c r="AK943" s="4" t="s">
        <v>252</v>
      </c>
      <c r="AQ943" s="4" t="s">
        <v>241</v>
      </c>
      <c r="AR943" s="4" t="s">
        <v>241</v>
      </c>
      <c r="AS943" s="4" t="s">
        <v>241</v>
      </c>
      <c r="AT943" s="5" t="s">
        <v>241</v>
      </c>
      <c r="AU943" s="5" t="s">
        <v>241</v>
      </c>
      <c r="AV943" s="5" t="s">
        <v>241</v>
      </c>
      <c r="AY943" s="4" t="s">
        <v>286</v>
      </c>
      <c r="AZ943" s="4" t="s">
        <v>286</v>
      </c>
      <c r="BA943" s="4" t="s">
        <v>254</v>
      </c>
      <c r="BB943" s="4" t="s">
        <v>287</v>
      </c>
      <c r="BC943" s="4" t="s">
        <v>255</v>
      </c>
      <c r="BD943" s="4" t="s">
        <v>241</v>
      </c>
      <c r="BE943" s="4" t="s">
        <v>257</v>
      </c>
      <c r="BF943" s="4" t="s">
        <v>241</v>
      </c>
      <c r="BJ943" s="4" t="s">
        <v>288</v>
      </c>
      <c r="BK943" s="5" t="s">
        <v>289</v>
      </c>
      <c r="BL943" s="4" t="s">
        <v>290</v>
      </c>
      <c r="BM943" s="4" t="s">
        <v>290</v>
      </c>
      <c r="BN943" s="4" t="s">
        <v>241</v>
      </c>
      <c r="BO943" s="6">
        <f>0</f>
        <v>0</v>
      </c>
      <c r="BP943" s="6">
        <f>-10406</f>
        <v>-10406</v>
      </c>
      <c r="BQ943" s="4" t="s">
        <v>263</v>
      </c>
      <c r="BR943" s="4" t="s">
        <v>264</v>
      </c>
      <c r="BS943" s="4" t="s">
        <v>241</v>
      </c>
      <c r="BT943" s="4" t="s">
        <v>241</v>
      </c>
      <c r="BU943" s="4" t="s">
        <v>241</v>
      </c>
      <c r="BV943" s="4" t="s">
        <v>241</v>
      </c>
      <c r="CE943" s="4" t="s">
        <v>264</v>
      </c>
      <c r="CF943" s="4" t="s">
        <v>241</v>
      </c>
      <c r="CG943" s="4" t="s">
        <v>241</v>
      </c>
      <c r="CK943" s="4" t="s">
        <v>291</v>
      </c>
      <c r="CL943" s="4" t="s">
        <v>266</v>
      </c>
      <c r="CM943" s="4" t="s">
        <v>241</v>
      </c>
      <c r="CO943" s="4" t="s">
        <v>387</v>
      </c>
      <c r="CP943" s="5" t="s">
        <v>268</v>
      </c>
      <c r="CQ943" s="4" t="s">
        <v>269</v>
      </c>
      <c r="CR943" s="4" t="s">
        <v>270</v>
      </c>
      <c r="CS943" s="4" t="s">
        <v>293</v>
      </c>
      <c r="CT943" s="4" t="s">
        <v>241</v>
      </c>
      <c r="CU943" s="4">
        <v>2.7E-2</v>
      </c>
      <c r="CV943" s="4" t="s">
        <v>271</v>
      </c>
      <c r="CW943" s="4" t="s">
        <v>272</v>
      </c>
      <c r="CX943" s="4" t="s">
        <v>295</v>
      </c>
      <c r="CY943" s="6">
        <f>0</f>
        <v>0</v>
      </c>
      <c r="CZ943" s="6">
        <f>385411</f>
        <v>385411</v>
      </c>
      <c r="DA943" s="6">
        <f>114855</f>
        <v>114855</v>
      </c>
      <c r="DC943" s="4" t="s">
        <v>241</v>
      </c>
      <c r="DD943" s="4" t="s">
        <v>241</v>
      </c>
      <c r="DF943" s="4" t="s">
        <v>241</v>
      </c>
      <c r="DG943" s="6">
        <f>0</f>
        <v>0</v>
      </c>
      <c r="DI943" s="4" t="s">
        <v>241</v>
      </c>
      <c r="DJ943" s="4" t="s">
        <v>241</v>
      </c>
      <c r="DK943" s="4" t="s">
        <v>241</v>
      </c>
      <c r="DL943" s="4" t="s">
        <v>241</v>
      </c>
      <c r="DM943" s="4" t="s">
        <v>277</v>
      </c>
      <c r="DN943" s="4" t="s">
        <v>278</v>
      </c>
      <c r="DO943" s="6">
        <f>11.75</f>
        <v>11.75</v>
      </c>
      <c r="DP943" s="4" t="s">
        <v>241</v>
      </c>
      <c r="DQ943" s="4" t="s">
        <v>241</v>
      </c>
      <c r="DR943" s="4" t="s">
        <v>241</v>
      </c>
      <c r="DS943" s="4" t="s">
        <v>241</v>
      </c>
      <c r="DV943" s="4" t="s">
        <v>1211</v>
      </c>
      <c r="DW943" s="4" t="s">
        <v>343</v>
      </c>
      <c r="GN943" s="4" t="s">
        <v>3603</v>
      </c>
      <c r="HO943" s="4" t="s">
        <v>300</v>
      </c>
      <c r="HR943" s="4" t="s">
        <v>278</v>
      </c>
      <c r="HS943" s="4" t="s">
        <v>278</v>
      </c>
      <c r="HT943" s="4" t="s">
        <v>241</v>
      </c>
      <c r="HU943" s="4" t="s">
        <v>241</v>
      </c>
      <c r="HV943" s="4" t="s">
        <v>241</v>
      </c>
      <c r="HW943" s="4" t="s">
        <v>241</v>
      </c>
      <c r="HX943" s="4" t="s">
        <v>241</v>
      </c>
      <c r="HY943" s="4" t="s">
        <v>241</v>
      </c>
      <c r="HZ943" s="4" t="s">
        <v>241</v>
      </c>
      <c r="IA943" s="4" t="s">
        <v>241</v>
      </c>
      <c r="IB943" s="4" t="s">
        <v>241</v>
      </c>
      <c r="IC943" s="4" t="s">
        <v>241</v>
      </c>
      <c r="ID943" s="4" t="s">
        <v>241</v>
      </c>
      <c r="IE943" s="4" t="s">
        <v>241</v>
      </c>
      <c r="IF943" s="4" t="s">
        <v>241</v>
      </c>
    </row>
    <row r="944" spans="1:240" x14ac:dyDescent="0.4">
      <c r="A944" s="4">
        <v>2</v>
      </c>
      <c r="B944" s="4" t="s">
        <v>239</v>
      </c>
      <c r="C944" s="4">
        <v>1015</v>
      </c>
      <c r="D944" s="4">
        <v>1</v>
      </c>
      <c r="E944" s="4">
        <v>3</v>
      </c>
      <c r="F944" s="4" t="s">
        <v>240</v>
      </c>
      <c r="G944" s="4" t="s">
        <v>241</v>
      </c>
      <c r="H944" s="4" t="s">
        <v>241</v>
      </c>
      <c r="I944" s="4" t="s">
        <v>2338</v>
      </c>
      <c r="J944" s="4" t="s">
        <v>344</v>
      </c>
      <c r="K944" s="4" t="s">
        <v>256</v>
      </c>
      <c r="L944" s="4" t="s">
        <v>2101</v>
      </c>
      <c r="M944" s="5" t="s">
        <v>2340</v>
      </c>
      <c r="N944" s="4" t="s">
        <v>2114</v>
      </c>
      <c r="O944" s="6">
        <f t="shared" ref="O944:O959" si="65">81.14</f>
        <v>81.14</v>
      </c>
      <c r="P944" s="4" t="s">
        <v>276</v>
      </c>
      <c r="Q944" s="6">
        <f t="shared" ref="Q944:Q959" si="66">10483236</f>
        <v>10483236</v>
      </c>
      <c r="R944" s="6">
        <f t="shared" ref="R944:R959" si="67">15462000</f>
        <v>15462000</v>
      </c>
      <c r="S944" s="5" t="s">
        <v>2339</v>
      </c>
      <c r="T944" s="4" t="s">
        <v>314</v>
      </c>
      <c r="U944" s="4" t="s">
        <v>300</v>
      </c>
      <c r="V944" s="6">
        <f t="shared" ref="V944:V959" si="68">711252</f>
        <v>711252</v>
      </c>
      <c r="W944" s="6">
        <f t="shared" ref="W944:W959" si="69">4978764</f>
        <v>4978764</v>
      </c>
      <c r="X944" s="4" t="s">
        <v>243</v>
      </c>
      <c r="Y944" s="4" t="s">
        <v>244</v>
      </c>
      <c r="Z944" s="4" t="s">
        <v>338</v>
      </c>
      <c r="AA944" s="4" t="s">
        <v>241</v>
      </c>
      <c r="AD944" s="4" t="s">
        <v>241</v>
      </c>
      <c r="AE944" s="5" t="s">
        <v>241</v>
      </c>
      <c r="AF944" s="5" t="s">
        <v>241</v>
      </c>
      <c r="AH944" s="5" t="s">
        <v>241</v>
      </c>
      <c r="AI944" s="5" t="s">
        <v>249</v>
      </c>
      <c r="AJ944" s="4" t="s">
        <v>251</v>
      </c>
      <c r="AK944" s="4" t="s">
        <v>252</v>
      </c>
      <c r="AQ944" s="4" t="s">
        <v>241</v>
      </c>
      <c r="AR944" s="4" t="s">
        <v>241</v>
      </c>
      <c r="AS944" s="4" t="s">
        <v>241</v>
      </c>
      <c r="AT944" s="5" t="s">
        <v>241</v>
      </c>
      <c r="AU944" s="5" t="s">
        <v>241</v>
      </c>
      <c r="AV944" s="5" t="s">
        <v>241</v>
      </c>
      <c r="AY944" s="4" t="s">
        <v>286</v>
      </c>
      <c r="AZ944" s="4" t="s">
        <v>286</v>
      </c>
      <c r="BA944" s="4" t="s">
        <v>254</v>
      </c>
      <c r="BB944" s="4" t="s">
        <v>287</v>
      </c>
      <c r="BC944" s="4" t="s">
        <v>255</v>
      </c>
      <c r="BD944" s="4" t="s">
        <v>241</v>
      </c>
      <c r="BE944" s="4" t="s">
        <v>257</v>
      </c>
      <c r="BF944" s="4" t="s">
        <v>241</v>
      </c>
      <c r="BJ944" s="4" t="s">
        <v>288</v>
      </c>
      <c r="BK944" s="5" t="s">
        <v>289</v>
      </c>
      <c r="BL944" s="4" t="s">
        <v>290</v>
      </c>
      <c r="BM944" s="4" t="s">
        <v>290</v>
      </c>
      <c r="BN944" s="4" t="s">
        <v>241</v>
      </c>
      <c r="BO944" s="6">
        <f>0</f>
        <v>0</v>
      </c>
      <c r="BP944" s="6">
        <f t="shared" ref="BP944:BP959" si="70">-711252</f>
        <v>-711252</v>
      </c>
      <c r="BQ944" s="4" t="s">
        <v>263</v>
      </c>
      <c r="BR944" s="4" t="s">
        <v>264</v>
      </c>
      <c r="BS944" s="4" t="s">
        <v>241</v>
      </c>
      <c r="BT944" s="4" t="s">
        <v>241</v>
      </c>
      <c r="BU944" s="4" t="s">
        <v>241</v>
      </c>
      <c r="BV944" s="4" t="s">
        <v>241</v>
      </c>
      <c r="CE944" s="4" t="s">
        <v>264</v>
      </c>
      <c r="CF944" s="4" t="s">
        <v>241</v>
      </c>
      <c r="CG944" s="4" t="s">
        <v>241</v>
      </c>
      <c r="CK944" s="4" t="s">
        <v>291</v>
      </c>
      <c r="CL944" s="4" t="s">
        <v>266</v>
      </c>
      <c r="CM944" s="4" t="s">
        <v>241</v>
      </c>
      <c r="CO944" s="4" t="s">
        <v>1542</v>
      </c>
      <c r="CP944" s="5" t="s">
        <v>268</v>
      </c>
      <c r="CQ944" s="4" t="s">
        <v>269</v>
      </c>
      <c r="CR944" s="4" t="s">
        <v>270</v>
      </c>
      <c r="CS944" s="4" t="s">
        <v>293</v>
      </c>
      <c r="CT944" s="4" t="s">
        <v>241</v>
      </c>
      <c r="CU944" s="4">
        <v>4.5999999999999999E-2</v>
      </c>
      <c r="CV944" s="4" t="s">
        <v>271</v>
      </c>
      <c r="CW944" s="4" t="s">
        <v>411</v>
      </c>
      <c r="CX944" s="4" t="s">
        <v>347</v>
      </c>
      <c r="CY944" s="6">
        <f>0</f>
        <v>0</v>
      </c>
      <c r="CZ944" s="6">
        <f t="shared" ref="CZ944:CZ959" si="71">15462000</f>
        <v>15462000</v>
      </c>
      <c r="DA944" s="6">
        <f t="shared" ref="DA944:DA959" si="72">10483236</f>
        <v>10483236</v>
      </c>
      <c r="DC944" s="4" t="s">
        <v>241</v>
      </c>
      <c r="DD944" s="4" t="s">
        <v>241</v>
      </c>
      <c r="DF944" s="4" t="s">
        <v>241</v>
      </c>
      <c r="DG944" s="6">
        <f>0</f>
        <v>0</v>
      </c>
      <c r="DI944" s="4" t="s">
        <v>241</v>
      </c>
      <c r="DJ944" s="4" t="s">
        <v>241</v>
      </c>
      <c r="DK944" s="4" t="s">
        <v>241</v>
      </c>
      <c r="DL944" s="4" t="s">
        <v>241</v>
      </c>
      <c r="DM944" s="4" t="s">
        <v>323</v>
      </c>
      <c r="DN944" s="4" t="s">
        <v>278</v>
      </c>
      <c r="DO944" s="6">
        <f t="shared" ref="DO944:DO959" si="73">81.14</f>
        <v>81.14</v>
      </c>
      <c r="DP944" s="4" t="s">
        <v>241</v>
      </c>
      <c r="DQ944" s="4" t="s">
        <v>241</v>
      </c>
      <c r="DR944" s="4" t="s">
        <v>241</v>
      </c>
      <c r="DS944" s="4" t="s">
        <v>241</v>
      </c>
      <c r="DV944" s="4" t="s">
        <v>2341</v>
      </c>
      <c r="DW944" s="4" t="s">
        <v>277</v>
      </c>
      <c r="GN944" s="4" t="s">
        <v>2363</v>
      </c>
      <c r="HO944" s="4" t="s">
        <v>300</v>
      </c>
      <c r="HR944" s="4" t="s">
        <v>278</v>
      </c>
      <c r="HS944" s="4" t="s">
        <v>278</v>
      </c>
      <c r="HT944" s="4" t="s">
        <v>241</v>
      </c>
      <c r="HU944" s="4" t="s">
        <v>241</v>
      </c>
      <c r="HV944" s="4" t="s">
        <v>241</v>
      </c>
      <c r="HW944" s="4" t="s">
        <v>241</v>
      </c>
      <c r="HX944" s="4" t="s">
        <v>241</v>
      </c>
      <c r="HY944" s="4" t="s">
        <v>241</v>
      </c>
      <c r="HZ944" s="4" t="s">
        <v>241</v>
      </c>
      <c r="IA944" s="4" t="s">
        <v>241</v>
      </c>
      <c r="IB944" s="4" t="s">
        <v>241</v>
      </c>
      <c r="IC944" s="4" t="s">
        <v>241</v>
      </c>
      <c r="ID944" s="4" t="s">
        <v>241</v>
      </c>
      <c r="IE944" s="4" t="s">
        <v>241</v>
      </c>
      <c r="IF944" s="4" t="s">
        <v>241</v>
      </c>
    </row>
    <row r="945" spans="1:240" x14ac:dyDescent="0.4">
      <c r="A945" s="4">
        <v>2</v>
      </c>
      <c r="B945" s="4" t="s">
        <v>239</v>
      </c>
      <c r="C945" s="4">
        <v>1016</v>
      </c>
      <c r="D945" s="4">
        <v>1</v>
      </c>
      <c r="E945" s="4">
        <v>3</v>
      </c>
      <c r="F945" s="4" t="s">
        <v>240</v>
      </c>
      <c r="G945" s="4" t="s">
        <v>241</v>
      </c>
      <c r="H945" s="4" t="s">
        <v>241</v>
      </c>
      <c r="I945" s="4" t="s">
        <v>2338</v>
      </c>
      <c r="J945" s="4" t="s">
        <v>344</v>
      </c>
      <c r="K945" s="4" t="s">
        <v>256</v>
      </c>
      <c r="L945" s="4" t="s">
        <v>2101</v>
      </c>
      <c r="M945" s="5" t="s">
        <v>2340</v>
      </c>
      <c r="N945" s="4" t="s">
        <v>2114</v>
      </c>
      <c r="O945" s="6">
        <f t="shared" si="65"/>
        <v>81.14</v>
      </c>
      <c r="P945" s="4" t="s">
        <v>276</v>
      </c>
      <c r="Q945" s="6">
        <f t="shared" si="66"/>
        <v>10483236</v>
      </c>
      <c r="R945" s="6">
        <f t="shared" si="67"/>
        <v>15462000</v>
      </c>
      <c r="S945" s="5" t="s">
        <v>2339</v>
      </c>
      <c r="T945" s="4" t="s">
        <v>314</v>
      </c>
      <c r="U945" s="4" t="s">
        <v>300</v>
      </c>
      <c r="V945" s="6">
        <f t="shared" si="68"/>
        <v>711252</v>
      </c>
      <c r="W945" s="6">
        <f t="shared" si="69"/>
        <v>4978764</v>
      </c>
      <c r="X945" s="4" t="s">
        <v>243</v>
      </c>
      <c r="Y945" s="4" t="s">
        <v>244</v>
      </c>
      <c r="Z945" s="4" t="s">
        <v>338</v>
      </c>
      <c r="AA945" s="4" t="s">
        <v>241</v>
      </c>
      <c r="AD945" s="4" t="s">
        <v>241</v>
      </c>
      <c r="AE945" s="5" t="s">
        <v>241</v>
      </c>
      <c r="AF945" s="5" t="s">
        <v>241</v>
      </c>
      <c r="AH945" s="5" t="s">
        <v>241</v>
      </c>
      <c r="AI945" s="5" t="s">
        <v>249</v>
      </c>
      <c r="AJ945" s="4" t="s">
        <v>251</v>
      </c>
      <c r="AK945" s="4" t="s">
        <v>252</v>
      </c>
      <c r="AQ945" s="4" t="s">
        <v>241</v>
      </c>
      <c r="AR945" s="4" t="s">
        <v>241</v>
      </c>
      <c r="AS945" s="4" t="s">
        <v>241</v>
      </c>
      <c r="AT945" s="5" t="s">
        <v>241</v>
      </c>
      <c r="AU945" s="5" t="s">
        <v>241</v>
      </c>
      <c r="AV945" s="5" t="s">
        <v>241</v>
      </c>
      <c r="AY945" s="4" t="s">
        <v>286</v>
      </c>
      <c r="AZ945" s="4" t="s">
        <v>286</v>
      </c>
      <c r="BA945" s="4" t="s">
        <v>254</v>
      </c>
      <c r="BB945" s="4" t="s">
        <v>287</v>
      </c>
      <c r="BC945" s="4" t="s">
        <v>255</v>
      </c>
      <c r="BD945" s="4" t="s">
        <v>241</v>
      </c>
      <c r="BE945" s="4" t="s">
        <v>257</v>
      </c>
      <c r="BF945" s="4" t="s">
        <v>241</v>
      </c>
      <c r="BJ945" s="4" t="s">
        <v>288</v>
      </c>
      <c r="BK945" s="5" t="s">
        <v>289</v>
      </c>
      <c r="BL945" s="4" t="s">
        <v>290</v>
      </c>
      <c r="BM945" s="4" t="s">
        <v>290</v>
      </c>
      <c r="BN945" s="4" t="s">
        <v>241</v>
      </c>
      <c r="BO945" s="6">
        <f>0</f>
        <v>0</v>
      </c>
      <c r="BP945" s="6">
        <f t="shared" si="70"/>
        <v>-711252</v>
      </c>
      <c r="BQ945" s="4" t="s">
        <v>263</v>
      </c>
      <c r="BR945" s="4" t="s">
        <v>264</v>
      </c>
      <c r="BS945" s="4" t="s">
        <v>241</v>
      </c>
      <c r="BT945" s="4" t="s">
        <v>241</v>
      </c>
      <c r="BU945" s="4" t="s">
        <v>241</v>
      </c>
      <c r="BV945" s="4" t="s">
        <v>241</v>
      </c>
      <c r="CE945" s="4" t="s">
        <v>264</v>
      </c>
      <c r="CF945" s="4" t="s">
        <v>241</v>
      </c>
      <c r="CG945" s="4" t="s">
        <v>241</v>
      </c>
      <c r="CK945" s="4" t="s">
        <v>291</v>
      </c>
      <c r="CL945" s="4" t="s">
        <v>266</v>
      </c>
      <c r="CM945" s="4" t="s">
        <v>241</v>
      </c>
      <c r="CO945" s="4" t="s">
        <v>1542</v>
      </c>
      <c r="CP945" s="5" t="s">
        <v>268</v>
      </c>
      <c r="CQ945" s="4" t="s">
        <v>269</v>
      </c>
      <c r="CR945" s="4" t="s">
        <v>270</v>
      </c>
      <c r="CS945" s="4" t="s">
        <v>293</v>
      </c>
      <c r="CT945" s="4" t="s">
        <v>241</v>
      </c>
      <c r="CU945" s="4">
        <v>4.5999999999999999E-2</v>
      </c>
      <c r="CV945" s="4" t="s">
        <v>271</v>
      </c>
      <c r="CW945" s="4" t="s">
        <v>411</v>
      </c>
      <c r="CX945" s="4" t="s">
        <v>347</v>
      </c>
      <c r="CY945" s="6">
        <f>0</f>
        <v>0</v>
      </c>
      <c r="CZ945" s="6">
        <f t="shared" si="71"/>
        <v>15462000</v>
      </c>
      <c r="DA945" s="6">
        <f t="shared" si="72"/>
        <v>10483236</v>
      </c>
      <c r="DC945" s="4" t="s">
        <v>241</v>
      </c>
      <c r="DD945" s="4" t="s">
        <v>241</v>
      </c>
      <c r="DF945" s="4" t="s">
        <v>241</v>
      </c>
      <c r="DG945" s="6">
        <f>0</f>
        <v>0</v>
      </c>
      <c r="DI945" s="4" t="s">
        <v>241</v>
      </c>
      <c r="DJ945" s="4" t="s">
        <v>241</v>
      </c>
      <c r="DK945" s="4" t="s">
        <v>241</v>
      </c>
      <c r="DL945" s="4" t="s">
        <v>241</v>
      </c>
      <c r="DM945" s="4" t="s">
        <v>323</v>
      </c>
      <c r="DN945" s="4" t="s">
        <v>278</v>
      </c>
      <c r="DO945" s="6">
        <f t="shared" si="73"/>
        <v>81.14</v>
      </c>
      <c r="DP945" s="4" t="s">
        <v>241</v>
      </c>
      <c r="DQ945" s="4" t="s">
        <v>241</v>
      </c>
      <c r="DR945" s="4" t="s">
        <v>241</v>
      </c>
      <c r="DS945" s="4" t="s">
        <v>241</v>
      </c>
      <c r="DV945" s="4" t="s">
        <v>2341</v>
      </c>
      <c r="DW945" s="4" t="s">
        <v>323</v>
      </c>
      <c r="GN945" s="4" t="s">
        <v>2362</v>
      </c>
      <c r="HO945" s="4" t="s">
        <v>300</v>
      </c>
      <c r="HR945" s="4" t="s">
        <v>278</v>
      </c>
      <c r="HS945" s="4" t="s">
        <v>278</v>
      </c>
      <c r="HT945" s="4" t="s">
        <v>241</v>
      </c>
      <c r="HU945" s="4" t="s">
        <v>241</v>
      </c>
      <c r="HV945" s="4" t="s">
        <v>241</v>
      </c>
      <c r="HW945" s="4" t="s">
        <v>241</v>
      </c>
      <c r="HX945" s="4" t="s">
        <v>241</v>
      </c>
      <c r="HY945" s="4" t="s">
        <v>241</v>
      </c>
      <c r="HZ945" s="4" t="s">
        <v>241</v>
      </c>
      <c r="IA945" s="4" t="s">
        <v>241</v>
      </c>
      <c r="IB945" s="4" t="s">
        <v>241</v>
      </c>
      <c r="IC945" s="4" t="s">
        <v>241</v>
      </c>
      <c r="ID945" s="4" t="s">
        <v>241</v>
      </c>
      <c r="IE945" s="4" t="s">
        <v>241</v>
      </c>
      <c r="IF945" s="4" t="s">
        <v>241</v>
      </c>
    </row>
    <row r="946" spans="1:240" x14ac:dyDescent="0.4">
      <c r="A946" s="4">
        <v>2</v>
      </c>
      <c r="B946" s="4" t="s">
        <v>239</v>
      </c>
      <c r="C946" s="4">
        <v>1017</v>
      </c>
      <c r="D946" s="4">
        <v>1</v>
      </c>
      <c r="E946" s="4">
        <v>3</v>
      </c>
      <c r="F946" s="4" t="s">
        <v>240</v>
      </c>
      <c r="G946" s="4" t="s">
        <v>241</v>
      </c>
      <c r="H946" s="4" t="s">
        <v>241</v>
      </c>
      <c r="I946" s="4" t="s">
        <v>2338</v>
      </c>
      <c r="J946" s="4" t="s">
        <v>344</v>
      </c>
      <c r="K946" s="4" t="s">
        <v>256</v>
      </c>
      <c r="L946" s="4" t="s">
        <v>2101</v>
      </c>
      <c r="M946" s="5" t="s">
        <v>2340</v>
      </c>
      <c r="N946" s="4" t="s">
        <v>2114</v>
      </c>
      <c r="O946" s="6">
        <f t="shared" si="65"/>
        <v>81.14</v>
      </c>
      <c r="P946" s="4" t="s">
        <v>276</v>
      </c>
      <c r="Q946" s="6">
        <f t="shared" si="66"/>
        <v>10483236</v>
      </c>
      <c r="R946" s="6">
        <f t="shared" si="67"/>
        <v>15462000</v>
      </c>
      <c r="S946" s="5" t="s">
        <v>2339</v>
      </c>
      <c r="T946" s="4" t="s">
        <v>314</v>
      </c>
      <c r="U946" s="4" t="s">
        <v>300</v>
      </c>
      <c r="V946" s="6">
        <f t="shared" si="68"/>
        <v>711252</v>
      </c>
      <c r="W946" s="6">
        <f t="shared" si="69"/>
        <v>4978764</v>
      </c>
      <c r="X946" s="4" t="s">
        <v>243</v>
      </c>
      <c r="Y946" s="4" t="s">
        <v>244</v>
      </c>
      <c r="Z946" s="4" t="s">
        <v>338</v>
      </c>
      <c r="AA946" s="4" t="s">
        <v>241</v>
      </c>
      <c r="AD946" s="4" t="s">
        <v>241</v>
      </c>
      <c r="AE946" s="5" t="s">
        <v>241</v>
      </c>
      <c r="AF946" s="5" t="s">
        <v>241</v>
      </c>
      <c r="AH946" s="5" t="s">
        <v>241</v>
      </c>
      <c r="AI946" s="5" t="s">
        <v>249</v>
      </c>
      <c r="AJ946" s="4" t="s">
        <v>251</v>
      </c>
      <c r="AK946" s="4" t="s">
        <v>252</v>
      </c>
      <c r="AQ946" s="4" t="s">
        <v>241</v>
      </c>
      <c r="AR946" s="4" t="s">
        <v>241</v>
      </c>
      <c r="AS946" s="4" t="s">
        <v>241</v>
      </c>
      <c r="AT946" s="5" t="s">
        <v>241</v>
      </c>
      <c r="AU946" s="5" t="s">
        <v>241</v>
      </c>
      <c r="AV946" s="5" t="s">
        <v>241</v>
      </c>
      <c r="AY946" s="4" t="s">
        <v>286</v>
      </c>
      <c r="AZ946" s="4" t="s">
        <v>286</v>
      </c>
      <c r="BA946" s="4" t="s">
        <v>254</v>
      </c>
      <c r="BB946" s="4" t="s">
        <v>287</v>
      </c>
      <c r="BC946" s="4" t="s">
        <v>255</v>
      </c>
      <c r="BD946" s="4" t="s">
        <v>241</v>
      </c>
      <c r="BE946" s="4" t="s">
        <v>257</v>
      </c>
      <c r="BF946" s="4" t="s">
        <v>241</v>
      </c>
      <c r="BJ946" s="4" t="s">
        <v>288</v>
      </c>
      <c r="BK946" s="5" t="s">
        <v>289</v>
      </c>
      <c r="BL946" s="4" t="s">
        <v>290</v>
      </c>
      <c r="BM946" s="4" t="s">
        <v>290</v>
      </c>
      <c r="BN946" s="4" t="s">
        <v>241</v>
      </c>
      <c r="BO946" s="6">
        <f>0</f>
        <v>0</v>
      </c>
      <c r="BP946" s="6">
        <f t="shared" si="70"/>
        <v>-711252</v>
      </c>
      <c r="BQ946" s="4" t="s">
        <v>263</v>
      </c>
      <c r="BR946" s="4" t="s">
        <v>264</v>
      </c>
      <c r="BS946" s="4" t="s">
        <v>241</v>
      </c>
      <c r="BT946" s="4" t="s">
        <v>241</v>
      </c>
      <c r="BU946" s="4" t="s">
        <v>241</v>
      </c>
      <c r="BV946" s="4" t="s">
        <v>241</v>
      </c>
      <c r="CE946" s="4" t="s">
        <v>264</v>
      </c>
      <c r="CF946" s="4" t="s">
        <v>241</v>
      </c>
      <c r="CG946" s="4" t="s">
        <v>241</v>
      </c>
      <c r="CK946" s="4" t="s">
        <v>291</v>
      </c>
      <c r="CL946" s="4" t="s">
        <v>266</v>
      </c>
      <c r="CM946" s="4" t="s">
        <v>241</v>
      </c>
      <c r="CO946" s="4" t="s">
        <v>1542</v>
      </c>
      <c r="CP946" s="5" t="s">
        <v>268</v>
      </c>
      <c r="CQ946" s="4" t="s">
        <v>269</v>
      </c>
      <c r="CR946" s="4" t="s">
        <v>270</v>
      </c>
      <c r="CS946" s="4" t="s">
        <v>293</v>
      </c>
      <c r="CT946" s="4" t="s">
        <v>241</v>
      </c>
      <c r="CU946" s="4">
        <v>4.5999999999999999E-2</v>
      </c>
      <c r="CV946" s="4" t="s">
        <v>271</v>
      </c>
      <c r="CW946" s="4" t="s">
        <v>411</v>
      </c>
      <c r="CX946" s="4" t="s">
        <v>347</v>
      </c>
      <c r="CY946" s="6">
        <f>0</f>
        <v>0</v>
      </c>
      <c r="CZ946" s="6">
        <f t="shared" si="71"/>
        <v>15462000</v>
      </c>
      <c r="DA946" s="6">
        <f t="shared" si="72"/>
        <v>10483236</v>
      </c>
      <c r="DC946" s="4" t="s">
        <v>241</v>
      </c>
      <c r="DD946" s="4" t="s">
        <v>241</v>
      </c>
      <c r="DF946" s="4" t="s">
        <v>241</v>
      </c>
      <c r="DG946" s="6">
        <f>0</f>
        <v>0</v>
      </c>
      <c r="DI946" s="4" t="s">
        <v>241</v>
      </c>
      <c r="DJ946" s="4" t="s">
        <v>241</v>
      </c>
      <c r="DK946" s="4" t="s">
        <v>241</v>
      </c>
      <c r="DL946" s="4" t="s">
        <v>241</v>
      </c>
      <c r="DM946" s="4" t="s">
        <v>323</v>
      </c>
      <c r="DN946" s="4" t="s">
        <v>278</v>
      </c>
      <c r="DO946" s="6">
        <f t="shared" si="73"/>
        <v>81.14</v>
      </c>
      <c r="DP946" s="4" t="s">
        <v>241</v>
      </c>
      <c r="DQ946" s="4" t="s">
        <v>241</v>
      </c>
      <c r="DR946" s="4" t="s">
        <v>241</v>
      </c>
      <c r="DS946" s="4" t="s">
        <v>241</v>
      </c>
      <c r="DV946" s="4" t="s">
        <v>2341</v>
      </c>
      <c r="DW946" s="4" t="s">
        <v>297</v>
      </c>
      <c r="GN946" s="4" t="s">
        <v>2361</v>
      </c>
      <c r="HO946" s="4" t="s">
        <v>300</v>
      </c>
      <c r="HR946" s="4" t="s">
        <v>278</v>
      </c>
      <c r="HS946" s="4" t="s">
        <v>278</v>
      </c>
      <c r="HT946" s="4" t="s">
        <v>241</v>
      </c>
      <c r="HU946" s="4" t="s">
        <v>241</v>
      </c>
      <c r="HV946" s="4" t="s">
        <v>241</v>
      </c>
      <c r="HW946" s="4" t="s">
        <v>241</v>
      </c>
      <c r="HX946" s="4" t="s">
        <v>241</v>
      </c>
      <c r="HY946" s="4" t="s">
        <v>241</v>
      </c>
      <c r="HZ946" s="4" t="s">
        <v>241</v>
      </c>
      <c r="IA946" s="4" t="s">
        <v>241</v>
      </c>
      <c r="IB946" s="4" t="s">
        <v>241</v>
      </c>
      <c r="IC946" s="4" t="s">
        <v>241</v>
      </c>
      <c r="ID946" s="4" t="s">
        <v>241</v>
      </c>
      <c r="IE946" s="4" t="s">
        <v>241</v>
      </c>
      <c r="IF946" s="4" t="s">
        <v>241</v>
      </c>
    </row>
    <row r="947" spans="1:240" x14ac:dyDescent="0.4">
      <c r="A947" s="4">
        <v>2</v>
      </c>
      <c r="B947" s="4" t="s">
        <v>239</v>
      </c>
      <c r="C947" s="4">
        <v>1018</v>
      </c>
      <c r="D947" s="4">
        <v>1</v>
      </c>
      <c r="E947" s="4">
        <v>3</v>
      </c>
      <c r="F947" s="4" t="s">
        <v>240</v>
      </c>
      <c r="G947" s="4" t="s">
        <v>241</v>
      </c>
      <c r="H947" s="4" t="s">
        <v>241</v>
      </c>
      <c r="I947" s="4" t="s">
        <v>2338</v>
      </c>
      <c r="J947" s="4" t="s">
        <v>344</v>
      </c>
      <c r="K947" s="4" t="s">
        <v>256</v>
      </c>
      <c r="L947" s="4" t="s">
        <v>2101</v>
      </c>
      <c r="M947" s="5" t="s">
        <v>2340</v>
      </c>
      <c r="N947" s="4" t="s">
        <v>2114</v>
      </c>
      <c r="O947" s="6">
        <f t="shared" si="65"/>
        <v>81.14</v>
      </c>
      <c r="P947" s="4" t="s">
        <v>276</v>
      </c>
      <c r="Q947" s="6">
        <f t="shared" si="66"/>
        <v>10483236</v>
      </c>
      <c r="R947" s="6">
        <f t="shared" si="67"/>
        <v>15462000</v>
      </c>
      <c r="S947" s="5" t="s">
        <v>2339</v>
      </c>
      <c r="T947" s="4" t="s">
        <v>314</v>
      </c>
      <c r="U947" s="4" t="s">
        <v>300</v>
      </c>
      <c r="V947" s="6">
        <f t="shared" si="68"/>
        <v>711252</v>
      </c>
      <c r="W947" s="6">
        <f t="shared" si="69"/>
        <v>4978764</v>
      </c>
      <c r="X947" s="4" t="s">
        <v>243</v>
      </c>
      <c r="Y947" s="4" t="s">
        <v>244</v>
      </c>
      <c r="Z947" s="4" t="s">
        <v>338</v>
      </c>
      <c r="AA947" s="4" t="s">
        <v>241</v>
      </c>
      <c r="AD947" s="4" t="s">
        <v>241</v>
      </c>
      <c r="AE947" s="5" t="s">
        <v>241</v>
      </c>
      <c r="AF947" s="5" t="s">
        <v>241</v>
      </c>
      <c r="AH947" s="5" t="s">
        <v>241</v>
      </c>
      <c r="AI947" s="5" t="s">
        <v>249</v>
      </c>
      <c r="AJ947" s="4" t="s">
        <v>251</v>
      </c>
      <c r="AK947" s="4" t="s">
        <v>252</v>
      </c>
      <c r="AQ947" s="4" t="s">
        <v>241</v>
      </c>
      <c r="AR947" s="4" t="s">
        <v>241</v>
      </c>
      <c r="AS947" s="4" t="s">
        <v>241</v>
      </c>
      <c r="AT947" s="5" t="s">
        <v>241</v>
      </c>
      <c r="AU947" s="5" t="s">
        <v>241</v>
      </c>
      <c r="AV947" s="5" t="s">
        <v>241</v>
      </c>
      <c r="AY947" s="4" t="s">
        <v>286</v>
      </c>
      <c r="AZ947" s="4" t="s">
        <v>286</v>
      </c>
      <c r="BA947" s="4" t="s">
        <v>254</v>
      </c>
      <c r="BB947" s="4" t="s">
        <v>287</v>
      </c>
      <c r="BC947" s="4" t="s">
        <v>255</v>
      </c>
      <c r="BD947" s="4" t="s">
        <v>241</v>
      </c>
      <c r="BE947" s="4" t="s">
        <v>257</v>
      </c>
      <c r="BF947" s="4" t="s">
        <v>241</v>
      </c>
      <c r="BJ947" s="4" t="s">
        <v>288</v>
      </c>
      <c r="BK947" s="5" t="s">
        <v>289</v>
      </c>
      <c r="BL947" s="4" t="s">
        <v>290</v>
      </c>
      <c r="BM947" s="4" t="s">
        <v>290</v>
      </c>
      <c r="BN947" s="4" t="s">
        <v>241</v>
      </c>
      <c r="BO947" s="6">
        <f>0</f>
        <v>0</v>
      </c>
      <c r="BP947" s="6">
        <f t="shared" si="70"/>
        <v>-711252</v>
      </c>
      <c r="BQ947" s="4" t="s">
        <v>263</v>
      </c>
      <c r="BR947" s="4" t="s">
        <v>264</v>
      </c>
      <c r="BS947" s="4" t="s">
        <v>241</v>
      </c>
      <c r="BT947" s="4" t="s">
        <v>241</v>
      </c>
      <c r="BU947" s="4" t="s">
        <v>241</v>
      </c>
      <c r="BV947" s="4" t="s">
        <v>241</v>
      </c>
      <c r="CE947" s="4" t="s">
        <v>264</v>
      </c>
      <c r="CF947" s="4" t="s">
        <v>241</v>
      </c>
      <c r="CG947" s="4" t="s">
        <v>241</v>
      </c>
      <c r="CK947" s="4" t="s">
        <v>291</v>
      </c>
      <c r="CL947" s="4" t="s">
        <v>266</v>
      </c>
      <c r="CM947" s="4" t="s">
        <v>241</v>
      </c>
      <c r="CO947" s="4" t="s">
        <v>1542</v>
      </c>
      <c r="CP947" s="5" t="s">
        <v>268</v>
      </c>
      <c r="CQ947" s="4" t="s">
        <v>269</v>
      </c>
      <c r="CR947" s="4" t="s">
        <v>270</v>
      </c>
      <c r="CS947" s="4" t="s">
        <v>293</v>
      </c>
      <c r="CT947" s="4" t="s">
        <v>241</v>
      </c>
      <c r="CU947" s="4">
        <v>4.5999999999999999E-2</v>
      </c>
      <c r="CV947" s="4" t="s">
        <v>271</v>
      </c>
      <c r="CW947" s="4" t="s">
        <v>411</v>
      </c>
      <c r="CX947" s="4" t="s">
        <v>347</v>
      </c>
      <c r="CY947" s="6">
        <f>0</f>
        <v>0</v>
      </c>
      <c r="CZ947" s="6">
        <f t="shared" si="71"/>
        <v>15462000</v>
      </c>
      <c r="DA947" s="6">
        <f t="shared" si="72"/>
        <v>10483236</v>
      </c>
      <c r="DC947" s="4" t="s">
        <v>241</v>
      </c>
      <c r="DD947" s="4" t="s">
        <v>241</v>
      </c>
      <c r="DF947" s="4" t="s">
        <v>241</v>
      </c>
      <c r="DG947" s="6">
        <f>0</f>
        <v>0</v>
      </c>
      <c r="DI947" s="4" t="s">
        <v>241</v>
      </c>
      <c r="DJ947" s="4" t="s">
        <v>241</v>
      </c>
      <c r="DK947" s="4" t="s">
        <v>241</v>
      </c>
      <c r="DL947" s="4" t="s">
        <v>241</v>
      </c>
      <c r="DM947" s="4" t="s">
        <v>323</v>
      </c>
      <c r="DN947" s="4" t="s">
        <v>278</v>
      </c>
      <c r="DO947" s="6">
        <f t="shared" si="73"/>
        <v>81.14</v>
      </c>
      <c r="DP947" s="4" t="s">
        <v>241</v>
      </c>
      <c r="DQ947" s="4" t="s">
        <v>241</v>
      </c>
      <c r="DR947" s="4" t="s">
        <v>241</v>
      </c>
      <c r="DS947" s="4" t="s">
        <v>241</v>
      </c>
      <c r="DV947" s="4" t="s">
        <v>2341</v>
      </c>
      <c r="DW947" s="4" t="s">
        <v>336</v>
      </c>
      <c r="GN947" s="4" t="s">
        <v>2360</v>
      </c>
      <c r="HO947" s="4" t="s">
        <v>300</v>
      </c>
      <c r="HR947" s="4" t="s">
        <v>278</v>
      </c>
      <c r="HS947" s="4" t="s">
        <v>278</v>
      </c>
      <c r="HT947" s="4" t="s">
        <v>241</v>
      </c>
      <c r="HU947" s="4" t="s">
        <v>241</v>
      </c>
      <c r="HV947" s="4" t="s">
        <v>241</v>
      </c>
      <c r="HW947" s="4" t="s">
        <v>241</v>
      </c>
      <c r="HX947" s="4" t="s">
        <v>241</v>
      </c>
      <c r="HY947" s="4" t="s">
        <v>241</v>
      </c>
      <c r="HZ947" s="4" t="s">
        <v>241</v>
      </c>
      <c r="IA947" s="4" t="s">
        <v>241</v>
      </c>
      <c r="IB947" s="4" t="s">
        <v>241</v>
      </c>
      <c r="IC947" s="4" t="s">
        <v>241</v>
      </c>
      <c r="ID947" s="4" t="s">
        <v>241</v>
      </c>
      <c r="IE947" s="4" t="s">
        <v>241</v>
      </c>
      <c r="IF947" s="4" t="s">
        <v>241</v>
      </c>
    </row>
    <row r="948" spans="1:240" x14ac:dyDescent="0.4">
      <c r="A948" s="4">
        <v>2</v>
      </c>
      <c r="B948" s="4" t="s">
        <v>239</v>
      </c>
      <c r="C948" s="4">
        <v>1019</v>
      </c>
      <c r="D948" s="4">
        <v>1</v>
      </c>
      <c r="E948" s="4">
        <v>3</v>
      </c>
      <c r="F948" s="4" t="s">
        <v>240</v>
      </c>
      <c r="G948" s="4" t="s">
        <v>241</v>
      </c>
      <c r="H948" s="4" t="s">
        <v>241</v>
      </c>
      <c r="I948" s="4" t="s">
        <v>2338</v>
      </c>
      <c r="J948" s="4" t="s">
        <v>344</v>
      </c>
      <c r="K948" s="4" t="s">
        <v>256</v>
      </c>
      <c r="L948" s="4" t="s">
        <v>2101</v>
      </c>
      <c r="M948" s="5" t="s">
        <v>2340</v>
      </c>
      <c r="N948" s="4" t="s">
        <v>2114</v>
      </c>
      <c r="O948" s="6">
        <f t="shared" si="65"/>
        <v>81.14</v>
      </c>
      <c r="P948" s="4" t="s">
        <v>276</v>
      </c>
      <c r="Q948" s="6">
        <f t="shared" si="66"/>
        <v>10483236</v>
      </c>
      <c r="R948" s="6">
        <f t="shared" si="67"/>
        <v>15462000</v>
      </c>
      <c r="S948" s="5" t="s">
        <v>2339</v>
      </c>
      <c r="T948" s="4" t="s">
        <v>314</v>
      </c>
      <c r="U948" s="4" t="s">
        <v>300</v>
      </c>
      <c r="V948" s="6">
        <f t="shared" si="68"/>
        <v>711252</v>
      </c>
      <c r="W948" s="6">
        <f t="shared" si="69"/>
        <v>4978764</v>
      </c>
      <c r="X948" s="4" t="s">
        <v>243</v>
      </c>
      <c r="Y948" s="4" t="s">
        <v>244</v>
      </c>
      <c r="Z948" s="4" t="s">
        <v>338</v>
      </c>
      <c r="AA948" s="4" t="s">
        <v>241</v>
      </c>
      <c r="AD948" s="4" t="s">
        <v>241</v>
      </c>
      <c r="AE948" s="5" t="s">
        <v>241</v>
      </c>
      <c r="AF948" s="5" t="s">
        <v>241</v>
      </c>
      <c r="AH948" s="5" t="s">
        <v>241</v>
      </c>
      <c r="AI948" s="5" t="s">
        <v>249</v>
      </c>
      <c r="AJ948" s="4" t="s">
        <v>251</v>
      </c>
      <c r="AK948" s="4" t="s">
        <v>252</v>
      </c>
      <c r="AQ948" s="4" t="s">
        <v>241</v>
      </c>
      <c r="AR948" s="4" t="s">
        <v>241</v>
      </c>
      <c r="AS948" s="4" t="s">
        <v>241</v>
      </c>
      <c r="AT948" s="5" t="s">
        <v>241</v>
      </c>
      <c r="AU948" s="5" t="s">
        <v>241</v>
      </c>
      <c r="AV948" s="5" t="s">
        <v>241</v>
      </c>
      <c r="AY948" s="4" t="s">
        <v>286</v>
      </c>
      <c r="AZ948" s="4" t="s">
        <v>286</v>
      </c>
      <c r="BA948" s="4" t="s">
        <v>254</v>
      </c>
      <c r="BB948" s="4" t="s">
        <v>287</v>
      </c>
      <c r="BC948" s="4" t="s">
        <v>255</v>
      </c>
      <c r="BD948" s="4" t="s">
        <v>241</v>
      </c>
      <c r="BE948" s="4" t="s">
        <v>257</v>
      </c>
      <c r="BF948" s="4" t="s">
        <v>241</v>
      </c>
      <c r="BJ948" s="4" t="s">
        <v>288</v>
      </c>
      <c r="BK948" s="5" t="s">
        <v>289</v>
      </c>
      <c r="BL948" s="4" t="s">
        <v>290</v>
      </c>
      <c r="BM948" s="4" t="s">
        <v>290</v>
      </c>
      <c r="BN948" s="4" t="s">
        <v>241</v>
      </c>
      <c r="BO948" s="6">
        <f>0</f>
        <v>0</v>
      </c>
      <c r="BP948" s="6">
        <f t="shared" si="70"/>
        <v>-711252</v>
      </c>
      <c r="BQ948" s="4" t="s">
        <v>263</v>
      </c>
      <c r="BR948" s="4" t="s">
        <v>264</v>
      </c>
      <c r="BS948" s="4" t="s">
        <v>241</v>
      </c>
      <c r="BT948" s="4" t="s">
        <v>241</v>
      </c>
      <c r="BU948" s="4" t="s">
        <v>241</v>
      </c>
      <c r="BV948" s="4" t="s">
        <v>241</v>
      </c>
      <c r="CE948" s="4" t="s">
        <v>264</v>
      </c>
      <c r="CF948" s="4" t="s">
        <v>241</v>
      </c>
      <c r="CG948" s="4" t="s">
        <v>241</v>
      </c>
      <c r="CK948" s="4" t="s">
        <v>291</v>
      </c>
      <c r="CL948" s="4" t="s">
        <v>266</v>
      </c>
      <c r="CM948" s="4" t="s">
        <v>241</v>
      </c>
      <c r="CO948" s="4" t="s">
        <v>1542</v>
      </c>
      <c r="CP948" s="5" t="s">
        <v>268</v>
      </c>
      <c r="CQ948" s="4" t="s">
        <v>269</v>
      </c>
      <c r="CR948" s="4" t="s">
        <v>270</v>
      </c>
      <c r="CS948" s="4" t="s">
        <v>293</v>
      </c>
      <c r="CT948" s="4" t="s">
        <v>241</v>
      </c>
      <c r="CU948" s="4">
        <v>4.5999999999999999E-2</v>
      </c>
      <c r="CV948" s="4" t="s">
        <v>271</v>
      </c>
      <c r="CW948" s="4" t="s">
        <v>411</v>
      </c>
      <c r="CX948" s="4" t="s">
        <v>347</v>
      </c>
      <c r="CY948" s="6">
        <f>0</f>
        <v>0</v>
      </c>
      <c r="CZ948" s="6">
        <f t="shared" si="71"/>
        <v>15462000</v>
      </c>
      <c r="DA948" s="6">
        <f t="shared" si="72"/>
        <v>10483236</v>
      </c>
      <c r="DC948" s="4" t="s">
        <v>241</v>
      </c>
      <c r="DD948" s="4" t="s">
        <v>241</v>
      </c>
      <c r="DF948" s="4" t="s">
        <v>241</v>
      </c>
      <c r="DG948" s="6">
        <f>0</f>
        <v>0</v>
      </c>
      <c r="DI948" s="4" t="s">
        <v>241</v>
      </c>
      <c r="DJ948" s="4" t="s">
        <v>241</v>
      </c>
      <c r="DK948" s="4" t="s">
        <v>241</v>
      </c>
      <c r="DL948" s="4" t="s">
        <v>241</v>
      </c>
      <c r="DM948" s="4" t="s">
        <v>323</v>
      </c>
      <c r="DN948" s="4" t="s">
        <v>278</v>
      </c>
      <c r="DO948" s="6">
        <f t="shared" si="73"/>
        <v>81.14</v>
      </c>
      <c r="DP948" s="4" t="s">
        <v>241</v>
      </c>
      <c r="DQ948" s="4" t="s">
        <v>241</v>
      </c>
      <c r="DR948" s="4" t="s">
        <v>241</v>
      </c>
      <c r="DS948" s="4" t="s">
        <v>241</v>
      </c>
      <c r="DV948" s="4" t="s">
        <v>2341</v>
      </c>
      <c r="DW948" s="4" t="s">
        <v>351</v>
      </c>
      <c r="GN948" s="4" t="s">
        <v>2359</v>
      </c>
      <c r="HO948" s="4" t="s">
        <v>300</v>
      </c>
      <c r="HR948" s="4" t="s">
        <v>278</v>
      </c>
      <c r="HS948" s="4" t="s">
        <v>278</v>
      </c>
      <c r="HT948" s="4" t="s">
        <v>241</v>
      </c>
      <c r="HU948" s="4" t="s">
        <v>241</v>
      </c>
      <c r="HV948" s="4" t="s">
        <v>241</v>
      </c>
      <c r="HW948" s="4" t="s">
        <v>241</v>
      </c>
      <c r="HX948" s="4" t="s">
        <v>241</v>
      </c>
      <c r="HY948" s="4" t="s">
        <v>241</v>
      </c>
      <c r="HZ948" s="4" t="s">
        <v>241</v>
      </c>
      <c r="IA948" s="4" t="s">
        <v>241</v>
      </c>
      <c r="IB948" s="4" t="s">
        <v>241</v>
      </c>
      <c r="IC948" s="4" t="s">
        <v>241</v>
      </c>
      <c r="ID948" s="4" t="s">
        <v>241</v>
      </c>
      <c r="IE948" s="4" t="s">
        <v>241</v>
      </c>
      <c r="IF948" s="4" t="s">
        <v>241</v>
      </c>
    </row>
    <row r="949" spans="1:240" x14ac:dyDescent="0.4">
      <c r="A949" s="4">
        <v>2</v>
      </c>
      <c r="B949" s="4" t="s">
        <v>239</v>
      </c>
      <c r="C949" s="4">
        <v>1020</v>
      </c>
      <c r="D949" s="4">
        <v>1</v>
      </c>
      <c r="E949" s="4">
        <v>3</v>
      </c>
      <c r="F949" s="4" t="s">
        <v>240</v>
      </c>
      <c r="G949" s="4" t="s">
        <v>241</v>
      </c>
      <c r="H949" s="4" t="s">
        <v>241</v>
      </c>
      <c r="I949" s="4" t="s">
        <v>2338</v>
      </c>
      <c r="J949" s="4" t="s">
        <v>344</v>
      </c>
      <c r="K949" s="4" t="s">
        <v>256</v>
      </c>
      <c r="L949" s="4" t="s">
        <v>2101</v>
      </c>
      <c r="M949" s="5" t="s">
        <v>2340</v>
      </c>
      <c r="N949" s="4" t="s">
        <v>2114</v>
      </c>
      <c r="O949" s="6">
        <f t="shared" si="65"/>
        <v>81.14</v>
      </c>
      <c r="P949" s="4" t="s">
        <v>276</v>
      </c>
      <c r="Q949" s="6">
        <f t="shared" si="66"/>
        <v>10483236</v>
      </c>
      <c r="R949" s="6">
        <f t="shared" si="67"/>
        <v>15462000</v>
      </c>
      <c r="S949" s="5" t="s">
        <v>2339</v>
      </c>
      <c r="T949" s="4" t="s">
        <v>314</v>
      </c>
      <c r="U949" s="4" t="s">
        <v>300</v>
      </c>
      <c r="V949" s="6">
        <f t="shared" si="68"/>
        <v>711252</v>
      </c>
      <c r="W949" s="6">
        <f t="shared" si="69"/>
        <v>4978764</v>
      </c>
      <c r="X949" s="4" t="s">
        <v>243</v>
      </c>
      <c r="Y949" s="4" t="s">
        <v>244</v>
      </c>
      <c r="Z949" s="4" t="s">
        <v>338</v>
      </c>
      <c r="AA949" s="4" t="s">
        <v>241</v>
      </c>
      <c r="AD949" s="4" t="s">
        <v>241</v>
      </c>
      <c r="AE949" s="5" t="s">
        <v>241</v>
      </c>
      <c r="AF949" s="5" t="s">
        <v>241</v>
      </c>
      <c r="AH949" s="5" t="s">
        <v>241</v>
      </c>
      <c r="AI949" s="5" t="s">
        <v>249</v>
      </c>
      <c r="AJ949" s="4" t="s">
        <v>251</v>
      </c>
      <c r="AK949" s="4" t="s">
        <v>252</v>
      </c>
      <c r="AQ949" s="4" t="s">
        <v>241</v>
      </c>
      <c r="AR949" s="4" t="s">
        <v>241</v>
      </c>
      <c r="AS949" s="4" t="s">
        <v>241</v>
      </c>
      <c r="AT949" s="5" t="s">
        <v>241</v>
      </c>
      <c r="AU949" s="5" t="s">
        <v>241</v>
      </c>
      <c r="AV949" s="5" t="s">
        <v>241</v>
      </c>
      <c r="AY949" s="4" t="s">
        <v>286</v>
      </c>
      <c r="AZ949" s="4" t="s">
        <v>286</v>
      </c>
      <c r="BA949" s="4" t="s">
        <v>254</v>
      </c>
      <c r="BB949" s="4" t="s">
        <v>287</v>
      </c>
      <c r="BC949" s="4" t="s">
        <v>255</v>
      </c>
      <c r="BD949" s="4" t="s">
        <v>241</v>
      </c>
      <c r="BE949" s="4" t="s">
        <v>257</v>
      </c>
      <c r="BF949" s="4" t="s">
        <v>241</v>
      </c>
      <c r="BJ949" s="4" t="s">
        <v>288</v>
      </c>
      <c r="BK949" s="5" t="s">
        <v>289</v>
      </c>
      <c r="BL949" s="4" t="s">
        <v>290</v>
      </c>
      <c r="BM949" s="4" t="s">
        <v>290</v>
      </c>
      <c r="BN949" s="4" t="s">
        <v>241</v>
      </c>
      <c r="BO949" s="6">
        <f>0</f>
        <v>0</v>
      </c>
      <c r="BP949" s="6">
        <f t="shared" si="70"/>
        <v>-711252</v>
      </c>
      <c r="BQ949" s="4" t="s">
        <v>263</v>
      </c>
      <c r="BR949" s="4" t="s">
        <v>264</v>
      </c>
      <c r="BS949" s="4" t="s">
        <v>241</v>
      </c>
      <c r="BT949" s="4" t="s">
        <v>241</v>
      </c>
      <c r="BU949" s="4" t="s">
        <v>241</v>
      </c>
      <c r="BV949" s="4" t="s">
        <v>241</v>
      </c>
      <c r="CE949" s="4" t="s">
        <v>264</v>
      </c>
      <c r="CF949" s="4" t="s">
        <v>241</v>
      </c>
      <c r="CG949" s="4" t="s">
        <v>241</v>
      </c>
      <c r="CK949" s="4" t="s">
        <v>291</v>
      </c>
      <c r="CL949" s="4" t="s">
        <v>266</v>
      </c>
      <c r="CM949" s="4" t="s">
        <v>241</v>
      </c>
      <c r="CO949" s="4" t="s">
        <v>1542</v>
      </c>
      <c r="CP949" s="5" t="s">
        <v>268</v>
      </c>
      <c r="CQ949" s="4" t="s">
        <v>269</v>
      </c>
      <c r="CR949" s="4" t="s">
        <v>270</v>
      </c>
      <c r="CS949" s="4" t="s">
        <v>293</v>
      </c>
      <c r="CT949" s="4" t="s">
        <v>241</v>
      </c>
      <c r="CU949" s="4">
        <v>4.5999999999999999E-2</v>
      </c>
      <c r="CV949" s="4" t="s">
        <v>271</v>
      </c>
      <c r="CW949" s="4" t="s">
        <v>411</v>
      </c>
      <c r="CX949" s="4" t="s">
        <v>347</v>
      </c>
      <c r="CY949" s="6">
        <f>0</f>
        <v>0</v>
      </c>
      <c r="CZ949" s="6">
        <f t="shared" si="71"/>
        <v>15462000</v>
      </c>
      <c r="DA949" s="6">
        <f t="shared" si="72"/>
        <v>10483236</v>
      </c>
      <c r="DC949" s="4" t="s">
        <v>241</v>
      </c>
      <c r="DD949" s="4" t="s">
        <v>241</v>
      </c>
      <c r="DF949" s="4" t="s">
        <v>241</v>
      </c>
      <c r="DG949" s="6">
        <f>0</f>
        <v>0</v>
      </c>
      <c r="DI949" s="4" t="s">
        <v>241</v>
      </c>
      <c r="DJ949" s="4" t="s">
        <v>241</v>
      </c>
      <c r="DK949" s="4" t="s">
        <v>241</v>
      </c>
      <c r="DL949" s="4" t="s">
        <v>241</v>
      </c>
      <c r="DM949" s="4" t="s">
        <v>323</v>
      </c>
      <c r="DN949" s="4" t="s">
        <v>278</v>
      </c>
      <c r="DO949" s="6">
        <f t="shared" si="73"/>
        <v>81.14</v>
      </c>
      <c r="DP949" s="4" t="s">
        <v>241</v>
      </c>
      <c r="DQ949" s="4" t="s">
        <v>241</v>
      </c>
      <c r="DR949" s="4" t="s">
        <v>241</v>
      </c>
      <c r="DS949" s="4" t="s">
        <v>241</v>
      </c>
      <c r="DV949" s="4" t="s">
        <v>2341</v>
      </c>
      <c r="DW949" s="4" t="s">
        <v>300</v>
      </c>
      <c r="GN949" s="4" t="s">
        <v>2358</v>
      </c>
      <c r="HO949" s="4" t="s">
        <v>300</v>
      </c>
      <c r="HR949" s="4" t="s">
        <v>278</v>
      </c>
      <c r="HS949" s="4" t="s">
        <v>278</v>
      </c>
      <c r="HT949" s="4" t="s">
        <v>241</v>
      </c>
      <c r="HU949" s="4" t="s">
        <v>241</v>
      </c>
      <c r="HV949" s="4" t="s">
        <v>241</v>
      </c>
      <c r="HW949" s="4" t="s">
        <v>241</v>
      </c>
      <c r="HX949" s="4" t="s">
        <v>241</v>
      </c>
      <c r="HY949" s="4" t="s">
        <v>241</v>
      </c>
      <c r="HZ949" s="4" t="s">
        <v>241</v>
      </c>
      <c r="IA949" s="4" t="s">
        <v>241</v>
      </c>
      <c r="IB949" s="4" t="s">
        <v>241</v>
      </c>
      <c r="IC949" s="4" t="s">
        <v>241</v>
      </c>
      <c r="ID949" s="4" t="s">
        <v>241</v>
      </c>
      <c r="IE949" s="4" t="s">
        <v>241</v>
      </c>
      <c r="IF949" s="4" t="s">
        <v>241</v>
      </c>
    </row>
    <row r="950" spans="1:240" x14ac:dyDescent="0.4">
      <c r="A950" s="4">
        <v>2</v>
      </c>
      <c r="B950" s="4" t="s">
        <v>239</v>
      </c>
      <c r="C950" s="4">
        <v>1021</v>
      </c>
      <c r="D950" s="4">
        <v>1</v>
      </c>
      <c r="E950" s="4">
        <v>3</v>
      </c>
      <c r="F950" s="4" t="s">
        <v>240</v>
      </c>
      <c r="G950" s="4" t="s">
        <v>241</v>
      </c>
      <c r="H950" s="4" t="s">
        <v>241</v>
      </c>
      <c r="I950" s="4" t="s">
        <v>2338</v>
      </c>
      <c r="J950" s="4" t="s">
        <v>344</v>
      </c>
      <c r="K950" s="4" t="s">
        <v>256</v>
      </c>
      <c r="L950" s="4" t="s">
        <v>2101</v>
      </c>
      <c r="M950" s="5" t="s">
        <v>2340</v>
      </c>
      <c r="N950" s="4" t="s">
        <v>2114</v>
      </c>
      <c r="O950" s="6">
        <f t="shared" si="65"/>
        <v>81.14</v>
      </c>
      <c r="P950" s="4" t="s">
        <v>276</v>
      </c>
      <c r="Q950" s="6">
        <f t="shared" si="66"/>
        <v>10483236</v>
      </c>
      <c r="R950" s="6">
        <f t="shared" si="67"/>
        <v>15462000</v>
      </c>
      <c r="S950" s="5" t="s">
        <v>2339</v>
      </c>
      <c r="T950" s="4" t="s">
        <v>314</v>
      </c>
      <c r="U950" s="4" t="s">
        <v>300</v>
      </c>
      <c r="V950" s="6">
        <f t="shared" si="68"/>
        <v>711252</v>
      </c>
      <c r="W950" s="6">
        <f t="shared" si="69"/>
        <v>4978764</v>
      </c>
      <c r="X950" s="4" t="s">
        <v>243</v>
      </c>
      <c r="Y950" s="4" t="s">
        <v>244</v>
      </c>
      <c r="Z950" s="4" t="s">
        <v>338</v>
      </c>
      <c r="AA950" s="4" t="s">
        <v>241</v>
      </c>
      <c r="AD950" s="4" t="s">
        <v>241</v>
      </c>
      <c r="AE950" s="5" t="s">
        <v>241</v>
      </c>
      <c r="AF950" s="5" t="s">
        <v>241</v>
      </c>
      <c r="AH950" s="5" t="s">
        <v>241</v>
      </c>
      <c r="AI950" s="5" t="s">
        <v>249</v>
      </c>
      <c r="AJ950" s="4" t="s">
        <v>251</v>
      </c>
      <c r="AK950" s="4" t="s">
        <v>252</v>
      </c>
      <c r="AQ950" s="4" t="s">
        <v>241</v>
      </c>
      <c r="AR950" s="4" t="s">
        <v>241</v>
      </c>
      <c r="AS950" s="4" t="s">
        <v>241</v>
      </c>
      <c r="AT950" s="5" t="s">
        <v>241</v>
      </c>
      <c r="AU950" s="5" t="s">
        <v>241</v>
      </c>
      <c r="AV950" s="5" t="s">
        <v>241</v>
      </c>
      <c r="AY950" s="4" t="s">
        <v>286</v>
      </c>
      <c r="AZ950" s="4" t="s">
        <v>286</v>
      </c>
      <c r="BA950" s="4" t="s">
        <v>254</v>
      </c>
      <c r="BB950" s="4" t="s">
        <v>287</v>
      </c>
      <c r="BC950" s="4" t="s">
        <v>255</v>
      </c>
      <c r="BD950" s="4" t="s">
        <v>241</v>
      </c>
      <c r="BE950" s="4" t="s">
        <v>257</v>
      </c>
      <c r="BF950" s="4" t="s">
        <v>241</v>
      </c>
      <c r="BJ950" s="4" t="s">
        <v>288</v>
      </c>
      <c r="BK950" s="5" t="s">
        <v>289</v>
      </c>
      <c r="BL950" s="4" t="s">
        <v>290</v>
      </c>
      <c r="BM950" s="4" t="s">
        <v>290</v>
      </c>
      <c r="BN950" s="4" t="s">
        <v>241</v>
      </c>
      <c r="BO950" s="6">
        <f>0</f>
        <v>0</v>
      </c>
      <c r="BP950" s="6">
        <f t="shared" si="70"/>
        <v>-711252</v>
      </c>
      <c r="BQ950" s="4" t="s">
        <v>263</v>
      </c>
      <c r="BR950" s="4" t="s">
        <v>264</v>
      </c>
      <c r="BS950" s="4" t="s">
        <v>241</v>
      </c>
      <c r="BT950" s="4" t="s">
        <v>241</v>
      </c>
      <c r="BU950" s="4" t="s">
        <v>241</v>
      </c>
      <c r="BV950" s="4" t="s">
        <v>241</v>
      </c>
      <c r="CE950" s="4" t="s">
        <v>264</v>
      </c>
      <c r="CF950" s="4" t="s">
        <v>241</v>
      </c>
      <c r="CG950" s="4" t="s">
        <v>241</v>
      </c>
      <c r="CK950" s="4" t="s">
        <v>291</v>
      </c>
      <c r="CL950" s="4" t="s">
        <v>266</v>
      </c>
      <c r="CM950" s="4" t="s">
        <v>241</v>
      </c>
      <c r="CO950" s="4" t="s">
        <v>1542</v>
      </c>
      <c r="CP950" s="5" t="s">
        <v>268</v>
      </c>
      <c r="CQ950" s="4" t="s">
        <v>269</v>
      </c>
      <c r="CR950" s="4" t="s">
        <v>270</v>
      </c>
      <c r="CS950" s="4" t="s">
        <v>293</v>
      </c>
      <c r="CT950" s="4" t="s">
        <v>241</v>
      </c>
      <c r="CU950" s="4">
        <v>4.5999999999999999E-2</v>
      </c>
      <c r="CV950" s="4" t="s">
        <v>271</v>
      </c>
      <c r="CW950" s="4" t="s">
        <v>411</v>
      </c>
      <c r="CX950" s="4" t="s">
        <v>347</v>
      </c>
      <c r="CY950" s="6">
        <f>0</f>
        <v>0</v>
      </c>
      <c r="CZ950" s="6">
        <f t="shared" si="71"/>
        <v>15462000</v>
      </c>
      <c r="DA950" s="6">
        <f t="shared" si="72"/>
        <v>10483236</v>
      </c>
      <c r="DC950" s="4" t="s">
        <v>241</v>
      </c>
      <c r="DD950" s="4" t="s">
        <v>241</v>
      </c>
      <c r="DF950" s="4" t="s">
        <v>241</v>
      </c>
      <c r="DG950" s="6">
        <f>0</f>
        <v>0</v>
      </c>
      <c r="DI950" s="4" t="s">
        <v>241</v>
      </c>
      <c r="DJ950" s="4" t="s">
        <v>241</v>
      </c>
      <c r="DK950" s="4" t="s">
        <v>241</v>
      </c>
      <c r="DL950" s="4" t="s">
        <v>241</v>
      </c>
      <c r="DM950" s="4" t="s">
        <v>323</v>
      </c>
      <c r="DN950" s="4" t="s">
        <v>278</v>
      </c>
      <c r="DO950" s="6">
        <f t="shared" si="73"/>
        <v>81.14</v>
      </c>
      <c r="DP950" s="4" t="s">
        <v>241</v>
      </c>
      <c r="DQ950" s="4" t="s">
        <v>241</v>
      </c>
      <c r="DR950" s="4" t="s">
        <v>241</v>
      </c>
      <c r="DS950" s="4" t="s">
        <v>241</v>
      </c>
      <c r="DV950" s="4" t="s">
        <v>2341</v>
      </c>
      <c r="DW950" s="4" t="s">
        <v>341</v>
      </c>
      <c r="GN950" s="4" t="s">
        <v>2357</v>
      </c>
      <c r="HO950" s="4" t="s">
        <v>300</v>
      </c>
      <c r="HR950" s="4" t="s">
        <v>278</v>
      </c>
      <c r="HS950" s="4" t="s">
        <v>278</v>
      </c>
      <c r="HT950" s="4" t="s">
        <v>241</v>
      </c>
      <c r="HU950" s="4" t="s">
        <v>241</v>
      </c>
      <c r="HV950" s="4" t="s">
        <v>241</v>
      </c>
      <c r="HW950" s="4" t="s">
        <v>241</v>
      </c>
      <c r="HX950" s="4" t="s">
        <v>241</v>
      </c>
      <c r="HY950" s="4" t="s">
        <v>241</v>
      </c>
      <c r="HZ950" s="4" t="s">
        <v>241</v>
      </c>
      <c r="IA950" s="4" t="s">
        <v>241</v>
      </c>
      <c r="IB950" s="4" t="s">
        <v>241</v>
      </c>
      <c r="IC950" s="4" t="s">
        <v>241</v>
      </c>
      <c r="ID950" s="4" t="s">
        <v>241</v>
      </c>
      <c r="IE950" s="4" t="s">
        <v>241</v>
      </c>
      <c r="IF950" s="4" t="s">
        <v>241</v>
      </c>
    </row>
    <row r="951" spans="1:240" x14ac:dyDescent="0.4">
      <c r="A951" s="4">
        <v>2</v>
      </c>
      <c r="B951" s="4" t="s">
        <v>239</v>
      </c>
      <c r="C951" s="4">
        <v>1022</v>
      </c>
      <c r="D951" s="4">
        <v>1</v>
      </c>
      <c r="E951" s="4">
        <v>3</v>
      </c>
      <c r="F951" s="4" t="s">
        <v>240</v>
      </c>
      <c r="G951" s="4" t="s">
        <v>241</v>
      </c>
      <c r="H951" s="4" t="s">
        <v>241</v>
      </c>
      <c r="I951" s="4" t="s">
        <v>2338</v>
      </c>
      <c r="J951" s="4" t="s">
        <v>344</v>
      </c>
      <c r="K951" s="4" t="s">
        <v>256</v>
      </c>
      <c r="L951" s="4" t="s">
        <v>2101</v>
      </c>
      <c r="M951" s="5" t="s">
        <v>2340</v>
      </c>
      <c r="N951" s="4" t="s">
        <v>2114</v>
      </c>
      <c r="O951" s="6">
        <f t="shared" si="65"/>
        <v>81.14</v>
      </c>
      <c r="P951" s="4" t="s">
        <v>276</v>
      </c>
      <c r="Q951" s="6">
        <f t="shared" si="66"/>
        <v>10483236</v>
      </c>
      <c r="R951" s="6">
        <f t="shared" si="67"/>
        <v>15462000</v>
      </c>
      <c r="S951" s="5" t="s">
        <v>2339</v>
      </c>
      <c r="T951" s="4" t="s">
        <v>314</v>
      </c>
      <c r="U951" s="4" t="s">
        <v>300</v>
      </c>
      <c r="V951" s="6">
        <f t="shared" si="68"/>
        <v>711252</v>
      </c>
      <c r="W951" s="6">
        <f t="shared" si="69"/>
        <v>4978764</v>
      </c>
      <c r="X951" s="4" t="s">
        <v>243</v>
      </c>
      <c r="Y951" s="4" t="s">
        <v>244</v>
      </c>
      <c r="Z951" s="4" t="s">
        <v>338</v>
      </c>
      <c r="AA951" s="4" t="s">
        <v>241</v>
      </c>
      <c r="AD951" s="4" t="s">
        <v>241</v>
      </c>
      <c r="AE951" s="5" t="s">
        <v>241</v>
      </c>
      <c r="AF951" s="5" t="s">
        <v>241</v>
      </c>
      <c r="AH951" s="5" t="s">
        <v>241</v>
      </c>
      <c r="AI951" s="5" t="s">
        <v>249</v>
      </c>
      <c r="AJ951" s="4" t="s">
        <v>251</v>
      </c>
      <c r="AK951" s="4" t="s">
        <v>252</v>
      </c>
      <c r="AQ951" s="4" t="s">
        <v>241</v>
      </c>
      <c r="AR951" s="4" t="s">
        <v>241</v>
      </c>
      <c r="AS951" s="4" t="s">
        <v>241</v>
      </c>
      <c r="AT951" s="5" t="s">
        <v>241</v>
      </c>
      <c r="AU951" s="5" t="s">
        <v>241</v>
      </c>
      <c r="AV951" s="5" t="s">
        <v>241</v>
      </c>
      <c r="AY951" s="4" t="s">
        <v>286</v>
      </c>
      <c r="AZ951" s="4" t="s">
        <v>286</v>
      </c>
      <c r="BA951" s="4" t="s">
        <v>254</v>
      </c>
      <c r="BB951" s="4" t="s">
        <v>287</v>
      </c>
      <c r="BC951" s="4" t="s">
        <v>255</v>
      </c>
      <c r="BD951" s="4" t="s">
        <v>241</v>
      </c>
      <c r="BE951" s="4" t="s">
        <v>257</v>
      </c>
      <c r="BF951" s="4" t="s">
        <v>241</v>
      </c>
      <c r="BJ951" s="4" t="s">
        <v>288</v>
      </c>
      <c r="BK951" s="5" t="s">
        <v>289</v>
      </c>
      <c r="BL951" s="4" t="s">
        <v>290</v>
      </c>
      <c r="BM951" s="4" t="s">
        <v>290</v>
      </c>
      <c r="BN951" s="4" t="s">
        <v>241</v>
      </c>
      <c r="BO951" s="6">
        <f>0</f>
        <v>0</v>
      </c>
      <c r="BP951" s="6">
        <f t="shared" si="70"/>
        <v>-711252</v>
      </c>
      <c r="BQ951" s="4" t="s">
        <v>263</v>
      </c>
      <c r="BR951" s="4" t="s">
        <v>264</v>
      </c>
      <c r="BS951" s="4" t="s">
        <v>241</v>
      </c>
      <c r="BT951" s="4" t="s">
        <v>241</v>
      </c>
      <c r="BU951" s="4" t="s">
        <v>241</v>
      </c>
      <c r="BV951" s="4" t="s">
        <v>241</v>
      </c>
      <c r="CE951" s="4" t="s">
        <v>264</v>
      </c>
      <c r="CF951" s="4" t="s">
        <v>241</v>
      </c>
      <c r="CG951" s="4" t="s">
        <v>241</v>
      </c>
      <c r="CK951" s="4" t="s">
        <v>291</v>
      </c>
      <c r="CL951" s="4" t="s">
        <v>266</v>
      </c>
      <c r="CM951" s="4" t="s">
        <v>241</v>
      </c>
      <c r="CO951" s="4" t="s">
        <v>1542</v>
      </c>
      <c r="CP951" s="5" t="s">
        <v>268</v>
      </c>
      <c r="CQ951" s="4" t="s">
        <v>269</v>
      </c>
      <c r="CR951" s="4" t="s">
        <v>270</v>
      </c>
      <c r="CS951" s="4" t="s">
        <v>293</v>
      </c>
      <c r="CT951" s="4" t="s">
        <v>241</v>
      </c>
      <c r="CU951" s="4">
        <v>4.5999999999999999E-2</v>
      </c>
      <c r="CV951" s="4" t="s">
        <v>271</v>
      </c>
      <c r="CW951" s="4" t="s">
        <v>411</v>
      </c>
      <c r="CX951" s="4" t="s">
        <v>347</v>
      </c>
      <c r="CY951" s="6">
        <f>0</f>
        <v>0</v>
      </c>
      <c r="CZ951" s="6">
        <f t="shared" si="71"/>
        <v>15462000</v>
      </c>
      <c r="DA951" s="6">
        <f t="shared" si="72"/>
        <v>10483236</v>
      </c>
      <c r="DC951" s="4" t="s">
        <v>241</v>
      </c>
      <c r="DD951" s="4" t="s">
        <v>241</v>
      </c>
      <c r="DF951" s="4" t="s">
        <v>241</v>
      </c>
      <c r="DG951" s="6">
        <f>0</f>
        <v>0</v>
      </c>
      <c r="DI951" s="4" t="s">
        <v>241</v>
      </c>
      <c r="DJ951" s="4" t="s">
        <v>241</v>
      </c>
      <c r="DK951" s="4" t="s">
        <v>241</v>
      </c>
      <c r="DL951" s="4" t="s">
        <v>241</v>
      </c>
      <c r="DM951" s="4" t="s">
        <v>323</v>
      </c>
      <c r="DN951" s="4" t="s">
        <v>278</v>
      </c>
      <c r="DO951" s="6">
        <f t="shared" si="73"/>
        <v>81.14</v>
      </c>
      <c r="DP951" s="4" t="s">
        <v>241</v>
      </c>
      <c r="DQ951" s="4" t="s">
        <v>241</v>
      </c>
      <c r="DR951" s="4" t="s">
        <v>241</v>
      </c>
      <c r="DS951" s="4" t="s">
        <v>241</v>
      </c>
      <c r="DV951" s="4" t="s">
        <v>2341</v>
      </c>
      <c r="DW951" s="4" t="s">
        <v>343</v>
      </c>
      <c r="GN951" s="4" t="s">
        <v>2356</v>
      </c>
      <c r="HO951" s="4" t="s">
        <v>300</v>
      </c>
      <c r="HR951" s="4" t="s">
        <v>278</v>
      </c>
      <c r="HS951" s="4" t="s">
        <v>278</v>
      </c>
      <c r="HT951" s="4" t="s">
        <v>241</v>
      </c>
      <c r="HU951" s="4" t="s">
        <v>241</v>
      </c>
      <c r="HV951" s="4" t="s">
        <v>241</v>
      </c>
      <c r="HW951" s="4" t="s">
        <v>241</v>
      </c>
      <c r="HX951" s="4" t="s">
        <v>241</v>
      </c>
      <c r="HY951" s="4" t="s">
        <v>241</v>
      </c>
      <c r="HZ951" s="4" t="s">
        <v>241</v>
      </c>
      <c r="IA951" s="4" t="s">
        <v>241</v>
      </c>
      <c r="IB951" s="4" t="s">
        <v>241</v>
      </c>
      <c r="IC951" s="4" t="s">
        <v>241</v>
      </c>
      <c r="ID951" s="4" t="s">
        <v>241</v>
      </c>
      <c r="IE951" s="4" t="s">
        <v>241</v>
      </c>
      <c r="IF951" s="4" t="s">
        <v>241</v>
      </c>
    </row>
    <row r="952" spans="1:240" x14ac:dyDescent="0.4">
      <c r="A952" s="4">
        <v>2</v>
      </c>
      <c r="B952" s="4" t="s">
        <v>239</v>
      </c>
      <c r="C952" s="4">
        <v>1023</v>
      </c>
      <c r="D952" s="4">
        <v>1</v>
      </c>
      <c r="E952" s="4">
        <v>3</v>
      </c>
      <c r="F952" s="4" t="s">
        <v>240</v>
      </c>
      <c r="G952" s="4" t="s">
        <v>241</v>
      </c>
      <c r="H952" s="4" t="s">
        <v>241</v>
      </c>
      <c r="I952" s="4" t="s">
        <v>2338</v>
      </c>
      <c r="J952" s="4" t="s">
        <v>344</v>
      </c>
      <c r="K952" s="4" t="s">
        <v>256</v>
      </c>
      <c r="L952" s="4" t="s">
        <v>2101</v>
      </c>
      <c r="M952" s="5" t="s">
        <v>2340</v>
      </c>
      <c r="N952" s="4" t="s">
        <v>2114</v>
      </c>
      <c r="O952" s="6">
        <f t="shared" si="65"/>
        <v>81.14</v>
      </c>
      <c r="P952" s="4" t="s">
        <v>276</v>
      </c>
      <c r="Q952" s="6">
        <f t="shared" si="66"/>
        <v>10483236</v>
      </c>
      <c r="R952" s="6">
        <f t="shared" si="67"/>
        <v>15462000</v>
      </c>
      <c r="S952" s="5" t="s">
        <v>2339</v>
      </c>
      <c r="T952" s="4" t="s">
        <v>314</v>
      </c>
      <c r="U952" s="4" t="s">
        <v>300</v>
      </c>
      <c r="V952" s="6">
        <f t="shared" si="68"/>
        <v>711252</v>
      </c>
      <c r="W952" s="6">
        <f t="shared" si="69"/>
        <v>4978764</v>
      </c>
      <c r="X952" s="4" t="s">
        <v>243</v>
      </c>
      <c r="Y952" s="4" t="s">
        <v>244</v>
      </c>
      <c r="Z952" s="4" t="s">
        <v>338</v>
      </c>
      <c r="AA952" s="4" t="s">
        <v>241</v>
      </c>
      <c r="AD952" s="4" t="s">
        <v>241</v>
      </c>
      <c r="AE952" s="5" t="s">
        <v>241</v>
      </c>
      <c r="AF952" s="5" t="s">
        <v>241</v>
      </c>
      <c r="AH952" s="5" t="s">
        <v>241</v>
      </c>
      <c r="AI952" s="5" t="s">
        <v>249</v>
      </c>
      <c r="AJ952" s="4" t="s">
        <v>251</v>
      </c>
      <c r="AK952" s="4" t="s">
        <v>252</v>
      </c>
      <c r="AQ952" s="4" t="s">
        <v>241</v>
      </c>
      <c r="AR952" s="4" t="s">
        <v>241</v>
      </c>
      <c r="AS952" s="4" t="s">
        <v>241</v>
      </c>
      <c r="AT952" s="5" t="s">
        <v>241</v>
      </c>
      <c r="AU952" s="5" t="s">
        <v>241</v>
      </c>
      <c r="AV952" s="5" t="s">
        <v>241</v>
      </c>
      <c r="AY952" s="4" t="s">
        <v>286</v>
      </c>
      <c r="AZ952" s="4" t="s">
        <v>286</v>
      </c>
      <c r="BA952" s="4" t="s">
        <v>254</v>
      </c>
      <c r="BB952" s="4" t="s">
        <v>287</v>
      </c>
      <c r="BC952" s="4" t="s">
        <v>255</v>
      </c>
      <c r="BD952" s="4" t="s">
        <v>241</v>
      </c>
      <c r="BE952" s="4" t="s">
        <v>257</v>
      </c>
      <c r="BF952" s="4" t="s">
        <v>241</v>
      </c>
      <c r="BJ952" s="4" t="s">
        <v>288</v>
      </c>
      <c r="BK952" s="5" t="s">
        <v>289</v>
      </c>
      <c r="BL952" s="4" t="s">
        <v>290</v>
      </c>
      <c r="BM952" s="4" t="s">
        <v>290</v>
      </c>
      <c r="BN952" s="4" t="s">
        <v>241</v>
      </c>
      <c r="BO952" s="6">
        <f>0</f>
        <v>0</v>
      </c>
      <c r="BP952" s="6">
        <f t="shared" si="70"/>
        <v>-711252</v>
      </c>
      <c r="BQ952" s="4" t="s">
        <v>263</v>
      </c>
      <c r="BR952" s="4" t="s">
        <v>264</v>
      </c>
      <c r="BS952" s="4" t="s">
        <v>241</v>
      </c>
      <c r="BT952" s="4" t="s">
        <v>241</v>
      </c>
      <c r="BU952" s="4" t="s">
        <v>241</v>
      </c>
      <c r="BV952" s="4" t="s">
        <v>241</v>
      </c>
      <c r="CE952" s="4" t="s">
        <v>264</v>
      </c>
      <c r="CF952" s="4" t="s">
        <v>241</v>
      </c>
      <c r="CG952" s="4" t="s">
        <v>241</v>
      </c>
      <c r="CK952" s="4" t="s">
        <v>291</v>
      </c>
      <c r="CL952" s="4" t="s">
        <v>266</v>
      </c>
      <c r="CM952" s="4" t="s">
        <v>241</v>
      </c>
      <c r="CO952" s="4" t="s">
        <v>1542</v>
      </c>
      <c r="CP952" s="5" t="s">
        <v>268</v>
      </c>
      <c r="CQ952" s="4" t="s">
        <v>269</v>
      </c>
      <c r="CR952" s="4" t="s">
        <v>270</v>
      </c>
      <c r="CS952" s="4" t="s">
        <v>293</v>
      </c>
      <c r="CT952" s="4" t="s">
        <v>241</v>
      </c>
      <c r="CU952" s="4">
        <v>4.5999999999999999E-2</v>
      </c>
      <c r="CV952" s="4" t="s">
        <v>271</v>
      </c>
      <c r="CW952" s="4" t="s">
        <v>411</v>
      </c>
      <c r="CX952" s="4" t="s">
        <v>347</v>
      </c>
      <c r="CY952" s="6">
        <f>0</f>
        <v>0</v>
      </c>
      <c r="CZ952" s="6">
        <f t="shared" si="71"/>
        <v>15462000</v>
      </c>
      <c r="DA952" s="6">
        <f t="shared" si="72"/>
        <v>10483236</v>
      </c>
      <c r="DC952" s="4" t="s">
        <v>241</v>
      </c>
      <c r="DD952" s="4" t="s">
        <v>241</v>
      </c>
      <c r="DF952" s="4" t="s">
        <v>241</v>
      </c>
      <c r="DG952" s="6">
        <f>0</f>
        <v>0</v>
      </c>
      <c r="DI952" s="4" t="s">
        <v>241</v>
      </c>
      <c r="DJ952" s="4" t="s">
        <v>241</v>
      </c>
      <c r="DK952" s="4" t="s">
        <v>241</v>
      </c>
      <c r="DL952" s="4" t="s">
        <v>241</v>
      </c>
      <c r="DM952" s="4" t="s">
        <v>323</v>
      </c>
      <c r="DN952" s="4" t="s">
        <v>278</v>
      </c>
      <c r="DO952" s="6">
        <f t="shared" si="73"/>
        <v>81.14</v>
      </c>
      <c r="DP952" s="4" t="s">
        <v>241</v>
      </c>
      <c r="DQ952" s="4" t="s">
        <v>241</v>
      </c>
      <c r="DR952" s="4" t="s">
        <v>241</v>
      </c>
      <c r="DS952" s="4" t="s">
        <v>241</v>
      </c>
      <c r="DV952" s="4" t="s">
        <v>2341</v>
      </c>
      <c r="DW952" s="4" t="s">
        <v>417</v>
      </c>
      <c r="GN952" s="4" t="s">
        <v>2355</v>
      </c>
      <c r="HO952" s="4" t="s">
        <v>300</v>
      </c>
      <c r="HR952" s="4" t="s">
        <v>278</v>
      </c>
      <c r="HS952" s="4" t="s">
        <v>278</v>
      </c>
      <c r="HT952" s="4" t="s">
        <v>241</v>
      </c>
      <c r="HU952" s="4" t="s">
        <v>241</v>
      </c>
      <c r="HV952" s="4" t="s">
        <v>241</v>
      </c>
      <c r="HW952" s="4" t="s">
        <v>241</v>
      </c>
      <c r="HX952" s="4" t="s">
        <v>241</v>
      </c>
      <c r="HY952" s="4" t="s">
        <v>241</v>
      </c>
      <c r="HZ952" s="4" t="s">
        <v>241</v>
      </c>
      <c r="IA952" s="4" t="s">
        <v>241</v>
      </c>
      <c r="IB952" s="4" t="s">
        <v>241</v>
      </c>
      <c r="IC952" s="4" t="s">
        <v>241</v>
      </c>
      <c r="ID952" s="4" t="s">
        <v>241</v>
      </c>
      <c r="IE952" s="4" t="s">
        <v>241</v>
      </c>
      <c r="IF952" s="4" t="s">
        <v>241</v>
      </c>
    </row>
    <row r="953" spans="1:240" x14ac:dyDescent="0.4">
      <c r="A953" s="4">
        <v>2</v>
      </c>
      <c r="B953" s="4" t="s">
        <v>239</v>
      </c>
      <c r="C953" s="4">
        <v>1024</v>
      </c>
      <c r="D953" s="4">
        <v>1</v>
      </c>
      <c r="E953" s="4">
        <v>3</v>
      </c>
      <c r="F953" s="4" t="s">
        <v>240</v>
      </c>
      <c r="G953" s="4" t="s">
        <v>241</v>
      </c>
      <c r="H953" s="4" t="s">
        <v>241</v>
      </c>
      <c r="I953" s="4" t="s">
        <v>2338</v>
      </c>
      <c r="J953" s="4" t="s">
        <v>344</v>
      </c>
      <c r="K953" s="4" t="s">
        <v>256</v>
      </c>
      <c r="L953" s="4" t="s">
        <v>2101</v>
      </c>
      <c r="M953" s="5" t="s">
        <v>2340</v>
      </c>
      <c r="N953" s="4" t="s">
        <v>2114</v>
      </c>
      <c r="O953" s="6">
        <f t="shared" si="65"/>
        <v>81.14</v>
      </c>
      <c r="P953" s="4" t="s">
        <v>276</v>
      </c>
      <c r="Q953" s="6">
        <f t="shared" si="66"/>
        <v>10483236</v>
      </c>
      <c r="R953" s="6">
        <f t="shared" si="67"/>
        <v>15462000</v>
      </c>
      <c r="S953" s="5" t="s">
        <v>2339</v>
      </c>
      <c r="T953" s="4" t="s">
        <v>314</v>
      </c>
      <c r="U953" s="4" t="s">
        <v>300</v>
      </c>
      <c r="V953" s="6">
        <f t="shared" si="68"/>
        <v>711252</v>
      </c>
      <c r="W953" s="6">
        <f t="shared" si="69"/>
        <v>4978764</v>
      </c>
      <c r="X953" s="4" t="s">
        <v>243</v>
      </c>
      <c r="Y953" s="4" t="s">
        <v>244</v>
      </c>
      <c r="Z953" s="4" t="s">
        <v>338</v>
      </c>
      <c r="AA953" s="4" t="s">
        <v>241</v>
      </c>
      <c r="AD953" s="4" t="s">
        <v>241</v>
      </c>
      <c r="AE953" s="5" t="s">
        <v>241</v>
      </c>
      <c r="AF953" s="5" t="s">
        <v>241</v>
      </c>
      <c r="AH953" s="5" t="s">
        <v>241</v>
      </c>
      <c r="AI953" s="5" t="s">
        <v>249</v>
      </c>
      <c r="AJ953" s="4" t="s">
        <v>251</v>
      </c>
      <c r="AK953" s="4" t="s">
        <v>252</v>
      </c>
      <c r="AQ953" s="4" t="s">
        <v>241</v>
      </c>
      <c r="AR953" s="4" t="s">
        <v>241</v>
      </c>
      <c r="AS953" s="4" t="s">
        <v>241</v>
      </c>
      <c r="AT953" s="5" t="s">
        <v>241</v>
      </c>
      <c r="AU953" s="5" t="s">
        <v>241</v>
      </c>
      <c r="AV953" s="5" t="s">
        <v>241</v>
      </c>
      <c r="AY953" s="4" t="s">
        <v>286</v>
      </c>
      <c r="AZ953" s="4" t="s">
        <v>286</v>
      </c>
      <c r="BA953" s="4" t="s">
        <v>254</v>
      </c>
      <c r="BB953" s="4" t="s">
        <v>287</v>
      </c>
      <c r="BC953" s="4" t="s">
        <v>255</v>
      </c>
      <c r="BD953" s="4" t="s">
        <v>241</v>
      </c>
      <c r="BE953" s="4" t="s">
        <v>257</v>
      </c>
      <c r="BF953" s="4" t="s">
        <v>241</v>
      </c>
      <c r="BJ953" s="4" t="s">
        <v>288</v>
      </c>
      <c r="BK953" s="5" t="s">
        <v>289</v>
      </c>
      <c r="BL953" s="4" t="s">
        <v>290</v>
      </c>
      <c r="BM953" s="4" t="s">
        <v>290</v>
      </c>
      <c r="BN953" s="4" t="s">
        <v>241</v>
      </c>
      <c r="BO953" s="6">
        <f>0</f>
        <v>0</v>
      </c>
      <c r="BP953" s="6">
        <f t="shared" si="70"/>
        <v>-711252</v>
      </c>
      <c r="BQ953" s="4" t="s">
        <v>263</v>
      </c>
      <c r="BR953" s="4" t="s">
        <v>264</v>
      </c>
      <c r="BS953" s="4" t="s">
        <v>241</v>
      </c>
      <c r="BT953" s="4" t="s">
        <v>241</v>
      </c>
      <c r="BU953" s="4" t="s">
        <v>241</v>
      </c>
      <c r="BV953" s="4" t="s">
        <v>241</v>
      </c>
      <c r="CE953" s="4" t="s">
        <v>264</v>
      </c>
      <c r="CF953" s="4" t="s">
        <v>241</v>
      </c>
      <c r="CG953" s="4" t="s">
        <v>241</v>
      </c>
      <c r="CK953" s="4" t="s">
        <v>291</v>
      </c>
      <c r="CL953" s="4" t="s">
        <v>266</v>
      </c>
      <c r="CM953" s="4" t="s">
        <v>241</v>
      </c>
      <c r="CO953" s="4" t="s">
        <v>1542</v>
      </c>
      <c r="CP953" s="5" t="s">
        <v>268</v>
      </c>
      <c r="CQ953" s="4" t="s">
        <v>269</v>
      </c>
      <c r="CR953" s="4" t="s">
        <v>270</v>
      </c>
      <c r="CS953" s="4" t="s">
        <v>293</v>
      </c>
      <c r="CT953" s="4" t="s">
        <v>241</v>
      </c>
      <c r="CU953" s="4">
        <v>4.5999999999999999E-2</v>
      </c>
      <c r="CV953" s="4" t="s">
        <v>271</v>
      </c>
      <c r="CW953" s="4" t="s">
        <v>411</v>
      </c>
      <c r="CX953" s="4" t="s">
        <v>347</v>
      </c>
      <c r="CY953" s="6">
        <f>0</f>
        <v>0</v>
      </c>
      <c r="CZ953" s="6">
        <f t="shared" si="71"/>
        <v>15462000</v>
      </c>
      <c r="DA953" s="6">
        <f t="shared" si="72"/>
        <v>10483236</v>
      </c>
      <c r="DC953" s="4" t="s">
        <v>241</v>
      </c>
      <c r="DD953" s="4" t="s">
        <v>241</v>
      </c>
      <c r="DF953" s="4" t="s">
        <v>241</v>
      </c>
      <c r="DG953" s="6">
        <f>0</f>
        <v>0</v>
      </c>
      <c r="DI953" s="4" t="s">
        <v>241</v>
      </c>
      <c r="DJ953" s="4" t="s">
        <v>241</v>
      </c>
      <c r="DK953" s="4" t="s">
        <v>241</v>
      </c>
      <c r="DL953" s="4" t="s">
        <v>241</v>
      </c>
      <c r="DM953" s="4" t="s">
        <v>323</v>
      </c>
      <c r="DN953" s="4" t="s">
        <v>278</v>
      </c>
      <c r="DO953" s="6">
        <f t="shared" si="73"/>
        <v>81.14</v>
      </c>
      <c r="DP953" s="4" t="s">
        <v>241</v>
      </c>
      <c r="DQ953" s="4" t="s">
        <v>241</v>
      </c>
      <c r="DR953" s="4" t="s">
        <v>241</v>
      </c>
      <c r="DS953" s="4" t="s">
        <v>241</v>
      </c>
      <c r="DV953" s="4" t="s">
        <v>2341</v>
      </c>
      <c r="DW953" s="4" t="s">
        <v>427</v>
      </c>
      <c r="GN953" s="4" t="s">
        <v>2354</v>
      </c>
      <c r="HO953" s="4" t="s">
        <v>300</v>
      </c>
      <c r="HR953" s="4" t="s">
        <v>278</v>
      </c>
      <c r="HS953" s="4" t="s">
        <v>278</v>
      </c>
      <c r="HT953" s="4" t="s">
        <v>241</v>
      </c>
      <c r="HU953" s="4" t="s">
        <v>241</v>
      </c>
      <c r="HV953" s="4" t="s">
        <v>241</v>
      </c>
      <c r="HW953" s="4" t="s">
        <v>241</v>
      </c>
      <c r="HX953" s="4" t="s">
        <v>241</v>
      </c>
      <c r="HY953" s="4" t="s">
        <v>241</v>
      </c>
      <c r="HZ953" s="4" t="s">
        <v>241</v>
      </c>
      <c r="IA953" s="4" t="s">
        <v>241</v>
      </c>
      <c r="IB953" s="4" t="s">
        <v>241</v>
      </c>
      <c r="IC953" s="4" t="s">
        <v>241</v>
      </c>
      <c r="ID953" s="4" t="s">
        <v>241</v>
      </c>
      <c r="IE953" s="4" t="s">
        <v>241</v>
      </c>
      <c r="IF953" s="4" t="s">
        <v>241</v>
      </c>
    </row>
    <row r="954" spans="1:240" x14ac:dyDescent="0.4">
      <c r="A954" s="4">
        <v>2</v>
      </c>
      <c r="B954" s="4" t="s">
        <v>239</v>
      </c>
      <c r="C954" s="4">
        <v>1025</v>
      </c>
      <c r="D954" s="4">
        <v>1</v>
      </c>
      <c r="E954" s="4">
        <v>3</v>
      </c>
      <c r="F954" s="4" t="s">
        <v>240</v>
      </c>
      <c r="G954" s="4" t="s">
        <v>241</v>
      </c>
      <c r="H954" s="4" t="s">
        <v>241</v>
      </c>
      <c r="I954" s="4" t="s">
        <v>2338</v>
      </c>
      <c r="J954" s="4" t="s">
        <v>344</v>
      </c>
      <c r="K954" s="4" t="s">
        <v>256</v>
      </c>
      <c r="L954" s="4" t="s">
        <v>2101</v>
      </c>
      <c r="M954" s="5" t="s">
        <v>2340</v>
      </c>
      <c r="N954" s="4" t="s">
        <v>2114</v>
      </c>
      <c r="O954" s="6">
        <f t="shared" si="65"/>
        <v>81.14</v>
      </c>
      <c r="P954" s="4" t="s">
        <v>276</v>
      </c>
      <c r="Q954" s="6">
        <f t="shared" si="66"/>
        <v>10483236</v>
      </c>
      <c r="R954" s="6">
        <f t="shared" si="67"/>
        <v>15462000</v>
      </c>
      <c r="S954" s="5" t="s">
        <v>2339</v>
      </c>
      <c r="T954" s="4" t="s">
        <v>314</v>
      </c>
      <c r="U954" s="4" t="s">
        <v>300</v>
      </c>
      <c r="V954" s="6">
        <f t="shared" si="68"/>
        <v>711252</v>
      </c>
      <c r="W954" s="6">
        <f t="shared" si="69"/>
        <v>4978764</v>
      </c>
      <c r="X954" s="4" t="s">
        <v>243</v>
      </c>
      <c r="Y954" s="4" t="s">
        <v>244</v>
      </c>
      <c r="Z954" s="4" t="s">
        <v>338</v>
      </c>
      <c r="AA954" s="4" t="s">
        <v>241</v>
      </c>
      <c r="AD954" s="4" t="s">
        <v>241</v>
      </c>
      <c r="AE954" s="5" t="s">
        <v>241</v>
      </c>
      <c r="AF954" s="5" t="s">
        <v>241</v>
      </c>
      <c r="AH954" s="5" t="s">
        <v>241</v>
      </c>
      <c r="AI954" s="5" t="s">
        <v>249</v>
      </c>
      <c r="AJ954" s="4" t="s">
        <v>251</v>
      </c>
      <c r="AK954" s="4" t="s">
        <v>252</v>
      </c>
      <c r="AQ954" s="4" t="s">
        <v>241</v>
      </c>
      <c r="AR954" s="4" t="s">
        <v>241</v>
      </c>
      <c r="AS954" s="4" t="s">
        <v>241</v>
      </c>
      <c r="AT954" s="5" t="s">
        <v>241</v>
      </c>
      <c r="AU954" s="5" t="s">
        <v>241</v>
      </c>
      <c r="AV954" s="5" t="s">
        <v>241</v>
      </c>
      <c r="AY954" s="4" t="s">
        <v>286</v>
      </c>
      <c r="AZ954" s="4" t="s">
        <v>286</v>
      </c>
      <c r="BA954" s="4" t="s">
        <v>254</v>
      </c>
      <c r="BB954" s="4" t="s">
        <v>287</v>
      </c>
      <c r="BC954" s="4" t="s">
        <v>255</v>
      </c>
      <c r="BD954" s="4" t="s">
        <v>241</v>
      </c>
      <c r="BE954" s="4" t="s">
        <v>257</v>
      </c>
      <c r="BF954" s="4" t="s">
        <v>241</v>
      </c>
      <c r="BJ954" s="4" t="s">
        <v>288</v>
      </c>
      <c r="BK954" s="5" t="s">
        <v>289</v>
      </c>
      <c r="BL954" s="4" t="s">
        <v>290</v>
      </c>
      <c r="BM954" s="4" t="s">
        <v>290</v>
      </c>
      <c r="BN954" s="4" t="s">
        <v>241</v>
      </c>
      <c r="BO954" s="6">
        <f>0</f>
        <v>0</v>
      </c>
      <c r="BP954" s="6">
        <f t="shared" si="70"/>
        <v>-711252</v>
      </c>
      <c r="BQ954" s="4" t="s">
        <v>263</v>
      </c>
      <c r="BR954" s="4" t="s">
        <v>264</v>
      </c>
      <c r="BS954" s="4" t="s">
        <v>241</v>
      </c>
      <c r="BT954" s="4" t="s">
        <v>241</v>
      </c>
      <c r="BU954" s="4" t="s">
        <v>241</v>
      </c>
      <c r="BV954" s="4" t="s">
        <v>241</v>
      </c>
      <c r="CE954" s="4" t="s">
        <v>264</v>
      </c>
      <c r="CF954" s="4" t="s">
        <v>241</v>
      </c>
      <c r="CG954" s="4" t="s">
        <v>241</v>
      </c>
      <c r="CK954" s="4" t="s">
        <v>291</v>
      </c>
      <c r="CL954" s="4" t="s">
        <v>266</v>
      </c>
      <c r="CM954" s="4" t="s">
        <v>241</v>
      </c>
      <c r="CO954" s="4" t="s">
        <v>1542</v>
      </c>
      <c r="CP954" s="5" t="s">
        <v>268</v>
      </c>
      <c r="CQ954" s="4" t="s">
        <v>269</v>
      </c>
      <c r="CR954" s="4" t="s">
        <v>270</v>
      </c>
      <c r="CS954" s="4" t="s">
        <v>293</v>
      </c>
      <c r="CT954" s="4" t="s">
        <v>241</v>
      </c>
      <c r="CU954" s="4">
        <v>4.5999999999999999E-2</v>
      </c>
      <c r="CV954" s="4" t="s">
        <v>271</v>
      </c>
      <c r="CW954" s="4" t="s">
        <v>411</v>
      </c>
      <c r="CX954" s="4" t="s">
        <v>347</v>
      </c>
      <c r="CY954" s="6">
        <f>0</f>
        <v>0</v>
      </c>
      <c r="CZ954" s="6">
        <f t="shared" si="71"/>
        <v>15462000</v>
      </c>
      <c r="DA954" s="6">
        <f t="shared" si="72"/>
        <v>10483236</v>
      </c>
      <c r="DC954" s="4" t="s">
        <v>241</v>
      </c>
      <c r="DD954" s="4" t="s">
        <v>241</v>
      </c>
      <c r="DF954" s="4" t="s">
        <v>241</v>
      </c>
      <c r="DG954" s="6">
        <f>0</f>
        <v>0</v>
      </c>
      <c r="DI954" s="4" t="s">
        <v>241</v>
      </c>
      <c r="DJ954" s="4" t="s">
        <v>241</v>
      </c>
      <c r="DK954" s="4" t="s">
        <v>241</v>
      </c>
      <c r="DL954" s="4" t="s">
        <v>241</v>
      </c>
      <c r="DM954" s="4" t="s">
        <v>323</v>
      </c>
      <c r="DN954" s="4" t="s">
        <v>278</v>
      </c>
      <c r="DO954" s="6">
        <f t="shared" si="73"/>
        <v>81.14</v>
      </c>
      <c r="DP954" s="4" t="s">
        <v>241</v>
      </c>
      <c r="DQ954" s="4" t="s">
        <v>241</v>
      </c>
      <c r="DR954" s="4" t="s">
        <v>241</v>
      </c>
      <c r="DS954" s="4" t="s">
        <v>241</v>
      </c>
      <c r="DV954" s="4" t="s">
        <v>2341</v>
      </c>
      <c r="DW954" s="4" t="s">
        <v>353</v>
      </c>
      <c r="GN954" s="4" t="s">
        <v>2353</v>
      </c>
      <c r="HO954" s="4" t="s">
        <v>300</v>
      </c>
      <c r="HR954" s="4" t="s">
        <v>278</v>
      </c>
      <c r="HS954" s="4" t="s">
        <v>278</v>
      </c>
      <c r="HT954" s="4" t="s">
        <v>241</v>
      </c>
      <c r="HU954" s="4" t="s">
        <v>241</v>
      </c>
      <c r="HV954" s="4" t="s">
        <v>241</v>
      </c>
      <c r="HW954" s="4" t="s">
        <v>241</v>
      </c>
      <c r="HX954" s="4" t="s">
        <v>241</v>
      </c>
      <c r="HY954" s="4" t="s">
        <v>241</v>
      </c>
      <c r="HZ954" s="4" t="s">
        <v>241</v>
      </c>
      <c r="IA954" s="4" t="s">
        <v>241</v>
      </c>
      <c r="IB954" s="4" t="s">
        <v>241</v>
      </c>
      <c r="IC954" s="4" t="s">
        <v>241</v>
      </c>
      <c r="ID954" s="4" t="s">
        <v>241</v>
      </c>
      <c r="IE954" s="4" t="s">
        <v>241</v>
      </c>
      <c r="IF954" s="4" t="s">
        <v>241</v>
      </c>
    </row>
    <row r="955" spans="1:240" x14ac:dyDescent="0.4">
      <c r="A955" s="4">
        <v>2</v>
      </c>
      <c r="B955" s="4" t="s">
        <v>239</v>
      </c>
      <c r="C955" s="4">
        <v>1026</v>
      </c>
      <c r="D955" s="4">
        <v>1</v>
      </c>
      <c r="E955" s="4">
        <v>3</v>
      </c>
      <c r="F955" s="4" t="s">
        <v>240</v>
      </c>
      <c r="G955" s="4" t="s">
        <v>241</v>
      </c>
      <c r="H955" s="4" t="s">
        <v>241</v>
      </c>
      <c r="I955" s="4" t="s">
        <v>2338</v>
      </c>
      <c r="J955" s="4" t="s">
        <v>344</v>
      </c>
      <c r="K955" s="4" t="s">
        <v>256</v>
      </c>
      <c r="L955" s="4" t="s">
        <v>2101</v>
      </c>
      <c r="M955" s="5" t="s">
        <v>2340</v>
      </c>
      <c r="N955" s="4" t="s">
        <v>2114</v>
      </c>
      <c r="O955" s="6">
        <f t="shared" si="65"/>
        <v>81.14</v>
      </c>
      <c r="P955" s="4" t="s">
        <v>276</v>
      </c>
      <c r="Q955" s="6">
        <f t="shared" si="66"/>
        <v>10483236</v>
      </c>
      <c r="R955" s="6">
        <f t="shared" si="67"/>
        <v>15462000</v>
      </c>
      <c r="S955" s="5" t="s">
        <v>2339</v>
      </c>
      <c r="T955" s="4" t="s">
        <v>314</v>
      </c>
      <c r="U955" s="4" t="s">
        <v>300</v>
      </c>
      <c r="V955" s="6">
        <f t="shared" si="68"/>
        <v>711252</v>
      </c>
      <c r="W955" s="6">
        <f t="shared" si="69"/>
        <v>4978764</v>
      </c>
      <c r="X955" s="4" t="s">
        <v>243</v>
      </c>
      <c r="Y955" s="4" t="s">
        <v>244</v>
      </c>
      <c r="Z955" s="4" t="s">
        <v>338</v>
      </c>
      <c r="AA955" s="4" t="s">
        <v>241</v>
      </c>
      <c r="AD955" s="4" t="s">
        <v>241</v>
      </c>
      <c r="AE955" s="5" t="s">
        <v>241</v>
      </c>
      <c r="AF955" s="5" t="s">
        <v>241</v>
      </c>
      <c r="AH955" s="5" t="s">
        <v>241</v>
      </c>
      <c r="AI955" s="5" t="s">
        <v>249</v>
      </c>
      <c r="AJ955" s="4" t="s">
        <v>251</v>
      </c>
      <c r="AK955" s="4" t="s">
        <v>252</v>
      </c>
      <c r="AQ955" s="4" t="s">
        <v>241</v>
      </c>
      <c r="AR955" s="4" t="s">
        <v>241</v>
      </c>
      <c r="AS955" s="4" t="s">
        <v>241</v>
      </c>
      <c r="AT955" s="5" t="s">
        <v>241</v>
      </c>
      <c r="AU955" s="5" t="s">
        <v>241</v>
      </c>
      <c r="AV955" s="5" t="s">
        <v>241</v>
      </c>
      <c r="AY955" s="4" t="s">
        <v>286</v>
      </c>
      <c r="AZ955" s="4" t="s">
        <v>286</v>
      </c>
      <c r="BA955" s="4" t="s">
        <v>254</v>
      </c>
      <c r="BB955" s="4" t="s">
        <v>287</v>
      </c>
      <c r="BC955" s="4" t="s">
        <v>255</v>
      </c>
      <c r="BD955" s="4" t="s">
        <v>241</v>
      </c>
      <c r="BE955" s="4" t="s">
        <v>257</v>
      </c>
      <c r="BF955" s="4" t="s">
        <v>241</v>
      </c>
      <c r="BJ955" s="4" t="s">
        <v>288</v>
      </c>
      <c r="BK955" s="5" t="s">
        <v>289</v>
      </c>
      <c r="BL955" s="4" t="s">
        <v>290</v>
      </c>
      <c r="BM955" s="4" t="s">
        <v>290</v>
      </c>
      <c r="BN955" s="4" t="s">
        <v>241</v>
      </c>
      <c r="BO955" s="6">
        <f>0</f>
        <v>0</v>
      </c>
      <c r="BP955" s="6">
        <f t="shared" si="70"/>
        <v>-711252</v>
      </c>
      <c r="BQ955" s="4" t="s">
        <v>263</v>
      </c>
      <c r="BR955" s="4" t="s">
        <v>264</v>
      </c>
      <c r="BS955" s="4" t="s">
        <v>241</v>
      </c>
      <c r="BT955" s="4" t="s">
        <v>241</v>
      </c>
      <c r="BU955" s="4" t="s">
        <v>241</v>
      </c>
      <c r="BV955" s="4" t="s">
        <v>241</v>
      </c>
      <c r="CE955" s="4" t="s">
        <v>264</v>
      </c>
      <c r="CF955" s="4" t="s">
        <v>241</v>
      </c>
      <c r="CG955" s="4" t="s">
        <v>241</v>
      </c>
      <c r="CK955" s="4" t="s">
        <v>291</v>
      </c>
      <c r="CL955" s="4" t="s">
        <v>266</v>
      </c>
      <c r="CM955" s="4" t="s">
        <v>241</v>
      </c>
      <c r="CO955" s="4" t="s">
        <v>1542</v>
      </c>
      <c r="CP955" s="5" t="s">
        <v>268</v>
      </c>
      <c r="CQ955" s="4" t="s">
        <v>269</v>
      </c>
      <c r="CR955" s="4" t="s">
        <v>270</v>
      </c>
      <c r="CS955" s="4" t="s">
        <v>293</v>
      </c>
      <c r="CT955" s="4" t="s">
        <v>241</v>
      </c>
      <c r="CU955" s="4">
        <v>4.5999999999999999E-2</v>
      </c>
      <c r="CV955" s="4" t="s">
        <v>271</v>
      </c>
      <c r="CW955" s="4" t="s">
        <v>411</v>
      </c>
      <c r="CX955" s="4" t="s">
        <v>347</v>
      </c>
      <c r="CY955" s="6">
        <f>0</f>
        <v>0</v>
      </c>
      <c r="CZ955" s="6">
        <f t="shared" si="71"/>
        <v>15462000</v>
      </c>
      <c r="DA955" s="6">
        <f t="shared" si="72"/>
        <v>10483236</v>
      </c>
      <c r="DC955" s="4" t="s">
        <v>241</v>
      </c>
      <c r="DD955" s="4" t="s">
        <v>241</v>
      </c>
      <c r="DF955" s="4" t="s">
        <v>241</v>
      </c>
      <c r="DG955" s="6">
        <f>0</f>
        <v>0</v>
      </c>
      <c r="DI955" s="4" t="s">
        <v>241</v>
      </c>
      <c r="DJ955" s="4" t="s">
        <v>241</v>
      </c>
      <c r="DK955" s="4" t="s">
        <v>241</v>
      </c>
      <c r="DL955" s="4" t="s">
        <v>241</v>
      </c>
      <c r="DM955" s="4" t="s">
        <v>323</v>
      </c>
      <c r="DN955" s="4" t="s">
        <v>278</v>
      </c>
      <c r="DO955" s="6">
        <f t="shared" si="73"/>
        <v>81.14</v>
      </c>
      <c r="DP955" s="4" t="s">
        <v>241</v>
      </c>
      <c r="DQ955" s="4" t="s">
        <v>241</v>
      </c>
      <c r="DR955" s="4" t="s">
        <v>241</v>
      </c>
      <c r="DS955" s="4" t="s">
        <v>241</v>
      </c>
      <c r="DV955" s="4" t="s">
        <v>2341</v>
      </c>
      <c r="DW955" s="4" t="s">
        <v>409</v>
      </c>
      <c r="GN955" s="4" t="s">
        <v>2352</v>
      </c>
      <c r="HO955" s="4" t="s">
        <v>300</v>
      </c>
      <c r="HR955" s="4" t="s">
        <v>278</v>
      </c>
      <c r="HS955" s="4" t="s">
        <v>278</v>
      </c>
      <c r="HT955" s="4" t="s">
        <v>241</v>
      </c>
      <c r="HU955" s="4" t="s">
        <v>241</v>
      </c>
      <c r="HV955" s="4" t="s">
        <v>241</v>
      </c>
      <c r="HW955" s="4" t="s">
        <v>241</v>
      </c>
      <c r="HX955" s="4" t="s">
        <v>241</v>
      </c>
      <c r="HY955" s="4" t="s">
        <v>241</v>
      </c>
      <c r="HZ955" s="4" t="s">
        <v>241</v>
      </c>
      <c r="IA955" s="4" t="s">
        <v>241</v>
      </c>
      <c r="IB955" s="4" t="s">
        <v>241</v>
      </c>
      <c r="IC955" s="4" t="s">
        <v>241</v>
      </c>
      <c r="ID955" s="4" t="s">
        <v>241</v>
      </c>
      <c r="IE955" s="4" t="s">
        <v>241</v>
      </c>
      <c r="IF955" s="4" t="s">
        <v>241</v>
      </c>
    </row>
    <row r="956" spans="1:240" x14ac:dyDescent="0.4">
      <c r="A956" s="4">
        <v>2</v>
      </c>
      <c r="B956" s="4" t="s">
        <v>239</v>
      </c>
      <c r="C956" s="4">
        <v>1027</v>
      </c>
      <c r="D956" s="4">
        <v>1</v>
      </c>
      <c r="E956" s="4">
        <v>3</v>
      </c>
      <c r="F956" s="4" t="s">
        <v>240</v>
      </c>
      <c r="G956" s="4" t="s">
        <v>241</v>
      </c>
      <c r="H956" s="4" t="s">
        <v>241</v>
      </c>
      <c r="I956" s="4" t="s">
        <v>2338</v>
      </c>
      <c r="J956" s="4" t="s">
        <v>344</v>
      </c>
      <c r="K956" s="4" t="s">
        <v>256</v>
      </c>
      <c r="L956" s="4" t="s">
        <v>2101</v>
      </c>
      <c r="M956" s="5" t="s">
        <v>2340</v>
      </c>
      <c r="N956" s="4" t="s">
        <v>2114</v>
      </c>
      <c r="O956" s="6">
        <f t="shared" si="65"/>
        <v>81.14</v>
      </c>
      <c r="P956" s="4" t="s">
        <v>276</v>
      </c>
      <c r="Q956" s="6">
        <f t="shared" si="66"/>
        <v>10483236</v>
      </c>
      <c r="R956" s="6">
        <f t="shared" si="67"/>
        <v>15462000</v>
      </c>
      <c r="S956" s="5" t="s">
        <v>2339</v>
      </c>
      <c r="T956" s="4" t="s">
        <v>314</v>
      </c>
      <c r="U956" s="4" t="s">
        <v>300</v>
      </c>
      <c r="V956" s="6">
        <f t="shared" si="68"/>
        <v>711252</v>
      </c>
      <c r="W956" s="6">
        <f t="shared" si="69"/>
        <v>4978764</v>
      </c>
      <c r="X956" s="4" t="s">
        <v>243</v>
      </c>
      <c r="Y956" s="4" t="s">
        <v>244</v>
      </c>
      <c r="Z956" s="4" t="s">
        <v>338</v>
      </c>
      <c r="AA956" s="4" t="s">
        <v>241</v>
      </c>
      <c r="AD956" s="4" t="s">
        <v>241</v>
      </c>
      <c r="AE956" s="5" t="s">
        <v>241</v>
      </c>
      <c r="AF956" s="5" t="s">
        <v>241</v>
      </c>
      <c r="AH956" s="5" t="s">
        <v>241</v>
      </c>
      <c r="AI956" s="5" t="s">
        <v>249</v>
      </c>
      <c r="AJ956" s="4" t="s">
        <v>251</v>
      </c>
      <c r="AK956" s="4" t="s">
        <v>252</v>
      </c>
      <c r="AQ956" s="4" t="s">
        <v>241</v>
      </c>
      <c r="AR956" s="4" t="s">
        <v>241</v>
      </c>
      <c r="AS956" s="4" t="s">
        <v>241</v>
      </c>
      <c r="AT956" s="5" t="s">
        <v>241</v>
      </c>
      <c r="AU956" s="5" t="s">
        <v>241</v>
      </c>
      <c r="AV956" s="5" t="s">
        <v>241</v>
      </c>
      <c r="AY956" s="4" t="s">
        <v>286</v>
      </c>
      <c r="AZ956" s="4" t="s">
        <v>286</v>
      </c>
      <c r="BA956" s="4" t="s">
        <v>254</v>
      </c>
      <c r="BB956" s="4" t="s">
        <v>287</v>
      </c>
      <c r="BC956" s="4" t="s">
        <v>255</v>
      </c>
      <c r="BD956" s="4" t="s">
        <v>241</v>
      </c>
      <c r="BE956" s="4" t="s">
        <v>257</v>
      </c>
      <c r="BF956" s="4" t="s">
        <v>241</v>
      </c>
      <c r="BJ956" s="4" t="s">
        <v>288</v>
      </c>
      <c r="BK956" s="5" t="s">
        <v>289</v>
      </c>
      <c r="BL956" s="4" t="s">
        <v>290</v>
      </c>
      <c r="BM956" s="4" t="s">
        <v>290</v>
      </c>
      <c r="BN956" s="4" t="s">
        <v>241</v>
      </c>
      <c r="BO956" s="6">
        <f>0</f>
        <v>0</v>
      </c>
      <c r="BP956" s="6">
        <f t="shared" si="70"/>
        <v>-711252</v>
      </c>
      <c r="BQ956" s="4" t="s">
        <v>263</v>
      </c>
      <c r="BR956" s="4" t="s">
        <v>264</v>
      </c>
      <c r="BS956" s="4" t="s">
        <v>241</v>
      </c>
      <c r="BT956" s="4" t="s">
        <v>241</v>
      </c>
      <c r="BU956" s="4" t="s">
        <v>241</v>
      </c>
      <c r="BV956" s="4" t="s">
        <v>241</v>
      </c>
      <c r="CE956" s="4" t="s">
        <v>264</v>
      </c>
      <c r="CF956" s="4" t="s">
        <v>241</v>
      </c>
      <c r="CG956" s="4" t="s">
        <v>241</v>
      </c>
      <c r="CK956" s="4" t="s">
        <v>291</v>
      </c>
      <c r="CL956" s="4" t="s">
        <v>266</v>
      </c>
      <c r="CM956" s="4" t="s">
        <v>241</v>
      </c>
      <c r="CO956" s="4" t="s">
        <v>1542</v>
      </c>
      <c r="CP956" s="5" t="s">
        <v>268</v>
      </c>
      <c r="CQ956" s="4" t="s">
        <v>269</v>
      </c>
      <c r="CR956" s="4" t="s">
        <v>270</v>
      </c>
      <c r="CS956" s="4" t="s">
        <v>293</v>
      </c>
      <c r="CT956" s="4" t="s">
        <v>241</v>
      </c>
      <c r="CU956" s="4">
        <v>4.5999999999999999E-2</v>
      </c>
      <c r="CV956" s="4" t="s">
        <v>271</v>
      </c>
      <c r="CW956" s="4" t="s">
        <v>411</v>
      </c>
      <c r="CX956" s="4" t="s">
        <v>347</v>
      </c>
      <c r="CY956" s="6">
        <f>0</f>
        <v>0</v>
      </c>
      <c r="CZ956" s="6">
        <f t="shared" si="71"/>
        <v>15462000</v>
      </c>
      <c r="DA956" s="6">
        <f t="shared" si="72"/>
        <v>10483236</v>
      </c>
      <c r="DC956" s="4" t="s">
        <v>241</v>
      </c>
      <c r="DD956" s="4" t="s">
        <v>241</v>
      </c>
      <c r="DF956" s="4" t="s">
        <v>241</v>
      </c>
      <c r="DG956" s="6">
        <f>0</f>
        <v>0</v>
      </c>
      <c r="DI956" s="4" t="s">
        <v>241</v>
      </c>
      <c r="DJ956" s="4" t="s">
        <v>241</v>
      </c>
      <c r="DK956" s="4" t="s">
        <v>241</v>
      </c>
      <c r="DL956" s="4" t="s">
        <v>241</v>
      </c>
      <c r="DM956" s="4" t="s">
        <v>323</v>
      </c>
      <c r="DN956" s="4" t="s">
        <v>278</v>
      </c>
      <c r="DO956" s="6">
        <f t="shared" si="73"/>
        <v>81.14</v>
      </c>
      <c r="DP956" s="4" t="s">
        <v>241</v>
      </c>
      <c r="DQ956" s="4" t="s">
        <v>241</v>
      </c>
      <c r="DR956" s="4" t="s">
        <v>241</v>
      </c>
      <c r="DS956" s="4" t="s">
        <v>241</v>
      </c>
      <c r="DV956" s="4" t="s">
        <v>2341</v>
      </c>
      <c r="DW956" s="4" t="s">
        <v>322</v>
      </c>
      <c r="GN956" s="4" t="s">
        <v>2351</v>
      </c>
      <c r="HO956" s="4" t="s">
        <v>300</v>
      </c>
      <c r="HR956" s="4" t="s">
        <v>278</v>
      </c>
      <c r="HS956" s="4" t="s">
        <v>278</v>
      </c>
      <c r="HT956" s="4" t="s">
        <v>241</v>
      </c>
      <c r="HU956" s="4" t="s">
        <v>241</v>
      </c>
      <c r="HV956" s="4" t="s">
        <v>241</v>
      </c>
      <c r="HW956" s="4" t="s">
        <v>241</v>
      </c>
      <c r="HX956" s="4" t="s">
        <v>241</v>
      </c>
      <c r="HY956" s="4" t="s">
        <v>241</v>
      </c>
      <c r="HZ956" s="4" t="s">
        <v>241</v>
      </c>
      <c r="IA956" s="4" t="s">
        <v>241</v>
      </c>
      <c r="IB956" s="4" t="s">
        <v>241</v>
      </c>
      <c r="IC956" s="4" t="s">
        <v>241</v>
      </c>
      <c r="ID956" s="4" t="s">
        <v>241</v>
      </c>
      <c r="IE956" s="4" t="s">
        <v>241</v>
      </c>
      <c r="IF956" s="4" t="s">
        <v>241</v>
      </c>
    </row>
    <row r="957" spans="1:240" x14ac:dyDescent="0.4">
      <c r="A957" s="4">
        <v>2</v>
      </c>
      <c r="B957" s="4" t="s">
        <v>239</v>
      </c>
      <c r="C957" s="4">
        <v>1028</v>
      </c>
      <c r="D957" s="4">
        <v>1</v>
      </c>
      <c r="E957" s="4">
        <v>3</v>
      </c>
      <c r="F957" s="4" t="s">
        <v>240</v>
      </c>
      <c r="G957" s="4" t="s">
        <v>241</v>
      </c>
      <c r="H957" s="4" t="s">
        <v>241</v>
      </c>
      <c r="I957" s="4" t="s">
        <v>2338</v>
      </c>
      <c r="J957" s="4" t="s">
        <v>344</v>
      </c>
      <c r="K957" s="4" t="s">
        <v>256</v>
      </c>
      <c r="L957" s="4" t="s">
        <v>2101</v>
      </c>
      <c r="M957" s="5" t="s">
        <v>2340</v>
      </c>
      <c r="N957" s="4" t="s">
        <v>2114</v>
      </c>
      <c r="O957" s="6">
        <f t="shared" si="65"/>
        <v>81.14</v>
      </c>
      <c r="P957" s="4" t="s">
        <v>276</v>
      </c>
      <c r="Q957" s="6">
        <f t="shared" si="66"/>
        <v>10483236</v>
      </c>
      <c r="R957" s="6">
        <f t="shared" si="67"/>
        <v>15462000</v>
      </c>
      <c r="S957" s="5" t="s">
        <v>2339</v>
      </c>
      <c r="T957" s="4" t="s">
        <v>314</v>
      </c>
      <c r="U957" s="4" t="s">
        <v>300</v>
      </c>
      <c r="V957" s="6">
        <f t="shared" si="68"/>
        <v>711252</v>
      </c>
      <c r="W957" s="6">
        <f t="shared" si="69"/>
        <v>4978764</v>
      </c>
      <c r="X957" s="4" t="s">
        <v>243</v>
      </c>
      <c r="Y957" s="4" t="s">
        <v>244</v>
      </c>
      <c r="Z957" s="4" t="s">
        <v>338</v>
      </c>
      <c r="AA957" s="4" t="s">
        <v>241</v>
      </c>
      <c r="AD957" s="4" t="s">
        <v>241</v>
      </c>
      <c r="AE957" s="5" t="s">
        <v>241</v>
      </c>
      <c r="AF957" s="5" t="s">
        <v>241</v>
      </c>
      <c r="AH957" s="5" t="s">
        <v>241</v>
      </c>
      <c r="AI957" s="5" t="s">
        <v>380</v>
      </c>
      <c r="AJ957" s="4" t="s">
        <v>251</v>
      </c>
      <c r="AK957" s="4" t="s">
        <v>252</v>
      </c>
      <c r="AQ957" s="4" t="s">
        <v>241</v>
      </c>
      <c r="AR957" s="4" t="s">
        <v>241</v>
      </c>
      <c r="AS957" s="4" t="s">
        <v>241</v>
      </c>
      <c r="AT957" s="5" t="s">
        <v>241</v>
      </c>
      <c r="AU957" s="5" t="s">
        <v>241</v>
      </c>
      <c r="AV957" s="5" t="s">
        <v>241</v>
      </c>
      <c r="AY957" s="4" t="s">
        <v>286</v>
      </c>
      <c r="AZ957" s="4" t="s">
        <v>286</v>
      </c>
      <c r="BA957" s="4" t="s">
        <v>254</v>
      </c>
      <c r="BB957" s="4" t="s">
        <v>287</v>
      </c>
      <c r="BC957" s="4" t="s">
        <v>255</v>
      </c>
      <c r="BD957" s="4" t="s">
        <v>241</v>
      </c>
      <c r="BE957" s="4" t="s">
        <v>257</v>
      </c>
      <c r="BF957" s="4" t="s">
        <v>241</v>
      </c>
      <c r="BJ957" s="4" t="s">
        <v>288</v>
      </c>
      <c r="BK957" s="5" t="s">
        <v>289</v>
      </c>
      <c r="BL957" s="4" t="s">
        <v>290</v>
      </c>
      <c r="BM957" s="4" t="s">
        <v>290</v>
      </c>
      <c r="BN957" s="4" t="s">
        <v>241</v>
      </c>
      <c r="BO957" s="6">
        <f>0</f>
        <v>0</v>
      </c>
      <c r="BP957" s="6">
        <f t="shared" si="70"/>
        <v>-711252</v>
      </c>
      <c r="BQ957" s="4" t="s">
        <v>263</v>
      </c>
      <c r="BR957" s="4" t="s">
        <v>264</v>
      </c>
      <c r="BS957" s="4" t="s">
        <v>241</v>
      </c>
      <c r="BT957" s="4" t="s">
        <v>241</v>
      </c>
      <c r="BU957" s="4" t="s">
        <v>241</v>
      </c>
      <c r="BV957" s="4" t="s">
        <v>241</v>
      </c>
      <c r="CE957" s="4" t="s">
        <v>264</v>
      </c>
      <c r="CF957" s="4" t="s">
        <v>241</v>
      </c>
      <c r="CG957" s="4" t="s">
        <v>241</v>
      </c>
      <c r="CK957" s="4" t="s">
        <v>291</v>
      </c>
      <c r="CL957" s="4" t="s">
        <v>266</v>
      </c>
      <c r="CM957" s="4" t="s">
        <v>241</v>
      </c>
      <c r="CO957" s="4" t="s">
        <v>1542</v>
      </c>
      <c r="CP957" s="5" t="s">
        <v>268</v>
      </c>
      <c r="CQ957" s="4" t="s">
        <v>269</v>
      </c>
      <c r="CR957" s="4" t="s">
        <v>270</v>
      </c>
      <c r="CS957" s="4" t="s">
        <v>293</v>
      </c>
      <c r="CT957" s="4" t="s">
        <v>241</v>
      </c>
      <c r="CU957" s="4">
        <v>4.5999999999999999E-2</v>
      </c>
      <c r="CV957" s="4" t="s">
        <v>271</v>
      </c>
      <c r="CW957" s="4" t="s">
        <v>411</v>
      </c>
      <c r="CX957" s="4" t="s">
        <v>347</v>
      </c>
      <c r="CY957" s="6">
        <f>0</f>
        <v>0</v>
      </c>
      <c r="CZ957" s="6">
        <f t="shared" si="71"/>
        <v>15462000</v>
      </c>
      <c r="DA957" s="6">
        <f t="shared" si="72"/>
        <v>10483236</v>
      </c>
      <c r="DC957" s="4" t="s">
        <v>241</v>
      </c>
      <c r="DD957" s="4" t="s">
        <v>241</v>
      </c>
      <c r="DF957" s="4" t="s">
        <v>241</v>
      </c>
      <c r="DG957" s="6">
        <f>0</f>
        <v>0</v>
      </c>
      <c r="DI957" s="4" t="s">
        <v>241</v>
      </c>
      <c r="DJ957" s="4" t="s">
        <v>241</v>
      </c>
      <c r="DK957" s="4" t="s">
        <v>241</v>
      </c>
      <c r="DL957" s="4" t="s">
        <v>241</v>
      </c>
      <c r="DM957" s="4" t="s">
        <v>323</v>
      </c>
      <c r="DN957" s="4" t="s">
        <v>278</v>
      </c>
      <c r="DO957" s="6">
        <f t="shared" si="73"/>
        <v>81.14</v>
      </c>
      <c r="DP957" s="4" t="s">
        <v>241</v>
      </c>
      <c r="DQ957" s="4" t="s">
        <v>241</v>
      </c>
      <c r="DR957" s="4" t="s">
        <v>241</v>
      </c>
      <c r="DS957" s="4" t="s">
        <v>241</v>
      </c>
      <c r="DV957" s="4" t="s">
        <v>2341</v>
      </c>
      <c r="DW957" s="4" t="s">
        <v>349</v>
      </c>
      <c r="GN957" s="4" t="s">
        <v>2350</v>
      </c>
      <c r="HO957" s="4" t="s">
        <v>300</v>
      </c>
      <c r="HR957" s="4" t="s">
        <v>278</v>
      </c>
      <c r="HS957" s="4" t="s">
        <v>278</v>
      </c>
      <c r="HT957" s="4" t="s">
        <v>241</v>
      </c>
      <c r="HU957" s="4" t="s">
        <v>241</v>
      </c>
      <c r="HV957" s="4" t="s">
        <v>241</v>
      </c>
      <c r="HW957" s="4" t="s">
        <v>241</v>
      </c>
      <c r="HX957" s="4" t="s">
        <v>241</v>
      </c>
      <c r="HY957" s="4" t="s">
        <v>241</v>
      </c>
      <c r="HZ957" s="4" t="s">
        <v>241</v>
      </c>
      <c r="IA957" s="4" t="s">
        <v>241</v>
      </c>
      <c r="IB957" s="4" t="s">
        <v>241</v>
      </c>
      <c r="IC957" s="4" t="s">
        <v>241</v>
      </c>
      <c r="ID957" s="4" t="s">
        <v>241</v>
      </c>
      <c r="IE957" s="4" t="s">
        <v>241</v>
      </c>
      <c r="IF957" s="4" t="s">
        <v>241</v>
      </c>
    </row>
    <row r="958" spans="1:240" x14ac:dyDescent="0.4">
      <c r="A958" s="4">
        <v>2</v>
      </c>
      <c r="B958" s="4" t="s">
        <v>239</v>
      </c>
      <c r="C958" s="4">
        <v>1029</v>
      </c>
      <c r="D958" s="4">
        <v>1</v>
      </c>
      <c r="E958" s="4">
        <v>3</v>
      </c>
      <c r="F958" s="4" t="s">
        <v>240</v>
      </c>
      <c r="G958" s="4" t="s">
        <v>241</v>
      </c>
      <c r="H958" s="4" t="s">
        <v>241</v>
      </c>
      <c r="I958" s="4" t="s">
        <v>2338</v>
      </c>
      <c r="J958" s="4" t="s">
        <v>344</v>
      </c>
      <c r="K958" s="4" t="s">
        <v>256</v>
      </c>
      <c r="L958" s="4" t="s">
        <v>2101</v>
      </c>
      <c r="M958" s="5" t="s">
        <v>2340</v>
      </c>
      <c r="N958" s="4" t="s">
        <v>2114</v>
      </c>
      <c r="O958" s="6">
        <f t="shared" si="65"/>
        <v>81.14</v>
      </c>
      <c r="P958" s="4" t="s">
        <v>276</v>
      </c>
      <c r="Q958" s="6">
        <f t="shared" si="66"/>
        <v>10483236</v>
      </c>
      <c r="R958" s="6">
        <f t="shared" si="67"/>
        <v>15462000</v>
      </c>
      <c r="S958" s="5" t="s">
        <v>2339</v>
      </c>
      <c r="T958" s="4" t="s">
        <v>314</v>
      </c>
      <c r="U958" s="4" t="s">
        <v>300</v>
      </c>
      <c r="V958" s="6">
        <f t="shared" si="68"/>
        <v>711252</v>
      </c>
      <c r="W958" s="6">
        <f t="shared" si="69"/>
        <v>4978764</v>
      </c>
      <c r="X958" s="4" t="s">
        <v>243</v>
      </c>
      <c r="Y958" s="4" t="s">
        <v>244</v>
      </c>
      <c r="Z958" s="4" t="s">
        <v>338</v>
      </c>
      <c r="AA958" s="4" t="s">
        <v>241</v>
      </c>
      <c r="AD958" s="4" t="s">
        <v>241</v>
      </c>
      <c r="AE958" s="5" t="s">
        <v>241</v>
      </c>
      <c r="AF958" s="5" t="s">
        <v>241</v>
      </c>
      <c r="AH958" s="5" t="s">
        <v>241</v>
      </c>
      <c r="AI958" s="5" t="s">
        <v>380</v>
      </c>
      <c r="AJ958" s="4" t="s">
        <v>251</v>
      </c>
      <c r="AK958" s="4" t="s">
        <v>252</v>
      </c>
      <c r="AQ958" s="4" t="s">
        <v>241</v>
      </c>
      <c r="AR958" s="4" t="s">
        <v>241</v>
      </c>
      <c r="AS958" s="4" t="s">
        <v>241</v>
      </c>
      <c r="AT958" s="5" t="s">
        <v>241</v>
      </c>
      <c r="AU958" s="5" t="s">
        <v>241</v>
      </c>
      <c r="AV958" s="5" t="s">
        <v>241</v>
      </c>
      <c r="AY958" s="4" t="s">
        <v>286</v>
      </c>
      <c r="AZ958" s="4" t="s">
        <v>286</v>
      </c>
      <c r="BA958" s="4" t="s">
        <v>254</v>
      </c>
      <c r="BB958" s="4" t="s">
        <v>287</v>
      </c>
      <c r="BC958" s="4" t="s">
        <v>255</v>
      </c>
      <c r="BD958" s="4" t="s">
        <v>241</v>
      </c>
      <c r="BE958" s="4" t="s">
        <v>257</v>
      </c>
      <c r="BF958" s="4" t="s">
        <v>241</v>
      </c>
      <c r="BJ958" s="4" t="s">
        <v>288</v>
      </c>
      <c r="BK958" s="5" t="s">
        <v>289</v>
      </c>
      <c r="BL958" s="4" t="s">
        <v>290</v>
      </c>
      <c r="BM958" s="4" t="s">
        <v>290</v>
      </c>
      <c r="BN958" s="4" t="s">
        <v>241</v>
      </c>
      <c r="BO958" s="6">
        <f>0</f>
        <v>0</v>
      </c>
      <c r="BP958" s="6">
        <f t="shared" si="70"/>
        <v>-711252</v>
      </c>
      <c r="BQ958" s="4" t="s">
        <v>263</v>
      </c>
      <c r="BR958" s="4" t="s">
        <v>264</v>
      </c>
      <c r="BS958" s="4" t="s">
        <v>241</v>
      </c>
      <c r="BT958" s="4" t="s">
        <v>241</v>
      </c>
      <c r="BU958" s="4" t="s">
        <v>241</v>
      </c>
      <c r="BV958" s="4" t="s">
        <v>241</v>
      </c>
      <c r="CE958" s="4" t="s">
        <v>264</v>
      </c>
      <c r="CF958" s="4" t="s">
        <v>241</v>
      </c>
      <c r="CG958" s="4" t="s">
        <v>241</v>
      </c>
      <c r="CK958" s="4" t="s">
        <v>291</v>
      </c>
      <c r="CL958" s="4" t="s">
        <v>266</v>
      </c>
      <c r="CM958" s="4" t="s">
        <v>241</v>
      </c>
      <c r="CO958" s="4" t="s">
        <v>1542</v>
      </c>
      <c r="CP958" s="5" t="s">
        <v>268</v>
      </c>
      <c r="CQ958" s="4" t="s">
        <v>269</v>
      </c>
      <c r="CR958" s="4" t="s">
        <v>270</v>
      </c>
      <c r="CS958" s="4" t="s">
        <v>293</v>
      </c>
      <c r="CT958" s="4" t="s">
        <v>241</v>
      </c>
      <c r="CU958" s="4">
        <v>4.5999999999999999E-2</v>
      </c>
      <c r="CV958" s="4" t="s">
        <v>271</v>
      </c>
      <c r="CW958" s="4" t="s">
        <v>411</v>
      </c>
      <c r="CX958" s="4" t="s">
        <v>347</v>
      </c>
      <c r="CY958" s="6">
        <f>0</f>
        <v>0</v>
      </c>
      <c r="CZ958" s="6">
        <f t="shared" si="71"/>
        <v>15462000</v>
      </c>
      <c r="DA958" s="6">
        <f t="shared" si="72"/>
        <v>10483236</v>
      </c>
      <c r="DC958" s="4" t="s">
        <v>241</v>
      </c>
      <c r="DD958" s="4" t="s">
        <v>241</v>
      </c>
      <c r="DF958" s="4" t="s">
        <v>241</v>
      </c>
      <c r="DG958" s="6">
        <f>0</f>
        <v>0</v>
      </c>
      <c r="DI958" s="4" t="s">
        <v>241</v>
      </c>
      <c r="DJ958" s="4" t="s">
        <v>241</v>
      </c>
      <c r="DK958" s="4" t="s">
        <v>241</v>
      </c>
      <c r="DL958" s="4" t="s">
        <v>241</v>
      </c>
      <c r="DM958" s="4" t="s">
        <v>323</v>
      </c>
      <c r="DN958" s="4" t="s">
        <v>278</v>
      </c>
      <c r="DO958" s="6">
        <f t="shared" si="73"/>
        <v>81.14</v>
      </c>
      <c r="DP958" s="4" t="s">
        <v>241</v>
      </c>
      <c r="DQ958" s="4" t="s">
        <v>241</v>
      </c>
      <c r="DR958" s="4" t="s">
        <v>241</v>
      </c>
      <c r="DS958" s="4" t="s">
        <v>241</v>
      </c>
      <c r="DV958" s="4" t="s">
        <v>2341</v>
      </c>
      <c r="DW958" s="4" t="s">
        <v>348</v>
      </c>
      <c r="GN958" s="4" t="s">
        <v>2349</v>
      </c>
      <c r="HO958" s="4" t="s">
        <v>300</v>
      </c>
      <c r="HR958" s="4" t="s">
        <v>278</v>
      </c>
      <c r="HS958" s="4" t="s">
        <v>278</v>
      </c>
      <c r="HT958" s="4" t="s">
        <v>241</v>
      </c>
      <c r="HU958" s="4" t="s">
        <v>241</v>
      </c>
      <c r="HV958" s="4" t="s">
        <v>241</v>
      </c>
      <c r="HW958" s="4" t="s">
        <v>241</v>
      </c>
      <c r="HX958" s="4" t="s">
        <v>241</v>
      </c>
      <c r="HY958" s="4" t="s">
        <v>241</v>
      </c>
      <c r="HZ958" s="4" t="s">
        <v>241</v>
      </c>
      <c r="IA958" s="4" t="s">
        <v>241</v>
      </c>
      <c r="IB958" s="4" t="s">
        <v>241</v>
      </c>
      <c r="IC958" s="4" t="s">
        <v>241</v>
      </c>
      <c r="ID958" s="4" t="s">
        <v>241</v>
      </c>
      <c r="IE958" s="4" t="s">
        <v>241</v>
      </c>
      <c r="IF958" s="4" t="s">
        <v>241</v>
      </c>
    </row>
    <row r="959" spans="1:240" x14ac:dyDescent="0.4">
      <c r="A959" s="4">
        <v>2</v>
      </c>
      <c r="B959" s="4" t="s">
        <v>239</v>
      </c>
      <c r="C959" s="4">
        <v>1030</v>
      </c>
      <c r="D959" s="4">
        <v>1</v>
      </c>
      <c r="E959" s="4">
        <v>3</v>
      </c>
      <c r="F959" s="4" t="s">
        <v>240</v>
      </c>
      <c r="G959" s="4" t="s">
        <v>241</v>
      </c>
      <c r="H959" s="4" t="s">
        <v>241</v>
      </c>
      <c r="I959" s="4" t="s">
        <v>2338</v>
      </c>
      <c r="J959" s="4" t="s">
        <v>344</v>
      </c>
      <c r="K959" s="4" t="s">
        <v>256</v>
      </c>
      <c r="L959" s="4" t="s">
        <v>2101</v>
      </c>
      <c r="M959" s="5" t="s">
        <v>2340</v>
      </c>
      <c r="N959" s="4" t="s">
        <v>2114</v>
      </c>
      <c r="O959" s="6">
        <f t="shared" si="65"/>
        <v>81.14</v>
      </c>
      <c r="P959" s="4" t="s">
        <v>276</v>
      </c>
      <c r="Q959" s="6">
        <f t="shared" si="66"/>
        <v>10483236</v>
      </c>
      <c r="R959" s="6">
        <f t="shared" si="67"/>
        <v>15462000</v>
      </c>
      <c r="S959" s="5" t="s">
        <v>2339</v>
      </c>
      <c r="T959" s="4" t="s">
        <v>314</v>
      </c>
      <c r="U959" s="4" t="s">
        <v>300</v>
      </c>
      <c r="V959" s="6">
        <f t="shared" si="68"/>
        <v>711252</v>
      </c>
      <c r="W959" s="6">
        <f t="shared" si="69"/>
        <v>4978764</v>
      </c>
      <c r="X959" s="4" t="s">
        <v>243</v>
      </c>
      <c r="Y959" s="4" t="s">
        <v>244</v>
      </c>
      <c r="Z959" s="4" t="s">
        <v>338</v>
      </c>
      <c r="AA959" s="4" t="s">
        <v>241</v>
      </c>
      <c r="AD959" s="4" t="s">
        <v>241</v>
      </c>
      <c r="AE959" s="5" t="s">
        <v>241</v>
      </c>
      <c r="AF959" s="5" t="s">
        <v>241</v>
      </c>
      <c r="AH959" s="5" t="s">
        <v>241</v>
      </c>
      <c r="AI959" s="5" t="s">
        <v>380</v>
      </c>
      <c r="AJ959" s="4" t="s">
        <v>251</v>
      </c>
      <c r="AK959" s="4" t="s">
        <v>252</v>
      </c>
      <c r="AQ959" s="4" t="s">
        <v>241</v>
      </c>
      <c r="AR959" s="4" t="s">
        <v>241</v>
      </c>
      <c r="AS959" s="4" t="s">
        <v>241</v>
      </c>
      <c r="AT959" s="5" t="s">
        <v>241</v>
      </c>
      <c r="AU959" s="5" t="s">
        <v>241</v>
      </c>
      <c r="AV959" s="5" t="s">
        <v>241</v>
      </c>
      <c r="AY959" s="4" t="s">
        <v>286</v>
      </c>
      <c r="AZ959" s="4" t="s">
        <v>286</v>
      </c>
      <c r="BA959" s="4" t="s">
        <v>254</v>
      </c>
      <c r="BB959" s="4" t="s">
        <v>287</v>
      </c>
      <c r="BC959" s="4" t="s">
        <v>255</v>
      </c>
      <c r="BD959" s="4" t="s">
        <v>241</v>
      </c>
      <c r="BE959" s="4" t="s">
        <v>257</v>
      </c>
      <c r="BF959" s="4" t="s">
        <v>241</v>
      </c>
      <c r="BJ959" s="4" t="s">
        <v>288</v>
      </c>
      <c r="BK959" s="5" t="s">
        <v>289</v>
      </c>
      <c r="BL959" s="4" t="s">
        <v>290</v>
      </c>
      <c r="BM959" s="4" t="s">
        <v>290</v>
      </c>
      <c r="BN959" s="4" t="s">
        <v>241</v>
      </c>
      <c r="BO959" s="6">
        <f>0</f>
        <v>0</v>
      </c>
      <c r="BP959" s="6">
        <f t="shared" si="70"/>
        <v>-711252</v>
      </c>
      <c r="BQ959" s="4" t="s">
        <v>263</v>
      </c>
      <c r="BR959" s="4" t="s">
        <v>264</v>
      </c>
      <c r="BS959" s="4" t="s">
        <v>241</v>
      </c>
      <c r="BT959" s="4" t="s">
        <v>241</v>
      </c>
      <c r="BU959" s="4" t="s">
        <v>241</v>
      </c>
      <c r="BV959" s="4" t="s">
        <v>241</v>
      </c>
      <c r="CE959" s="4" t="s">
        <v>264</v>
      </c>
      <c r="CF959" s="4" t="s">
        <v>241</v>
      </c>
      <c r="CG959" s="4" t="s">
        <v>241</v>
      </c>
      <c r="CK959" s="4" t="s">
        <v>291</v>
      </c>
      <c r="CL959" s="4" t="s">
        <v>266</v>
      </c>
      <c r="CM959" s="4" t="s">
        <v>241</v>
      </c>
      <c r="CO959" s="4" t="s">
        <v>1542</v>
      </c>
      <c r="CP959" s="5" t="s">
        <v>268</v>
      </c>
      <c r="CQ959" s="4" t="s">
        <v>269</v>
      </c>
      <c r="CR959" s="4" t="s">
        <v>270</v>
      </c>
      <c r="CS959" s="4" t="s">
        <v>293</v>
      </c>
      <c r="CT959" s="4" t="s">
        <v>241</v>
      </c>
      <c r="CU959" s="4">
        <v>4.5999999999999999E-2</v>
      </c>
      <c r="CV959" s="4" t="s">
        <v>271</v>
      </c>
      <c r="CW959" s="4" t="s">
        <v>411</v>
      </c>
      <c r="CX959" s="4" t="s">
        <v>347</v>
      </c>
      <c r="CY959" s="6">
        <f>0</f>
        <v>0</v>
      </c>
      <c r="CZ959" s="6">
        <f t="shared" si="71"/>
        <v>15462000</v>
      </c>
      <c r="DA959" s="6">
        <f t="shared" si="72"/>
        <v>10483236</v>
      </c>
      <c r="DC959" s="4" t="s">
        <v>241</v>
      </c>
      <c r="DD959" s="4" t="s">
        <v>241</v>
      </c>
      <c r="DF959" s="4" t="s">
        <v>241</v>
      </c>
      <c r="DG959" s="6">
        <f>0</f>
        <v>0</v>
      </c>
      <c r="DI959" s="4" t="s">
        <v>241</v>
      </c>
      <c r="DJ959" s="4" t="s">
        <v>241</v>
      </c>
      <c r="DK959" s="4" t="s">
        <v>241</v>
      </c>
      <c r="DL959" s="4" t="s">
        <v>241</v>
      </c>
      <c r="DM959" s="4" t="s">
        <v>323</v>
      </c>
      <c r="DN959" s="4" t="s">
        <v>278</v>
      </c>
      <c r="DO959" s="6">
        <f t="shared" si="73"/>
        <v>81.14</v>
      </c>
      <c r="DP959" s="4" t="s">
        <v>241</v>
      </c>
      <c r="DQ959" s="4" t="s">
        <v>241</v>
      </c>
      <c r="DR959" s="4" t="s">
        <v>241</v>
      </c>
      <c r="DS959" s="4" t="s">
        <v>241</v>
      </c>
      <c r="DV959" s="4" t="s">
        <v>2341</v>
      </c>
      <c r="DW959" s="4" t="s">
        <v>371</v>
      </c>
      <c r="GN959" s="4" t="s">
        <v>2348</v>
      </c>
      <c r="HO959" s="4" t="s">
        <v>300</v>
      </c>
      <c r="HR959" s="4" t="s">
        <v>278</v>
      </c>
      <c r="HS959" s="4" t="s">
        <v>278</v>
      </c>
      <c r="HT959" s="4" t="s">
        <v>241</v>
      </c>
      <c r="HU959" s="4" t="s">
        <v>241</v>
      </c>
      <c r="HV959" s="4" t="s">
        <v>241</v>
      </c>
      <c r="HW959" s="4" t="s">
        <v>241</v>
      </c>
      <c r="HX959" s="4" t="s">
        <v>241</v>
      </c>
      <c r="HY959" s="4" t="s">
        <v>241</v>
      </c>
      <c r="HZ959" s="4" t="s">
        <v>241</v>
      </c>
      <c r="IA959" s="4" t="s">
        <v>241</v>
      </c>
      <c r="IB959" s="4" t="s">
        <v>241</v>
      </c>
      <c r="IC959" s="4" t="s">
        <v>241</v>
      </c>
      <c r="ID959" s="4" t="s">
        <v>241</v>
      </c>
      <c r="IE959" s="4" t="s">
        <v>241</v>
      </c>
      <c r="IF959" s="4" t="s">
        <v>241</v>
      </c>
    </row>
    <row r="960" spans="1:240" x14ac:dyDescent="0.4">
      <c r="A960" s="4">
        <v>2</v>
      </c>
      <c r="B960" s="4" t="s">
        <v>239</v>
      </c>
      <c r="C960" s="4">
        <v>1031</v>
      </c>
      <c r="D960" s="4">
        <v>1</v>
      </c>
      <c r="E960" s="4">
        <v>3</v>
      </c>
      <c r="F960" s="4" t="s">
        <v>240</v>
      </c>
      <c r="G960" s="4" t="s">
        <v>241</v>
      </c>
      <c r="H960" s="4" t="s">
        <v>241</v>
      </c>
      <c r="I960" s="4" t="s">
        <v>2338</v>
      </c>
      <c r="J960" s="4" t="s">
        <v>344</v>
      </c>
      <c r="K960" s="4" t="s">
        <v>256</v>
      </c>
      <c r="L960" s="4" t="s">
        <v>2101</v>
      </c>
      <c r="M960" s="5" t="s">
        <v>2340</v>
      </c>
      <c r="N960" s="4" t="s">
        <v>2114</v>
      </c>
      <c r="O960" s="6">
        <f t="shared" ref="O960:O973" si="74">57.96</f>
        <v>57.96</v>
      </c>
      <c r="P960" s="4" t="s">
        <v>276</v>
      </c>
      <c r="Q960" s="6">
        <f t="shared" ref="Q960:Q965" si="75">8595684</f>
        <v>8595684</v>
      </c>
      <c r="R960" s="6">
        <f t="shared" ref="R960:R965" si="76">12678000</f>
        <v>12678000</v>
      </c>
      <c r="S960" s="5" t="s">
        <v>2339</v>
      </c>
      <c r="T960" s="4" t="s">
        <v>314</v>
      </c>
      <c r="U960" s="4" t="s">
        <v>300</v>
      </c>
      <c r="V960" s="6">
        <f t="shared" ref="V960:V965" si="77">583188</f>
        <v>583188</v>
      </c>
      <c r="W960" s="6">
        <f t="shared" ref="W960:W965" si="78">4082316</f>
        <v>4082316</v>
      </c>
      <c r="X960" s="4" t="s">
        <v>243</v>
      </c>
      <c r="Y960" s="4" t="s">
        <v>244</v>
      </c>
      <c r="Z960" s="4" t="s">
        <v>338</v>
      </c>
      <c r="AA960" s="4" t="s">
        <v>241</v>
      </c>
      <c r="AD960" s="4" t="s">
        <v>241</v>
      </c>
      <c r="AE960" s="5" t="s">
        <v>241</v>
      </c>
      <c r="AF960" s="5" t="s">
        <v>241</v>
      </c>
      <c r="AH960" s="5" t="s">
        <v>241</v>
      </c>
      <c r="AI960" s="5" t="s">
        <v>249</v>
      </c>
      <c r="AJ960" s="4" t="s">
        <v>251</v>
      </c>
      <c r="AK960" s="4" t="s">
        <v>252</v>
      </c>
      <c r="AQ960" s="4" t="s">
        <v>241</v>
      </c>
      <c r="AR960" s="4" t="s">
        <v>241</v>
      </c>
      <c r="AS960" s="4" t="s">
        <v>241</v>
      </c>
      <c r="AT960" s="5" t="s">
        <v>241</v>
      </c>
      <c r="AU960" s="5" t="s">
        <v>241</v>
      </c>
      <c r="AV960" s="5" t="s">
        <v>241</v>
      </c>
      <c r="AY960" s="4" t="s">
        <v>286</v>
      </c>
      <c r="AZ960" s="4" t="s">
        <v>286</v>
      </c>
      <c r="BA960" s="4" t="s">
        <v>254</v>
      </c>
      <c r="BB960" s="4" t="s">
        <v>287</v>
      </c>
      <c r="BC960" s="4" t="s">
        <v>255</v>
      </c>
      <c r="BD960" s="4" t="s">
        <v>241</v>
      </c>
      <c r="BE960" s="4" t="s">
        <v>257</v>
      </c>
      <c r="BF960" s="4" t="s">
        <v>241</v>
      </c>
      <c r="BJ960" s="4" t="s">
        <v>288</v>
      </c>
      <c r="BK960" s="5" t="s">
        <v>289</v>
      </c>
      <c r="BL960" s="4" t="s">
        <v>290</v>
      </c>
      <c r="BM960" s="4" t="s">
        <v>290</v>
      </c>
      <c r="BN960" s="4" t="s">
        <v>241</v>
      </c>
      <c r="BO960" s="6">
        <f>0</f>
        <v>0</v>
      </c>
      <c r="BP960" s="6">
        <f t="shared" ref="BP960:BP965" si="79">-583188</f>
        <v>-583188</v>
      </c>
      <c r="BQ960" s="4" t="s">
        <v>263</v>
      </c>
      <c r="BR960" s="4" t="s">
        <v>264</v>
      </c>
      <c r="BS960" s="4" t="s">
        <v>241</v>
      </c>
      <c r="BT960" s="4" t="s">
        <v>241</v>
      </c>
      <c r="BU960" s="4" t="s">
        <v>241</v>
      </c>
      <c r="BV960" s="4" t="s">
        <v>241</v>
      </c>
      <c r="CE960" s="4" t="s">
        <v>264</v>
      </c>
      <c r="CF960" s="4" t="s">
        <v>241</v>
      </c>
      <c r="CG960" s="4" t="s">
        <v>241</v>
      </c>
      <c r="CK960" s="4" t="s">
        <v>291</v>
      </c>
      <c r="CL960" s="4" t="s">
        <v>266</v>
      </c>
      <c r="CM960" s="4" t="s">
        <v>241</v>
      </c>
      <c r="CO960" s="4" t="s">
        <v>1542</v>
      </c>
      <c r="CP960" s="5" t="s">
        <v>268</v>
      </c>
      <c r="CQ960" s="4" t="s">
        <v>269</v>
      </c>
      <c r="CR960" s="4" t="s">
        <v>270</v>
      </c>
      <c r="CS960" s="4" t="s">
        <v>293</v>
      </c>
      <c r="CT960" s="4" t="s">
        <v>241</v>
      </c>
      <c r="CU960" s="4">
        <v>4.5999999999999999E-2</v>
      </c>
      <c r="CV960" s="4" t="s">
        <v>271</v>
      </c>
      <c r="CW960" s="4" t="s">
        <v>411</v>
      </c>
      <c r="CX960" s="4" t="s">
        <v>347</v>
      </c>
      <c r="CY960" s="6">
        <f>0</f>
        <v>0</v>
      </c>
      <c r="CZ960" s="6">
        <f t="shared" ref="CZ960:CZ965" si="80">12678000</f>
        <v>12678000</v>
      </c>
      <c r="DA960" s="6">
        <f t="shared" ref="DA960:DA965" si="81">8595684</f>
        <v>8595684</v>
      </c>
      <c r="DC960" s="4" t="s">
        <v>241</v>
      </c>
      <c r="DD960" s="4" t="s">
        <v>241</v>
      </c>
      <c r="DF960" s="4" t="s">
        <v>241</v>
      </c>
      <c r="DG960" s="6">
        <f>0</f>
        <v>0</v>
      </c>
      <c r="DI960" s="4" t="s">
        <v>241</v>
      </c>
      <c r="DJ960" s="4" t="s">
        <v>241</v>
      </c>
      <c r="DK960" s="4" t="s">
        <v>241</v>
      </c>
      <c r="DL960" s="4" t="s">
        <v>241</v>
      </c>
      <c r="DM960" s="4" t="s">
        <v>277</v>
      </c>
      <c r="DN960" s="4" t="s">
        <v>278</v>
      </c>
      <c r="DO960" s="6">
        <f t="shared" ref="DO960:DO973" si="82">57.96</f>
        <v>57.96</v>
      </c>
      <c r="DP960" s="4" t="s">
        <v>241</v>
      </c>
      <c r="DQ960" s="4" t="s">
        <v>241</v>
      </c>
      <c r="DR960" s="4" t="s">
        <v>241</v>
      </c>
      <c r="DS960" s="4" t="s">
        <v>241</v>
      </c>
      <c r="DV960" s="4" t="s">
        <v>2341</v>
      </c>
      <c r="DW960" s="4" t="s">
        <v>401</v>
      </c>
      <c r="GN960" s="4" t="s">
        <v>2347</v>
      </c>
      <c r="HO960" s="4" t="s">
        <v>300</v>
      </c>
      <c r="HR960" s="4" t="s">
        <v>278</v>
      </c>
      <c r="HS960" s="4" t="s">
        <v>278</v>
      </c>
      <c r="HT960" s="4" t="s">
        <v>241</v>
      </c>
      <c r="HU960" s="4" t="s">
        <v>241</v>
      </c>
      <c r="HV960" s="4" t="s">
        <v>241</v>
      </c>
      <c r="HW960" s="4" t="s">
        <v>241</v>
      </c>
      <c r="HX960" s="4" t="s">
        <v>241</v>
      </c>
      <c r="HY960" s="4" t="s">
        <v>241</v>
      </c>
      <c r="HZ960" s="4" t="s">
        <v>241</v>
      </c>
      <c r="IA960" s="4" t="s">
        <v>241</v>
      </c>
      <c r="IB960" s="4" t="s">
        <v>241</v>
      </c>
      <c r="IC960" s="4" t="s">
        <v>241</v>
      </c>
      <c r="ID960" s="4" t="s">
        <v>241</v>
      </c>
      <c r="IE960" s="4" t="s">
        <v>241</v>
      </c>
      <c r="IF960" s="4" t="s">
        <v>241</v>
      </c>
    </row>
    <row r="961" spans="1:240" x14ac:dyDescent="0.4">
      <c r="A961" s="4">
        <v>2</v>
      </c>
      <c r="B961" s="4" t="s">
        <v>239</v>
      </c>
      <c r="C961" s="4">
        <v>1032</v>
      </c>
      <c r="D961" s="4">
        <v>1</v>
      </c>
      <c r="E961" s="4">
        <v>3</v>
      </c>
      <c r="F961" s="4" t="s">
        <v>240</v>
      </c>
      <c r="G961" s="4" t="s">
        <v>241</v>
      </c>
      <c r="H961" s="4" t="s">
        <v>241</v>
      </c>
      <c r="I961" s="4" t="s">
        <v>2338</v>
      </c>
      <c r="J961" s="4" t="s">
        <v>344</v>
      </c>
      <c r="K961" s="4" t="s">
        <v>256</v>
      </c>
      <c r="L961" s="4" t="s">
        <v>2101</v>
      </c>
      <c r="M961" s="5" t="s">
        <v>2340</v>
      </c>
      <c r="N961" s="4" t="s">
        <v>2114</v>
      </c>
      <c r="O961" s="6">
        <f t="shared" si="74"/>
        <v>57.96</v>
      </c>
      <c r="P961" s="4" t="s">
        <v>276</v>
      </c>
      <c r="Q961" s="6">
        <f t="shared" si="75"/>
        <v>8595684</v>
      </c>
      <c r="R961" s="6">
        <f t="shared" si="76"/>
        <v>12678000</v>
      </c>
      <c r="S961" s="5" t="s">
        <v>2339</v>
      </c>
      <c r="T961" s="4" t="s">
        <v>314</v>
      </c>
      <c r="U961" s="4" t="s">
        <v>300</v>
      </c>
      <c r="V961" s="6">
        <f t="shared" si="77"/>
        <v>583188</v>
      </c>
      <c r="W961" s="6">
        <f t="shared" si="78"/>
        <v>4082316</v>
      </c>
      <c r="X961" s="4" t="s">
        <v>243</v>
      </c>
      <c r="Y961" s="4" t="s">
        <v>244</v>
      </c>
      <c r="Z961" s="4" t="s">
        <v>338</v>
      </c>
      <c r="AA961" s="4" t="s">
        <v>241</v>
      </c>
      <c r="AD961" s="4" t="s">
        <v>241</v>
      </c>
      <c r="AE961" s="5" t="s">
        <v>241</v>
      </c>
      <c r="AF961" s="5" t="s">
        <v>241</v>
      </c>
      <c r="AH961" s="5" t="s">
        <v>241</v>
      </c>
      <c r="AI961" s="5" t="s">
        <v>249</v>
      </c>
      <c r="AJ961" s="4" t="s">
        <v>251</v>
      </c>
      <c r="AK961" s="4" t="s">
        <v>252</v>
      </c>
      <c r="AQ961" s="4" t="s">
        <v>241</v>
      </c>
      <c r="AR961" s="4" t="s">
        <v>241</v>
      </c>
      <c r="AS961" s="4" t="s">
        <v>241</v>
      </c>
      <c r="AT961" s="5" t="s">
        <v>241</v>
      </c>
      <c r="AU961" s="5" t="s">
        <v>241</v>
      </c>
      <c r="AV961" s="5" t="s">
        <v>241</v>
      </c>
      <c r="AY961" s="4" t="s">
        <v>286</v>
      </c>
      <c r="AZ961" s="4" t="s">
        <v>286</v>
      </c>
      <c r="BA961" s="4" t="s">
        <v>254</v>
      </c>
      <c r="BB961" s="4" t="s">
        <v>287</v>
      </c>
      <c r="BC961" s="4" t="s">
        <v>255</v>
      </c>
      <c r="BD961" s="4" t="s">
        <v>241</v>
      </c>
      <c r="BE961" s="4" t="s">
        <v>257</v>
      </c>
      <c r="BF961" s="4" t="s">
        <v>241</v>
      </c>
      <c r="BJ961" s="4" t="s">
        <v>288</v>
      </c>
      <c r="BK961" s="5" t="s">
        <v>289</v>
      </c>
      <c r="BL961" s="4" t="s">
        <v>290</v>
      </c>
      <c r="BM961" s="4" t="s">
        <v>290</v>
      </c>
      <c r="BN961" s="4" t="s">
        <v>241</v>
      </c>
      <c r="BO961" s="6">
        <f>0</f>
        <v>0</v>
      </c>
      <c r="BP961" s="6">
        <f t="shared" si="79"/>
        <v>-583188</v>
      </c>
      <c r="BQ961" s="4" t="s">
        <v>263</v>
      </c>
      <c r="BR961" s="4" t="s">
        <v>264</v>
      </c>
      <c r="BS961" s="4" t="s">
        <v>241</v>
      </c>
      <c r="BT961" s="4" t="s">
        <v>241</v>
      </c>
      <c r="BU961" s="4" t="s">
        <v>241</v>
      </c>
      <c r="BV961" s="4" t="s">
        <v>241</v>
      </c>
      <c r="CE961" s="4" t="s">
        <v>264</v>
      </c>
      <c r="CF961" s="4" t="s">
        <v>241</v>
      </c>
      <c r="CG961" s="4" t="s">
        <v>241</v>
      </c>
      <c r="CK961" s="4" t="s">
        <v>291</v>
      </c>
      <c r="CL961" s="4" t="s">
        <v>266</v>
      </c>
      <c r="CM961" s="4" t="s">
        <v>241</v>
      </c>
      <c r="CO961" s="4" t="s">
        <v>1542</v>
      </c>
      <c r="CP961" s="5" t="s">
        <v>268</v>
      </c>
      <c r="CQ961" s="4" t="s">
        <v>269</v>
      </c>
      <c r="CR961" s="4" t="s">
        <v>270</v>
      </c>
      <c r="CS961" s="4" t="s">
        <v>293</v>
      </c>
      <c r="CT961" s="4" t="s">
        <v>241</v>
      </c>
      <c r="CU961" s="4">
        <v>4.5999999999999999E-2</v>
      </c>
      <c r="CV961" s="4" t="s">
        <v>271</v>
      </c>
      <c r="CW961" s="4" t="s">
        <v>411</v>
      </c>
      <c r="CX961" s="4" t="s">
        <v>347</v>
      </c>
      <c r="CY961" s="6">
        <f>0</f>
        <v>0</v>
      </c>
      <c r="CZ961" s="6">
        <f t="shared" si="80"/>
        <v>12678000</v>
      </c>
      <c r="DA961" s="6">
        <f t="shared" si="81"/>
        <v>8595684</v>
      </c>
      <c r="DC961" s="4" t="s">
        <v>241</v>
      </c>
      <c r="DD961" s="4" t="s">
        <v>241</v>
      </c>
      <c r="DF961" s="4" t="s">
        <v>241</v>
      </c>
      <c r="DG961" s="6">
        <f>0</f>
        <v>0</v>
      </c>
      <c r="DI961" s="4" t="s">
        <v>241</v>
      </c>
      <c r="DJ961" s="4" t="s">
        <v>241</v>
      </c>
      <c r="DK961" s="4" t="s">
        <v>241</v>
      </c>
      <c r="DL961" s="4" t="s">
        <v>241</v>
      </c>
      <c r="DM961" s="4" t="s">
        <v>277</v>
      </c>
      <c r="DN961" s="4" t="s">
        <v>278</v>
      </c>
      <c r="DO961" s="6">
        <f t="shared" si="82"/>
        <v>57.96</v>
      </c>
      <c r="DP961" s="4" t="s">
        <v>241</v>
      </c>
      <c r="DQ961" s="4" t="s">
        <v>241</v>
      </c>
      <c r="DR961" s="4" t="s">
        <v>241</v>
      </c>
      <c r="DS961" s="4" t="s">
        <v>241</v>
      </c>
      <c r="DV961" s="4" t="s">
        <v>2341</v>
      </c>
      <c r="DW961" s="4" t="s">
        <v>365</v>
      </c>
      <c r="GN961" s="4" t="s">
        <v>2346</v>
      </c>
      <c r="HO961" s="4" t="s">
        <v>300</v>
      </c>
      <c r="HR961" s="4" t="s">
        <v>278</v>
      </c>
      <c r="HS961" s="4" t="s">
        <v>278</v>
      </c>
      <c r="HT961" s="4" t="s">
        <v>241</v>
      </c>
      <c r="HU961" s="4" t="s">
        <v>241</v>
      </c>
      <c r="HV961" s="4" t="s">
        <v>241</v>
      </c>
      <c r="HW961" s="4" t="s">
        <v>241</v>
      </c>
      <c r="HX961" s="4" t="s">
        <v>241</v>
      </c>
      <c r="HY961" s="4" t="s">
        <v>241</v>
      </c>
      <c r="HZ961" s="4" t="s">
        <v>241</v>
      </c>
      <c r="IA961" s="4" t="s">
        <v>241</v>
      </c>
      <c r="IB961" s="4" t="s">
        <v>241</v>
      </c>
      <c r="IC961" s="4" t="s">
        <v>241</v>
      </c>
      <c r="ID961" s="4" t="s">
        <v>241</v>
      </c>
      <c r="IE961" s="4" t="s">
        <v>241</v>
      </c>
      <c r="IF961" s="4" t="s">
        <v>241</v>
      </c>
    </row>
    <row r="962" spans="1:240" x14ac:dyDescent="0.4">
      <c r="A962" s="4">
        <v>2</v>
      </c>
      <c r="B962" s="4" t="s">
        <v>239</v>
      </c>
      <c r="C962" s="4">
        <v>1033</v>
      </c>
      <c r="D962" s="4">
        <v>1</v>
      </c>
      <c r="E962" s="4">
        <v>3</v>
      </c>
      <c r="F962" s="4" t="s">
        <v>240</v>
      </c>
      <c r="G962" s="4" t="s">
        <v>241</v>
      </c>
      <c r="H962" s="4" t="s">
        <v>241</v>
      </c>
      <c r="I962" s="4" t="s">
        <v>2338</v>
      </c>
      <c r="J962" s="4" t="s">
        <v>344</v>
      </c>
      <c r="K962" s="4" t="s">
        <v>256</v>
      </c>
      <c r="L962" s="4" t="s">
        <v>2101</v>
      </c>
      <c r="M962" s="5" t="s">
        <v>2340</v>
      </c>
      <c r="N962" s="4" t="s">
        <v>2114</v>
      </c>
      <c r="O962" s="6">
        <f t="shared" si="74"/>
        <v>57.96</v>
      </c>
      <c r="P962" s="4" t="s">
        <v>276</v>
      </c>
      <c r="Q962" s="6">
        <f t="shared" si="75"/>
        <v>8595684</v>
      </c>
      <c r="R962" s="6">
        <f t="shared" si="76"/>
        <v>12678000</v>
      </c>
      <c r="S962" s="5" t="s">
        <v>2339</v>
      </c>
      <c r="T962" s="4" t="s">
        <v>314</v>
      </c>
      <c r="U962" s="4" t="s">
        <v>300</v>
      </c>
      <c r="V962" s="6">
        <f t="shared" si="77"/>
        <v>583188</v>
      </c>
      <c r="W962" s="6">
        <f t="shared" si="78"/>
        <v>4082316</v>
      </c>
      <c r="X962" s="4" t="s">
        <v>243</v>
      </c>
      <c r="Y962" s="4" t="s">
        <v>244</v>
      </c>
      <c r="Z962" s="4" t="s">
        <v>338</v>
      </c>
      <c r="AA962" s="4" t="s">
        <v>241</v>
      </c>
      <c r="AD962" s="4" t="s">
        <v>241</v>
      </c>
      <c r="AE962" s="5" t="s">
        <v>241</v>
      </c>
      <c r="AF962" s="5" t="s">
        <v>241</v>
      </c>
      <c r="AH962" s="5" t="s">
        <v>241</v>
      </c>
      <c r="AI962" s="5" t="s">
        <v>249</v>
      </c>
      <c r="AJ962" s="4" t="s">
        <v>251</v>
      </c>
      <c r="AK962" s="4" t="s">
        <v>252</v>
      </c>
      <c r="AQ962" s="4" t="s">
        <v>241</v>
      </c>
      <c r="AR962" s="4" t="s">
        <v>241</v>
      </c>
      <c r="AS962" s="4" t="s">
        <v>241</v>
      </c>
      <c r="AT962" s="5" t="s">
        <v>241</v>
      </c>
      <c r="AU962" s="5" t="s">
        <v>241</v>
      </c>
      <c r="AV962" s="5" t="s">
        <v>241</v>
      </c>
      <c r="AY962" s="4" t="s">
        <v>286</v>
      </c>
      <c r="AZ962" s="4" t="s">
        <v>286</v>
      </c>
      <c r="BA962" s="4" t="s">
        <v>254</v>
      </c>
      <c r="BB962" s="4" t="s">
        <v>287</v>
      </c>
      <c r="BC962" s="4" t="s">
        <v>255</v>
      </c>
      <c r="BD962" s="4" t="s">
        <v>241</v>
      </c>
      <c r="BE962" s="4" t="s">
        <v>257</v>
      </c>
      <c r="BF962" s="4" t="s">
        <v>241</v>
      </c>
      <c r="BJ962" s="4" t="s">
        <v>288</v>
      </c>
      <c r="BK962" s="5" t="s">
        <v>289</v>
      </c>
      <c r="BL962" s="4" t="s">
        <v>290</v>
      </c>
      <c r="BM962" s="4" t="s">
        <v>290</v>
      </c>
      <c r="BN962" s="4" t="s">
        <v>241</v>
      </c>
      <c r="BO962" s="6">
        <f>0</f>
        <v>0</v>
      </c>
      <c r="BP962" s="6">
        <f t="shared" si="79"/>
        <v>-583188</v>
      </c>
      <c r="BQ962" s="4" t="s">
        <v>263</v>
      </c>
      <c r="BR962" s="4" t="s">
        <v>264</v>
      </c>
      <c r="BS962" s="4" t="s">
        <v>241</v>
      </c>
      <c r="BT962" s="4" t="s">
        <v>241</v>
      </c>
      <c r="BU962" s="4" t="s">
        <v>241</v>
      </c>
      <c r="BV962" s="4" t="s">
        <v>241</v>
      </c>
      <c r="CE962" s="4" t="s">
        <v>264</v>
      </c>
      <c r="CF962" s="4" t="s">
        <v>241</v>
      </c>
      <c r="CG962" s="4" t="s">
        <v>241</v>
      </c>
      <c r="CK962" s="4" t="s">
        <v>291</v>
      </c>
      <c r="CL962" s="4" t="s">
        <v>266</v>
      </c>
      <c r="CM962" s="4" t="s">
        <v>241</v>
      </c>
      <c r="CO962" s="4" t="s">
        <v>1542</v>
      </c>
      <c r="CP962" s="5" t="s">
        <v>268</v>
      </c>
      <c r="CQ962" s="4" t="s">
        <v>269</v>
      </c>
      <c r="CR962" s="4" t="s">
        <v>270</v>
      </c>
      <c r="CS962" s="4" t="s">
        <v>293</v>
      </c>
      <c r="CT962" s="4" t="s">
        <v>241</v>
      </c>
      <c r="CU962" s="4">
        <v>4.5999999999999999E-2</v>
      </c>
      <c r="CV962" s="4" t="s">
        <v>271</v>
      </c>
      <c r="CW962" s="4" t="s">
        <v>411</v>
      </c>
      <c r="CX962" s="4" t="s">
        <v>347</v>
      </c>
      <c r="CY962" s="6">
        <f>0</f>
        <v>0</v>
      </c>
      <c r="CZ962" s="6">
        <f t="shared" si="80"/>
        <v>12678000</v>
      </c>
      <c r="DA962" s="6">
        <f t="shared" si="81"/>
        <v>8595684</v>
      </c>
      <c r="DC962" s="4" t="s">
        <v>241</v>
      </c>
      <c r="DD962" s="4" t="s">
        <v>241</v>
      </c>
      <c r="DF962" s="4" t="s">
        <v>241</v>
      </c>
      <c r="DG962" s="6">
        <f>0</f>
        <v>0</v>
      </c>
      <c r="DI962" s="4" t="s">
        <v>241</v>
      </c>
      <c r="DJ962" s="4" t="s">
        <v>241</v>
      </c>
      <c r="DK962" s="4" t="s">
        <v>241</v>
      </c>
      <c r="DL962" s="4" t="s">
        <v>241</v>
      </c>
      <c r="DM962" s="4" t="s">
        <v>277</v>
      </c>
      <c r="DN962" s="4" t="s">
        <v>278</v>
      </c>
      <c r="DO962" s="6">
        <f t="shared" si="82"/>
        <v>57.96</v>
      </c>
      <c r="DP962" s="4" t="s">
        <v>241</v>
      </c>
      <c r="DQ962" s="4" t="s">
        <v>241</v>
      </c>
      <c r="DR962" s="4" t="s">
        <v>241</v>
      </c>
      <c r="DS962" s="4" t="s">
        <v>241</v>
      </c>
      <c r="DV962" s="4" t="s">
        <v>2341</v>
      </c>
      <c r="DW962" s="4" t="s">
        <v>379</v>
      </c>
      <c r="GN962" s="4" t="s">
        <v>2345</v>
      </c>
      <c r="HO962" s="4" t="s">
        <v>300</v>
      </c>
      <c r="HR962" s="4" t="s">
        <v>278</v>
      </c>
      <c r="HS962" s="4" t="s">
        <v>278</v>
      </c>
      <c r="HT962" s="4" t="s">
        <v>241</v>
      </c>
      <c r="HU962" s="4" t="s">
        <v>241</v>
      </c>
      <c r="HV962" s="4" t="s">
        <v>241</v>
      </c>
      <c r="HW962" s="4" t="s">
        <v>241</v>
      </c>
      <c r="HX962" s="4" t="s">
        <v>241</v>
      </c>
      <c r="HY962" s="4" t="s">
        <v>241</v>
      </c>
      <c r="HZ962" s="4" t="s">
        <v>241</v>
      </c>
      <c r="IA962" s="4" t="s">
        <v>241</v>
      </c>
      <c r="IB962" s="4" t="s">
        <v>241</v>
      </c>
      <c r="IC962" s="4" t="s">
        <v>241</v>
      </c>
      <c r="ID962" s="4" t="s">
        <v>241</v>
      </c>
      <c r="IE962" s="4" t="s">
        <v>241</v>
      </c>
      <c r="IF962" s="4" t="s">
        <v>241</v>
      </c>
    </row>
    <row r="963" spans="1:240" x14ac:dyDescent="0.4">
      <c r="A963" s="4">
        <v>2</v>
      </c>
      <c r="B963" s="4" t="s">
        <v>239</v>
      </c>
      <c r="C963" s="4">
        <v>1034</v>
      </c>
      <c r="D963" s="4">
        <v>1</v>
      </c>
      <c r="E963" s="4">
        <v>3</v>
      </c>
      <c r="F963" s="4" t="s">
        <v>240</v>
      </c>
      <c r="G963" s="4" t="s">
        <v>241</v>
      </c>
      <c r="H963" s="4" t="s">
        <v>241</v>
      </c>
      <c r="I963" s="4" t="s">
        <v>2338</v>
      </c>
      <c r="J963" s="4" t="s">
        <v>344</v>
      </c>
      <c r="K963" s="4" t="s">
        <v>256</v>
      </c>
      <c r="L963" s="4" t="s">
        <v>2101</v>
      </c>
      <c r="M963" s="5" t="s">
        <v>2340</v>
      </c>
      <c r="N963" s="4" t="s">
        <v>2114</v>
      </c>
      <c r="O963" s="6">
        <f t="shared" si="74"/>
        <v>57.96</v>
      </c>
      <c r="P963" s="4" t="s">
        <v>276</v>
      </c>
      <c r="Q963" s="6">
        <f t="shared" si="75"/>
        <v>8595684</v>
      </c>
      <c r="R963" s="6">
        <f t="shared" si="76"/>
        <v>12678000</v>
      </c>
      <c r="S963" s="5" t="s">
        <v>2339</v>
      </c>
      <c r="T963" s="4" t="s">
        <v>314</v>
      </c>
      <c r="U963" s="4" t="s">
        <v>300</v>
      </c>
      <c r="V963" s="6">
        <f t="shared" si="77"/>
        <v>583188</v>
      </c>
      <c r="W963" s="6">
        <f t="shared" si="78"/>
        <v>4082316</v>
      </c>
      <c r="X963" s="4" t="s">
        <v>243</v>
      </c>
      <c r="Y963" s="4" t="s">
        <v>244</v>
      </c>
      <c r="Z963" s="4" t="s">
        <v>338</v>
      </c>
      <c r="AA963" s="4" t="s">
        <v>241</v>
      </c>
      <c r="AD963" s="4" t="s">
        <v>241</v>
      </c>
      <c r="AE963" s="5" t="s">
        <v>241</v>
      </c>
      <c r="AF963" s="5" t="s">
        <v>241</v>
      </c>
      <c r="AH963" s="5" t="s">
        <v>241</v>
      </c>
      <c r="AI963" s="5" t="s">
        <v>249</v>
      </c>
      <c r="AJ963" s="4" t="s">
        <v>251</v>
      </c>
      <c r="AK963" s="4" t="s">
        <v>252</v>
      </c>
      <c r="AQ963" s="4" t="s">
        <v>241</v>
      </c>
      <c r="AR963" s="4" t="s">
        <v>241</v>
      </c>
      <c r="AS963" s="4" t="s">
        <v>241</v>
      </c>
      <c r="AT963" s="5" t="s">
        <v>241</v>
      </c>
      <c r="AU963" s="5" t="s">
        <v>241</v>
      </c>
      <c r="AV963" s="5" t="s">
        <v>241</v>
      </c>
      <c r="AY963" s="4" t="s">
        <v>286</v>
      </c>
      <c r="AZ963" s="4" t="s">
        <v>286</v>
      </c>
      <c r="BA963" s="4" t="s">
        <v>254</v>
      </c>
      <c r="BB963" s="4" t="s">
        <v>287</v>
      </c>
      <c r="BC963" s="4" t="s">
        <v>255</v>
      </c>
      <c r="BD963" s="4" t="s">
        <v>241</v>
      </c>
      <c r="BE963" s="4" t="s">
        <v>257</v>
      </c>
      <c r="BF963" s="4" t="s">
        <v>241</v>
      </c>
      <c r="BJ963" s="4" t="s">
        <v>288</v>
      </c>
      <c r="BK963" s="5" t="s">
        <v>289</v>
      </c>
      <c r="BL963" s="4" t="s">
        <v>290</v>
      </c>
      <c r="BM963" s="4" t="s">
        <v>290</v>
      </c>
      <c r="BN963" s="4" t="s">
        <v>241</v>
      </c>
      <c r="BO963" s="6">
        <f>0</f>
        <v>0</v>
      </c>
      <c r="BP963" s="6">
        <f t="shared" si="79"/>
        <v>-583188</v>
      </c>
      <c r="BQ963" s="4" t="s">
        <v>263</v>
      </c>
      <c r="BR963" s="4" t="s">
        <v>264</v>
      </c>
      <c r="BS963" s="4" t="s">
        <v>241</v>
      </c>
      <c r="BT963" s="4" t="s">
        <v>241</v>
      </c>
      <c r="BU963" s="4" t="s">
        <v>241</v>
      </c>
      <c r="BV963" s="4" t="s">
        <v>241</v>
      </c>
      <c r="CE963" s="4" t="s">
        <v>264</v>
      </c>
      <c r="CF963" s="4" t="s">
        <v>241</v>
      </c>
      <c r="CG963" s="4" t="s">
        <v>241</v>
      </c>
      <c r="CK963" s="4" t="s">
        <v>291</v>
      </c>
      <c r="CL963" s="4" t="s">
        <v>266</v>
      </c>
      <c r="CM963" s="4" t="s">
        <v>241</v>
      </c>
      <c r="CO963" s="4" t="s">
        <v>1542</v>
      </c>
      <c r="CP963" s="5" t="s">
        <v>268</v>
      </c>
      <c r="CQ963" s="4" t="s">
        <v>269</v>
      </c>
      <c r="CR963" s="4" t="s">
        <v>270</v>
      </c>
      <c r="CS963" s="4" t="s">
        <v>293</v>
      </c>
      <c r="CT963" s="4" t="s">
        <v>241</v>
      </c>
      <c r="CU963" s="4">
        <v>4.5999999999999999E-2</v>
      </c>
      <c r="CV963" s="4" t="s">
        <v>271</v>
      </c>
      <c r="CW963" s="4" t="s">
        <v>411</v>
      </c>
      <c r="CX963" s="4" t="s">
        <v>347</v>
      </c>
      <c r="CY963" s="6">
        <f>0</f>
        <v>0</v>
      </c>
      <c r="CZ963" s="6">
        <f t="shared" si="80"/>
        <v>12678000</v>
      </c>
      <c r="DA963" s="6">
        <f t="shared" si="81"/>
        <v>8595684</v>
      </c>
      <c r="DC963" s="4" t="s">
        <v>241</v>
      </c>
      <c r="DD963" s="4" t="s">
        <v>241</v>
      </c>
      <c r="DF963" s="4" t="s">
        <v>241</v>
      </c>
      <c r="DG963" s="6">
        <f>0</f>
        <v>0</v>
      </c>
      <c r="DI963" s="4" t="s">
        <v>241</v>
      </c>
      <c r="DJ963" s="4" t="s">
        <v>241</v>
      </c>
      <c r="DK963" s="4" t="s">
        <v>241</v>
      </c>
      <c r="DL963" s="4" t="s">
        <v>241</v>
      </c>
      <c r="DM963" s="4" t="s">
        <v>277</v>
      </c>
      <c r="DN963" s="4" t="s">
        <v>278</v>
      </c>
      <c r="DO963" s="6">
        <f t="shared" si="82"/>
        <v>57.96</v>
      </c>
      <c r="DP963" s="4" t="s">
        <v>241</v>
      </c>
      <c r="DQ963" s="4" t="s">
        <v>241</v>
      </c>
      <c r="DR963" s="4" t="s">
        <v>241</v>
      </c>
      <c r="DS963" s="4" t="s">
        <v>241</v>
      </c>
      <c r="DV963" s="4" t="s">
        <v>2341</v>
      </c>
      <c r="DW963" s="4" t="s">
        <v>335</v>
      </c>
      <c r="GN963" s="4" t="s">
        <v>2344</v>
      </c>
      <c r="HO963" s="4" t="s">
        <v>300</v>
      </c>
      <c r="HR963" s="4" t="s">
        <v>278</v>
      </c>
      <c r="HS963" s="4" t="s">
        <v>278</v>
      </c>
      <c r="HT963" s="4" t="s">
        <v>241</v>
      </c>
      <c r="HU963" s="4" t="s">
        <v>241</v>
      </c>
      <c r="HV963" s="4" t="s">
        <v>241</v>
      </c>
      <c r="HW963" s="4" t="s">
        <v>241</v>
      </c>
      <c r="HX963" s="4" t="s">
        <v>241</v>
      </c>
      <c r="HY963" s="4" t="s">
        <v>241</v>
      </c>
      <c r="HZ963" s="4" t="s">
        <v>241</v>
      </c>
      <c r="IA963" s="4" t="s">
        <v>241</v>
      </c>
      <c r="IB963" s="4" t="s">
        <v>241</v>
      </c>
      <c r="IC963" s="4" t="s">
        <v>241</v>
      </c>
      <c r="ID963" s="4" t="s">
        <v>241</v>
      </c>
      <c r="IE963" s="4" t="s">
        <v>241</v>
      </c>
      <c r="IF963" s="4" t="s">
        <v>241</v>
      </c>
    </row>
    <row r="964" spans="1:240" x14ac:dyDescent="0.4">
      <c r="A964" s="4">
        <v>2</v>
      </c>
      <c r="B964" s="4" t="s">
        <v>239</v>
      </c>
      <c r="C964" s="4">
        <v>1035</v>
      </c>
      <c r="D964" s="4">
        <v>1</v>
      </c>
      <c r="E964" s="4">
        <v>3</v>
      </c>
      <c r="F964" s="4" t="s">
        <v>240</v>
      </c>
      <c r="G964" s="4" t="s">
        <v>241</v>
      </c>
      <c r="H964" s="4" t="s">
        <v>241</v>
      </c>
      <c r="I964" s="4" t="s">
        <v>2338</v>
      </c>
      <c r="J964" s="4" t="s">
        <v>344</v>
      </c>
      <c r="K964" s="4" t="s">
        <v>256</v>
      </c>
      <c r="L964" s="4" t="s">
        <v>2101</v>
      </c>
      <c r="M964" s="5" t="s">
        <v>2340</v>
      </c>
      <c r="N964" s="4" t="s">
        <v>2114</v>
      </c>
      <c r="O964" s="6">
        <f t="shared" si="74"/>
        <v>57.96</v>
      </c>
      <c r="P964" s="4" t="s">
        <v>276</v>
      </c>
      <c r="Q964" s="6">
        <f t="shared" si="75"/>
        <v>8595684</v>
      </c>
      <c r="R964" s="6">
        <f t="shared" si="76"/>
        <v>12678000</v>
      </c>
      <c r="S964" s="5" t="s">
        <v>2339</v>
      </c>
      <c r="T964" s="4" t="s">
        <v>314</v>
      </c>
      <c r="U964" s="4" t="s">
        <v>300</v>
      </c>
      <c r="V964" s="6">
        <f t="shared" si="77"/>
        <v>583188</v>
      </c>
      <c r="W964" s="6">
        <f t="shared" si="78"/>
        <v>4082316</v>
      </c>
      <c r="X964" s="4" t="s">
        <v>243</v>
      </c>
      <c r="Y964" s="4" t="s">
        <v>244</v>
      </c>
      <c r="Z964" s="4" t="s">
        <v>338</v>
      </c>
      <c r="AA964" s="4" t="s">
        <v>241</v>
      </c>
      <c r="AD964" s="4" t="s">
        <v>241</v>
      </c>
      <c r="AE964" s="5" t="s">
        <v>241</v>
      </c>
      <c r="AF964" s="5" t="s">
        <v>241</v>
      </c>
      <c r="AH964" s="5" t="s">
        <v>241</v>
      </c>
      <c r="AI964" s="5" t="s">
        <v>249</v>
      </c>
      <c r="AJ964" s="4" t="s">
        <v>251</v>
      </c>
      <c r="AK964" s="4" t="s">
        <v>252</v>
      </c>
      <c r="AQ964" s="4" t="s">
        <v>241</v>
      </c>
      <c r="AR964" s="4" t="s">
        <v>241</v>
      </c>
      <c r="AS964" s="4" t="s">
        <v>241</v>
      </c>
      <c r="AT964" s="5" t="s">
        <v>241</v>
      </c>
      <c r="AU964" s="5" t="s">
        <v>241</v>
      </c>
      <c r="AV964" s="5" t="s">
        <v>241</v>
      </c>
      <c r="AY964" s="4" t="s">
        <v>286</v>
      </c>
      <c r="AZ964" s="4" t="s">
        <v>286</v>
      </c>
      <c r="BA964" s="4" t="s">
        <v>254</v>
      </c>
      <c r="BB964" s="4" t="s">
        <v>287</v>
      </c>
      <c r="BC964" s="4" t="s">
        <v>255</v>
      </c>
      <c r="BD964" s="4" t="s">
        <v>241</v>
      </c>
      <c r="BE964" s="4" t="s">
        <v>257</v>
      </c>
      <c r="BF964" s="4" t="s">
        <v>241</v>
      </c>
      <c r="BJ964" s="4" t="s">
        <v>288</v>
      </c>
      <c r="BK964" s="5" t="s">
        <v>289</v>
      </c>
      <c r="BL964" s="4" t="s">
        <v>290</v>
      </c>
      <c r="BM964" s="4" t="s">
        <v>290</v>
      </c>
      <c r="BN964" s="4" t="s">
        <v>241</v>
      </c>
      <c r="BO964" s="6">
        <f>0</f>
        <v>0</v>
      </c>
      <c r="BP964" s="6">
        <f t="shared" si="79"/>
        <v>-583188</v>
      </c>
      <c r="BQ964" s="4" t="s">
        <v>263</v>
      </c>
      <c r="BR964" s="4" t="s">
        <v>264</v>
      </c>
      <c r="BS964" s="4" t="s">
        <v>241</v>
      </c>
      <c r="BT964" s="4" t="s">
        <v>241</v>
      </c>
      <c r="BU964" s="4" t="s">
        <v>241</v>
      </c>
      <c r="BV964" s="4" t="s">
        <v>241</v>
      </c>
      <c r="CE964" s="4" t="s">
        <v>264</v>
      </c>
      <c r="CF964" s="4" t="s">
        <v>241</v>
      </c>
      <c r="CG964" s="4" t="s">
        <v>241</v>
      </c>
      <c r="CK964" s="4" t="s">
        <v>291</v>
      </c>
      <c r="CL964" s="4" t="s">
        <v>266</v>
      </c>
      <c r="CM964" s="4" t="s">
        <v>241</v>
      </c>
      <c r="CO964" s="4" t="s">
        <v>1542</v>
      </c>
      <c r="CP964" s="5" t="s">
        <v>268</v>
      </c>
      <c r="CQ964" s="4" t="s">
        <v>269</v>
      </c>
      <c r="CR964" s="4" t="s">
        <v>270</v>
      </c>
      <c r="CS964" s="4" t="s">
        <v>293</v>
      </c>
      <c r="CT964" s="4" t="s">
        <v>241</v>
      </c>
      <c r="CU964" s="4">
        <v>4.5999999999999999E-2</v>
      </c>
      <c r="CV964" s="4" t="s">
        <v>271</v>
      </c>
      <c r="CW964" s="4" t="s">
        <v>411</v>
      </c>
      <c r="CX964" s="4" t="s">
        <v>347</v>
      </c>
      <c r="CY964" s="6">
        <f>0</f>
        <v>0</v>
      </c>
      <c r="CZ964" s="6">
        <f t="shared" si="80"/>
        <v>12678000</v>
      </c>
      <c r="DA964" s="6">
        <f t="shared" si="81"/>
        <v>8595684</v>
      </c>
      <c r="DC964" s="4" t="s">
        <v>241</v>
      </c>
      <c r="DD964" s="4" t="s">
        <v>241</v>
      </c>
      <c r="DF964" s="4" t="s">
        <v>241</v>
      </c>
      <c r="DG964" s="6">
        <f>0</f>
        <v>0</v>
      </c>
      <c r="DI964" s="4" t="s">
        <v>241</v>
      </c>
      <c r="DJ964" s="4" t="s">
        <v>241</v>
      </c>
      <c r="DK964" s="4" t="s">
        <v>241</v>
      </c>
      <c r="DL964" s="4" t="s">
        <v>241</v>
      </c>
      <c r="DM964" s="4" t="s">
        <v>277</v>
      </c>
      <c r="DN964" s="4" t="s">
        <v>278</v>
      </c>
      <c r="DO964" s="6">
        <f t="shared" si="82"/>
        <v>57.96</v>
      </c>
      <c r="DP964" s="4" t="s">
        <v>241</v>
      </c>
      <c r="DQ964" s="4" t="s">
        <v>241</v>
      </c>
      <c r="DR964" s="4" t="s">
        <v>241</v>
      </c>
      <c r="DS964" s="4" t="s">
        <v>241</v>
      </c>
      <c r="DV964" s="4" t="s">
        <v>2341</v>
      </c>
      <c r="DW964" s="4" t="s">
        <v>361</v>
      </c>
      <c r="GN964" s="4" t="s">
        <v>2343</v>
      </c>
      <c r="HO964" s="4" t="s">
        <v>300</v>
      </c>
      <c r="HR964" s="4" t="s">
        <v>278</v>
      </c>
      <c r="HS964" s="4" t="s">
        <v>278</v>
      </c>
      <c r="HT964" s="4" t="s">
        <v>241</v>
      </c>
      <c r="HU964" s="4" t="s">
        <v>241</v>
      </c>
      <c r="HV964" s="4" t="s">
        <v>241</v>
      </c>
      <c r="HW964" s="4" t="s">
        <v>241</v>
      </c>
      <c r="HX964" s="4" t="s">
        <v>241</v>
      </c>
      <c r="HY964" s="4" t="s">
        <v>241</v>
      </c>
      <c r="HZ964" s="4" t="s">
        <v>241</v>
      </c>
      <c r="IA964" s="4" t="s">
        <v>241</v>
      </c>
      <c r="IB964" s="4" t="s">
        <v>241</v>
      </c>
      <c r="IC964" s="4" t="s">
        <v>241</v>
      </c>
      <c r="ID964" s="4" t="s">
        <v>241</v>
      </c>
      <c r="IE964" s="4" t="s">
        <v>241</v>
      </c>
      <c r="IF964" s="4" t="s">
        <v>241</v>
      </c>
    </row>
    <row r="965" spans="1:240" x14ac:dyDescent="0.4">
      <c r="A965" s="4">
        <v>2</v>
      </c>
      <c r="B965" s="4" t="s">
        <v>239</v>
      </c>
      <c r="C965" s="4">
        <v>1036</v>
      </c>
      <c r="D965" s="4">
        <v>1</v>
      </c>
      <c r="E965" s="4">
        <v>3</v>
      </c>
      <c r="F965" s="4" t="s">
        <v>240</v>
      </c>
      <c r="G965" s="4" t="s">
        <v>241</v>
      </c>
      <c r="H965" s="4" t="s">
        <v>241</v>
      </c>
      <c r="I965" s="4" t="s">
        <v>2338</v>
      </c>
      <c r="J965" s="4" t="s">
        <v>344</v>
      </c>
      <c r="K965" s="4" t="s">
        <v>256</v>
      </c>
      <c r="L965" s="4" t="s">
        <v>2101</v>
      </c>
      <c r="M965" s="5" t="s">
        <v>2340</v>
      </c>
      <c r="N965" s="4" t="s">
        <v>2114</v>
      </c>
      <c r="O965" s="6">
        <f t="shared" si="74"/>
        <v>57.96</v>
      </c>
      <c r="P965" s="4" t="s">
        <v>276</v>
      </c>
      <c r="Q965" s="6">
        <f t="shared" si="75"/>
        <v>8595684</v>
      </c>
      <c r="R965" s="6">
        <f t="shared" si="76"/>
        <v>12678000</v>
      </c>
      <c r="S965" s="5" t="s">
        <v>2339</v>
      </c>
      <c r="T965" s="4" t="s">
        <v>314</v>
      </c>
      <c r="U965" s="4" t="s">
        <v>300</v>
      </c>
      <c r="V965" s="6">
        <f t="shared" si="77"/>
        <v>583188</v>
      </c>
      <c r="W965" s="6">
        <f t="shared" si="78"/>
        <v>4082316</v>
      </c>
      <c r="X965" s="4" t="s">
        <v>243</v>
      </c>
      <c r="Y965" s="4" t="s">
        <v>244</v>
      </c>
      <c r="Z965" s="4" t="s">
        <v>338</v>
      </c>
      <c r="AA965" s="4" t="s">
        <v>241</v>
      </c>
      <c r="AD965" s="4" t="s">
        <v>241</v>
      </c>
      <c r="AE965" s="5" t="s">
        <v>241</v>
      </c>
      <c r="AF965" s="5" t="s">
        <v>241</v>
      </c>
      <c r="AH965" s="5" t="s">
        <v>241</v>
      </c>
      <c r="AI965" s="5" t="s">
        <v>249</v>
      </c>
      <c r="AJ965" s="4" t="s">
        <v>251</v>
      </c>
      <c r="AK965" s="4" t="s">
        <v>252</v>
      </c>
      <c r="AQ965" s="4" t="s">
        <v>241</v>
      </c>
      <c r="AR965" s="4" t="s">
        <v>241</v>
      </c>
      <c r="AS965" s="4" t="s">
        <v>241</v>
      </c>
      <c r="AT965" s="5" t="s">
        <v>241</v>
      </c>
      <c r="AU965" s="5" t="s">
        <v>241</v>
      </c>
      <c r="AV965" s="5" t="s">
        <v>241</v>
      </c>
      <c r="AY965" s="4" t="s">
        <v>286</v>
      </c>
      <c r="AZ965" s="4" t="s">
        <v>286</v>
      </c>
      <c r="BA965" s="4" t="s">
        <v>254</v>
      </c>
      <c r="BB965" s="4" t="s">
        <v>287</v>
      </c>
      <c r="BC965" s="4" t="s">
        <v>255</v>
      </c>
      <c r="BD965" s="4" t="s">
        <v>241</v>
      </c>
      <c r="BE965" s="4" t="s">
        <v>257</v>
      </c>
      <c r="BF965" s="4" t="s">
        <v>241</v>
      </c>
      <c r="BJ965" s="4" t="s">
        <v>288</v>
      </c>
      <c r="BK965" s="5" t="s">
        <v>289</v>
      </c>
      <c r="BL965" s="4" t="s">
        <v>290</v>
      </c>
      <c r="BM965" s="4" t="s">
        <v>290</v>
      </c>
      <c r="BN965" s="4" t="s">
        <v>241</v>
      </c>
      <c r="BO965" s="6">
        <f>0</f>
        <v>0</v>
      </c>
      <c r="BP965" s="6">
        <f t="shared" si="79"/>
        <v>-583188</v>
      </c>
      <c r="BQ965" s="4" t="s">
        <v>263</v>
      </c>
      <c r="BR965" s="4" t="s">
        <v>264</v>
      </c>
      <c r="BS965" s="4" t="s">
        <v>241</v>
      </c>
      <c r="BT965" s="4" t="s">
        <v>241</v>
      </c>
      <c r="BU965" s="4" t="s">
        <v>241</v>
      </c>
      <c r="BV965" s="4" t="s">
        <v>241</v>
      </c>
      <c r="CE965" s="4" t="s">
        <v>264</v>
      </c>
      <c r="CF965" s="4" t="s">
        <v>241</v>
      </c>
      <c r="CG965" s="4" t="s">
        <v>241</v>
      </c>
      <c r="CK965" s="4" t="s">
        <v>291</v>
      </c>
      <c r="CL965" s="4" t="s">
        <v>266</v>
      </c>
      <c r="CM965" s="4" t="s">
        <v>241</v>
      </c>
      <c r="CO965" s="4" t="s">
        <v>1542</v>
      </c>
      <c r="CP965" s="5" t="s">
        <v>268</v>
      </c>
      <c r="CQ965" s="4" t="s">
        <v>269</v>
      </c>
      <c r="CR965" s="4" t="s">
        <v>270</v>
      </c>
      <c r="CS965" s="4" t="s">
        <v>293</v>
      </c>
      <c r="CT965" s="4" t="s">
        <v>241</v>
      </c>
      <c r="CU965" s="4">
        <v>4.5999999999999999E-2</v>
      </c>
      <c r="CV965" s="4" t="s">
        <v>271</v>
      </c>
      <c r="CW965" s="4" t="s">
        <v>411</v>
      </c>
      <c r="CX965" s="4" t="s">
        <v>347</v>
      </c>
      <c r="CY965" s="6">
        <f>0</f>
        <v>0</v>
      </c>
      <c r="CZ965" s="6">
        <f t="shared" si="80"/>
        <v>12678000</v>
      </c>
      <c r="DA965" s="6">
        <f t="shared" si="81"/>
        <v>8595684</v>
      </c>
      <c r="DC965" s="4" t="s">
        <v>241</v>
      </c>
      <c r="DD965" s="4" t="s">
        <v>241</v>
      </c>
      <c r="DF965" s="4" t="s">
        <v>241</v>
      </c>
      <c r="DG965" s="6">
        <f>0</f>
        <v>0</v>
      </c>
      <c r="DI965" s="4" t="s">
        <v>241</v>
      </c>
      <c r="DJ965" s="4" t="s">
        <v>241</v>
      </c>
      <c r="DK965" s="4" t="s">
        <v>241</v>
      </c>
      <c r="DL965" s="4" t="s">
        <v>241</v>
      </c>
      <c r="DM965" s="4" t="s">
        <v>277</v>
      </c>
      <c r="DN965" s="4" t="s">
        <v>278</v>
      </c>
      <c r="DO965" s="6">
        <f t="shared" si="82"/>
        <v>57.96</v>
      </c>
      <c r="DP965" s="4" t="s">
        <v>241</v>
      </c>
      <c r="DQ965" s="4" t="s">
        <v>241</v>
      </c>
      <c r="DR965" s="4" t="s">
        <v>241</v>
      </c>
      <c r="DS965" s="4" t="s">
        <v>241</v>
      </c>
      <c r="DV965" s="4" t="s">
        <v>2341</v>
      </c>
      <c r="DW965" s="4" t="s">
        <v>314</v>
      </c>
      <c r="GN965" s="4" t="s">
        <v>2342</v>
      </c>
      <c r="HO965" s="4" t="s">
        <v>300</v>
      </c>
      <c r="HR965" s="4" t="s">
        <v>278</v>
      </c>
      <c r="HS965" s="4" t="s">
        <v>278</v>
      </c>
      <c r="HT965" s="4" t="s">
        <v>241</v>
      </c>
      <c r="HU965" s="4" t="s">
        <v>241</v>
      </c>
      <c r="HV965" s="4" t="s">
        <v>241</v>
      </c>
      <c r="HW965" s="4" t="s">
        <v>241</v>
      </c>
      <c r="HX965" s="4" t="s">
        <v>241</v>
      </c>
      <c r="HY965" s="4" t="s">
        <v>241</v>
      </c>
      <c r="HZ965" s="4" t="s">
        <v>241</v>
      </c>
      <c r="IA965" s="4" t="s">
        <v>241</v>
      </c>
      <c r="IB965" s="4" t="s">
        <v>241</v>
      </c>
      <c r="IC965" s="4" t="s">
        <v>241</v>
      </c>
      <c r="ID965" s="4" t="s">
        <v>241</v>
      </c>
      <c r="IE965" s="4" t="s">
        <v>241</v>
      </c>
      <c r="IF965" s="4" t="s">
        <v>241</v>
      </c>
    </row>
    <row r="966" spans="1:240" x14ac:dyDescent="0.4">
      <c r="A966" s="4">
        <v>2</v>
      </c>
      <c r="B966" s="4" t="s">
        <v>239</v>
      </c>
      <c r="C966" s="4">
        <v>1037</v>
      </c>
      <c r="D966" s="4">
        <v>1</v>
      </c>
      <c r="E966" s="4">
        <v>3</v>
      </c>
      <c r="F966" s="4" t="s">
        <v>240</v>
      </c>
      <c r="G966" s="4" t="s">
        <v>241</v>
      </c>
      <c r="H966" s="4" t="s">
        <v>241</v>
      </c>
      <c r="I966" s="4" t="s">
        <v>2324</v>
      </c>
      <c r="J966" s="4" t="s">
        <v>344</v>
      </c>
      <c r="K966" s="4" t="s">
        <v>256</v>
      </c>
      <c r="L966" s="4" t="s">
        <v>2101</v>
      </c>
      <c r="M966" s="5" t="s">
        <v>2326</v>
      </c>
      <c r="N966" s="4" t="s">
        <v>2104</v>
      </c>
      <c r="O966" s="6">
        <f t="shared" si="74"/>
        <v>57.96</v>
      </c>
      <c r="P966" s="4" t="s">
        <v>276</v>
      </c>
      <c r="Q966" s="6">
        <f t="shared" ref="Q966:Q973" si="83">8470254</f>
        <v>8470254</v>
      </c>
      <c r="R966" s="6">
        <f t="shared" ref="R966:R973" si="84">12493000</f>
        <v>12493000</v>
      </c>
      <c r="S966" s="5" t="s">
        <v>2325</v>
      </c>
      <c r="T966" s="4" t="s">
        <v>314</v>
      </c>
      <c r="U966" s="4" t="s">
        <v>300</v>
      </c>
      <c r="V966" s="6">
        <f t="shared" ref="V966:V973" si="85">574678</f>
        <v>574678</v>
      </c>
      <c r="W966" s="6">
        <f t="shared" ref="W966:W973" si="86">4022746</f>
        <v>4022746</v>
      </c>
      <c r="X966" s="4" t="s">
        <v>243</v>
      </c>
      <c r="Y966" s="4" t="s">
        <v>244</v>
      </c>
      <c r="Z966" s="4" t="s">
        <v>338</v>
      </c>
      <c r="AA966" s="4" t="s">
        <v>241</v>
      </c>
      <c r="AD966" s="4" t="s">
        <v>241</v>
      </c>
      <c r="AE966" s="5" t="s">
        <v>241</v>
      </c>
      <c r="AF966" s="5" t="s">
        <v>241</v>
      </c>
      <c r="AH966" s="5" t="s">
        <v>241</v>
      </c>
      <c r="AI966" s="5" t="s">
        <v>249</v>
      </c>
      <c r="AJ966" s="4" t="s">
        <v>251</v>
      </c>
      <c r="AK966" s="4" t="s">
        <v>252</v>
      </c>
      <c r="AQ966" s="4" t="s">
        <v>241</v>
      </c>
      <c r="AR966" s="4" t="s">
        <v>241</v>
      </c>
      <c r="AS966" s="4" t="s">
        <v>241</v>
      </c>
      <c r="AT966" s="5" t="s">
        <v>241</v>
      </c>
      <c r="AU966" s="5" t="s">
        <v>241</v>
      </c>
      <c r="AV966" s="5" t="s">
        <v>241</v>
      </c>
      <c r="AY966" s="4" t="s">
        <v>286</v>
      </c>
      <c r="AZ966" s="4" t="s">
        <v>286</v>
      </c>
      <c r="BA966" s="4" t="s">
        <v>254</v>
      </c>
      <c r="BB966" s="4" t="s">
        <v>287</v>
      </c>
      <c r="BC966" s="4" t="s">
        <v>255</v>
      </c>
      <c r="BD966" s="4" t="s">
        <v>241</v>
      </c>
      <c r="BE966" s="4" t="s">
        <v>257</v>
      </c>
      <c r="BF966" s="4" t="s">
        <v>241</v>
      </c>
      <c r="BJ966" s="4" t="s">
        <v>288</v>
      </c>
      <c r="BK966" s="5" t="s">
        <v>289</v>
      </c>
      <c r="BL966" s="4" t="s">
        <v>290</v>
      </c>
      <c r="BM966" s="4" t="s">
        <v>290</v>
      </c>
      <c r="BN966" s="4" t="s">
        <v>241</v>
      </c>
      <c r="BO966" s="6">
        <f>0</f>
        <v>0</v>
      </c>
      <c r="BP966" s="6">
        <f t="shared" ref="BP966:BP973" si="87">-574678</f>
        <v>-574678</v>
      </c>
      <c r="BQ966" s="4" t="s">
        <v>263</v>
      </c>
      <c r="BR966" s="4" t="s">
        <v>264</v>
      </c>
      <c r="BS966" s="4" t="s">
        <v>241</v>
      </c>
      <c r="BT966" s="4" t="s">
        <v>241</v>
      </c>
      <c r="BU966" s="4" t="s">
        <v>241</v>
      </c>
      <c r="BV966" s="4" t="s">
        <v>241</v>
      </c>
      <c r="CE966" s="4" t="s">
        <v>264</v>
      </c>
      <c r="CF966" s="4" t="s">
        <v>241</v>
      </c>
      <c r="CG966" s="4" t="s">
        <v>241</v>
      </c>
      <c r="CK966" s="4" t="s">
        <v>291</v>
      </c>
      <c r="CL966" s="4" t="s">
        <v>266</v>
      </c>
      <c r="CM966" s="4" t="s">
        <v>241</v>
      </c>
      <c r="CO966" s="4" t="s">
        <v>1542</v>
      </c>
      <c r="CP966" s="5" t="s">
        <v>268</v>
      </c>
      <c r="CQ966" s="4" t="s">
        <v>269</v>
      </c>
      <c r="CR966" s="4" t="s">
        <v>270</v>
      </c>
      <c r="CS966" s="4" t="s">
        <v>293</v>
      </c>
      <c r="CT966" s="4" t="s">
        <v>241</v>
      </c>
      <c r="CU966" s="4">
        <v>4.5999999999999999E-2</v>
      </c>
      <c r="CV966" s="4" t="s">
        <v>271</v>
      </c>
      <c r="CW966" s="4" t="s">
        <v>411</v>
      </c>
      <c r="CX966" s="4" t="s">
        <v>347</v>
      </c>
      <c r="CY966" s="6">
        <f>0</f>
        <v>0</v>
      </c>
      <c r="CZ966" s="6">
        <f t="shared" ref="CZ966:CZ973" si="88">12493000</f>
        <v>12493000</v>
      </c>
      <c r="DA966" s="6">
        <f t="shared" ref="DA966:DA973" si="89">8470254</f>
        <v>8470254</v>
      </c>
      <c r="DC966" s="4" t="s">
        <v>241</v>
      </c>
      <c r="DD966" s="4" t="s">
        <v>241</v>
      </c>
      <c r="DF966" s="4" t="s">
        <v>241</v>
      </c>
      <c r="DG966" s="6">
        <f>0</f>
        <v>0</v>
      </c>
      <c r="DI966" s="4" t="s">
        <v>241</v>
      </c>
      <c r="DJ966" s="4" t="s">
        <v>241</v>
      </c>
      <c r="DK966" s="4" t="s">
        <v>241</v>
      </c>
      <c r="DL966" s="4" t="s">
        <v>241</v>
      </c>
      <c r="DM966" s="4" t="s">
        <v>277</v>
      </c>
      <c r="DN966" s="4" t="s">
        <v>278</v>
      </c>
      <c r="DO966" s="6">
        <f t="shared" si="82"/>
        <v>57.96</v>
      </c>
      <c r="DP966" s="4" t="s">
        <v>241</v>
      </c>
      <c r="DQ966" s="4" t="s">
        <v>241</v>
      </c>
      <c r="DR966" s="4" t="s">
        <v>241</v>
      </c>
      <c r="DS966" s="4" t="s">
        <v>241</v>
      </c>
      <c r="DV966" s="4" t="s">
        <v>2327</v>
      </c>
      <c r="DW966" s="4" t="s">
        <v>277</v>
      </c>
      <c r="GN966" s="4" t="s">
        <v>2337</v>
      </c>
      <c r="HO966" s="4" t="s">
        <v>300</v>
      </c>
      <c r="HR966" s="4" t="s">
        <v>278</v>
      </c>
      <c r="HS966" s="4" t="s">
        <v>278</v>
      </c>
      <c r="HT966" s="4" t="s">
        <v>241</v>
      </c>
      <c r="HU966" s="4" t="s">
        <v>241</v>
      </c>
      <c r="HV966" s="4" t="s">
        <v>241</v>
      </c>
      <c r="HW966" s="4" t="s">
        <v>241</v>
      </c>
      <c r="HX966" s="4" t="s">
        <v>241</v>
      </c>
      <c r="HY966" s="4" t="s">
        <v>241</v>
      </c>
      <c r="HZ966" s="4" t="s">
        <v>241</v>
      </c>
      <c r="IA966" s="4" t="s">
        <v>241</v>
      </c>
      <c r="IB966" s="4" t="s">
        <v>241</v>
      </c>
      <c r="IC966" s="4" t="s">
        <v>241</v>
      </c>
      <c r="ID966" s="4" t="s">
        <v>241</v>
      </c>
      <c r="IE966" s="4" t="s">
        <v>241</v>
      </c>
      <c r="IF966" s="4" t="s">
        <v>241</v>
      </c>
    </row>
    <row r="967" spans="1:240" x14ac:dyDescent="0.4">
      <c r="A967" s="4">
        <v>2</v>
      </c>
      <c r="B967" s="4" t="s">
        <v>239</v>
      </c>
      <c r="C967" s="4">
        <v>1038</v>
      </c>
      <c r="D967" s="4">
        <v>1</v>
      </c>
      <c r="E967" s="4">
        <v>3</v>
      </c>
      <c r="F967" s="4" t="s">
        <v>240</v>
      </c>
      <c r="G967" s="4" t="s">
        <v>241</v>
      </c>
      <c r="H967" s="4" t="s">
        <v>241</v>
      </c>
      <c r="I967" s="4" t="s">
        <v>2324</v>
      </c>
      <c r="J967" s="4" t="s">
        <v>344</v>
      </c>
      <c r="K967" s="4" t="s">
        <v>256</v>
      </c>
      <c r="L967" s="4" t="s">
        <v>2101</v>
      </c>
      <c r="M967" s="5" t="s">
        <v>2326</v>
      </c>
      <c r="N967" s="4" t="s">
        <v>2109</v>
      </c>
      <c r="O967" s="6">
        <f t="shared" si="74"/>
        <v>57.96</v>
      </c>
      <c r="P967" s="4" t="s">
        <v>276</v>
      </c>
      <c r="Q967" s="6">
        <f t="shared" si="83"/>
        <v>8470254</v>
      </c>
      <c r="R967" s="6">
        <f t="shared" si="84"/>
        <v>12493000</v>
      </c>
      <c r="S967" s="5" t="s">
        <v>2325</v>
      </c>
      <c r="T967" s="4" t="s">
        <v>314</v>
      </c>
      <c r="U967" s="4" t="s">
        <v>300</v>
      </c>
      <c r="V967" s="6">
        <f t="shared" si="85"/>
        <v>574678</v>
      </c>
      <c r="W967" s="6">
        <f t="shared" si="86"/>
        <v>4022746</v>
      </c>
      <c r="X967" s="4" t="s">
        <v>243</v>
      </c>
      <c r="Y967" s="4" t="s">
        <v>244</v>
      </c>
      <c r="Z967" s="4" t="s">
        <v>338</v>
      </c>
      <c r="AA967" s="4" t="s">
        <v>241</v>
      </c>
      <c r="AD967" s="4" t="s">
        <v>241</v>
      </c>
      <c r="AE967" s="5" t="s">
        <v>241</v>
      </c>
      <c r="AF967" s="5" t="s">
        <v>241</v>
      </c>
      <c r="AH967" s="5" t="s">
        <v>241</v>
      </c>
      <c r="AI967" s="5" t="s">
        <v>249</v>
      </c>
      <c r="AJ967" s="4" t="s">
        <v>251</v>
      </c>
      <c r="AK967" s="4" t="s">
        <v>252</v>
      </c>
      <c r="AQ967" s="4" t="s">
        <v>241</v>
      </c>
      <c r="AR967" s="4" t="s">
        <v>241</v>
      </c>
      <c r="AS967" s="4" t="s">
        <v>241</v>
      </c>
      <c r="AT967" s="5" t="s">
        <v>241</v>
      </c>
      <c r="AU967" s="5" t="s">
        <v>241</v>
      </c>
      <c r="AV967" s="5" t="s">
        <v>241</v>
      </c>
      <c r="AY967" s="4" t="s">
        <v>286</v>
      </c>
      <c r="AZ967" s="4" t="s">
        <v>286</v>
      </c>
      <c r="BA967" s="4" t="s">
        <v>254</v>
      </c>
      <c r="BB967" s="4" t="s">
        <v>287</v>
      </c>
      <c r="BC967" s="4" t="s">
        <v>255</v>
      </c>
      <c r="BD967" s="4" t="s">
        <v>241</v>
      </c>
      <c r="BE967" s="4" t="s">
        <v>257</v>
      </c>
      <c r="BF967" s="4" t="s">
        <v>241</v>
      </c>
      <c r="BJ967" s="4" t="s">
        <v>288</v>
      </c>
      <c r="BK967" s="5" t="s">
        <v>289</v>
      </c>
      <c r="BL967" s="4" t="s">
        <v>290</v>
      </c>
      <c r="BM967" s="4" t="s">
        <v>290</v>
      </c>
      <c r="BN967" s="4" t="s">
        <v>241</v>
      </c>
      <c r="BO967" s="6">
        <f>0</f>
        <v>0</v>
      </c>
      <c r="BP967" s="6">
        <f t="shared" si="87"/>
        <v>-574678</v>
      </c>
      <c r="BQ967" s="4" t="s">
        <v>263</v>
      </c>
      <c r="BR967" s="4" t="s">
        <v>264</v>
      </c>
      <c r="BS967" s="4" t="s">
        <v>241</v>
      </c>
      <c r="BT967" s="4" t="s">
        <v>241</v>
      </c>
      <c r="BU967" s="4" t="s">
        <v>241</v>
      </c>
      <c r="BV967" s="4" t="s">
        <v>241</v>
      </c>
      <c r="CE967" s="4" t="s">
        <v>264</v>
      </c>
      <c r="CF967" s="4" t="s">
        <v>241</v>
      </c>
      <c r="CG967" s="4" t="s">
        <v>241</v>
      </c>
      <c r="CK967" s="4" t="s">
        <v>291</v>
      </c>
      <c r="CL967" s="4" t="s">
        <v>266</v>
      </c>
      <c r="CM967" s="4" t="s">
        <v>241</v>
      </c>
      <c r="CO967" s="4" t="s">
        <v>1542</v>
      </c>
      <c r="CP967" s="5" t="s">
        <v>268</v>
      </c>
      <c r="CQ967" s="4" t="s">
        <v>269</v>
      </c>
      <c r="CR967" s="4" t="s">
        <v>270</v>
      </c>
      <c r="CS967" s="4" t="s">
        <v>293</v>
      </c>
      <c r="CT967" s="4" t="s">
        <v>241</v>
      </c>
      <c r="CU967" s="4">
        <v>4.5999999999999999E-2</v>
      </c>
      <c r="CV967" s="4" t="s">
        <v>271</v>
      </c>
      <c r="CW967" s="4" t="s">
        <v>411</v>
      </c>
      <c r="CX967" s="4" t="s">
        <v>347</v>
      </c>
      <c r="CY967" s="6">
        <f>0</f>
        <v>0</v>
      </c>
      <c r="CZ967" s="6">
        <f t="shared" si="88"/>
        <v>12493000</v>
      </c>
      <c r="DA967" s="6">
        <f t="shared" si="89"/>
        <v>8470254</v>
      </c>
      <c r="DC967" s="4" t="s">
        <v>241</v>
      </c>
      <c r="DD967" s="4" t="s">
        <v>241</v>
      </c>
      <c r="DF967" s="4" t="s">
        <v>241</v>
      </c>
      <c r="DG967" s="6">
        <f>0</f>
        <v>0</v>
      </c>
      <c r="DI967" s="4" t="s">
        <v>241</v>
      </c>
      <c r="DJ967" s="4" t="s">
        <v>241</v>
      </c>
      <c r="DK967" s="4" t="s">
        <v>241</v>
      </c>
      <c r="DL967" s="4" t="s">
        <v>241</v>
      </c>
      <c r="DM967" s="4" t="s">
        <v>277</v>
      </c>
      <c r="DN967" s="4" t="s">
        <v>278</v>
      </c>
      <c r="DO967" s="6">
        <f t="shared" si="82"/>
        <v>57.96</v>
      </c>
      <c r="DP967" s="4" t="s">
        <v>241</v>
      </c>
      <c r="DQ967" s="4" t="s">
        <v>241</v>
      </c>
      <c r="DR967" s="4" t="s">
        <v>241</v>
      </c>
      <c r="DS967" s="4" t="s">
        <v>241</v>
      </c>
      <c r="DV967" s="4" t="s">
        <v>2327</v>
      </c>
      <c r="DW967" s="4" t="s">
        <v>323</v>
      </c>
      <c r="GN967" s="4" t="s">
        <v>2336</v>
      </c>
      <c r="HO967" s="4" t="s">
        <v>300</v>
      </c>
      <c r="HR967" s="4" t="s">
        <v>278</v>
      </c>
      <c r="HS967" s="4" t="s">
        <v>278</v>
      </c>
      <c r="HT967" s="4" t="s">
        <v>241</v>
      </c>
      <c r="HU967" s="4" t="s">
        <v>241</v>
      </c>
      <c r="HV967" s="4" t="s">
        <v>241</v>
      </c>
      <c r="HW967" s="4" t="s">
        <v>241</v>
      </c>
      <c r="HX967" s="4" t="s">
        <v>241</v>
      </c>
      <c r="HY967" s="4" t="s">
        <v>241</v>
      </c>
      <c r="HZ967" s="4" t="s">
        <v>241</v>
      </c>
      <c r="IA967" s="4" t="s">
        <v>241</v>
      </c>
      <c r="IB967" s="4" t="s">
        <v>241</v>
      </c>
      <c r="IC967" s="4" t="s">
        <v>241</v>
      </c>
      <c r="ID967" s="4" t="s">
        <v>241</v>
      </c>
      <c r="IE967" s="4" t="s">
        <v>241</v>
      </c>
      <c r="IF967" s="4" t="s">
        <v>241</v>
      </c>
    </row>
    <row r="968" spans="1:240" x14ac:dyDescent="0.4">
      <c r="A968" s="4">
        <v>2</v>
      </c>
      <c r="B968" s="4" t="s">
        <v>239</v>
      </c>
      <c r="C968" s="4">
        <v>1039</v>
      </c>
      <c r="D968" s="4">
        <v>1</v>
      </c>
      <c r="E968" s="4">
        <v>3</v>
      </c>
      <c r="F968" s="4" t="s">
        <v>240</v>
      </c>
      <c r="G968" s="4" t="s">
        <v>241</v>
      </c>
      <c r="H968" s="4" t="s">
        <v>241</v>
      </c>
      <c r="I968" s="4" t="s">
        <v>2324</v>
      </c>
      <c r="J968" s="4" t="s">
        <v>344</v>
      </c>
      <c r="K968" s="4" t="s">
        <v>256</v>
      </c>
      <c r="L968" s="4" t="s">
        <v>2101</v>
      </c>
      <c r="M968" s="5" t="s">
        <v>2326</v>
      </c>
      <c r="N968" s="4" t="s">
        <v>2110</v>
      </c>
      <c r="O968" s="6">
        <f t="shared" si="74"/>
        <v>57.96</v>
      </c>
      <c r="P968" s="4" t="s">
        <v>276</v>
      </c>
      <c r="Q968" s="6">
        <f t="shared" si="83"/>
        <v>8470254</v>
      </c>
      <c r="R968" s="6">
        <f t="shared" si="84"/>
        <v>12493000</v>
      </c>
      <c r="S968" s="5" t="s">
        <v>2325</v>
      </c>
      <c r="T968" s="4" t="s">
        <v>314</v>
      </c>
      <c r="U968" s="4" t="s">
        <v>300</v>
      </c>
      <c r="V968" s="6">
        <f t="shared" si="85"/>
        <v>574678</v>
      </c>
      <c r="W968" s="6">
        <f t="shared" si="86"/>
        <v>4022746</v>
      </c>
      <c r="X968" s="4" t="s">
        <v>243</v>
      </c>
      <c r="Y968" s="4" t="s">
        <v>244</v>
      </c>
      <c r="Z968" s="4" t="s">
        <v>338</v>
      </c>
      <c r="AA968" s="4" t="s">
        <v>241</v>
      </c>
      <c r="AD968" s="4" t="s">
        <v>241</v>
      </c>
      <c r="AE968" s="5" t="s">
        <v>241</v>
      </c>
      <c r="AF968" s="5" t="s">
        <v>241</v>
      </c>
      <c r="AH968" s="5" t="s">
        <v>241</v>
      </c>
      <c r="AI968" s="5" t="s">
        <v>249</v>
      </c>
      <c r="AJ968" s="4" t="s">
        <v>251</v>
      </c>
      <c r="AK968" s="4" t="s">
        <v>252</v>
      </c>
      <c r="AQ968" s="4" t="s">
        <v>241</v>
      </c>
      <c r="AR968" s="4" t="s">
        <v>241</v>
      </c>
      <c r="AS968" s="4" t="s">
        <v>241</v>
      </c>
      <c r="AT968" s="5" t="s">
        <v>241</v>
      </c>
      <c r="AU968" s="5" t="s">
        <v>241</v>
      </c>
      <c r="AV968" s="5" t="s">
        <v>241</v>
      </c>
      <c r="AY968" s="4" t="s">
        <v>286</v>
      </c>
      <c r="AZ968" s="4" t="s">
        <v>286</v>
      </c>
      <c r="BA968" s="4" t="s">
        <v>254</v>
      </c>
      <c r="BB968" s="4" t="s">
        <v>287</v>
      </c>
      <c r="BC968" s="4" t="s">
        <v>255</v>
      </c>
      <c r="BD968" s="4" t="s">
        <v>241</v>
      </c>
      <c r="BE968" s="4" t="s">
        <v>257</v>
      </c>
      <c r="BF968" s="4" t="s">
        <v>241</v>
      </c>
      <c r="BJ968" s="4" t="s">
        <v>288</v>
      </c>
      <c r="BK968" s="5" t="s">
        <v>289</v>
      </c>
      <c r="BL968" s="4" t="s">
        <v>290</v>
      </c>
      <c r="BM968" s="4" t="s">
        <v>290</v>
      </c>
      <c r="BN968" s="4" t="s">
        <v>241</v>
      </c>
      <c r="BO968" s="6">
        <f>0</f>
        <v>0</v>
      </c>
      <c r="BP968" s="6">
        <f t="shared" si="87"/>
        <v>-574678</v>
      </c>
      <c r="BQ968" s="4" t="s">
        <v>263</v>
      </c>
      <c r="BR968" s="4" t="s">
        <v>264</v>
      </c>
      <c r="BS968" s="4" t="s">
        <v>241</v>
      </c>
      <c r="BT968" s="4" t="s">
        <v>241</v>
      </c>
      <c r="BU968" s="4" t="s">
        <v>241</v>
      </c>
      <c r="BV968" s="4" t="s">
        <v>241</v>
      </c>
      <c r="CE968" s="4" t="s">
        <v>264</v>
      </c>
      <c r="CF968" s="4" t="s">
        <v>241</v>
      </c>
      <c r="CG968" s="4" t="s">
        <v>241</v>
      </c>
      <c r="CK968" s="4" t="s">
        <v>291</v>
      </c>
      <c r="CL968" s="4" t="s">
        <v>266</v>
      </c>
      <c r="CM968" s="4" t="s">
        <v>241</v>
      </c>
      <c r="CO968" s="4" t="s">
        <v>1542</v>
      </c>
      <c r="CP968" s="5" t="s">
        <v>268</v>
      </c>
      <c r="CQ968" s="4" t="s">
        <v>269</v>
      </c>
      <c r="CR968" s="4" t="s">
        <v>270</v>
      </c>
      <c r="CS968" s="4" t="s">
        <v>293</v>
      </c>
      <c r="CT968" s="4" t="s">
        <v>241</v>
      </c>
      <c r="CU968" s="4">
        <v>4.5999999999999999E-2</v>
      </c>
      <c r="CV968" s="4" t="s">
        <v>271</v>
      </c>
      <c r="CW968" s="4" t="s">
        <v>411</v>
      </c>
      <c r="CX968" s="4" t="s">
        <v>347</v>
      </c>
      <c r="CY968" s="6">
        <f>0</f>
        <v>0</v>
      </c>
      <c r="CZ968" s="6">
        <f t="shared" si="88"/>
        <v>12493000</v>
      </c>
      <c r="DA968" s="6">
        <f t="shared" si="89"/>
        <v>8470254</v>
      </c>
      <c r="DC968" s="4" t="s">
        <v>241</v>
      </c>
      <c r="DD968" s="4" t="s">
        <v>241</v>
      </c>
      <c r="DF968" s="4" t="s">
        <v>241</v>
      </c>
      <c r="DG968" s="6">
        <f>0</f>
        <v>0</v>
      </c>
      <c r="DI968" s="4" t="s">
        <v>241</v>
      </c>
      <c r="DJ968" s="4" t="s">
        <v>241</v>
      </c>
      <c r="DK968" s="4" t="s">
        <v>241</v>
      </c>
      <c r="DL968" s="4" t="s">
        <v>241</v>
      </c>
      <c r="DM968" s="4" t="s">
        <v>277</v>
      </c>
      <c r="DN968" s="4" t="s">
        <v>278</v>
      </c>
      <c r="DO968" s="6">
        <f t="shared" si="82"/>
        <v>57.96</v>
      </c>
      <c r="DP968" s="4" t="s">
        <v>241</v>
      </c>
      <c r="DQ968" s="4" t="s">
        <v>241</v>
      </c>
      <c r="DR968" s="4" t="s">
        <v>241</v>
      </c>
      <c r="DS968" s="4" t="s">
        <v>241</v>
      </c>
      <c r="DV968" s="4" t="s">
        <v>2327</v>
      </c>
      <c r="DW968" s="4" t="s">
        <v>297</v>
      </c>
      <c r="GN968" s="4" t="s">
        <v>2335</v>
      </c>
      <c r="HO968" s="4" t="s">
        <v>300</v>
      </c>
      <c r="HR968" s="4" t="s">
        <v>278</v>
      </c>
      <c r="HS968" s="4" t="s">
        <v>278</v>
      </c>
      <c r="HT968" s="4" t="s">
        <v>241</v>
      </c>
      <c r="HU968" s="4" t="s">
        <v>241</v>
      </c>
      <c r="HV968" s="4" t="s">
        <v>241</v>
      </c>
      <c r="HW968" s="4" t="s">
        <v>241</v>
      </c>
      <c r="HX968" s="4" t="s">
        <v>241</v>
      </c>
      <c r="HY968" s="4" t="s">
        <v>241</v>
      </c>
      <c r="HZ968" s="4" t="s">
        <v>241</v>
      </c>
      <c r="IA968" s="4" t="s">
        <v>241</v>
      </c>
      <c r="IB968" s="4" t="s">
        <v>241</v>
      </c>
      <c r="IC968" s="4" t="s">
        <v>241</v>
      </c>
      <c r="ID968" s="4" t="s">
        <v>241</v>
      </c>
      <c r="IE968" s="4" t="s">
        <v>241</v>
      </c>
      <c r="IF968" s="4" t="s">
        <v>241</v>
      </c>
    </row>
    <row r="969" spans="1:240" x14ac:dyDescent="0.4">
      <c r="A969" s="4">
        <v>2</v>
      </c>
      <c r="B969" s="4" t="s">
        <v>239</v>
      </c>
      <c r="C969" s="4">
        <v>1040</v>
      </c>
      <c r="D969" s="4">
        <v>1</v>
      </c>
      <c r="E969" s="4">
        <v>3</v>
      </c>
      <c r="F969" s="4" t="s">
        <v>240</v>
      </c>
      <c r="G969" s="4" t="s">
        <v>241</v>
      </c>
      <c r="H969" s="4" t="s">
        <v>241</v>
      </c>
      <c r="I969" s="4" t="s">
        <v>2324</v>
      </c>
      <c r="J969" s="4" t="s">
        <v>344</v>
      </c>
      <c r="K969" s="4" t="s">
        <v>256</v>
      </c>
      <c r="L969" s="4" t="s">
        <v>2101</v>
      </c>
      <c r="M969" s="5" t="s">
        <v>2326</v>
      </c>
      <c r="N969" s="4" t="s">
        <v>2122</v>
      </c>
      <c r="O969" s="6">
        <f t="shared" si="74"/>
        <v>57.96</v>
      </c>
      <c r="P969" s="4" t="s">
        <v>276</v>
      </c>
      <c r="Q969" s="6">
        <f t="shared" si="83"/>
        <v>8470254</v>
      </c>
      <c r="R969" s="6">
        <f t="shared" si="84"/>
        <v>12493000</v>
      </c>
      <c r="S969" s="5" t="s">
        <v>2325</v>
      </c>
      <c r="T969" s="4" t="s">
        <v>314</v>
      </c>
      <c r="U969" s="4" t="s">
        <v>300</v>
      </c>
      <c r="V969" s="6">
        <f t="shared" si="85"/>
        <v>574678</v>
      </c>
      <c r="W969" s="6">
        <f t="shared" si="86"/>
        <v>4022746</v>
      </c>
      <c r="X969" s="4" t="s">
        <v>243</v>
      </c>
      <c r="Y969" s="4" t="s">
        <v>244</v>
      </c>
      <c r="Z969" s="4" t="s">
        <v>338</v>
      </c>
      <c r="AA969" s="4" t="s">
        <v>241</v>
      </c>
      <c r="AD969" s="4" t="s">
        <v>241</v>
      </c>
      <c r="AE969" s="5" t="s">
        <v>241</v>
      </c>
      <c r="AF969" s="5" t="s">
        <v>241</v>
      </c>
      <c r="AH969" s="5" t="s">
        <v>241</v>
      </c>
      <c r="AI969" s="5" t="s">
        <v>249</v>
      </c>
      <c r="AJ969" s="4" t="s">
        <v>251</v>
      </c>
      <c r="AK969" s="4" t="s">
        <v>252</v>
      </c>
      <c r="AQ969" s="4" t="s">
        <v>241</v>
      </c>
      <c r="AR969" s="4" t="s">
        <v>241</v>
      </c>
      <c r="AS969" s="4" t="s">
        <v>241</v>
      </c>
      <c r="AT969" s="5" t="s">
        <v>241</v>
      </c>
      <c r="AU969" s="5" t="s">
        <v>241</v>
      </c>
      <c r="AV969" s="5" t="s">
        <v>241</v>
      </c>
      <c r="AY969" s="4" t="s">
        <v>286</v>
      </c>
      <c r="AZ969" s="4" t="s">
        <v>286</v>
      </c>
      <c r="BA969" s="4" t="s">
        <v>254</v>
      </c>
      <c r="BB969" s="4" t="s">
        <v>287</v>
      </c>
      <c r="BC969" s="4" t="s">
        <v>255</v>
      </c>
      <c r="BD969" s="4" t="s">
        <v>241</v>
      </c>
      <c r="BE969" s="4" t="s">
        <v>257</v>
      </c>
      <c r="BF969" s="4" t="s">
        <v>241</v>
      </c>
      <c r="BJ969" s="4" t="s">
        <v>288</v>
      </c>
      <c r="BK969" s="5" t="s">
        <v>289</v>
      </c>
      <c r="BL969" s="4" t="s">
        <v>290</v>
      </c>
      <c r="BM969" s="4" t="s">
        <v>290</v>
      </c>
      <c r="BN969" s="4" t="s">
        <v>241</v>
      </c>
      <c r="BO969" s="6">
        <f>0</f>
        <v>0</v>
      </c>
      <c r="BP969" s="6">
        <f t="shared" si="87"/>
        <v>-574678</v>
      </c>
      <c r="BQ969" s="4" t="s">
        <v>263</v>
      </c>
      <c r="BR969" s="4" t="s">
        <v>264</v>
      </c>
      <c r="BS969" s="4" t="s">
        <v>241</v>
      </c>
      <c r="BT969" s="4" t="s">
        <v>241</v>
      </c>
      <c r="BU969" s="4" t="s">
        <v>241</v>
      </c>
      <c r="BV969" s="4" t="s">
        <v>241</v>
      </c>
      <c r="CE969" s="4" t="s">
        <v>264</v>
      </c>
      <c r="CF969" s="4" t="s">
        <v>241</v>
      </c>
      <c r="CG969" s="4" t="s">
        <v>241</v>
      </c>
      <c r="CK969" s="4" t="s">
        <v>291</v>
      </c>
      <c r="CL969" s="4" t="s">
        <v>266</v>
      </c>
      <c r="CM969" s="4" t="s">
        <v>241</v>
      </c>
      <c r="CO969" s="4" t="s">
        <v>1542</v>
      </c>
      <c r="CP969" s="5" t="s">
        <v>268</v>
      </c>
      <c r="CQ969" s="4" t="s">
        <v>269</v>
      </c>
      <c r="CR969" s="4" t="s">
        <v>270</v>
      </c>
      <c r="CS969" s="4" t="s">
        <v>293</v>
      </c>
      <c r="CT969" s="4" t="s">
        <v>241</v>
      </c>
      <c r="CU969" s="4">
        <v>4.5999999999999999E-2</v>
      </c>
      <c r="CV969" s="4" t="s">
        <v>271</v>
      </c>
      <c r="CW969" s="4" t="s">
        <v>411</v>
      </c>
      <c r="CX969" s="4" t="s">
        <v>347</v>
      </c>
      <c r="CY969" s="6">
        <f>0</f>
        <v>0</v>
      </c>
      <c r="CZ969" s="6">
        <f t="shared" si="88"/>
        <v>12493000</v>
      </c>
      <c r="DA969" s="6">
        <f t="shared" si="89"/>
        <v>8470254</v>
      </c>
      <c r="DC969" s="4" t="s">
        <v>241</v>
      </c>
      <c r="DD969" s="4" t="s">
        <v>241</v>
      </c>
      <c r="DF969" s="4" t="s">
        <v>241</v>
      </c>
      <c r="DG969" s="6">
        <f>0</f>
        <v>0</v>
      </c>
      <c r="DI969" s="4" t="s">
        <v>241</v>
      </c>
      <c r="DJ969" s="4" t="s">
        <v>241</v>
      </c>
      <c r="DK969" s="4" t="s">
        <v>241</v>
      </c>
      <c r="DL969" s="4" t="s">
        <v>241</v>
      </c>
      <c r="DM969" s="4" t="s">
        <v>277</v>
      </c>
      <c r="DN969" s="4" t="s">
        <v>278</v>
      </c>
      <c r="DO969" s="6">
        <f t="shared" si="82"/>
        <v>57.96</v>
      </c>
      <c r="DP969" s="4" t="s">
        <v>241</v>
      </c>
      <c r="DQ969" s="4" t="s">
        <v>241</v>
      </c>
      <c r="DR969" s="4" t="s">
        <v>241</v>
      </c>
      <c r="DS969" s="4" t="s">
        <v>241</v>
      </c>
      <c r="DV969" s="4" t="s">
        <v>2327</v>
      </c>
      <c r="DW969" s="4" t="s">
        <v>336</v>
      </c>
      <c r="GN969" s="4" t="s">
        <v>2334</v>
      </c>
      <c r="HO969" s="4" t="s">
        <v>300</v>
      </c>
      <c r="HR969" s="4" t="s">
        <v>278</v>
      </c>
      <c r="HS969" s="4" t="s">
        <v>278</v>
      </c>
      <c r="HT969" s="4" t="s">
        <v>241</v>
      </c>
      <c r="HU969" s="4" t="s">
        <v>241</v>
      </c>
      <c r="HV969" s="4" t="s">
        <v>241</v>
      </c>
      <c r="HW969" s="4" t="s">
        <v>241</v>
      </c>
      <c r="HX969" s="4" t="s">
        <v>241</v>
      </c>
      <c r="HY969" s="4" t="s">
        <v>241</v>
      </c>
      <c r="HZ969" s="4" t="s">
        <v>241</v>
      </c>
      <c r="IA969" s="4" t="s">
        <v>241</v>
      </c>
      <c r="IB969" s="4" t="s">
        <v>241</v>
      </c>
      <c r="IC969" s="4" t="s">
        <v>241</v>
      </c>
      <c r="ID969" s="4" t="s">
        <v>241</v>
      </c>
      <c r="IE969" s="4" t="s">
        <v>241</v>
      </c>
      <c r="IF969" s="4" t="s">
        <v>241</v>
      </c>
    </row>
    <row r="970" spans="1:240" x14ac:dyDescent="0.4">
      <c r="A970" s="4">
        <v>2</v>
      </c>
      <c r="B970" s="4" t="s">
        <v>239</v>
      </c>
      <c r="C970" s="4">
        <v>1041</v>
      </c>
      <c r="D970" s="4">
        <v>1</v>
      </c>
      <c r="E970" s="4">
        <v>3</v>
      </c>
      <c r="F970" s="4" t="s">
        <v>240</v>
      </c>
      <c r="G970" s="4" t="s">
        <v>241</v>
      </c>
      <c r="H970" s="4" t="s">
        <v>241</v>
      </c>
      <c r="I970" s="4" t="s">
        <v>2324</v>
      </c>
      <c r="J970" s="4" t="s">
        <v>344</v>
      </c>
      <c r="K970" s="4" t="s">
        <v>256</v>
      </c>
      <c r="L970" s="4" t="s">
        <v>2101</v>
      </c>
      <c r="M970" s="5" t="s">
        <v>2326</v>
      </c>
      <c r="N970" s="4" t="s">
        <v>2098</v>
      </c>
      <c r="O970" s="6">
        <f t="shared" si="74"/>
        <v>57.96</v>
      </c>
      <c r="P970" s="4" t="s">
        <v>276</v>
      </c>
      <c r="Q970" s="6">
        <f t="shared" si="83"/>
        <v>8470254</v>
      </c>
      <c r="R970" s="6">
        <f t="shared" si="84"/>
        <v>12493000</v>
      </c>
      <c r="S970" s="5" t="s">
        <v>2325</v>
      </c>
      <c r="T970" s="4" t="s">
        <v>314</v>
      </c>
      <c r="U970" s="4" t="s">
        <v>300</v>
      </c>
      <c r="V970" s="6">
        <f t="shared" si="85"/>
        <v>574678</v>
      </c>
      <c r="W970" s="6">
        <f t="shared" si="86"/>
        <v>4022746</v>
      </c>
      <c r="X970" s="4" t="s">
        <v>243</v>
      </c>
      <c r="Y970" s="4" t="s">
        <v>244</v>
      </c>
      <c r="Z970" s="4" t="s">
        <v>338</v>
      </c>
      <c r="AA970" s="4" t="s">
        <v>241</v>
      </c>
      <c r="AD970" s="4" t="s">
        <v>241</v>
      </c>
      <c r="AE970" s="5" t="s">
        <v>241</v>
      </c>
      <c r="AF970" s="5" t="s">
        <v>241</v>
      </c>
      <c r="AH970" s="5" t="s">
        <v>241</v>
      </c>
      <c r="AI970" s="5" t="s">
        <v>249</v>
      </c>
      <c r="AJ970" s="4" t="s">
        <v>251</v>
      </c>
      <c r="AK970" s="4" t="s">
        <v>252</v>
      </c>
      <c r="AQ970" s="4" t="s">
        <v>241</v>
      </c>
      <c r="AR970" s="4" t="s">
        <v>241</v>
      </c>
      <c r="AS970" s="4" t="s">
        <v>241</v>
      </c>
      <c r="AT970" s="5" t="s">
        <v>241</v>
      </c>
      <c r="AU970" s="5" t="s">
        <v>241</v>
      </c>
      <c r="AV970" s="5" t="s">
        <v>241</v>
      </c>
      <c r="AY970" s="4" t="s">
        <v>286</v>
      </c>
      <c r="AZ970" s="4" t="s">
        <v>286</v>
      </c>
      <c r="BA970" s="4" t="s">
        <v>254</v>
      </c>
      <c r="BB970" s="4" t="s">
        <v>287</v>
      </c>
      <c r="BC970" s="4" t="s">
        <v>255</v>
      </c>
      <c r="BD970" s="4" t="s">
        <v>241</v>
      </c>
      <c r="BE970" s="4" t="s">
        <v>257</v>
      </c>
      <c r="BF970" s="4" t="s">
        <v>241</v>
      </c>
      <c r="BJ970" s="4" t="s">
        <v>288</v>
      </c>
      <c r="BK970" s="5" t="s">
        <v>289</v>
      </c>
      <c r="BL970" s="4" t="s">
        <v>290</v>
      </c>
      <c r="BM970" s="4" t="s">
        <v>290</v>
      </c>
      <c r="BN970" s="4" t="s">
        <v>241</v>
      </c>
      <c r="BO970" s="6">
        <f>0</f>
        <v>0</v>
      </c>
      <c r="BP970" s="6">
        <f t="shared" si="87"/>
        <v>-574678</v>
      </c>
      <c r="BQ970" s="4" t="s">
        <v>263</v>
      </c>
      <c r="BR970" s="4" t="s">
        <v>264</v>
      </c>
      <c r="BS970" s="4" t="s">
        <v>241</v>
      </c>
      <c r="BT970" s="4" t="s">
        <v>241</v>
      </c>
      <c r="BU970" s="4" t="s">
        <v>241</v>
      </c>
      <c r="BV970" s="4" t="s">
        <v>241</v>
      </c>
      <c r="CE970" s="4" t="s">
        <v>264</v>
      </c>
      <c r="CF970" s="4" t="s">
        <v>241</v>
      </c>
      <c r="CG970" s="4" t="s">
        <v>241</v>
      </c>
      <c r="CK970" s="4" t="s">
        <v>291</v>
      </c>
      <c r="CL970" s="4" t="s">
        <v>266</v>
      </c>
      <c r="CM970" s="4" t="s">
        <v>241</v>
      </c>
      <c r="CO970" s="4" t="s">
        <v>1542</v>
      </c>
      <c r="CP970" s="5" t="s">
        <v>268</v>
      </c>
      <c r="CQ970" s="4" t="s">
        <v>269</v>
      </c>
      <c r="CR970" s="4" t="s">
        <v>270</v>
      </c>
      <c r="CS970" s="4" t="s">
        <v>293</v>
      </c>
      <c r="CT970" s="4" t="s">
        <v>241</v>
      </c>
      <c r="CU970" s="4">
        <v>4.5999999999999999E-2</v>
      </c>
      <c r="CV970" s="4" t="s">
        <v>271</v>
      </c>
      <c r="CW970" s="4" t="s">
        <v>411</v>
      </c>
      <c r="CX970" s="4" t="s">
        <v>347</v>
      </c>
      <c r="CY970" s="6">
        <f>0</f>
        <v>0</v>
      </c>
      <c r="CZ970" s="6">
        <f t="shared" si="88"/>
        <v>12493000</v>
      </c>
      <c r="DA970" s="6">
        <f t="shared" si="89"/>
        <v>8470254</v>
      </c>
      <c r="DC970" s="4" t="s">
        <v>241</v>
      </c>
      <c r="DD970" s="4" t="s">
        <v>241</v>
      </c>
      <c r="DF970" s="4" t="s">
        <v>241</v>
      </c>
      <c r="DG970" s="6">
        <f>0</f>
        <v>0</v>
      </c>
      <c r="DI970" s="4" t="s">
        <v>241</v>
      </c>
      <c r="DJ970" s="4" t="s">
        <v>241</v>
      </c>
      <c r="DK970" s="4" t="s">
        <v>241</v>
      </c>
      <c r="DL970" s="4" t="s">
        <v>241</v>
      </c>
      <c r="DM970" s="4" t="s">
        <v>277</v>
      </c>
      <c r="DN970" s="4" t="s">
        <v>278</v>
      </c>
      <c r="DO970" s="6">
        <f t="shared" si="82"/>
        <v>57.96</v>
      </c>
      <c r="DP970" s="4" t="s">
        <v>241</v>
      </c>
      <c r="DQ970" s="4" t="s">
        <v>241</v>
      </c>
      <c r="DR970" s="4" t="s">
        <v>241</v>
      </c>
      <c r="DS970" s="4" t="s">
        <v>241</v>
      </c>
      <c r="DV970" s="4" t="s">
        <v>2327</v>
      </c>
      <c r="DW970" s="4" t="s">
        <v>351</v>
      </c>
      <c r="GN970" s="4" t="s">
        <v>2333</v>
      </c>
      <c r="HO970" s="4" t="s">
        <v>300</v>
      </c>
      <c r="HR970" s="4" t="s">
        <v>278</v>
      </c>
      <c r="HS970" s="4" t="s">
        <v>278</v>
      </c>
      <c r="HT970" s="4" t="s">
        <v>241</v>
      </c>
      <c r="HU970" s="4" t="s">
        <v>241</v>
      </c>
      <c r="HV970" s="4" t="s">
        <v>241</v>
      </c>
      <c r="HW970" s="4" t="s">
        <v>241</v>
      </c>
      <c r="HX970" s="4" t="s">
        <v>241</v>
      </c>
      <c r="HY970" s="4" t="s">
        <v>241</v>
      </c>
      <c r="HZ970" s="4" t="s">
        <v>241</v>
      </c>
      <c r="IA970" s="4" t="s">
        <v>241</v>
      </c>
      <c r="IB970" s="4" t="s">
        <v>241</v>
      </c>
      <c r="IC970" s="4" t="s">
        <v>241</v>
      </c>
      <c r="ID970" s="4" t="s">
        <v>241</v>
      </c>
      <c r="IE970" s="4" t="s">
        <v>241</v>
      </c>
      <c r="IF970" s="4" t="s">
        <v>241</v>
      </c>
    </row>
    <row r="971" spans="1:240" x14ac:dyDescent="0.4">
      <c r="A971" s="4">
        <v>2</v>
      </c>
      <c r="B971" s="4" t="s">
        <v>239</v>
      </c>
      <c r="C971" s="4">
        <v>1042</v>
      </c>
      <c r="D971" s="4">
        <v>1</v>
      </c>
      <c r="E971" s="4">
        <v>3</v>
      </c>
      <c r="F971" s="4" t="s">
        <v>240</v>
      </c>
      <c r="G971" s="4" t="s">
        <v>241</v>
      </c>
      <c r="H971" s="4" t="s">
        <v>241</v>
      </c>
      <c r="I971" s="4" t="s">
        <v>2324</v>
      </c>
      <c r="J971" s="4" t="s">
        <v>344</v>
      </c>
      <c r="K971" s="4" t="s">
        <v>256</v>
      </c>
      <c r="L971" s="4" t="s">
        <v>2101</v>
      </c>
      <c r="M971" s="5" t="s">
        <v>2326</v>
      </c>
      <c r="N971" s="4" t="s">
        <v>2173</v>
      </c>
      <c r="O971" s="6">
        <f t="shared" si="74"/>
        <v>57.96</v>
      </c>
      <c r="P971" s="4" t="s">
        <v>276</v>
      </c>
      <c r="Q971" s="6">
        <f t="shared" si="83"/>
        <v>8470254</v>
      </c>
      <c r="R971" s="6">
        <f t="shared" si="84"/>
        <v>12493000</v>
      </c>
      <c r="S971" s="5" t="s">
        <v>2325</v>
      </c>
      <c r="T971" s="4" t="s">
        <v>314</v>
      </c>
      <c r="U971" s="4" t="s">
        <v>300</v>
      </c>
      <c r="V971" s="6">
        <f t="shared" si="85"/>
        <v>574678</v>
      </c>
      <c r="W971" s="6">
        <f t="shared" si="86"/>
        <v>4022746</v>
      </c>
      <c r="X971" s="4" t="s">
        <v>243</v>
      </c>
      <c r="Y971" s="4" t="s">
        <v>244</v>
      </c>
      <c r="Z971" s="4" t="s">
        <v>338</v>
      </c>
      <c r="AA971" s="4" t="s">
        <v>241</v>
      </c>
      <c r="AD971" s="4" t="s">
        <v>241</v>
      </c>
      <c r="AE971" s="5" t="s">
        <v>241</v>
      </c>
      <c r="AF971" s="5" t="s">
        <v>241</v>
      </c>
      <c r="AH971" s="5" t="s">
        <v>241</v>
      </c>
      <c r="AI971" s="5" t="s">
        <v>249</v>
      </c>
      <c r="AJ971" s="4" t="s">
        <v>251</v>
      </c>
      <c r="AK971" s="4" t="s">
        <v>252</v>
      </c>
      <c r="AQ971" s="4" t="s">
        <v>241</v>
      </c>
      <c r="AR971" s="4" t="s">
        <v>241</v>
      </c>
      <c r="AS971" s="4" t="s">
        <v>241</v>
      </c>
      <c r="AT971" s="5" t="s">
        <v>241</v>
      </c>
      <c r="AU971" s="5" t="s">
        <v>241</v>
      </c>
      <c r="AV971" s="5" t="s">
        <v>241</v>
      </c>
      <c r="AY971" s="4" t="s">
        <v>286</v>
      </c>
      <c r="AZ971" s="4" t="s">
        <v>286</v>
      </c>
      <c r="BA971" s="4" t="s">
        <v>254</v>
      </c>
      <c r="BB971" s="4" t="s">
        <v>287</v>
      </c>
      <c r="BC971" s="4" t="s">
        <v>255</v>
      </c>
      <c r="BD971" s="4" t="s">
        <v>241</v>
      </c>
      <c r="BE971" s="4" t="s">
        <v>257</v>
      </c>
      <c r="BF971" s="4" t="s">
        <v>241</v>
      </c>
      <c r="BJ971" s="4" t="s">
        <v>288</v>
      </c>
      <c r="BK971" s="5" t="s">
        <v>289</v>
      </c>
      <c r="BL971" s="4" t="s">
        <v>290</v>
      </c>
      <c r="BM971" s="4" t="s">
        <v>290</v>
      </c>
      <c r="BN971" s="4" t="s">
        <v>241</v>
      </c>
      <c r="BO971" s="6">
        <f>0</f>
        <v>0</v>
      </c>
      <c r="BP971" s="6">
        <f t="shared" si="87"/>
        <v>-574678</v>
      </c>
      <c r="BQ971" s="4" t="s">
        <v>263</v>
      </c>
      <c r="BR971" s="4" t="s">
        <v>264</v>
      </c>
      <c r="BS971" s="4" t="s">
        <v>241</v>
      </c>
      <c r="BT971" s="4" t="s">
        <v>241</v>
      </c>
      <c r="BU971" s="4" t="s">
        <v>241</v>
      </c>
      <c r="BV971" s="4" t="s">
        <v>241</v>
      </c>
      <c r="CE971" s="4" t="s">
        <v>264</v>
      </c>
      <c r="CF971" s="4" t="s">
        <v>241</v>
      </c>
      <c r="CG971" s="4" t="s">
        <v>241</v>
      </c>
      <c r="CK971" s="4" t="s">
        <v>291</v>
      </c>
      <c r="CL971" s="4" t="s">
        <v>266</v>
      </c>
      <c r="CM971" s="4" t="s">
        <v>241</v>
      </c>
      <c r="CO971" s="4" t="s">
        <v>1542</v>
      </c>
      <c r="CP971" s="5" t="s">
        <v>268</v>
      </c>
      <c r="CQ971" s="4" t="s">
        <v>269</v>
      </c>
      <c r="CR971" s="4" t="s">
        <v>270</v>
      </c>
      <c r="CS971" s="4" t="s">
        <v>293</v>
      </c>
      <c r="CT971" s="4" t="s">
        <v>241</v>
      </c>
      <c r="CU971" s="4">
        <v>4.5999999999999999E-2</v>
      </c>
      <c r="CV971" s="4" t="s">
        <v>271</v>
      </c>
      <c r="CW971" s="4" t="s">
        <v>411</v>
      </c>
      <c r="CX971" s="4" t="s">
        <v>347</v>
      </c>
      <c r="CY971" s="6">
        <f>0</f>
        <v>0</v>
      </c>
      <c r="CZ971" s="6">
        <f t="shared" si="88"/>
        <v>12493000</v>
      </c>
      <c r="DA971" s="6">
        <f t="shared" si="89"/>
        <v>8470254</v>
      </c>
      <c r="DC971" s="4" t="s">
        <v>241</v>
      </c>
      <c r="DD971" s="4" t="s">
        <v>241</v>
      </c>
      <c r="DF971" s="4" t="s">
        <v>241</v>
      </c>
      <c r="DG971" s="6">
        <f>0</f>
        <v>0</v>
      </c>
      <c r="DI971" s="4" t="s">
        <v>241</v>
      </c>
      <c r="DJ971" s="4" t="s">
        <v>241</v>
      </c>
      <c r="DK971" s="4" t="s">
        <v>241</v>
      </c>
      <c r="DL971" s="4" t="s">
        <v>241</v>
      </c>
      <c r="DM971" s="4" t="s">
        <v>277</v>
      </c>
      <c r="DN971" s="4" t="s">
        <v>278</v>
      </c>
      <c r="DO971" s="6">
        <f t="shared" si="82"/>
        <v>57.96</v>
      </c>
      <c r="DP971" s="4" t="s">
        <v>241</v>
      </c>
      <c r="DQ971" s="4" t="s">
        <v>241</v>
      </c>
      <c r="DR971" s="4" t="s">
        <v>241</v>
      </c>
      <c r="DS971" s="4" t="s">
        <v>241</v>
      </c>
      <c r="DV971" s="4" t="s">
        <v>2327</v>
      </c>
      <c r="DW971" s="4" t="s">
        <v>300</v>
      </c>
      <c r="GN971" s="4" t="s">
        <v>2332</v>
      </c>
      <c r="HO971" s="4" t="s">
        <v>300</v>
      </c>
      <c r="HR971" s="4" t="s">
        <v>278</v>
      </c>
      <c r="HS971" s="4" t="s">
        <v>278</v>
      </c>
      <c r="HT971" s="4" t="s">
        <v>241</v>
      </c>
      <c r="HU971" s="4" t="s">
        <v>241</v>
      </c>
      <c r="HV971" s="4" t="s">
        <v>241</v>
      </c>
      <c r="HW971" s="4" t="s">
        <v>241</v>
      </c>
      <c r="HX971" s="4" t="s">
        <v>241</v>
      </c>
      <c r="HY971" s="4" t="s">
        <v>241</v>
      </c>
      <c r="HZ971" s="4" t="s">
        <v>241</v>
      </c>
      <c r="IA971" s="4" t="s">
        <v>241</v>
      </c>
      <c r="IB971" s="4" t="s">
        <v>241</v>
      </c>
      <c r="IC971" s="4" t="s">
        <v>241</v>
      </c>
      <c r="ID971" s="4" t="s">
        <v>241</v>
      </c>
      <c r="IE971" s="4" t="s">
        <v>241</v>
      </c>
      <c r="IF971" s="4" t="s">
        <v>241</v>
      </c>
    </row>
    <row r="972" spans="1:240" x14ac:dyDescent="0.4">
      <c r="A972" s="4">
        <v>2</v>
      </c>
      <c r="B972" s="4" t="s">
        <v>239</v>
      </c>
      <c r="C972" s="4">
        <v>1043</v>
      </c>
      <c r="D972" s="4">
        <v>1</v>
      </c>
      <c r="E972" s="4">
        <v>3</v>
      </c>
      <c r="F972" s="4" t="s">
        <v>240</v>
      </c>
      <c r="G972" s="4" t="s">
        <v>241</v>
      </c>
      <c r="H972" s="4" t="s">
        <v>241</v>
      </c>
      <c r="I972" s="4" t="s">
        <v>2324</v>
      </c>
      <c r="J972" s="4" t="s">
        <v>344</v>
      </c>
      <c r="K972" s="4" t="s">
        <v>256</v>
      </c>
      <c r="L972" s="4" t="s">
        <v>2101</v>
      </c>
      <c r="M972" s="5" t="s">
        <v>2326</v>
      </c>
      <c r="N972" s="4" t="s">
        <v>2174</v>
      </c>
      <c r="O972" s="6">
        <f t="shared" si="74"/>
        <v>57.96</v>
      </c>
      <c r="P972" s="4" t="s">
        <v>276</v>
      </c>
      <c r="Q972" s="6">
        <f t="shared" si="83"/>
        <v>8470254</v>
      </c>
      <c r="R972" s="6">
        <f t="shared" si="84"/>
        <v>12493000</v>
      </c>
      <c r="S972" s="5" t="s">
        <v>2325</v>
      </c>
      <c r="T972" s="4" t="s">
        <v>314</v>
      </c>
      <c r="U972" s="4" t="s">
        <v>300</v>
      </c>
      <c r="V972" s="6">
        <f t="shared" si="85"/>
        <v>574678</v>
      </c>
      <c r="W972" s="6">
        <f t="shared" si="86"/>
        <v>4022746</v>
      </c>
      <c r="X972" s="4" t="s">
        <v>243</v>
      </c>
      <c r="Y972" s="4" t="s">
        <v>244</v>
      </c>
      <c r="Z972" s="4" t="s">
        <v>338</v>
      </c>
      <c r="AA972" s="4" t="s">
        <v>241</v>
      </c>
      <c r="AD972" s="4" t="s">
        <v>241</v>
      </c>
      <c r="AE972" s="5" t="s">
        <v>241</v>
      </c>
      <c r="AF972" s="5" t="s">
        <v>241</v>
      </c>
      <c r="AH972" s="5" t="s">
        <v>241</v>
      </c>
      <c r="AI972" s="5" t="s">
        <v>249</v>
      </c>
      <c r="AJ972" s="4" t="s">
        <v>251</v>
      </c>
      <c r="AK972" s="4" t="s">
        <v>252</v>
      </c>
      <c r="AQ972" s="4" t="s">
        <v>241</v>
      </c>
      <c r="AR972" s="4" t="s">
        <v>241</v>
      </c>
      <c r="AS972" s="4" t="s">
        <v>241</v>
      </c>
      <c r="AT972" s="5" t="s">
        <v>241</v>
      </c>
      <c r="AU972" s="5" t="s">
        <v>241</v>
      </c>
      <c r="AV972" s="5" t="s">
        <v>241</v>
      </c>
      <c r="AY972" s="4" t="s">
        <v>286</v>
      </c>
      <c r="AZ972" s="4" t="s">
        <v>286</v>
      </c>
      <c r="BA972" s="4" t="s">
        <v>254</v>
      </c>
      <c r="BB972" s="4" t="s">
        <v>287</v>
      </c>
      <c r="BC972" s="4" t="s">
        <v>255</v>
      </c>
      <c r="BD972" s="4" t="s">
        <v>241</v>
      </c>
      <c r="BE972" s="4" t="s">
        <v>257</v>
      </c>
      <c r="BF972" s="4" t="s">
        <v>241</v>
      </c>
      <c r="BJ972" s="4" t="s">
        <v>288</v>
      </c>
      <c r="BK972" s="5" t="s">
        <v>289</v>
      </c>
      <c r="BL972" s="4" t="s">
        <v>290</v>
      </c>
      <c r="BM972" s="4" t="s">
        <v>290</v>
      </c>
      <c r="BN972" s="4" t="s">
        <v>241</v>
      </c>
      <c r="BO972" s="6">
        <f>0</f>
        <v>0</v>
      </c>
      <c r="BP972" s="6">
        <f t="shared" si="87"/>
        <v>-574678</v>
      </c>
      <c r="BQ972" s="4" t="s">
        <v>263</v>
      </c>
      <c r="BR972" s="4" t="s">
        <v>264</v>
      </c>
      <c r="BS972" s="4" t="s">
        <v>241</v>
      </c>
      <c r="BT972" s="4" t="s">
        <v>241</v>
      </c>
      <c r="BU972" s="4" t="s">
        <v>241</v>
      </c>
      <c r="BV972" s="4" t="s">
        <v>241</v>
      </c>
      <c r="CE972" s="4" t="s">
        <v>264</v>
      </c>
      <c r="CF972" s="4" t="s">
        <v>241</v>
      </c>
      <c r="CG972" s="4" t="s">
        <v>241</v>
      </c>
      <c r="CK972" s="4" t="s">
        <v>291</v>
      </c>
      <c r="CL972" s="4" t="s">
        <v>266</v>
      </c>
      <c r="CM972" s="4" t="s">
        <v>241</v>
      </c>
      <c r="CO972" s="4" t="s">
        <v>1542</v>
      </c>
      <c r="CP972" s="5" t="s">
        <v>268</v>
      </c>
      <c r="CQ972" s="4" t="s">
        <v>269</v>
      </c>
      <c r="CR972" s="4" t="s">
        <v>270</v>
      </c>
      <c r="CS972" s="4" t="s">
        <v>293</v>
      </c>
      <c r="CT972" s="4" t="s">
        <v>241</v>
      </c>
      <c r="CU972" s="4">
        <v>4.5999999999999999E-2</v>
      </c>
      <c r="CV972" s="4" t="s">
        <v>271</v>
      </c>
      <c r="CW972" s="4" t="s">
        <v>411</v>
      </c>
      <c r="CX972" s="4" t="s">
        <v>347</v>
      </c>
      <c r="CY972" s="6">
        <f>0</f>
        <v>0</v>
      </c>
      <c r="CZ972" s="6">
        <f t="shared" si="88"/>
        <v>12493000</v>
      </c>
      <c r="DA972" s="6">
        <f t="shared" si="89"/>
        <v>8470254</v>
      </c>
      <c r="DC972" s="4" t="s">
        <v>241</v>
      </c>
      <c r="DD972" s="4" t="s">
        <v>241</v>
      </c>
      <c r="DF972" s="4" t="s">
        <v>241</v>
      </c>
      <c r="DG972" s="6">
        <f>0</f>
        <v>0</v>
      </c>
      <c r="DI972" s="4" t="s">
        <v>241</v>
      </c>
      <c r="DJ972" s="4" t="s">
        <v>241</v>
      </c>
      <c r="DK972" s="4" t="s">
        <v>241</v>
      </c>
      <c r="DL972" s="4" t="s">
        <v>241</v>
      </c>
      <c r="DM972" s="4" t="s">
        <v>277</v>
      </c>
      <c r="DN972" s="4" t="s">
        <v>278</v>
      </c>
      <c r="DO972" s="6">
        <f t="shared" si="82"/>
        <v>57.96</v>
      </c>
      <c r="DP972" s="4" t="s">
        <v>241</v>
      </c>
      <c r="DQ972" s="4" t="s">
        <v>241</v>
      </c>
      <c r="DR972" s="4" t="s">
        <v>241</v>
      </c>
      <c r="DS972" s="4" t="s">
        <v>241</v>
      </c>
      <c r="DV972" s="4" t="s">
        <v>2327</v>
      </c>
      <c r="DW972" s="4" t="s">
        <v>341</v>
      </c>
      <c r="GN972" s="4" t="s">
        <v>2331</v>
      </c>
      <c r="HO972" s="4" t="s">
        <v>300</v>
      </c>
      <c r="HR972" s="4" t="s">
        <v>278</v>
      </c>
      <c r="HS972" s="4" t="s">
        <v>278</v>
      </c>
      <c r="HT972" s="4" t="s">
        <v>241</v>
      </c>
      <c r="HU972" s="4" t="s">
        <v>241</v>
      </c>
      <c r="HV972" s="4" t="s">
        <v>241</v>
      </c>
      <c r="HW972" s="4" t="s">
        <v>241</v>
      </c>
      <c r="HX972" s="4" t="s">
        <v>241</v>
      </c>
      <c r="HY972" s="4" t="s">
        <v>241</v>
      </c>
      <c r="HZ972" s="4" t="s">
        <v>241</v>
      </c>
      <c r="IA972" s="4" t="s">
        <v>241</v>
      </c>
      <c r="IB972" s="4" t="s">
        <v>241</v>
      </c>
      <c r="IC972" s="4" t="s">
        <v>241</v>
      </c>
      <c r="ID972" s="4" t="s">
        <v>241</v>
      </c>
      <c r="IE972" s="4" t="s">
        <v>241</v>
      </c>
      <c r="IF972" s="4" t="s">
        <v>241</v>
      </c>
    </row>
    <row r="973" spans="1:240" x14ac:dyDescent="0.4">
      <c r="A973" s="4">
        <v>2</v>
      </c>
      <c r="B973" s="4" t="s">
        <v>239</v>
      </c>
      <c r="C973" s="4">
        <v>1044</v>
      </c>
      <c r="D973" s="4">
        <v>1</v>
      </c>
      <c r="E973" s="4">
        <v>3</v>
      </c>
      <c r="F973" s="4" t="s">
        <v>240</v>
      </c>
      <c r="G973" s="4" t="s">
        <v>241</v>
      </c>
      <c r="H973" s="4" t="s">
        <v>241</v>
      </c>
      <c r="I973" s="4" t="s">
        <v>2324</v>
      </c>
      <c r="J973" s="4" t="s">
        <v>344</v>
      </c>
      <c r="K973" s="4" t="s">
        <v>256</v>
      </c>
      <c r="L973" s="4" t="s">
        <v>2101</v>
      </c>
      <c r="M973" s="5" t="s">
        <v>2326</v>
      </c>
      <c r="N973" s="4" t="s">
        <v>2154</v>
      </c>
      <c r="O973" s="6">
        <f t="shared" si="74"/>
        <v>57.96</v>
      </c>
      <c r="P973" s="4" t="s">
        <v>276</v>
      </c>
      <c r="Q973" s="6">
        <f t="shared" si="83"/>
        <v>8470254</v>
      </c>
      <c r="R973" s="6">
        <f t="shared" si="84"/>
        <v>12493000</v>
      </c>
      <c r="S973" s="5" t="s">
        <v>2325</v>
      </c>
      <c r="T973" s="4" t="s">
        <v>314</v>
      </c>
      <c r="U973" s="4" t="s">
        <v>300</v>
      </c>
      <c r="V973" s="6">
        <f t="shared" si="85"/>
        <v>574678</v>
      </c>
      <c r="W973" s="6">
        <f t="shared" si="86"/>
        <v>4022746</v>
      </c>
      <c r="X973" s="4" t="s">
        <v>243</v>
      </c>
      <c r="Y973" s="4" t="s">
        <v>244</v>
      </c>
      <c r="Z973" s="4" t="s">
        <v>338</v>
      </c>
      <c r="AA973" s="4" t="s">
        <v>241</v>
      </c>
      <c r="AD973" s="4" t="s">
        <v>241</v>
      </c>
      <c r="AE973" s="5" t="s">
        <v>241</v>
      </c>
      <c r="AF973" s="5" t="s">
        <v>241</v>
      </c>
      <c r="AH973" s="5" t="s">
        <v>241</v>
      </c>
      <c r="AI973" s="5" t="s">
        <v>380</v>
      </c>
      <c r="AJ973" s="4" t="s">
        <v>251</v>
      </c>
      <c r="AK973" s="4" t="s">
        <v>252</v>
      </c>
      <c r="AQ973" s="4" t="s">
        <v>241</v>
      </c>
      <c r="AR973" s="4" t="s">
        <v>241</v>
      </c>
      <c r="AS973" s="4" t="s">
        <v>241</v>
      </c>
      <c r="AT973" s="5" t="s">
        <v>241</v>
      </c>
      <c r="AU973" s="5" t="s">
        <v>241</v>
      </c>
      <c r="AV973" s="5" t="s">
        <v>241</v>
      </c>
      <c r="AY973" s="4" t="s">
        <v>286</v>
      </c>
      <c r="AZ973" s="4" t="s">
        <v>286</v>
      </c>
      <c r="BA973" s="4" t="s">
        <v>254</v>
      </c>
      <c r="BB973" s="4" t="s">
        <v>287</v>
      </c>
      <c r="BC973" s="4" t="s">
        <v>255</v>
      </c>
      <c r="BD973" s="4" t="s">
        <v>241</v>
      </c>
      <c r="BE973" s="4" t="s">
        <v>257</v>
      </c>
      <c r="BF973" s="4" t="s">
        <v>241</v>
      </c>
      <c r="BJ973" s="4" t="s">
        <v>288</v>
      </c>
      <c r="BK973" s="5" t="s">
        <v>289</v>
      </c>
      <c r="BL973" s="4" t="s">
        <v>290</v>
      </c>
      <c r="BM973" s="4" t="s">
        <v>290</v>
      </c>
      <c r="BN973" s="4" t="s">
        <v>241</v>
      </c>
      <c r="BO973" s="6">
        <f>0</f>
        <v>0</v>
      </c>
      <c r="BP973" s="6">
        <f t="shared" si="87"/>
        <v>-574678</v>
      </c>
      <c r="BQ973" s="4" t="s">
        <v>263</v>
      </c>
      <c r="BR973" s="4" t="s">
        <v>264</v>
      </c>
      <c r="BS973" s="4" t="s">
        <v>241</v>
      </c>
      <c r="BT973" s="4" t="s">
        <v>241</v>
      </c>
      <c r="BU973" s="4" t="s">
        <v>241</v>
      </c>
      <c r="BV973" s="4" t="s">
        <v>241</v>
      </c>
      <c r="CE973" s="4" t="s">
        <v>264</v>
      </c>
      <c r="CF973" s="4" t="s">
        <v>241</v>
      </c>
      <c r="CG973" s="4" t="s">
        <v>241</v>
      </c>
      <c r="CK973" s="4" t="s">
        <v>291</v>
      </c>
      <c r="CL973" s="4" t="s">
        <v>266</v>
      </c>
      <c r="CM973" s="4" t="s">
        <v>241</v>
      </c>
      <c r="CO973" s="4" t="s">
        <v>1542</v>
      </c>
      <c r="CP973" s="5" t="s">
        <v>268</v>
      </c>
      <c r="CQ973" s="4" t="s">
        <v>269</v>
      </c>
      <c r="CR973" s="4" t="s">
        <v>270</v>
      </c>
      <c r="CS973" s="4" t="s">
        <v>293</v>
      </c>
      <c r="CT973" s="4" t="s">
        <v>241</v>
      </c>
      <c r="CU973" s="4">
        <v>4.5999999999999999E-2</v>
      </c>
      <c r="CV973" s="4" t="s">
        <v>271</v>
      </c>
      <c r="CW973" s="4" t="s">
        <v>411</v>
      </c>
      <c r="CX973" s="4" t="s">
        <v>347</v>
      </c>
      <c r="CY973" s="6">
        <f>0</f>
        <v>0</v>
      </c>
      <c r="CZ973" s="6">
        <f t="shared" si="88"/>
        <v>12493000</v>
      </c>
      <c r="DA973" s="6">
        <f t="shared" si="89"/>
        <v>8470254</v>
      </c>
      <c r="DC973" s="4" t="s">
        <v>241</v>
      </c>
      <c r="DD973" s="4" t="s">
        <v>241</v>
      </c>
      <c r="DF973" s="4" t="s">
        <v>241</v>
      </c>
      <c r="DG973" s="6">
        <f>0</f>
        <v>0</v>
      </c>
      <c r="DI973" s="4" t="s">
        <v>241</v>
      </c>
      <c r="DJ973" s="4" t="s">
        <v>241</v>
      </c>
      <c r="DK973" s="4" t="s">
        <v>241</v>
      </c>
      <c r="DL973" s="4" t="s">
        <v>241</v>
      </c>
      <c r="DM973" s="4" t="s">
        <v>277</v>
      </c>
      <c r="DN973" s="4" t="s">
        <v>278</v>
      </c>
      <c r="DO973" s="6">
        <f t="shared" si="82"/>
        <v>57.96</v>
      </c>
      <c r="DP973" s="4" t="s">
        <v>241</v>
      </c>
      <c r="DQ973" s="4" t="s">
        <v>241</v>
      </c>
      <c r="DR973" s="4" t="s">
        <v>241</v>
      </c>
      <c r="DS973" s="4" t="s">
        <v>241</v>
      </c>
      <c r="DV973" s="4" t="s">
        <v>2327</v>
      </c>
      <c r="DW973" s="4" t="s">
        <v>343</v>
      </c>
      <c r="GN973" s="4" t="s">
        <v>2330</v>
      </c>
      <c r="HO973" s="4" t="s">
        <v>300</v>
      </c>
      <c r="HR973" s="4" t="s">
        <v>278</v>
      </c>
      <c r="HS973" s="4" t="s">
        <v>278</v>
      </c>
      <c r="HT973" s="4" t="s">
        <v>241</v>
      </c>
      <c r="HU973" s="4" t="s">
        <v>241</v>
      </c>
      <c r="HV973" s="4" t="s">
        <v>241</v>
      </c>
      <c r="HW973" s="4" t="s">
        <v>241</v>
      </c>
      <c r="HX973" s="4" t="s">
        <v>241</v>
      </c>
      <c r="HY973" s="4" t="s">
        <v>241</v>
      </c>
      <c r="HZ973" s="4" t="s">
        <v>241</v>
      </c>
      <c r="IA973" s="4" t="s">
        <v>241</v>
      </c>
      <c r="IB973" s="4" t="s">
        <v>241</v>
      </c>
      <c r="IC973" s="4" t="s">
        <v>241</v>
      </c>
      <c r="ID973" s="4" t="s">
        <v>241</v>
      </c>
      <c r="IE973" s="4" t="s">
        <v>241</v>
      </c>
      <c r="IF973" s="4" t="s">
        <v>241</v>
      </c>
    </row>
    <row r="974" spans="1:240" x14ac:dyDescent="0.4">
      <c r="A974" s="4">
        <v>2</v>
      </c>
      <c r="B974" s="4" t="s">
        <v>239</v>
      </c>
      <c r="C974" s="4">
        <v>1045</v>
      </c>
      <c r="D974" s="4">
        <v>1</v>
      </c>
      <c r="E974" s="4">
        <v>3</v>
      </c>
      <c r="F974" s="4" t="s">
        <v>240</v>
      </c>
      <c r="G974" s="4" t="s">
        <v>241</v>
      </c>
      <c r="H974" s="4" t="s">
        <v>241</v>
      </c>
      <c r="I974" s="4" t="s">
        <v>2324</v>
      </c>
      <c r="J974" s="4" t="s">
        <v>344</v>
      </c>
      <c r="K974" s="4" t="s">
        <v>256</v>
      </c>
      <c r="L974" s="4" t="s">
        <v>2101</v>
      </c>
      <c r="M974" s="5" t="s">
        <v>2326</v>
      </c>
      <c r="N974" s="4" t="s">
        <v>2191</v>
      </c>
      <c r="O974" s="6">
        <f>81.14</f>
        <v>81.14</v>
      </c>
      <c r="P974" s="4" t="s">
        <v>276</v>
      </c>
      <c r="Q974" s="6">
        <f>10728672</f>
        <v>10728672</v>
      </c>
      <c r="R974" s="6">
        <f>15824000</f>
        <v>15824000</v>
      </c>
      <c r="S974" s="5" t="s">
        <v>2325</v>
      </c>
      <c r="T974" s="4" t="s">
        <v>314</v>
      </c>
      <c r="U974" s="4" t="s">
        <v>300</v>
      </c>
      <c r="V974" s="6">
        <f>727904</f>
        <v>727904</v>
      </c>
      <c r="W974" s="6">
        <f>5095328</f>
        <v>5095328</v>
      </c>
      <c r="X974" s="4" t="s">
        <v>243</v>
      </c>
      <c r="Y974" s="4" t="s">
        <v>244</v>
      </c>
      <c r="Z974" s="4" t="s">
        <v>338</v>
      </c>
      <c r="AA974" s="4" t="s">
        <v>241</v>
      </c>
      <c r="AD974" s="4" t="s">
        <v>241</v>
      </c>
      <c r="AE974" s="5" t="s">
        <v>241</v>
      </c>
      <c r="AF974" s="5" t="s">
        <v>241</v>
      </c>
      <c r="AH974" s="5" t="s">
        <v>241</v>
      </c>
      <c r="AI974" s="5" t="s">
        <v>380</v>
      </c>
      <c r="AJ974" s="4" t="s">
        <v>251</v>
      </c>
      <c r="AK974" s="4" t="s">
        <v>252</v>
      </c>
      <c r="AQ974" s="4" t="s">
        <v>241</v>
      </c>
      <c r="AR974" s="4" t="s">
        <v>241</v>
      </c>
      <c r="AS974" s="4" t="s">
        <v>241</v>
      </c>
      <c r="AT974" s="5" t="s">
        <v>241</v>
      </c>
      <c r="AU974" s="5" t="s">
        <v>241</v>
      </c>
      <c r="AV974" s="5" t="s">
        <v>241</v>
      </c>
      <c r="AY974" s="4" t="s">
        <v>286</v>
      </c>
      <c r="AZ974" s="4" t="s">
        <v>286</v>
      </c>
      <c r="BA974" s="4" t="s">
        <v>254</v>
      </c>
      <c r="BB974" s="4" t="s">
        <v>287</v>
      </c>
      <c r="BC974" s="4" t="s">
        <v>255</v>
      </c>
      <c r="BD974" s="4" t="s">
        <v>241</v>
      </c>
      <c r="BE974" s="4" t="s">
        <v>257</v>
      </c>
      <c r="BF974" s="4" t="s">
        <v>241</v>
      </c>
      <c r="BJ974" s="4" t="s">
        <v>288</v>
      </c>
      <c r="BK974" s="5" t="s">
        <v>289</v>
      </c>
      <c r="BL974" s="4" t="s">
        <v>290</v>
      </c>
      <c r="BM974" s="4" t="s">
        <v>290</v>
      </c>
      <c r="BN974" s="4" t="s">
        <v>241</v>
      </c>
      <c r="BO974" s="6">
        <f>0</f>
        <v>0</v>
      </c>
      <c r="BP974" s="6">
        <f>-727904</f>
        <v>-727904</v>
      </c>
      <c r="BQ974" s="4" t="s">
        <v>263</v>
      </c>
      <c r="BR974" s="4" t="s">
        <v>264</v>
      </c>
      <c r="BS974" s="4" t="s">
        <v>241</v>
      </c>
      <c r="BT974" s="4" t="s">
        <v>241</v>
      </c>
      <c r="BU974" s="4" t="s">
        <v>241</v>
      </c>
      <c r="BV974" s="4" t="s">
        <v>241</v>
      </c>
      <c r="CE974" s="4" t="s">
        <v>264</v>
      </c>
      <c r="CF974" s="4" t="s">
        <v>241</v>
      </c>
      <c r="CG974" s="4" t="s">
        <v>241</v>
      </c>
      <c r="CK974" s="4" t="s">
        <v>291</v>
      </c>
      <c r="CL974" s="4" t="s">
        <v>266</v>
      </c>
      <c r="CM974" s="4" t="s">
        <v>241</v>
      </c>
      <c r="CO974" s="4" t="s">
        <v>1542</v>
      </c>
      <c r="CP974" s="5" t="s">
        <v>268</v>
      </c>
      <c r="CQ974" s="4" t="s">
        <v>269</v>
      </c>
      <c r="CR974" s="4" t="s">
        <v>270</v>
      </c>
      <c r="CS974" s="4" t="s">
        <v>293</v>
      </c>
      <c r="CT974" s="4" t="s">
        <v>241</v>
      </c>
      <c r="CU974" s="4">
        <v>4.5999999999999999E-2</v>
      </c>
      <c r="CV974" s="4" t="s">
        <v>271</v>
      </c>
      <c r="CW974" s="4" t="s">
        <v>411</v>
      </c>
      <c r="CX974" s="4" t="s">
        <v>347</v>
      </c>
      <c r="CY974" s="6">
        <f>0</f>
        <v>0</v>
      </c>
      <c r="CZ974" s="6">
        <f>15824000</f>
        <v>15824000</v>
      </c>
      <c r="DA974" s="6">
        <f>10728672</f>
        <v>10728672</v>
      </c>
      <c r="DC974" s="4" t="s">
        <v>241</v>
      </c>
      <c r="DD974" s="4" t="s">
        <v>241</v>
      </c>
      <c r="DF974" s="4" t="s">
        <v>241</v>
      </c>
      <c r="DG974" s="6">
        <f>0</f>
        <v>0</v>
      </c>
      <c r="DI974" s="4" t="s">
        <v>241</v>
      </c>
      <c r="DJ974" s="4" t="s">
        <v>241</v>
      </c>
      <c r="DK974" s="4" t="s">
        <v>241</v>
      </c>
      <c r="DL974" s="4" t="s">
        <v>241</v>
      </c>
      <c r="DM974" s="4" t="s">
        <v>323</v>
      </c>
      <c r="DN974" s="4" t="s">
        <v>278</v>
      </c>
      <c r="DO974" s="6">
        <f>81.14</f>
        <v>81.14</v>
      </c>
      <c r="DP974" s="4" t="s">
        <v>241</v>
      </c>
      <c r="DQ974" s="4" t="s">
        <v>241</v>
      </c>
      <c r="DR974" s="4" t="s">
        <v>241</v>
      </c>
      <c r="DS974" s="4" t="s">
        <v>241</v>
      </c>
      <c r="DV974" s="4" t="s">
        <v>2327</v>
      </c>
      <c r="DW974" s="4" t="s">
        <v>417</v>
      </c>
      <c r="GN974" s="4" t="s">
        <v>2329</v>
      </c>
      <c r="HO974" s="4" t="s">
        <v>300</v>
      </c>
      <c r="HR974" s="4" t="s">
        <v>278</v>
      </c>
      <c r="HS974" s="4" t="s">
        <v>278</v>
      </c>
      <c r="HT974" s="4" t="s">
        <v>241</v>
      </c>
      <c r="HU974" s="4" t="s">
        <v>241</v>
      </c>
      <c r="HV974" s="4" t="s">
        <v>241</v>
      </c>
      <c r="HW974" s="4" t="s">
        <v>241</v>
      </c>
      <c r="HX974" s="4" t="s">
        <v>241</v>
      </c>
      <c r="HY974" s="4" t="s">
        <v>241</v>
      </c>
      <c r="HZ974" s="4" t="s">
        <v>241</v>
      </c>
      <c r="IA974" s="4" t="s">
        <v>241</v>
      </c>
      <c r="IB974" s="4" t="s">
        <v>241</v>
      </c>
      <c r="IC974" s="4" t="s">
        <v>241</v>
      </c>
      <c r="ID974" s="4" t="s">
        <v>241</v>
      </c>
      <c r="IE974" s="4" t="s">
        <v>241</v>
      </c>
      <c r="IF974" s="4" t="s">
        <v>241</v>
      </c>
    </row>
    <row r="975" spans="1:240" x14ac:dyDescent="0.4">
      <c r="A975" s="4">
        <v>2</v>
      </c>
      <c r="B975" s="4" t="s">
        <v>239</v>
      </c>
      <c r="C975" s="4">
        <v>1046</v>
      </c>
      <c r="D975" s="4">
        <v>1</v>
      </c>
      <c r="E975" s="4">
        <v>3</v>
      </c>
      <c r="F975" s="4" t="s">
        <v>240</v>
      </c>
      <c r="G975" s="4" t="s">
        <v>241</v>
      </c>
      <c r="H975" s="4" t="s">
        <v>241</v>
      </c>
      <c r="I975" s="4" t="s">
        <v>2324</v>
      </c>
      <c r="J975" s="4" t="s">
        <v>344</v>
      </c>
      <c r="K975" s="4" t="s">
        <v>256</v>
      </c>
      <c r="L975" s="4" t="s">
        <v>2101</v>
      </c>
      <c r="M975" s="5" t="s">
        <v>2326</v>
      </c>
      <c r="N975" s="4" t="s">
        <v>2192</v>
      </c>
      <c r="O975" s="6">
        <f>81.14</f>
        <v>81.14</v>
      </c>
      <c r="P975" s="4" t="s">
        <v>276</v>
      </c>
      <c r="Q975" s="6">
        <f>10728672</f>
        <v>10728672</v>
      </c>
      <c r="R975" s="6">
        <f>15824000</f>
        <v>15824000</v>
      </c>
      <c r="S975" s="5" t="s">
        <v>2325</v>
      </c>
      <c r="T975" s="4" t="s">
        <v>314</v>
      </c>
      <c r="U975" s="4" t="s">
        <v>300</v>
      </c>
      <c r="V975" s="6">
        <f>727904</f>
        <v>727904</v>
      </c>
      <c r="W975" s="6">
        <f>5095328</f>
        <v>5095328</v>
      </c>
      <c r="X975" s="4" t="s">
        <v>243</v>
      </c>
      <c r="Y975" s="4" t="s">
        <v>244</v>
      </c>
      <c r="Z975" s="4" t="s">
        <v>338</v>
      </c>
      <c r="AA975" s="4" t="s">
        <v>241</v>
      </c>
      <c r="AD975" s="4" t="s">
        <v>241</v>
      </c>
      <c r="AE975" s="5" t="s">
        <v>241</v>
      </c>
      <c r="AF975" s="5" t="s">
        <v>241</v>
      </c>
      <c r="AH975" s="5" t="s">
        <v>241</v>
      </c>
      <c r="AI975" s="5" t="s">
        <v>380</v>
      </c>
      <c r="AJ975" s="4" t="s">
        <v>251</v>
      </c>
      <c r="AK975" s="4" t="s">
        <v>252</v>
      </c>
      <c r="AQ975" s="4" t="s">
        <v>241</v>
      </c>
      <c r="AR975" s="4" t="s">
        <v>241</v>
      </c>
      <c r="AS975" s="4" t="s">
        <v>241</v>
      </c>
      <c r="AT975" s="5" t="s">
        <v>241</v>
      </c>
      <c r="AU975" s="5" t="s">
        <v>241</v>
      </c>
      <c r="AV975" s="5" t="s">
        <v>241</v>
      </c>
      <c r="AY975" s="4" t="s">
        <v>286</v>
      </c>
      <c r="AZ975" s="4" t="s">
        <v>286</v>
      </c>
      <c r="BA975" s="4" t="s">
        <v>254</v>
      </c>
      <c r="BB975" s="4" t="s">
        <v>287</v>
      </c>
      <c r="BC975" s="4" t="s">
        <v>255</v>
      </c>
      <c r="BD975" s="4" t="s">
        <v>241</v>
      </c>
      <c r="BE975" s="4" t="s">
        <v>257</v>
      </c>
      <c r="BF975" s="4" t="s">
        <v>241</v>
      </c>
      <c r="BJ975" s="4" t="s">
        <v>288</v>
      </c>
      <c r="BK975" s="5" t="s">
        <v>289</v>
      </c>
      <c r="BL975" s="4" t="s">
        <v>290</v>
      </c>
      <c r="BM975" s="4" t="s">
        <v>290</v>
      </c>
      <c r="BN975" s="4" t="s">
        <v>241</v>
      </c>
      <c r="BO975" s="6">
        <f>0</f>
        <v>0</v>
      </c>
      <c r="BP975" s="6">
        <f>-727904</f>
        <v>-727904</v>
      </c>
      <c r="BQ975" s="4" t="s">
        <v>263</v>
      </c>
      <c r="BR975" s="4" t="s">
        <v>264</v>
      </c>
      <c r="BS975" s="4" t="s">
        <v>241</v>
      </c>
      <c r="BT975" s="4" t="s">
        <v>241</v>
      </c>
      <c r="BU975" s="4" t="s">
        <v>241</v>
      </c>
      <c r="BV975" s="4" t="s">
        <v>241</v>
      </c>
      <c r="CE975" s="4" t="s">
        <v>264</v>
      </c>
      <c r="CF975" s="4" t="s">
        <v>241</v>
      </c>
      <c r="CG975" s="4" t="s">
        <v>241</v>
      </c>
      <c r="CK975" s="4" t="s">
        <v>291</v>
      </c>
      <c r="CL975" s="4" t="s">
        <v>266</v>
      </c>
      <c r="CM975" s="4" t="s">
        <v>241</v>
      </c>
      <c r="CO975" s="4" t="s">
        <v>1542</v>
      </c>
      <c r="CP975" s="5" t="s">
        <v>268</v>
      </c>
      <c r="CQ975" s="4" t="s">
        <v>269</v>
      </c>
      <c r="CR975" s="4" t="s">
        <v>270</v>
      </c>
      <c r="CS975" s="4" t="s">
        <v>293</v>
      </c>
      <c r="CT975" s="4" t="s">
        <v>241</v>
      </c>
      <c r="CU975" s="4">
        <v>4.5999999999999999E-2</v>
      </c>
      <c r="CV975" s="4" t="s">
        <v>271</v>
      </c>
      <c r="CW975" s="4" t="s">
        <v>411</v>
      </c>
      <c r="CX975" s="4" t="s">
        <v>347</v>
      </c>
      <c r="CY975" s="6">
        <f>0</f>
        <v>0</v>
      </c>
      <c r="CZ975" s="6">
        <f>15824000</f>
        <v>15824000</v>
      </c>
      <c r="DA975" s="6">
        <f>10728672</f>
        <v>10728672</v>
      </c>
      <c r="DC975" s="4" t="s">
        <v>241</v>
      </c>
      <c r="DD975" s="4" t="s">
        <v>241</v>
      </c>
      <c r="DF975" s="4" t="s">
        <v>241</v>
      </c>
      <c r="DG975" s="6">
        <f>0</f>
        <v>0</v>
      </c>
      <c r="DI975" s="4" t="s">
        <v>241</v>
      </c>
      <c r="DJ975" s="4" t="s">
        <v>241</v>
      </c>
      <c r="DK975" s="4" t="s">
        <v>241</v>
      </c>
      <c r="DL975" s="4" t="s">
        <v>241</v>
      </c>
      <c r="DM975" s="4" t="s">
        <v>323</v>
      </c>
      <c r="DN975" s="4" t="s">
        <v>278</v>
      </c>
      <c r="DO975" s="6">
        <f>81.14</f>
        <v>81.14</v>
      </c>
      <c r="DP975" s="4" t="s">
        <v>241</v>
      </c>
      <c r="DQ975" s="4" t="s">
        <v>241</v>
      </c>
      <c r="DR975" s="4" t="s">
        <v>241</v>
      </c>
      <c r="DS975" s="4" t="s">
        <v>241</v>
      </c>
      <c r="DV975" s="4" t="s">
        <v>2327</v>
      </c>
      <c r="DW975" s="4" t="s">
        <v>427</v>
      </c>
      <c r="GN975" s="4" t="s">
        <v>2328</v>
      </c>
      <c r="HO975" s="4" t="s">
        <v>300</v>
      </c>
      <c r="HR975" s="4" t="s">
        <v>278</v>
      </c>
      <c r="HS975" s="4" t="s">
        <v>278</v>
      </c>
      <c r="HT975" s="4" t="s">
        <v>241</v>
      </c>
      <c r="HU975" s="4" t="s">
        <v>241</v>
      </c>
      <c r="HV975" s="4" t="s">
        <v>241</v>
      </c>
      <c r="HW975" s="4" t="s">
        <v>241</v>
      </c>
      <c r="HX975" s="4" t="s">
        <v>241</v>
      </c>
      <c r="HY975" s="4" t="s">
        <v>241</v>
      </c>
      <c r="HZ975" s="4" t="s">
        <v>241</v>
      </c>
      <c r="IA975" s="4" t="s">
        <v>241</v>
      </c>
      <c r="IB975" s="4" t="s">
        <v>241</v>
      </c>
      <c r="IC975" s="4" t="s">
        <v>241</v>
      </c>
      <c r="ID975" s="4" t="s">
        <v>241</v>
      </c>
      <c r="IE975" s="4" t="s">
        <v>241</v>
      </c>
      <c r="IF975" s="4" t="s">
        <v>241</v>
      </c>
    </row>
    <row r="976" spans="1:240" x14ac:dyDescent="0.4">
      <c r="A976" s="4">
        <v>2</v>
      </c>
      <c r="B976" s="4" t="s">
        <v>239</v>
      </c>
      <c r="C976" s="4">
        <v>1047</v>
      </c>
      <c r="D976" s="4">
        <v>1</v>
      </c>
      <c r="E976" s="4">
        <v>3</v>
      </c>
      <c r="F976" s="4" t="s">
        <v>240</v>
      </c>
      <c r="G976" s="4" t="s">
        <v>241</v>
      </c>
      <c r="H976" s="4" t="s">
        <v>241</v>
      </c>
      <c r="I976" s="4" t="s">
        <v>2315</v>
      </c>
      <c r="J976" s="4" t="s">
        <v>344</v>
      </c>
      <c r="K976" s="4" t="s">
        <v>256</v>
      </c>
      <c r="L976" s="4" t="s">
        <v>2101</v>
      </c>
      <c r="M976" s="5" t="s">
        <v>2317</v>
      </c>
      <c r="N976" s="4" t="s">
        <v>2104</v>
      </c>
      <c r="O976" s="6">
        <f>81.14</f>
        <v>81.14</v>
      </c>
      <c r="P976" s="4" t="s">
        <v>276</v>
      </c>
      <c r="Q976" s="6">
        <f>11396502</f>
        <v>11396502</v>
      </c>
      <c r="R976" s="6">
        <f>16809000</f>
        <v>16809000</v>
      </c>
      <c r="S976" s="5" t="s">
        <v>2316</v>
      </c>
      <c r="T976" s="4" t="s">
        <v>314</v>
      </c>
      <c r="U976" s="4" t="s">
        <v>300</v>
      </c>
      <c r="V976" s="6">
        <f>773214</f>
        <v>773214</v>
      </c>
      <c r="W976" s="6">
        <f>5412498</f>
        <v>5412498</v>
      </c>
      <c r="X976" s="4" t="s">
        <v>243</v>
      </c>
      <c r="Y976" s="4" t="s">
        <v>244</v>
      </c>
      <c r="Z976" s="4" t="s">
        <v>338</v>
      </c>
      <c r="AA976" s="4" t="s">
        <v>241</v>
      </c>
      <c r="AD976" s="4" t="s">
        <v>241</v>
      </c>
      <c r="AE976" s="5" t="s">
        <v>241</v>
      </c>
      <c r="AF976" s="5" t="s">
        <v>241</v>
      </c>
      <c r="AH976" s="5" t="s">
        <v>241</v>
      </c>
      <c r="AI976" s="5" t="s">
        <v>249</v>
      </c>
      <c r="AJ976" s="4" t="s">
        <v>251</v>
      </c>
      <c r="AK976" s="4" t="s">
        <v>252</v>
      </c>
      <c r="AQ976" s="4" t="s">
        <v>241</v>
      </c>
      <c r="AR976" s="4" t="s">
        <v>241</v>
      </c>
      <c r="AS976" s="4" t="s">
        <v>241</v>
      </c>
      <c r="AT976" s="5" t="s">
        <v>241</v>
      </c>
      <c r="AU976" s="5" t="s">
        <v>241</v>
      </c>
      <c r="AV976" s="5" t="s">
        <v>241</v>
      </c>
      <c r="AY976" s="4" t="s">
        <v>286</v>
      </c>
      <c r="AZ976" s="4" t="s">
        <v>286</v>
      </c>
      <c r="BA976" s="4" t="s">
        <v>254</v>
      </c>
      <c r="BB976" s="4" t="s">
        <v>287</v>
      </c>
      <c r="BC976" s="4" t="s">
        <v>255</v>
      </c>
      <c r="BD976" s="4" t="s">
        <v>241</v>
      </c>
      <c r="BE976" s="4" t="s">
        <v>257</v>
      </c>
      <c r="BF976" s="4" t="s">
        <v>241</v>
      </c>
      <c r="BJ976" s="4" t="s">
        <v>288</v>
      </c>
      <c r="BK976" s="5" t="s">
        <v>289</v>
      </c>
      <c r="BL976" s="4" t="s">
        <v>290</v>
      </c>
      <c r="BM976" s="4" t="s">
        <v>290</v>
      </c>
      <c r="BN976" s="4" t="s">
        <v>241</v>
      </c>
      <c r="BO976" s="6">
        <f>0</f>
        <v>0</v>
      </c>
      <c r="BP976" s="6">
        <f>-773214</f>
        <v>-773214</v>
      </c>
      <c r="BQ976" s="4" t="s">
        <v>263</v>
      </c>
      <c r="BR976" s="4" t="s">
        <v>264</v>
      </c>
      <c r="BS976" s="4" t="s">
        <v>241</v>
      </c>
      <c r="BT976" s="4" t="s">
        <v>241</v>
      </c>
      <c r="BU976" s="4" t="s">
        <v>241</v>
      </c>
      <c r="BV976" s="4" t="s">
        <v>241</v>
      </c>
      <c r="CE976" s="4" t="s">
        <v>264</v>
      </c>
      <c r="CF976" s="4" t="s">
        <v>241</v>
      </c>
      <c r="CG976" s="4" t="s">
        <v>241</v>
      </c>
      <c r="CK976" s="4" t="s">
        <v>291</v>
      </c>
      <c r="CL976" s="4" t="s">
        <v>266</v>
      </c>
      <c r="CM976" s="4" t="s">
        <v>241</v>
      </c>
      <c r="CO976" s="4" t="s">
        <v>1542</v>
      </c>
      <c r="CP976" s="5" t="s">
        <v>268</v>
      </c>
      <c r="CQ976" s="4" t="s">
        <v>269</v>
      </c>
      <c r="CR976" s="4" t="s">
        <v>270</v>
      </c>
      <c r="CS976" s="4" t="s">
        <v>293</v>
      </c>
      <c r="CT976" s="4" t="s">
        <v>241</v>
      </c>
      <c r="CU976" s="4">
        <v>4.5999999999999999E-2</v>
      </c>
      <c r="CV976" s="4" t="s">
        <v>271</v>
      </c>
      <c r="CW976" s="4" t="s">
        <v>411</v>
      </c>
      <c r="CX976" s="4" t="s">
        <v>347</v>
      </c>
      <c r="CY976" s="6">
        <f>0</f>
        <v>0</v>
      </c>
      <c r="CZ976" s="6">
        <f>16809000</f>
        <v>16809000</v>
      </c>
      <c r="DA976" s="6">
        <f>11396502</f>
        <v>11396502</v>
      </c>
      <c r="DC976" s="4" t="s">
        <v>241</v>
      </c>
      <c r="DD976" s="4" t="s">
        <v>241</v>
      </c>
      <c r="DF976" s="4" t="s">
        <v>241</v>
      </c>
      <c r="DG976" s="6">
        <f>0</f>
        <v>0</v>
      </c>
      <c r="DI976" s="4" t="s">
        <v>241</v>
      </c>
      <c r="DJ976" s="4" t="s">
        <v>241</v>
      </c>
      <c r="DK976" s="4" t="s">
        <v>241</v>
      </c>
      <c r="DL976" s="4" t="s">
        <v>241</v>
      </c>
      <c r="DM976" s="4" t="s">
        <v>323</v>
      </c>
      <c r="DN976" s="4" t="s">
        <v>278</v>
      </c>
      <c r="DO976" s="6">
        <f>81.14</f>
        <v>81.14</v>
      </c>
      <c r="DP976" s="4" t="s">
        <v>241</v>
      </c>
      <c r="DQ976" s="4" t="s">
        <v>241</v>
      </c>
      <c r="DR976" s="4" t="s">
        <v>241</v>
      </c>
      <c r="DS976" s="4" t="s">
        <v>241</v>
      </c>
      <c r="DV976" s="4" t="s">
        <v>2318</v>
      </c>
      <c r="DW976" s="4" t="s">
        <v>277</v>
      </c>
      <c r="GN976" s="4" t="s">
        <v>2323</v>
      </c>
      <c r="HO976" s="4" t="s">
        <v>300</v>
      </c>
      <c r="HR976" s="4" t="s">
        <v>278</v>
      </c>
      <c r="HS976" s="4" t="s">
        <v>278</v>
      </c>
      <c r="HT976" s="4" t="s">
        <v>241</v>
      </c>
      <c r="HU976" s="4" t="s">
        <v>241</v>
      </c>
      <c r="HV976" s="4" t="s">
        <v>241</v>
      </c>
      <c r="HW976" s="4" t="s">
        <v>241</v>
      </c>
      <c r="HX976" s="4" t="s">
        <v>241</v>
      </c>
      <c r="HY976" s="4" t="s">
        <v>241</v>
      </c>
      <c r="HZ976" s="4" t="s">
        <v>241</v>
      </c>
      <c r="IA976" s="4" t="s">
        <v>241</v>
      </c>
      <c r="IB976" s="4" t="s">
        <v>241</v>
      </c>
      <c r="IC976" s="4" t="s">
        <v>241</v>
      </c>
      <c r="ID976" s="4" t="s">
        <v>241</v>
      </c>
      <c r="IE976" s="4" t="s">
        <v>241</v>
      </c>
      <c r="IF976" s="4" t="s">
        <v>241</v>
      </c>
    </row>
    <row r="977" spans="1:240" x14ac:dyDescent="0.4">
      <c r="A977" s="4">
        <v>2</v>
      </c>
      <c r="B977" s="4" t="s">
        <v>239</v>
      </c>
      <c r="C977" s="4">
        <v>1048</v>
      </c>
      <c r="D977" s="4">
        <v>1</v>
      </c>
      <c r="E977" s="4">
        <v>3</v>
      </c>
      <c r="F977" s="4" t="s">
        <v>240</v>
      </c>
      <c r="G977" s="4" t="s">
        <v>241</v>
      </c>
      <c r="H977" s="4" t="s">
        <v>241</v>
      </c>
      <c r="I977" s="4" t="s">
        <v>2315</v>
      </c>
      <c r="J977" s="4" t="s">
        <v>344</v>
      </c>
      <c r="K977" s="4" t="s">
        <v>256</v>
      </c>
      <c r="L977" s="4" t="s">
        <v>2101</v>
      </c>
      <c r="M977" s="5" t="s">
        <v>2317</v>
      </c>
      <c r="N977" s="4" t="s">
        <v>2098</v>
      </c>
      <c r="O977" s="6">
        <f>81.14</f>
        <v>81.14</v>
      </c>
      <c r="P977" s="4" t="s">
        <v>276</v>
      </c>
      <c r="Q977" s="6">
        <f>11396502</f>
        <v>11396502</v>
      </c>
      <c r="R977" s="6">
        <f>16809000</f>
        <v>16809000</v>
      </c>
      <c r="S977" s="5" t="s">
        <v>2316</v>
      </c>
      <c r="T977" s="4" t="s">
        <v>314</v>
      </c>
      <c r="U977" s="4" t="s">
        <v>300</v>
      </c>
      <c r="V977" s="6">
        <f>773214</f>
        <v>773214</v>
      </c>
      <c r="W977" s="6">
        <f>5412498</f>
        <v>5412498</v>
      </c>
      <c r="X977" s="4" t="s">
        <v>243</v>
      </c>
      <c r="Y977" s="4" t="s">
        <v>244</v>
      </c>
      <c r="Z977" s="4" t="s">
        <v>338</v>
      </c>
      <c r="AA977" s="4" t="s">
        <v>241</v>
      </c>
      <c r="AD977" s="4" t="s">
        <v>241</v>
      </c>
      <c r="AE977" s="5" t="s">
        <v>241</v>
      </c>
      <c r="AF977" s="5" t="s">
        <v>241</v>
      </c>
      <c r="AH977" s="5" t="s">
        <v>241</v>
      </c>
      <c r="AI977" s="5" t="s">
        <v>249</v>
      </c>
      <c r="AJ977" s="4" t="s">
        <v>251</v>
      </c>
      <c r="AK977" s="4" t="s">
        <v>252</v>
      </c>
      <c r="AQ977" s="4" t="s">
        <v>241</v>
      </c>
      <c r="AR977" s="4" t="s">
        <v>241</v>
      </c>
      <c r="AS977" s="4" t="s">
        <v>241</v>
      </c>
      <c r="AT977" s="5" t="s">
        <v>241</v>
      </c>
      <c r="AU977" s="5" t="s">
        <v>241</v>
      </c>
      <c r="AV977" s="5" t="s">
        <v>241</v>
      </c>
      <c r="AY977" s="4" t="s">
        <v>286</v>
      </c>
      <c r="AZ977" s="4" t="s">
        <v>286</v>
      </c>
      <c r="BA977" s="4" t="s">
        <v>254</v>
      </c>
      <c r="BB977" s="4" t="s">
        <v>287</v>
      </c>
      <c r="BC977" s="4" t="s">
        <v>255</v>
      </c>
      <c r="BD977" s="4" t="s">
        <v>241</v>
      </c>
      <c r="BE977" s="4" t="s">
        <v>257</v>
      </c>
      <c r="BF977" s="4" t="s">
        <v>241</v>
      </c>
      <c r="BJ977" s="4" t="s">
        <v>288</v>
      </c>
      <c r="BK977" s="5" t="s">
        <v>289</v>
      </c>
      <c r="BL977" s="4" t="s">
        <v>290</v>
      </c>
      <c r="BM977" s="4" t="s">
        <v>290</v>
      </c>
      <c r="BN977" s="4" t="s">
        <v>241</v>
      </c>
      <c r="BO977" s="6">
        <f>0</f>
        <v>0</v>
      </c>
      <c r="BP977" s="6">
        <f>-773214</f>
        <v>-773214</v>
      </c>
      <c r="BQ977" s="4" t="s">
        <v>263</v>
      </c>
      <c r="BR977" s="4" t="s">
        <v>264</v>
      </c>
      <c r="BS977" s="4" t="s">
        <v>241</v>
      </c>
      <c r="BT977" s="4" t="s">
        <v>241</v>
      </c>
      <c r="BU977" s="4" t="s">
        <v>241</v>
      </c>
      <c r="BV977" s="4" t="s">
        <v>241</v>
      </c>
      <c r="CE977" s="4" t="s">
        <v>264</v>
      </c>
      <c r="CF977" s="4" t="s">
        <v>241</v>
      </c>
      <c r="CG977" s="4" t="s">
        <v>241</v>
      </c>
      <c r="CK977" s="4" t="s">
        <v>291</v>
      </c>
      <c r="CL977" s="4" t="s">
        <v>266</v>
      </c>
      <c r="CM977" s="4" t="s">
        <v>241</v>
      </c>
      <c r="CO977" s="4" t="s">
        <v>1542</v>
      </c>
      <c r="CP977" s="5" t="s">
        <v>268</v>
      </c>
      <c r="CQ977" s="4" t="s">
        <v>269</v>
      </c>
      <c r="CR977" s="4" t="s">
        <v>270</v>
      </c>
      <c r="CS977" s="4" t="s">
        <v>293</v>
      </c>
      <c r="CT977" s="4" t="s">
        <v>241</v>
      </c>
      <c r="CU977" s="4">
        <v>4.5999999999999999E-2</v>
      </c>
      <c r="CV977" s="4" t="s">
        <v>271</v>
      </c>
      <c r="CW977" s="4" t="s">
        <v>411</v>
      </c>
      <c r="CX977" s="4" t="s">
        <v>347</v>
      </c>
      <c r="CY977" s="6">
        <f>0</f>
        <v>0</v>
      </c>
      <c r="CZ977" s="6">
        <f>16809000</f>
        <v>16809000</v>
      </c>
      <c r="DA977" s="6">
        <f>11396502</f>
        <v>11396502</v>
      </c>
      <c r="DC977" s="4" t="s">
        <v>241</v>
      </c>
      <c r="DD977" s="4" t="s">
        <v>241</v>
      </c>
      <c r="DF977" s="4" t="s">
        <v>241</v>
      </c>
      <c r="DG977" s="6">
        <f>0</f>
        <v>0</v>
      </c>
      <c r="DI977" s="4" t="s">
        <v>241</v>
      </c>
      <c r="DJ977" s="4" t="s">
        <v>241</v>
      </c>
      <c r="DK977" s="4" t="s">
        <v>241</v>
      </c>
      <c r="DL977" s="4" t="s">
        <v>241</v>
      </c>
      <c r="DM977" s="4" t="s">
        <v>323</v>
      </c>
      <c r="DN977" s="4" t="s">
        <v>278</v>
      </c>
      <c r="DO977" s="6">
        <f>81.14</f>
        <v>81.14</v>
      </c>
      <c r="DP977" s="4" t="s">
        <v>241</v>
      </c>
      <c r="DQ977" s="4" t="s">
        <v>241</v>
      </c>
      <c r="DR977" s="4" t="s">
        <v>241</v>
      </c>
      <c r="DS977" s="4" t="s">
        <v>241</v>
      </c>
      <c r="DV977" s="4" t="s">
        <v>2318</v>
      </c>
      <c r="DW977" s="4" t="s">
        <v>323</v>
      </c>
      <c r="GN977" s="4" t="s">
        <v>2322</v>
      </c>
      <c r="HO977" s="4" t="s">
        <v>300</v>
      </c>
      <c r="HR977" s="4" t="s">
        <v>278</v>
      </c>
      <c r="HS977" s="4" t="s">
        <v>278</v>
      </c>
      <c r="HT977" s="4" t="s">
        <v>241</v>
      </c>
      <c r="HU977" s="4" t="s">
        <v>241</v>
      </c>
      <c r="HV977" s="4" t="s">
        <v>241</v>
      </c>
      <c r="HW977" s="4" t="s">
        <v>241</v>
      </c>
      <c r="HX977" s="4" t="s">
        <v>241</v>
      </c>
      <c r="HY977" s="4" t="s">
        <v>241</v>
      </c>
      <c r="HZ977" s="4" t="s">
        <v>241</v>
      </c>
      <c r="IA977" s="4" t="s">
        <v>241</v>
      </c>
      <c r="IB977" s="4" t="s">
        <v>241</v>
      </c>
      <c r="IC977" s="4" t="s">
        <v>241</v>
      </c>
      <c r="ID977" s="4" t="s">
        <v>241</v>
      </c>
      <c r="IE977" s="4" t="s">
        <v>241</v>
      </c>
      <c r="IF977" s="4" t="s">
        <v>241</v>
      </c>
    </row>
    <row r="978" spans="1:240" x14ac:dyDescent="0.4">
      <c r="A978" s="4">
        <v>2</v>
      </c>
      <c r="B978" s="4" t="s">
        <v>239</v>
      </c>
      <c r="C978" s="4">
        <v>1049</v>
      </c>
      <c r="D978" s="4">
        <v>1</v>
      </c>
      <c r="E978" s="4">
        <v>3</v>
      </c>
      <c r="F978" s="4" t="s">
        <v>240</v>
      </c>
      <c r="G978" s="4" t="s">
        <v>241</v>
      </c>
      <c r="H978" s="4" t="s">
        <v>241</v>
      </c>
      <c r="I978" s="4" t="s">
        <v>2315</v>
      </c>
      <c r="J978" s="4" t="s">
        <v>344</v>
      </c>
      <c r="K978" s="4" t="s">
        <v>256</v>
      </c>
      <c r="L978" s="4" t="s">
        <v>2101</v>
      </c>
      <c r="M978" s="5" t="s">
        <v>2317</v>
      </c>
      <c r="N978" s="4" t="s">
        <v>2109</v>
      </c>
      <c r="O978" s="6">
        <f>57.96</f>
        <v>57.96</v>
      </c>
      <c r="P978" s="4" t="s">
        <v>276</v>
      </c>
      <c r="Q978" s="6">
        <f>9504204</f>
        <v>9504204</v>
      </c>
      <c r="R978" s="6">
        <f>14018000</f>
        <v>14018000</v>
      </c>
      <c r="S978" s="5" t="s">
        <v>2316</v>
      </c>
      <c r="T978" s="4" t="s">
        <v>314</v>
      </c>
      <c r="U978" s="4" t="s">
        <v>300</v>
      </c>
      <c r="V978" s="6">
        <f>644828</f>
        <v>644828</v>
      </c>
      <c r="W978" s="6">
        <f>4513796</f>
        <v>4513796</v>
      </c>
      <c r="X978" s="4" t="s">
        <v>243</v>
      </c>
      <c r="Y978" s="4" t="s">
        <v>244</v>
      </c>
      <c r="Z978" s="4" t="s">
        <v>338</v>
      </c>
      <c r="AA978" s="4" t="s">
        <v>241</v>
      </c>
      <c r="AD978" s="4" t="s">
        <v>241</v>
      </c>
      <c r="AE978" s="5" t="s">
        <v>241</v>
      </c>
      <c r="AF978" s="5" t="s">
        <v>241</v>
      </c>
      <c r="AH978" s="5" t="s">
        <v>241</v>
      </c>
      <c r="AI978" s="5" t="s">
        <v>249</v>
      </c>
      <c r="AJ978" s="4" t="s">
        <v>251</v>
      </c>
      <c r="AK978" s="4" t="s">
        <v>252</v>
      </c>
      <c r="AQ978" s="4" t="s">
        <v>241</v>
      </c>
      <c r="AR978" s="4" t="s">
        <v>241</v>
      </c>
      <c r="AS978" s="4" t="s">
        <v>241</v>
      </c>
      <c r="AT978" s="5" t="s">
        <v>241</v>
      </c>
      <c r="AU978" s="5" t="s">
        <v>241</v>
      </c>
      <c r="AV978" s="5" t="s">
        <v>241</v>
      </c>
      <c r="AY978" s="4" t="s">
        <v>286</v>
      </c>
      <c r="AZ978" s="4" t="s">
        <v>286</v>
      </c>
      <c r="BA978" s="4" t="s">
        <v>254</v>
      </c>
      <c r="BB978" s="4" t="s">
        <v>287</v>
      </c>
      <c r="BC978" s="4" t="s">
        <v>255</v>
      </c>
      <c r="BD978" s="4" t="s">
        <v>241</v>
      </c>
      <c r="BE978" s="4" t="s">
        <v>257</v>
      </c>
      <c r="BF978" s="4" t="s">
        <v>241</v>
      </c>
      <c r="BJ978" s="4" t="s">
        <v>288</v>
      </c>
      <c r="BK978" s="5" t="s">
        <v>289</v>
      </c>
      <c r="BL978" s="4" t="s">
        <v>290</v>
      </c>
      <c r="BM978" s="4" t="s">
        <v>290</v>
      </c>
      <c r="BN978" s="4" t="s">
        <v>241</v>
      </c>
      <c r="BO978" s="6">
        <f>0</f>
        <v>0</v>
      </c>
      <c r="BP978" s="6">
        <f>-644828</f>
        <v>-644828</v>
      </c>
      <c r="BQ978" s="4" t="s">
        <v>263</v>
      </c>
      <c r="BR978" s="4" t="s">
        <v>264</v>
      </c>
      <c r="BS978" s="4" t="s">
        <v>241</v>
      </c>
      <c r="BT978" s="4" t="s">
        <v>241</v>
      </c>
      <c r="BU978" s="4" t="s">
        <v>241</v>
      </c>
      <c r="BV978" s="4" t="s">
        <v>241</v>
      </c>
      <c r="CE978" s="4" t="s">
        <v>264</v>
      </c>
      <c r="CF978" s="4" t="s">
        <v>241</v>
      </c>
      <c r="CG978" s="4" t="s">
        <v>241</v>
      </c>
      <c r="CK978" s="4" t="s">
        <v>291</v>
      </c>
      <c r="CL978" s="4" t="s">
        <v>266</v>
      </c>
      <c r="CM978" s="4" t="s">
        <v>241</v>
      </c>
      <c r="CO978" s="4" t="s">
        <v>1542</v>
      </c>
      <c r="CP978" s="5" t="s">
        <v>268</v>
      </c>
      <c r="CQ978" s="4" t="s">
        <v>269</v>
      </c>
      <c r="CR978" s="4" t="s">
        <v>270</v>
      </c>
      <c r="CS978" s="4" t="s">
        <v>293</v>
      </c>
      <c r="CT978" s="4" t="s">
        <v>241</v>
      </c>
      <c r="CU978" s="4">
        <v>4.5999999999999999E-2</v>
      </c>
      <c r="CV978" s="4" t="s">
        <v>271</v>
      </c>
      <c r="CW978" s="4" t="s">
        <v>411</v>
      </c>
      <c r="CX978" s="4" t="s">
        <v>347</v>
      </c>
      <c r="CY978" s="6">
        <f>0</f>
        <v>0</v>
      </c>
      <c r="CZ978" s="6">
        <f>14018000</f>
        <v>14018000</v>
      </c>
      <c r="DA978" s="6">
        <f>9504204</f>
        <v>9504204</v>
      </c>
      <c r="DC978" s="4" t="s">
        <v>241</v>
      </c>
      <c r="DD978" s="4" t="s">
        <v>241</v>
      </c>
      <c r="DF978" s="4" t="s">
        <v>241</v>
      </c>
      <c r="DG978" s="6">
        <f>0</f>
        <v>0</v>
      </c>
      <c r="DI978" s="4" t="s">
        <v>241</v>
      </c>
      <c r="DJ978" s="4" t="s">
        <v>241</v>
      </c>
      <c r="DK978" s="4" t="s">
        <v>241</v>
      </c>
      <c r="DL978" s="4" t="s">
        <v>241</v>
      </c>
      <c r="DM978" s="4" t="s">
        <v>277</v>
      </c>
      <c r="DN978" s="4" t="s">
        <v>278</v>
      </c>
      <c r="DO978" s="6">
        <f>57.96</f>
        <v>57.96</v>
      </c>
      <c r="DP978" s="4" t="s">
        <v>241</v>
      </c>
      <c r="DQ978" s="4" t="s">
        <v>241</v>
      </c>
      <c r="DR978" s="4" t="s">
        <v>241</v>
      </c>
      <c r="DS978" s="4" t="s">
        <v>241</v>
      </c>
      <c r="DV978" s="4" t="s">
        <v>2318</v>
      </c>
      <c r="DW978" s="4" t="s">
        <v>297</v>
      </c>
      <c r="GN978" s="4" t="s">
        <v>2321</v>
      </c>
      <c r="HO978" s="4" t="s">
        <v>300</v>
      </c>
      <c r="HR978" s="4" t="s">
        <v>278</v>
      </c>
      <c r="HS978" s="4" t="s">
        <v>278</v>
      </c>
      <c r="HT978" s="4" t="s">
        <v>241</v>
      </c>
      <c r="HU978" s="4" t="s">
        <v>241</v>
      </c>
      <c r="HV978" s="4" t="s">
        <v>241</v>
      </c>
      <c r="HW978" s="4" t="s">
        <v>241</v>
      </c>
      <c r="HX978" s="4" t="s">
        <v>241</v>
      </c>
      <c r="HY978" s="4" t="s">
        <v>241</v>
      </c>
      <c r="HZ978" s="4" t="s">
        <v>241</v>
      </c>
      <c r="IA978" s="4" t="s">
        <v>241</v>
      </c>
      <c r="IB978" s="4" t="s">
        <v>241</v>
      </c>
      <c r="IC978" s="4" t="s">
        <v>241</v>
      </c>
      <c r="ID978" s="4" t="s">
        <v>241</v>
      </c>
      <c r="IE978" s="4" t="s">
        <v>241</v>
      </c>
      <c r="IF978" s="4" t="s">
        <v>241</v>
      </c>
    </row>
    <row r="979" spans="1:240" x14ac:dyDescent="0.4">
      <c r="A979" s="4">
        <v>2</v>
      </c>
      <c r="B979" s="4" t="s">
        <v>239</v>
      </c>
      <c r="C979" s="4">
        <v>1050</v>
      </c>
      <c r="D979" s="4">
        <v>1</v>
      </c>
      <c r="E979" s="4">
        <v>3</v>
      </c>
      <c r="F979" s="4" t="s">
        <v>240</v>
      </c>
      <c r="G979" s="4" t="s">
        <v>241</v>
      </c>
      <c r="H979" s="4" t="s">
        <v>241</v>
      </c>
      <c r="I979" s="4" t="s">
        <v>2315</v>
      </c>
      <c r="J979" s="4" t="s">
        <v>344</v>
      </c>
      <c r="K979" s="4" t="s">
        <v>256</v>
      </c>
      <c r="L979" s="4" t="s">
        <v>2101</v>
      </c>
      <c r="M979" s="5" t="s">
        <v>2317</v>
      </c>
      <c r="N979" s="4" t="s">
        <v>2110</v>
      </c>
      <c r="O979" s="6">
        <f>57.96</f>
        <v>57.96</v>
      </c>
      <c r="P979" s="4" t="s">
        <v>276</v>
      </c>
      <c r="Q979" s="6">
        <f>9504204</f>
        <v>9504204</v>
      </c>
      <c r="R979" s="6">
        <f>14018000</f>
        <v>14018000</v>
      </c>
      <c r="S979" s="5" t="s">
        <v>2316</v>
      </c>
      <c r="T979" s="4" t="s">
        <v>314</v>
      </c>
      <c r="U979" s="4" t="s">
        <v>300</v>
      </c>
      <c r="V979" s="6">
        <f>644828</f>
        <v>644828</v>
      </c>
      <c r="W979" s="6">
        <f>4513796</f>
        <v>4513796</v>
      </c>
      <c r="X979" s="4" t="s">
        <v>243</v>
      </c>
      <c r="Y979" s="4" t="s">
        <v>244</v>
      </c>
      <c r="Z979" s="4" t="s">
        <v>338</v>
      </c>
      <c r="AA979" s="4" t="s">
        <v>241</v>
      </c>
      <c r="AD979" s="4" t="s">
        <v>241</v>
      </c>
      <c r="AE979" s="5" t="s">
        <v>241</v>
      </c>
      <c r="AF979" s="5" t="s">
        <v>241</v>
      </c>
      <c r="AH979" s="5" t="s">
        <v>241</v>
      </c>
      <c r="AI979" s="5" t="s">
        <v>249</v>
      </c>
      <c r="AJ979" s="4" t="s">
        <v>251</v>
      </c>
      <c r="AK979" s="4" t="s">
        <v>252</v>
      </c>
      <c r="AQ979" s="4" t="s">
        <v>241</v>
      </c>
      <c r="AR979" s="4" t="s">
        <v>241</v>
      </c>
      <c r="AS979" s="4" t="s">
        <v>241</v>
      </c>
      <c r="AT979" s="5" t="s">
        <v>241</v>
      </c>
      <c r="AU979" s="5" t="s">
        <v>241</v>
      </c>
      <c r="AV979" s="5" t="s">
        <v>241</v>
      </c>
      <c r="AY979" s="4" t="s">
        <v>286</v>
      </c>
      <c r="AZ979" s="4" t="s">
        <v>286</v>
      </c>
      <c r="BA979" s="4" t="s">
        <v>254</v>
      </c>
      <c r="BB979" s="4" t="s">
        <v>287</v>
      </c>
      <c r="BC979" s="4" t="s">
        <v>255</v>
      </c>
      <c r="BD979" s="4" t="s">
        <v>241</v>
      </c>
      <c r="BE979" s="4" t="s">
        <v>257</v>
      </c>
      <c r="BF979" s="4" t="s">
        <v>241</v>
      </c>
      <c r="BJ979" s="4" t="s">
        <v>288</v>
      </c>
      <c r="BK979" s="5" t="s">
        <v>289</v>
      </c>
      <c r="BL979" s="4" t="s">
        <v>290</v>
      </c>
      <c r="BM979" s="4" t="s">
        <v>290</v>
      </c>
      <c r="BN979" s="4" t="s">
        <v>241</v>
      </c>
      <c r="BO979" s="6">
        <f>0</f>
        <v>0</v>
      </c>
      <c r="BP979" s="6">
        <f>-644828</f>
        <v>-644828</v>
      </c>
      <c r="BQ979" s="4" t="s">
        <v>263</v>
      </c>
      <c r="BR979" s="4" t="s">
        <v>264</v>
      </c>
      <c r="BS979" s="4" t="s">
        <v>241</v>
      </c>
      <c r="BT979" s="4" t="s">
        <v>241</v>
      </c>
      <c r="BU979" s="4" t="s">
        <v>241</v>
      </c>
      <c r="BV979" s="4" t="s">
        <v>241</v>
      </c>
      <c r="CE979" s="4" t="s">
        <v>264</v>
      </c>
      <c r="CF979" s="4" t="s">
        <v>241</v>
      </c>
      <c r="CG979" s="4" t="s">
        <v>241</v>
      </c>
      <c r="CK979" s="4" t="s">
        <v>291</v>
      </c>
      <c r="CL979" s="4" t="s">
        <v>266</v>
      </c>
      <c r="CM979" s="4" t="s">
        <v>241</v>
      </c>
      <c r="CO979" s="4" t="s">
        <v>1542</v>
      </c>
      <c r="CP979" s="5" t="s">
        <v>268</v>
      </c>
      <c r="CQ979" s="4" t="s">
        <v>269</v>
      </c>
      <c r="CR979" s="4" t="s">
        <v>270</v>
      </c>
      <c r="CS979" s="4" t="s">
        <v>293</v>
      </c>
      <c r="CT979" s="4" t="s">
        <v>241</v>
      </c>
      <c r="CU979" s="4">
        <v>4.5999999999999999E-2</v>
      </c>
      <c r="CV979" s="4" t="s">
        <v>271</v>
      </c>
      <c r="CW979" s="4" t="s">
        <v>411</v>
      </c>
      <c r="CX979" s="4" t="s">
        <v>347</v>
      </c>
      <c r="CY979" s="6">
        <f>0</f>
        <v>0</v>
      </c>
      <c r="CZ979" s="6">
        <f>14018000</f>
        <v>14018000</v>
      </c>
      <c r="DA979" s="6">
        <f>9504204</f>
        <v>9504204</v>
      </c>
      <c r="DC979" s="4" t="s">
        <v>241</v>
      </c>
      <c r="DD979" s="4" t="s">
        <v>241</v>
      </c>
      <c r="DF979" s="4" t="s">
        <v>241</v>
      </c>
      <c r="DG979" s="6">
        <f>0</f>
        <v>0</v>
      </c>
      <c r="DI979" s="4" t="s">
        <v>241</v>
      </c>
      <c r="DJ979" s="4" t="s">
        <v>241</v>
      </c>
      <c r="DK979" s="4" t="s">
        <v>241</v>
      </c>
      <c r="DL979" s="4" t="s">
        <v>241</v>
      </c>
      <c r="DM979" s="4" t="s">
        <v>277</v>
      </c>
      <c r="DN979" s="4" t="s">
        <v>278</v>
      </c>
      <c r="DO979" s="6">
        <f>57.96</f>
        <v>57.96</v>
      </c>
      <c r="DP979" s="4" t="s">
        <v>241</v>
      </c>
      <c r="DQ979" s="4" t="s">
        <v>241</v>
      </c>
      <c r="DR979" s="4" t="s">
        <v>241</v>
      </c>
      <c r="DS979" s="4" t="s">
        <v>241</v>
      </c>
      <c r="DV979" s="4" t="s">
        <v>2318</v>
      </c>
      <c r="DW979" s="4" t="s">
        <v>336</v>
      </c>
      <c r="GN979" s="4" t="s">
        <v>2320</v>
      </c>
      <c r="HO979" s="4" t="s">
        <v>300</v>
      </c>
      <c r="HR979" s="4" t="s">
        <v>278</v>
      </c>
      <c r="HS979" s="4" t="s">
        <v>278</v>
      </c>
      <c r="HT979" s="4" t="s">
        <v>241</v>
      </c>
      <c r="HU979" s="4" t="s">
        <v>241</v>
      </c>
      <c r="HV979" s="4" t="s">
        <v>241</v>
      </c>
      <c r="HW979" s="4" t="s">
        <v>241</v>
      </c>
      <c r="HX979" s="4" t="s">
        <v>241</v>
      </c>
      <c r="HY979" s="4" t="s">
        <v>241</v>
      </c>
      <c r="HZ979" s="4" t="s">
        <v>241</v>
      </c>
      <c r="IA979" s="4" t="s">
        <v>241</v>
      </c>
      <c r="IB979" s="4" t="s">
        <v>241</v>
      </c>
      <c r="IC979" s="4" t="s">
        <v>241</v>
      </c>
      <c r="ID979" s="4" t="s">
        <v>241</v>
      </c>
      <c r="IE979" s="4" t="s">
        <v>241</v>
      </c>
      <c r="IF979" s="4" t="s">
        <v>241</v>
      </c>
    </row>
    <row r="980" spans="1:240" x14ac:dyDescent="0.4">
      <c r="A980" s="4">
        <v>2</v>
      </c>
      <c r="B980" s="4" t="s">
        <v>239</v>
      </c>
      <c r="C980" s="4">
        <v>1051</v>
      </c>
      <c r="D980" s="4">
        <v>1</v>
      </c>
      <c r="E980" s="4">
        <v>3</v>
      </c>
      <c r="F980" s="4" t="s">
        <v>240</v>
      </c>
      <c r="G980" s="4" t="s">
        <v>241</v>
      </c>
      <c r="H980" s="4" t="s">
        <v>241</v>
      </c>
      <c r="I980" s="4" t="s">
        <v>2315</v>
      </c>
      <c r="J980" s="4" t="s">
        <v>344</v>
      </c>
      <c r="K980" s="4" t="s">
        <v>256</v>
      </c>
      <c r="L980" s="4" t="s">
        <v>2101</v>
      </c>
      <c r="M980" s="5" t="s">
        <v>2317</v>
      </c>
      <c r="N980" s="4" t="s">
        <v>2122</v>
      </c>
      <c r="O980" s="6">
        <f>57.96</f>
        <v>57.96</v>
      </c>
      <c r="P980" s="4" t="s">
        <v>276</v>
      </c>
      <c r="Q980" s="6">
        <f>9504204</f>
        <v>9504204</v>
      </c>
      <c r="R980" s="6">
        <f>14018000</f>
        <v>14018000</v>
      </c>
      <c r="S980" s="5" t="s">
        <v>2316</v>
      </c>
      <c r="T980" s="4" t="s">
        <v>314</v>
      </c>
      <c r="U980" s="4" t="s">
        <v>300</v>
      </c>
      <c r="V980" s="6">
        <f>644828</f>
        <v>644828</v>
      </c>
      <c r="W980" s="6">
        <f>4513796</f>
        <v>4513796</v>
      </c>
      <c r="X980" s="4" t="s">
        <v>243</v>
      </c>
      <c r="Y980" s="4" t="s">
        <v>244</v>
      </c>
      <c r="Z980" s="4" t="s">
        <v>338</v>
      </c>
      <c r="AA980" s="4" t="s">
        <v>241</v>
      </c>
      <c r="AD980" s="4" t="s">
        <v>241</v>
      </c>
      <c r="AE980" s="5" t="s">
        <v>241</v>
      </c>
      <c r="AF980" s="5" t="s">
        <v>241</v>
      </c>
      <c r="AH980" s="5" t="s">
        <v>241</v>
      </c>
      <c r="AI980" s="5" t="s">
        <v>249</v>
      </c>
      <c r="AJ980" s="4" t="s">
        <v>251</v>
      </c>
      <c r="AK980" s="4" t="s">
        <v>252</v>
      </c>
      <c r="AQ980" s="4" t="s">
        <v>241</v>
      </c>
      <c r="AR980" s="4" t="s">
        <v>241</v>
      </c>
      <c r="AS980" s="4" t="s">
        <v>241</v>
      </c>
      <c r="AT980" s="5" t="s">
        <v>241</v>
      </c>
      <c r="AU980" s="5" t="s">
        <v>241</v>
      </c>
      <c r="AV980" s="5" t="s">
        <v>241</v>
      </c>
      <c r="AY980" s="4" t="s">
        <v>286</v>
      </c>
      <c r="AZ980" s="4" t="s">
        <v>286</v>
      </c>
      <c r="BA980" s="4" t="s">
        <v>254</v>
      </c>
      <c r="BB980" s="4" t="s">
        <v>287</v>
      </c>
      <c r="BC980" s="4" t="s">
        <v>255</v>
      </c>
      <c r="BD980" s="4" t="s">
        <v>241</v>
      </c>
      <c r="BE980" s="4" t="s">
        <v>257</v>
      </c>
      <c r="BF980" s="4" t="s">
        <v>241</v>
      </c>
      <c r="BJ980" s="4" t="s">
        <v>288</v>
      </c>
      <c r="BK980" s="5" t="s">
        <v>289</v>
      </c>
      <c r="BL980" s="4" t="s">
        <v>290</v>
      </c>
      <c r="BM980" s="4" t="s">
        <v>290</v>
      </c>
      <c r="BN980" s="4" t="s">
        <v>241</v>
      </c>
      <c r="BO980" s="6">
        <f>0</f>
        <v>0</v>
      </c>
      <c r="BP980" s="6">
        <f>-644828</f>
        <v>-644828</v>
      </c>
      <c r="BQ980" s="4" t="s">
        <v>263</v>
      </c>
      <c r="BR980" s="4" t="s">
        <v>264</v>
      </c>
      <c r="BS980" s="4" t="s">
        <v>241</v>
      </c>
      <c r="BT980" s="4" t="s">
        <v>241</v>
      </c>
      <c r="BU980" s="4" t="s">
        <v>241</v>
      </c>
      <c r="BV980" s="4" t="s">
        <v>241</v>
      </c>
      <c r="CE980" s="4" t="s">
        <v>264</v>
      </c>
      <c r="CF980" s="4" t="s">
        <v>241</v>
      </c>
      <c r="CG980" s="4" t="s">
        <v>241</v>
      </c>
      <c r="CK980" s="4" t="s">
        <v>291</v>
      </c>
      <c r="CL980" s="4" t="s">
        <v>266</v>
      </c>
      <c r="CM980" s="4" t="s">
        <v>241</v>
      </c>
      <c r="CO980" s="4" t="s">
        <v>1542</v>
      </c>
      <c r="CP980" s="5" t="s">
        <v>268</v>
      </c>
      <c r="CQ980" s="4" t="s">
        <v>269</v>
      </c>
      <c r="CR980" s="4" t="s">
        <v>270</v>
      </c>
      <c r="CS980" s="4" t="s">
        <v>293</v>
      </c>
      <c r="CT980" s="4" t="s">
        <v>241</v>
      </c>
      <c r="CU980" s="4">
        <v>4.5999999999999999E-2</v>
      </c>
      <c r="CV980" s="4" t="s">
        <v>271</v>
      </c>
      <c r="CW980" s="4" t="s">
        <v>411</v>
      </c>
      <c r="CX980" s="4" t="s">
        <v>347</v>
      </c>
      <c r="CY980" s="6">
        <f>0</f>
        <v>0</v>
      </c>
      <c r="CZ980" s="6">
        <f>14018000</f>
        <v>14018000</v>
      </c>
      <c r="DA980" s="6">
        <f>9504204</f>
        <v>9504204</v>
      </c>
      <c r="DC980" s="4" t="s">
        <v>241</v>
      </c>
      <c r="DD980" s="4" t="s">
        <v>241</v>
      </c>
      <c r="DF980" s="4" t="s">
        <v>241</v>
      </c>
      <c r="DG980" s="6">
        <f>0</f>
        <v>0</v>
      </c>
      <c r="DI980" s="4" t="s">
        <v>241</v>
      </c>
      <c r="DJ980" s="4" t="s">
        <v>241</v>
      </c>
      <c r="DK980" s="4" t="s">
        <v>241</v>
      </c>
      <c r="DL980" s="4" t="s">
        <v>241</v>
      </c>
      <c r="DM980" s="4" t="s">
        <v>277</v>
      </c>
      <c r="DN980" s="4" t="s">
        <v>278</v>
      </c>
      <c r="DO980" s="6">
        <f>57.96</f>
        <v>57.96</v>
      </c>
      <c r="DP980" s="4" t="s">
        <v>241</v>
      </c>
      <c r="DQ980" s="4" t="s">
        <v>241</v>
      </c>
      <c r="DR980" s="4" t="s">
        <v>241</v>
      </c>
      <c r="DS980" s="4" t="s">
        <v>241</v>
      </c>
      <c r="DV980" s="4" t="s">
        <v>2318</v>
      </c>
      <c r="DW980" s="4" t="s">
        <v>351</v>
      </c>
      <c r="GN980" s="4" t="s">
        <v>2319</v>
      </c>
      <c r="HO980" s="4" t="s">
        <v>300</v>
      </c>
      <c r="HR980" s="4" t="s">
        <v>278</v>
      </c>
      <c r="HS980" s="4" t="s">
        <v>278</v>
      </c>
      <c r="HT980" s="4" t="s">
        <v>241</v>
      </c>
      <c r="HU980" s="4" t="s">
        <v>241</v>
      </c>
      <c r="HV980" s="4" t="s">
        <v>241</v>
      </c>
      <c r="HW980" s="4" t="s">
        <v>241</v>
      </c>
      <c r="HX980" s="4" t="s">
        <v>241</v>
      </c>
      <c r="HY980" s="4" t="s">
        <v>241</v>
      </c>
      <c r="HZ980" s="4" t="s">
        <v>241</v>
      </c>
      <c r="IA980" s="4" t="s">
        <v>241</v>
      </c>
      <c r="IB980" s="4" t="s">
        <v>241</v>
      </c>
      <c r="IC980" s="4" t="s">
        <v>241</v>
      </c>
      <c r="ID980" s="4" t="s">
        <v>241</v>
      </c>
      <c r="IE980" s="4" t="s">
        <v>241</v>
      </c>
      <c r="IF980" s="4" t="s">
        <v>241</v>
      </c>
    </row>
    <row r="981" spans="1:240" x14ac:dyDescent="0.4">
      <c r="A981" s="4">
        <v>2</v>
      </c>
      <c r="B981" s="4" t="s">
        <v>239</v>
      </c>
      <c r="C981" s="4">
        <v>1052</v>
      </c>
      <c r="D981" s="4">
        <v>1</v>
      </c>
      <c r="E981" s="4">
        <v>3</v>
      </c>
      <c r="F981" s="4" t="s">
        <v>240</v>
      </c>
      <c r="G981" s="4" t="s">
        <v>241</v>
      </c>
      <c r="H981" s="4" t="s">
        <v>241</v>
      </c>
      <c r="I981" s="4" t="s">
        <v>2308</v>
      </c>
      <c r="J981" s="4" t="s">
        <v>344</v>
      </c>
      <c r="K981" s="4" t="s">
        <v>256</v>
      </c>
      <c r="L981" s="4" t="s">
        <v>2101</v>
      </c>
      <c r="M981" s="5" t="s">
        <v>2309</v>
      </c>
      <c r="N981" s="4" t="s">
        <v>2104</v>
      </c>
      <c r="O981" s="6">
        <f t="shared" ref="O981:O986" si="90">81.14</f>
        <v>81.14</v>
      </c>
      <c r="P981" s="4" t="s">
        <v>276</v>
      </c>
      <c r="Q981" s="6">
        <f>12039924</f>
        <v>12039924</v>
      </c>
      <c r="R981" s="6">
        <f>17758000</f>
        <v>17758000</v>
      </c>
      <c r="S981" s="5" t="s">
        <v>2295</v>
      </c>
      <c r="T981" s="4" t="s">
        <v>314</v>
      </c>
      <c r="U981" s="4" t="s">
        <v>300</v>
      </c>
      <c r="V981" s="6">
        <f>816868</f>
        <v>816868</v>
      </c>
      <c r="W981" s="6">
        <f>5718076</f>
        <v>5718076</v>
      </c>
      <c r="X981" s="4" t="s">
        <v>243</v>
      </c>
      <c r="Y981" s="4" t="s">
        <v>244</v>
      </c>
      <c r="Z981" s="4" t="s">
        <v>338</v>
      </c>
      <c r="AA981" s="4" t="s">
        <v>241</v>
      </c>
      <c r="AD981" s="4" t="s">
        <v>241</v>
      </c>
      <c r="AE981" s="5" t="s">
        <v>241</v>
      </c>
      <c r="AF981" s="5" t="s">
        <v>241</v>
      </c>
      <c r="AH981" s="5" t="s">
        <v>241</v>
      </c>
      <c r="AI981" s="5" t="s">
        <v>249</v>
      </c>
      <c r="AJ981" s="4" t="s">
        <v>251</v>
      </c>
      <c r="AK981" s="4" t="s">
        <v>252</v>
      </c>
      <c r="AQ981" s="4" t="s">
        <v>241</v>
      </c>
      <c r="AR981" s="4" t="s">
        <v>241</v>
      </c>
      <c r="AS981" s="4" t="s">
        <v>241</v>
      </c>
      <c r="AT981" s="5" t="s">
        <v>241</v>
      </c>
      <c r="AU981" s="5" t="s">
        <v>241</v>
      </c>
      <c r="AV981" s="5" t="s">
        <v>241</v>
      </c>
      <c r="AY981" s="4" t="s">
        <v>286</v>
      </c>
      <c r="AZ981" s="4" t="s">
        <v>286</v>
      </c>
      <c r="BA981" s="4" t="s">
        <v>254</v>
      </c>
      <c r="BB981" s="4" t="s">
        <v>287</v>
      </c>
      <c r="BC981" s="4" t="s">
        <v>255</v>
      </c>
      <c r="BD981" s="4" t="s">
        <v>241</v>
      </c>
      <c r="BE981" s="4" t="s">
        <v>257</v>
      </c>
      <c r="BF981" s="4" t="s">
        <v>241</v>
      </c>
      <c r="BJ981" s="4" t="s">
        <v>288</v>
      </c>
      <c r="BK981" s="5" t="s">
        <v>289</v>
      </c>
      <c r="BL981" s="4" t="s">
        <v>290</v>
      </c>
      <c r="BM981" s="4" t="s">
        <v>290</v>
      </c>
      <c r="BN981" s="4" t="s">
        <v>241</v>
      </c>
      <c r="BO981" s="6">
        <f>0</f>
        <v>0</v>
      </c>
      <c r="BP981" s="6">
        <f>-816868</f>
        <v>-816868</v>
      </c>
      <c r="BQ981" s="4" t="s">
        <v>263</v>
      </c>
      <c r="BR981" s="4" t="s">
        <v>264</v>
      </c>
      <c r="BS981" s="4" t="s">
        <v>241</v>
      </c>
      <c r="BT981" s="4" t="s">
        <v>241</v>
      </c>
      <c r="BU981" s="4" t="s">
        <v>241</v>
      </c>
      <c r="BV981" s="4" t="s">
        <v>241</v>
      </c>
      <c r="CE981" s="4" t="s">
        <v>264</v>
      </c>
      <c r="CF981" s="4" t="s">
        <v>241</v>
      </c>
      <c r="CG981" s="4" t="s">
        <v>241</v>
      </c>
      <c r="CK981" s="4" t="s">
        <v>291</v>
      </c>
      <c r="CL981" s="4" t="s">
        <v>266</v>
      </c>
      <c r="CM981" s="4" t="s">
        <v>241</v>
      </c>
      <c r="CO981" s="4" t="s">
        <v>1542</v>
      </c>
      <c r="CP981" s="5" t="s">
        <v>268</v>
      </c>
      <c r="CQ981" s="4" t="s">
        <v>269</v>
      </c>
      <c r="CR981" s="4" t="s">
        <v>270</v>
      </c>
      <c r="CS981" s="4" t="s">
        <v>293</v>
      </c>
      <c r="CT981" s="4" t="s">
        <v>241</v>
      </c>
      <c r="CU981" s="4">
        <v>4.5999999999999999E-2</v>
      </c>
      <c r="CV981" s="4" t="s">
        <v>271</v>
      </c>
      <c r="CW981" s="4" t="s">
        <v>411</v>
      </c>
      <c r="CX981" s="4" t="s">
        <v>347</v>
      </c>
      <c r="CY981" s="6">
        <f>0</f>
        <v>0</v>
      </c>
      <c r="CZ981" s="6">
        <f>17758000</f>
        <v>17758000</v>
      </c>
      <c r="DA981" s="6">
        <f>12039924</f>
        <v>12039924</v>
      </c>
      <c r="DC981" s="4" t="s">
        <v>241</v>
      </c>
      <c r="DD981" s="4" t="s">
        <v>241</v>
      </c>
      <c r="DF981" s="4" t="s">
        <v>241</v>
      </c>
      <c r="DG981" s="6">
        <f>0</f>
        <v>0</v>
      </c>
      <c r="DI981" s="4" t="s">
        <v>241</v>
      </c>
      <c r="DJ981" s="4" t="s">
        <v>241</v>
      </c>
      <c r="DK981" s="4" t="s">
        <v>241</v>
      </c>
      <c r="DL981" s="4" t="s">
        <v>241</v>
      </c>
      <c r="DM981" s="4" t="s">
        <v>323</v>
      </c>
      <c r="DN981" s="4" t="s">
        <v>278</v>
      </c>
      <c r="DO981" s="6">
        <f t="shared" ref="DO981:DO986" si="91">81.14</f>
        <v>81.14</v>
      </c>
      <c r="DP981" s="4" t="s">
        <v>241</v>
      </c>
      <c r="DQ981" s="4" t="s">
        <v>241</v>
      </c>
      <c r="DR981" s="4" t="s">
        <v>241</v>
      </c>
      <c r="DS981" s="4" t="s">
        <v>241</v>
      </c>
      <c r="DV981" s="4" t="s">
        <v>2310</v>
      </c>
      <c r="DW981" s="4" t="s">
        <v>277</v>
      </c>
      <c r="GN981" s="4" t="s">
        <v>2314</v>
      </c>
      <c r="HO981" s="4" t="s">
        <v>300</v>
      </c>
      <c r="HR981" s="4" t="s">
        <v>278</v>
      </c>
      <c r="HS981" s="4" t="s">
        <v>278</v>
      </c>
      <c r="HT981" s="4" t="s">
        <v>241</v>
      </c>
      <c r="HU981" s="4" t="s">
        <v>241</v>
      </c>
      <c r="HV981" s="4" t="s">
        <v>241</v>
      </c>
      <c r="HW981" s="4" t="s">
        <v>241</v>
      </c>
      <c r="HX981" s="4" t="s">
        <v>241</v>
      </c>
      <c r="HY981" s="4" t="s">
        <v>241</v>
      </c>
      <c r="HZ981" s="4" t="s">
        <v>241</v>
      </c>
      <c r="IA981" s="4" t="s">
        <v>241</v>
      </c>
      <c r="IB981" s="4" t="s">
        <v>241</v>
      </c>
      <c r="IC981" s="4" t="s">
        <v>241</v>
      </c>
      <c r="ID981" s="4" t="s">
        <v>241</v>
      </c>
      <c r="IE981" s="4" t="s">
        <v>241</v>
      </c>
      <c r="IF981" s="4" t="s">
        <v>241</v>
      </c>
    </row>
    <row r="982" spans="1:240" x14ac:dyDescent="0.4">
      <c r="A982" s="4">
        <v>2</v>
      </c>
      <c r="B982" s="4" t="s">
        <v>239</v>
      </c>
      <c r="C982" s="4">
        <v>1053</v>
      </c>
      <c r="D982" s="4">
        <v>1</v>
      </c>
      <c r="E982" s="4">
        <v>3</v>
      </c>
      <c r="F982" s="4" t="s">
        <v>240</v>
      </c>
      <c r="G982" s="4" t="s">
        <v>241</v>
      </c>
      <c r="H982" s="4" t="s">
        <v>241</v>
      </c>
      <c r="I982" s="4" t="s">
        <v>2308</v>
      </c>
      <c r="J982" s="4" t="s">
        <v>344</v>
      </c>
      <c r="K982" s="4" t="s">
        <v>256</v>
      </c>
      <c r="L982" s="4" t="s">
        <v>2101</v>
      </c>
      <c r="M982" s="5" t="s">
        <v>2309</v>
      </c>
      <c r="N982" s="4" t="s">
        <v>2109</v>
      </c>
      <c r="O982" s="6">
        <f t="shared" si="90"/>
        <v>81.14</v>
      </c>
      <c r="P982" s="4" t="s">
        <v>276</v>
      </c>
      <c r="Q982" s="6">
        <f>12039924</f>
        <v>12039924</v>
      </c>
      <c r="R982" s="6">
        <f>17758000</f>
        <v>17758000</v>
      </c>
      <c r="S982" s="5" t="s">
        <v>2295</v>
      </c>
      <c r="T982" s="4" t="s">
        <v>314</v>
      </c>
      <c r="U982" s="4" t="s">
        <v>300</v>
      </c>
      <c r="V982" s="6">
        <f>816868</f>
        <v>816868</v>
      </c>
      <c r="W982" s="6">
        <f>5718076</f>
        <v>5718076</v>
      </c>
      <c r="X982" s="4" t="s">
        <v>243</v>
      </c>
      <c r="Y982" s="4" t="s">
        <v>244</v>
      </c>
      <c r="Z982" s="4" t="s">
        <v>338</v>
      </c>
      <c r="AA982" s="4" t="s">
        <v>241</v>
      </c>
      <c r="AD982" s="4" t="s">
        <v>241</v>
      </c>
      <c r="AE982" s="5" t="s">
        <v>241</v>
      </c>
      <c r="AF982" s="5" t="s">
        <v>241</v>
      </c>
      <c r="AH982" s="5" t="s">
        <v>241</v>
      </c>
      <c r="AI982" s="5" t="s">
        <v>249</v>
      </c>
      <c r="AJ982" s="4" t="s">
        <v>251</v>
      </c>
      <c r="AK982" s="4" t="s">
        <v>252</v>
      </c>
      <c r="AQ982" s="4" t="s">
        <v>241</v>
      </c>
      <c r="AR982" s="4" t="s">
        <v>241</v>
      </c>
      <c r="AS982" s="4" t="s">
        <v>241</v>
      </c>
      <c r="AT982" s="5" t="s">
        <v>241</v>
      </c>
      <c r="AU982" s="5" t="s">
        <v>241</v>
      </c>
      <c r="AV982" s="5" t="s">
        <v>241</v>
      </c>
      <c r="AY982" s="4" t="s">
        <v>286</v>
      </c>
      <c r="AZ982" s="4" t="s">
        <v>286</v>
      </c>
      <c r="BA982" s="4" t="s">
        <v>254</v>
      </c>
      <c r="BB982" s="4" t="s">
        <v>287</v>
      </c>
      <c r="BC982" s="4" t="s">
        <v>255</v>
      </c>
      <c r="BD982" s="4" t="s">
        <v>241</v>
      </c>
      <c r="BE982" s="4" t="s">
        <v>257</v>
      </c>
      <c r="BF982" s="4" t="s">
        <v>241</v>
      </c>
      <c r="BJ982" s="4" t="s">
        <v>288</v>
      </c>
      <c r="BK982" s="5" t="s">
        <v>289</v>
      </c>
      <c r="BL982" s="4" t="s">
        <v>290</v>
      </c>
      <c r="BM982" s="4" t="s">
        <v>290</v>
      </c>
      <c r="BN982" s="4" t="s">
        <v>241</v>
      </c>
      <c r="BO982" s="6">
        <f>0</f>
        <v>0</v>
      </c>
      <c r="BP982" s="6">
        <f>-816868</f>
        <v>-816868</v>
      </c>
      <c r="BQ982" s="4" t="s">
        <v>263</v>
      </c>
      <c r="BR982" s="4" t="s">
        <v>264</v>
      </c>
      <c r="BS982" s="4" t="s">
        <v>241</v>
      </c>
      <c r="BT982" s="4" t="s">
        <v>241</v>
      </c>
      <c r="BU982" s="4" t="s">
        <v>241</v>
      </c>
      <c r="BV982" s="4" t="s">
        <v>241</v>
      </c>
      <c r="CE982" s="4" t="s">
        <v>264</v>
      </c>
      <c r="CF982" s="4" t="s">
        <v>241</v>
      </c>
      <c r="CG982" s="4" t="s">
        <v>241</v>
      </c>
      <c r="CK982" s="4" t="s">
        <v>291</v>
      </c>
      <c r="CL982" s="4" t="s">
        <v>266</v>
      </c>
      <c r="CM982" s="4" t="s">
        <v>241</v>
      </c>
      <c r="CO982" s="4" t="s">
        <v>1542</v>
      </c>
      <c r="CP982" s="5" t="s">
        <v>268</v>
      </c>
      <c r="CQ982" s="4" t="s">
        <v>269</v>
      </c>
      <c r="CR982" s="4" t="s">
        <v>270</v>
      </c>
      <c r="CS982" s="4" t="s">
        <v>293</v>
      </c>
      <c r="CT982" s="4" t="s">
        <v>241</v>
      </c>
      <c r="CU982" s="4">
        <v>4.5999999999999999E-2</v>
      </c>
      <c r="CV982" s="4" t="s">
        <v>271</v>
      </c>
      <c r="CW982" s="4" t="s">
        <v>411</v>
      </c>
      <c r="CX982" s="4" t="s">
        <v>347</v>
      </c>
      <c r="CY982" s="6">
        <f>0</f>
        <v>0</v>
      </c>
      <c r="CZ982" s="6">
        <f>17758000</f>
        <v>17758000</v>
      </c>
      <c r="DA982" s="6">
        <f>12039924</f>
        <v>12039924</v>
      </c>
      <c r="DC982" s="4" t="s">
        <v>241</v>
      </c>
      <c r="DD982" s="4" t="s">
        <v>241</v>
      </c>
      <c r="DF982" s="4" t="s">
        <v>241</v>
      </c>
      <c r="DG982" s="6">
        <f>0</f>
        <v>0</v>
      </c>
      <c r="DI982" s="4" t="s">
        <v>241</v>
      </c>
      <c r="DJ982" s="4" t="s">
        <v>241</v>
      </c>
      <c r="DK982" s="4" t="s">
        <v>241</v>
      </c>
      <c r="DL982" s="4" t="s">
        <v>241</v>
      </c>
      <c r="DM982" s="4" t="s">
        <v>323</v>
      </c>
      <c r="DN982" s="4" t="s">
        <v>278</v>
      </c>
      <c r="DO982" s="6">
        <f t="shared" si="91"/>
        <v>81.14</v>
      </c>
      <c r="DP982" s="4" t="s">
        <v>241</v>
      </c>
      <c r="DQ982" s="4" t="s">
        <v>241</v>
      </c>
      <c r="DR982" s="4" t="s">
        <v>241</v>
      </c>
      <c r="DS982" s="4" t="s">
        <v>241</v>
      </c>
      <c r="DV982" s="4" t="s">
        <v>2310</v>
      </c>
      <c r="DW982" s="4" t="s">
        <v>323</v>
      </c>
      <c r="GN982" s="4" t="s">
        <v>2313</v>
      </c>
      <c r="HO982" s="4" t="s">
        <v>300</v>
      </c>
      <c r="HR982" s="4" t="s">
        <v>278</v>
      </c>
      <c r="HS982" s="4" t="s">
        <v>278</v>
      </c>
      <c r="HT982" s="4" t="s">
        <v>241</v>
      </c>
      <c r="HU982" s="4" t="s">
        <v>241</v>
      </c>
      <c r="HV982" s="4" t="s">
        <v>241</v>
      </c>
      <c r="HW982" s="4" t="s">
        <v>241</v>
      </c>
      <c r="HX982" s="4" t="s">
        <v>241</v>
      </c>
      <c r="HY982" s="4" t="s">
        <v>241</v>
      </c>
      <c r="HZ982" s="4" t="s">
        <v>241</v>
      </c>
      <c r="IA982" s="4" t="s">
        <v>241</v>
      </c>
      <c r="IB982" s="4" t="s">
        <v>241</v>
      </c>
      <c r="IC982" s="4" t="s">
        <v>241</v>
      </c>
      <c r="ID982" s="4" t="s">
        <v>241</v>
      </c>
      <c r="IE982" s="4" t="s">
        <v>241</v>
      </c>
      <c r="IF982" s="4" t="s">
        <v>241</v>
      </c>
    </row>
    <row r="983" spans="1:240" x14ac:dyDescent="0.4">
      <c r="A983" s="4">
        <v>2</v>
      </c>
      <c r="B983" s="4" t="s">
        <v>239</v>
      </c>
      <c r="C983" s="4">
        <v>1054</v>
      </c>
      <c r="D983" s="4">
        <v>1</v>
      </c>
      <c r="E983" s="4">
        <v>3</v>
      </c>
      <c r="F983" s="4" t="s">
        <v>240</v>
      </c>
      <c r="G983" s="4" t="s">
        <v>241</v>
      </c>
      <c r="H983" s="4" t="s">
        <v>241</v>
      </c>
      <c r="I983" s="4" t="s">
        <v>2308</v>
      </c>
      <c r="J983" s="4" t="s">
        <v>344</v>
      </c>
      <c r="K983" s="4" t="s">
        <v>256</v>
      </c>
      <c r="L983" s="4" t="s">
        <v>2101</v>
      </c>
      <c r="M983" s="5" t="s">
        <v>2309</v>
      </c>
      <c r="N983" s="4" t="s">
        <v>2110</v>
      </c>
      <c r="O983" s="6">
        <f t="shared" si="90"/>
        <v>81.14</v>
      </c>
      <c r="P983" s="4" t="s">
        <v>276</v>
      </c>
      <c r="Q983" s="6">
        <f>12039924</f>
        <v>12039924</v>
      </c>
      <c r="R983" s="6">
        <f>17758000</f>
        <v>17758000</v>
      </c>
      <c r="S983" s="5" t="s">
        <v>2295</v>
      </c>
      <c r="T983" s="4" t="s">
        <v>314</v>
      </c>
      <c r="U983" s="4" t="s">
        <v>300</v>
      </c>
      <c r="V983" s="6">
        <f>816868</f>
        <v>816868</v>
      </c>
      <c r="W983" s="6">
        <f>5718076</f>
        <v>5718076</v>
      </c>
      <c r="X983" s="4" t="s">
        <v>243</v>
      </c>
      <c r="Y983" s="4" t="s">
        <v>244</v>
      </c>
      <c r="Z983" s="4" t="s">
        <v>338</v>
      </c>
      <c r="AA983" s="4" t="s">
        <v>241</v>
      </c>
      <c r="AD983" s="4" t="s">
        <v>241</v>
      </c>
      <c r="AE983" s="5" t="s">
        <v>241</v>
      </c>
      <c r="AF983" s="5" t="s">
        <v>241</v>
      </c>
      <c r="AH983" s="5" t="s">
        <v>241</v>
      </c>
      <c r="AI983" s="5" t="s">
        <v>249</v>
      </c>
      <c r="AJ983" s="4" t="s">
        <v>251</v>
      </c>
      <c r="AK983" s="4" t="s">
        <v>252</v>
      </c>
      <c r="AQ983" s="4" t="s">
        <v>241</v>
      </c>
      <c r="AR983" s="4" t="s">
        <v>241</v>
      </c>
      <c r="AS983" s="4" t="s">
        <v>241</v>
      </c>
      <c r="AT983" s="5" t="s">
        <v>241</v>
      </c>
      <c r="AU983" s="5" t="s">
        <v>241</v>
      </c>
      <c r="AV983" s="5" t="s">
        <v>241</v>
      </c>
      <c r="AY983" s="4" t="s">
        <v>286</v>
      </c>
      <c r="AZ983" s="4" t="s">
        <v>286</v>
      </c>
      <c r="BA983" s="4" t="s">
        <v>254</v>
      </c>
      <c r="BB983" s="4" t="s">
        <v>287</v>
      </c>
      <c r="BC983" s="4" t="s">
        <v>255</v>
      </c>
      <c r="BD983" s="4" t="s">
        <v>241</v>
      </c>
      <c r="BE983" s="4" t="s">
        <v>257</v>
      </c>
      <c r="BF983" s="4" t="s">
        <v>241</v>
      </c>
      <c r="BJ983" s="4" t="s">
        <v>288</v>
      </c>
      <c r="BK983" s="5" t="s">
        <v>289</v>
      </c>
      <c r="BL983" s="4" t="s">
        <v>290</v>
      </c>
      <c r="BM983" s="4" t="s">
        <v>290</v>
      </c>
      <c r="BN983" s="4" t="s">
        <v>241</v>
      </c>
      <c r="BO983" s="6">
        <f>0</f>
        <v>0</v>
      </c>
      <c r="BP983" s="6">
        <f>-816868</f>
        <v>-816868</v>
      </c>
      <c r="BQ983" s="4" t="s">
        <v>263</v>
      </c>
      <c r="BR983" s="4" t="s">
        <v>264</v>
      </c>
      <c r="BS983" s="4" t="s">
        <v>241</v>
      </c>
      <c r="BT983" s="4" t="s">
        <v>241</v>
      </c>
      <c r="BU983" s="4" t="s">
        <v>241</v>
      </c>
      <c r="BV983" s="4" t="s">
        <v>241</v>
      </c>
      <c r="CE983" s="4" t="s">
        <v>264</v>
      </c>
      <c r="CF983" s="4" t="s">
        <v>241</v>
      </c>
      <c r="CG983" s="4" t="s">
        <v>241</v>
      </c>
      <c r="CK983" s="4" t="s">
        <v>291</v>
      </c>
      <c r="CL983" s="4" t="s">
        <v>266</v>
      </c>
      <c r="CM983" s="4" t="s">
        <v>241</v>
      </c>
      <c r="CO983" s="4" t="s">
        <v>1542</v>
      </c>
      <c r="CP983" s="5" t="s">
        <v>268</v>
      </c>
      <c r="CQ983" s="4" t="s">
        <v>269</v>
      </c>
      <c r="CR983" s="4" t="s">
        <v>270</v>
      </c>
      <c r="CS983" s="4" t="s">
        <v>293</v>
      </c>
      <c r="CT983" s="4" t="s">
        <v>241</v>
      </c>
      <c r="CU983" s="4">
        <v>4.5999999999999999E-2</v>
      </c>
      <c r="CV983" s="4" t="s">
        <v>271</v>
      </c>
      <c r="CW983" s="4" t="s">
        <v>411</v>
      </c>
      <c r="CX983" s="4" t="s">
        <v>347</v>
      </c>
      <c r="CY983" s="6">
        <f>0</f>
        <v>0</v>
      </c>
      <c r="CZ983" s="6">
        <f>17758000</f>
        <v>17758000</v>
      </c>
      <c r="DA983" s="6">
        <f>12039924</f>
        <v>12039924</v>
      </c>
      <c r="DC983" s="4" t="s">
        <v>241</v>
      </c>
      <c r="DD983" s="4" t="s">
        <v>241</v>
      </c>
      <c r="DF983" s="4" t="s">
        <v>241</v>
      </c>
      <c r="DG983" s="6">
        <f>0</f>
        <v>0</v>
      </c>
      <c r="DI983" s="4" t="s">
        <v>241</v>
      </c>
      <c r="DJ983" s="4" t="s">
        <v>241</v>
      </c>
      <c r="DK983" s="4" t="s">
        <v>241</v>
      </c>
      <c r="DL983" s="4" t="s">
        <v>241</v>
      </c>
      <c r="DM983" s="4" t="s">
        <v>323</v>
      </c>
      <c r="DN983" s="4" t="s">
        <v>278</v>
      </c>
      <c r="DO983" s="6">
        <f t="shared" si="91"/>
        <v>81.14</v>
      </c>
      <c r="DP983" s="4" t="s">
        <v>241</v>
      </c>
      <c r="DQ983" s="4" t="s">
        <v>241</v>
      </c>
      <c r="DR983" s="4" t="s">
        <v>241</v>
      </c>
      <c r="DS983" s="4" t="s">
        <v>241</v>
      </c>
      <c r="DV983" s="4" t="s">
        <v>2310</v>
      </c>
      <c r="DW983" s="4" t="s">
        <v>297</v>
      </c>
      <c r="GN983" s="4" t="s">
        <v>2312</v>
      </c>
      <c r="HO983" s="4" t="s">
        <v>300</v>
      </c>
      <c r="HR983" s="4" t="s">
        <v>278</v>
      </c>
      <c r="HS983" s="4" t="s">
        <v>278</v>
      </c>
      <c r="HT983" s="4" t="s">
        <v>241</v>
      </c>
      <c r="HU983" s="4" t="s">
        <v>241</v>
      </c>
      <c r="HV983" s="4" t="s">
        <v>241</v>
      </c>
      <c r="HW983" s="4" t="s">
        <v>241</v>
      </c>
      <c r="HX983" s="4" t="s">
        <v>241</v>
      </c>
      <c r="HY983" s="4" t="s">
        <v>241</v>
      </c>
      <c r="HZ983" s="4" t="s">
        <v>241</v>
      </c>
      <c r="IA983" s="4" t="s">
        <v>241</v>
      </c>
      <c r="IB983" s="4" t="s">
        <v>241</v>
      </c>
      <c r="IC983" s="4" t="s">
        <v>241</v>
      </c>
      <c r="ID983" s="4" t="s">
        <v>241</v>
      </c>
      <c r="IE983" s="4" t="s">
        <v>241</v>
      </c>
      <c r="IF983" s="4" t="s">
        <v>241</v>
      </c>
    </row>
    <row r="984" spans="1:240" x14ac:dyDescent="0.4">
      <c r="A984" s="4">
        <v>2</v>
      </c>
      <c r="B984" s="4" t="s">
        <v>239</v>
      </c>
      <c r="C984" s="4">
        <v>1055</v>
      </c>
      <c r="D984" s="4">
        <v>1</v>
      </c>
      <c r="E984" s="4">
        <v>3</v>
      </c>
      <c r="F984" s="4" t="s">
        <v>240</v>
      </c>
      <c r="G984" s="4" t="s">
        <v>241</v>
      </c>
      <c r="H984" s="4" t="s">
        <v>241</v>
      </c>
      <c r="I984" s="4" t="s">
        <v>2308</v>
      </c>
      <c r="J984" s="4" t="s">
        <v>344</v>
      </c>
      <c r="K984" s="4" t="s">
        <v>256</v>
      </c>
      <c r="L984" s="4" t="s">
        <v>2101</v>
      </c>
      <c r="M984" s="5" t="s">
        <v>2309</v>
      </c>
      <c r="N984" s="4" t="s">
        <v>2122</v>
      </c>
      <c r="O984" s="6">
        <f t="shared" si="90"/>
        <v>81.14</v>
      </c>
      <c r="P984" s="4" t="s">
        <v>276</v>
      </c>
      <c r="Q984" s="6">
        <f>12039924</f>
        <v>12039924</v>
      </c>
      <c r="R984" s="6">
        <f>17758000</f>
        <v>17758000</v>
      </c>
      <c r="S984" s="5" t="s">
        <v>2295</v>
      </c>
      <c r="T984" s="4" t="s">
        <v>314</v>
      </c>
      <c r="U984" s="4" t="s">
        <v>300</v>
      </c>
      <c r="V984" s="6">
        <f>816868</f>
        <v>816868</v>
      </c>
      <c r="W984" s="6">
        <f>5718076</f>
        <v>5718076</v>
      </c>
      <c r="X984" s="4" t="s">
        <v>243</v>
      </c>
      <c r="Y984" s="4" t="s">
        <v>244</v>
      </c>
      <c r="Z984" s="4" t="s">
        <v>338</v>
      </c>
      <c r="AA984" s="4" t="s">
        <v>241</v>
      </c>
      <c r="AD984" s="4" t="s">
        <v>241</v>
      </c>
      <c r="AE984" s="5" t="s">
        <v>241</v>
      </c>
      <c r="AF984" s="5" t="s">
        <v>241</v>
      </c>
      <c r="AH984" s="5" t="s">
        <v>241</v>
      </c>
      <c r="AI984" s="5" t="s">
        <v>249</v>
      </c>
      <c r="AJ984" s="4" t="s">
        <v>251</v>
      </c>
      <c r="AK984" s="4" t="s">
        <v>252</v>
      </c>
      <c r="AQ984" s="4" t="s">
        <v>241</v>
      </c>
      <c r="AR984" s="4" t="s">
        <v>241</v>
      </c>
      <c r="AS984" s="4" t="s">
        <v>241</v>
      </c>
      <c r="AT984" s="5" t="s">
        <v>241</v>
      </c>
      <c r="AU984" s="5" t="s">
        <v>241</v>
      </c>
      <c r="AV984" s="5" t="s">
        <v>241</v>
      </c>
      <c r="AY984" s="4" t="s">
        <v>286</v>
      </c>
      <c r="AZ984" s="4" t="s">
        <v>286</v>
      </c>
      <c r="BA984" s="4" t="s">
        <v>254</v>
      </c>
      <c r="BB984" s="4" t="s">
        <v>287</v>
      </c>
      <c r="BC984" s="4" t="s">
        <v>255</v>
      </c>
      <c r="BD984" s="4" t="s">
        <v>241</v>
      </c>
      <c r="BE984" s="4" t="s">
        <v>257</v>
      </c>
      <c r="BF984" s="4" t="s">
        <v>241</v>
      </c>
      <c r="BJ984" s="4" t="s">
        <v>288</v>
      </c>
      <c r="BK984" s="5" t="s">
        <v>289</v>
      </c>
      <c r="BL984" s="4" t="s">
        <v>290</v>
      </c>
      <c r="BM984" s="4" t="s">
        <v>290</v>
      </c>
      <c r="BN984" s="4" t="s">
        <v>241</v>
      </c>
      <c r="BO984" s="6">
        <f>0</f>
        <v>0</v>
      </c>
      <c r="BP984" s="6">
        <f>-816868</f>
        <v>-816868</v>
      </c>
      <c r="BQ984" s="4" t="s">
        <v>263</v>
      </c>
      <c r="BR984" s="4" t="s">
        <v>264</v>
      </c>
      <c r="BS984" s="4" t="s">
        <v>241</v>
      </c>
      <c r="BT984" s="4" t="s">
        <v>241</v>
      </c>
      <c r="BU984" s="4" t="s">
        <v>241</v>
      </c>
      <c r="BV984" s="4" t="s">
        <v>241</v>
      </c>
      <c r="CE984" s="4" t="s">
        <v>264</v>
      </c>
      <c r="CF984" s="4" t="s">
        <v>241</v>
      </c>
      <c r="CG984" s="4" t="s">
        <v>241</v>
      </c>
      <c r="CK984" s="4" t="s">
        <v>291</v>
      </c>
      <c r="CL984" s="4" t="s">
        <v>266</v>
      </c>
      <c r="CM984" s="4" t="s">
        <v>241</v>
      </c>
      <c r="CO984" s="4" t="s">
        <v>1542</v>
      </c>
      <c r="CP984" s="5" t="s">
        <v>268</v>
      </c>
      <c r="CQ984" s="4" t="s">
        <v>269</v>
      </c>
      <c r="CR984" s="4" t="s">
        <v>270</v>
      </c>
      <c r="CS984" s="4" t="s">
        <v>293</v>
      </c>
      <c r="CT984" s="4" t="s">
        <v>241</v>
      </c>
      <c r="CU984" s="4">
        <v>4.5999999999999999E-2</v>
      </c>
      <c r="CV984" s="4" t="s">
        <v>271</v>
      </c>
      <c r="CW984" s="4" t="s">
        <v>411</v>
      </c>
      <c r="CX984" s="4" t="s">
        <v>347</v>
      </c>
      <c r="CY984" s="6">
        <f>0</f>
        <v>0</v>
      </c>
      <c r="CZ984" s="6">
        <f>17758000</f>
        <v>17758000</v>
      </c>
      <c r="DA984" s="6">
        <f>12039924</f>
        <v>12039924</v>
      </c>
      <c r="DC984" s="4" t="s">
        <v>241</v>
      </c>
      <c r="DD984" s="4" t="s">
        <v>241</v>
      </c>
      <c r="DF984" s="4" t="s">
        <v>241</v>
      </c>
      <c r="DG984" s="6">
        <f>0</f>
        <v>0</v>
      </c>
      <c r="DI984" s="4" t="s">
        <v>241</v>
      </c>
      <c r="DJ984" s="4" t="s">
        <v>241</v>
      </c>
      <c r="DK984" s="4" t="s">
        <v>241</v>
      </c>
      <c r="DL984" s="4" t="s">
        <v>241</v>
      </c>
      <c r="DM984" s="4" t="s">
        <v>323</v>
      </c>
      <c r="DN984" s="4" t="s">
        <v>278</v>
      </c>
      <c r="DO984" s="6">
        <f t="shared" si="91"/>
        <v>81.14</v>
      </c>
      <c r="DP984" s="4" t="s">
        <v>241</v>
      </c>
      <c r="DQ984" s="4" t="s">
        <v>241</v>
      </c>
      <c r="DR984" s="4" t="s">
        <v>241</v>
      </c>
      <c r="DS984" s="4" t="s">
        <v>241</v>
      </c>
      <c r="DV984" s="4" t="s">
        <v>2310</v>
      </c>
      <c r="DW984" s="4" t="s">
        <v>336</v>
      </c>
      <c r="GN984" s="4" t="s">
        <v>2311</v>
      </c>
      <c r="HO984" s="4" t="s">
        <v>300</v>
      </c>
      <c r="HR984" s="4" t="s">
        <v>278</v>
      </c>
      <c r="HS984" s="4" t="s">
        <v>278</v>
      </c>
      <c r="HT984" s="4" t="s">
        <v>241</v>
      </c>
      <c r="HU984" s="4" t="s">
        <v>241</v>
      </c>
      <c r="HV984" s="4" t="s">
        <v>241</v>
      </c>
      <c r="HW984" s="4" t="s">
        <v>241</v>
      </c>
      <c r="HX984" s="4" t="s">
        <v>241</v>
      </c>
      <c r="HY984" s="4" t="s">
        <v>241</v>
      </c>
      <c r="HZ984" s="4" t="s">
        <v>241</v>
      </c>
      <c r="IA984" s="4" t="s">
        <v>241</v>
      </c>
      <c r="IB984" s="4" t="s">
        <v>241</v>
      </c>
      <c r="IC984" s="4" t="s">
        <v>241</v>
      </c>
      <c r="ID984" s="4" t="s">
        <v>241</v>
      </c>
      <c r="IE984" s="4" t="s">
        <v>241</v>
      </c>
      <c r="IF984" s="4" t="s">
        <v>241</v>
      </c>
    </row>
    <row r="985" spans="1:240" x14ac:dyDescent="0.4">
      <c r="A985" s="4">
        <v>2</v>
      </c>
      <c r="B985" s="4" t="s">
        <v>239</v>
      </c>
      <c r="C985" s="4">
        <v>1056</v>
      </c>
      <c r="D985" s="4">
        <v>1</v>
      </c>
      <c r="E985" s="4">
        <v>3</v>
      </c>
      <c r="F985" s="4" t="s">
        <v>240</v>
      </c>
      <c r="G985" s="4" t="s">
        <v>241</v>
      </c>
      <c r="H985" s="4" t="s">
        <v>241</v>
      </c>
      <c r="I985" s="4" t="s">
        <v>2294</v>
      </c>
      <c r="J985" s="4" t="s">
        <v>344</v>
      </c>
      <c r="K985" s="4" t="s">
        <v>256</v>
      </c>
      <c r="L985" s="4" t="s">
        <v>2101</v>
      </c>
      <c r="M985" s="5" t="s">
        <v>2296</v>
      </c>
      <c r="N985" s="4" t="s">
        <v>2104</v>
      </c>
      <c r="O985" s="6">
        <f t="shared" si="90"/>
        <v>81.14</v>
      </c>
      <c r="P985" s="4" t="s">
        <v>276</v>
      </c>
      <c r="Q985" s="6">
        <f>11267004</f>
        <v>11267004</v>
      </c>
      <c r="R985" s="6">
        <f>16618000</f>
        <v>16618000</v>
      </c>
      <c r="S985" s="5" t="s">
        <v>2302</v>
      </c>
      <c r="T985" s="4" t="s">
        <v>314</v>
      </c>
      <c r="U985" s="4" t="s">
        <v>300</v>
      </c>
      <c r="V985" s="6">
        <f>764428</f>
        <v>764428</v>
      </c>
      <c r="W985" s="6">
        <f>5350996</f>
        <v>5350996</v>
      </c>
      <c r="X985" s="4" t="s">
        <v>243</v>
      </c>
      <c r="Y985" s="4" t="s">
        <v>244</v>
      </c>
      <c r="Z985" s="4" t="s">
        <v>338</v>
      </c>
      <c r="AA985" s="4" t="s">
        <v>241</v>
      </c>
      <c r="AD985" s="4" t="s">
        <v>241</v>
      </c>
      <c r="AE985" s="5" t="s">
        <v>241</v>
      </c>
      <c r="AF985" s="5" t="s">
        <v>241</v>
      </c>
      <c r="AH985" s="5" t="s">
        <v>241</v>
      </c>
      <c r="AI985" s="5" t="s">
        <v>249</v>
      </c>
      <c r="AJ985" s="4" t="s">
        <v>251</v>
      </c>
      <c r="AK985" s="4" t="s">
        <v>252</v>
      </c>
      <c r="AQ985" s="4" t="s">
        <v>241</v>
      </c>
      <c r="AR985" s="4" t="s">
        <v>241</v>
      </c>
      <c r="AS985" s="4" t="s">
        <v>241</v>
      </c>
      <c r="AT985" s="5" t="s">
        <v>241</v>
      </c>
      <c r="AU985" s="5" t="s">
        <v>241</v>
      </c>
      <c r="AV985" s="5" t="s">
        <v>241</v>
      </c>
      <c r="AY985" s="4" t="s">
        <v>286</v>
      </c>
      <c r="AZ985" s="4" t="s">
        <v>286</v>
      </c>
      <c r="BA985" s="4" t="s">
        <v>254</v>
      </c>
      <c r="BB985" s="4" t="s">
        <v>287</v>
      </c>
      <c r="BC985" s="4" t="s">
        <v>255</v>
      </c>
      <c r="BD985" s="4" t="s">
        <v>241</v>
      </c>
      <c r="BE985" s="4" t="s">
        <v>257</v>
      </c>
      <c r="BF985" s="4" t="s">
        <v>241</v>
      </c>
      <c r="BJ985" s="4" t="s">
        <v>288</v>
      </c>
      <c r="BK985" s="5" t="s">
        <v>289</v>
      </c>
      <c r="BL985" s="4" t="s">
        <v>290</v>
      </c>
      <c r="BM985" s="4" t="s">
        <v>290</v>
      </c>
      <c r="BN985" s="4" t="s">
        <v>241</v>
      </c>
      <c r="BO985" s="6">
        <f>0</f>
        <v>0</v>
      </c>
      <c r="BP985" s="6">
        <f>-764428</f>
        <v>-764428</v>
      </c>
      <c r="BQ985" s="4" t="s">
        <v>263</v>
      </c>
      <c r="BR985" s="4" t="s">
        <v>264</v>
      </c>
      <c r="BS985" s="4" t="s">
        <v>241</v>
      </c>
      <c r="BT985" s="4" t="s">
        <v>241</v>
      </c>
      <c r="BU985" s="4" t="s">
        <v>241</v>
      </c>
      <c r="BV985" s="4" t="s">
        <v>241</v>
      </c>
      <c r="CE985" s="4" t="s">
        <v>264</v>
      </c>
      <c r="CF985" s="4" t="s">
        <v>241</v>
      </c>
      <c r="CG985" s="4" t="s">
        <v>241</v>
      </c>
      <c r="CK985" s="4" t="s">
        <v>291</v>
      </c>
      <c r="CL985" s="4" t="s">
        <v>266</v>
      </c>
      <c r="CM985" s="4" t="s">
        <v>241</v>
      </c>
      <c r="CO985" s="4" t="s">
        <v>1542</v>
      </c>
      <c r="CP985" s="5" t="s">
        <v>268</v>
      </c>
      <c r="CQ985" s="4" t="s">
        <v>269</v>
      </c>
      <c r="CR985" s="4" t="s">
        <v>270</v>
      </c>
      <c r="CS985" s="4" t="s">
        <v>293</v>
      </c>
      <c r="CT985" s="4" t="s">
        <v>241</v>
      </c>
      <c r="CU985" s="4">
        <v>4.5999999999999999E-2</v>
      </c>
      <c r="CV985" s="4" t="s">
        <v>271</v>
      </c>
      <c r="CW985" s="4" t="s">
        <v>411</v>
      </c>
      <c r="CX985" s="4" t="s">
        <v>347</v>
      </c>
      <c r="CY985" s="6">
        <f>0</f>
        <v>0</v>
      </c>
      <c r="CZ985" s="6">
        <f>16618000</f>
        <v>16618000</v>
      </c>
      <c r="DA985" s="6">
        <f>11267004</f>
        <v>11267004</v>
      </c>
      <c r="DC985" s="4" t="s">
        <v>241</v>
      </c>
      <c r="DD985" s="4" t="s">
        <v>241</v>
      </c>
      <c r="DF985" s="4" t="s">
        <v>241</v>
      </c>
      <c r="DG985" s="6">
        <f>0</f>
        <v>0</v>
      </c>
      <c r="DI985" s="4" t="s">
        <v>241</v>
      </c>
      <c r="DJ985" s="4" t="s">
        <v>241</v>
      </c>
      <c r="DK985" s="4" t="s">
        <v>241</v>
      </c>
      <c r="DL985" s="4" t="s">
        <v>241</v>
      </c>
      <c r="DM985" s="4" t="s">
        <v>323</v>
      </c>
      <c r="DN985" s="4" t="s">
        <v>278</v>
      </c>
      <c r="DO985" s="6">
        <f t="shared" si="91"/>
        <v>81.14</v>
      </c>
      <c r="DP985" s="4" t="s">
        <v>241</v>
      </c>
      <c r="DQ985" s="4" t="s">
        <v>241</v>
      </c>
      <c r="DR985" s="4" t="s">
        <v>241</v>
      </c>
      <c r="DS985" s="4" t="s">
        <v>241</v>
      </c>
      <c r="DV985" s="4" t="s">
        <v>2297</v>
      </c>
      <c r="DW985" s="4" t="s">
        <v>277</v>
      </c>
      <c r="GN985" s="4" t="s">
        <v>2307</v>
      </c>
      <c r="HO985" s="4" t="s">
        <v>300</v>
      </c>
      <c r="HR985" s="4" t="s">
        <v>278</v>
      </c>
      <c r="HS985" s="4" t="s">
        <v>278</v>
      </c>
      <c r="HT985" s="4" t="s">
        <v>241</v>
      </c>
      <c r="HU985" s="4" t="s">
        <v>241</v>
      </c>
      <c r="HV985" s="4" t="s">
        <v>241</v>
      </c>
      <c r="HW985" s="4" t="s">
        <v>241</v>
      </c>
      <c r="HX985" s="4" t="s">
        <v>241</v>
      </c>
      <c r="HY985" s="4" t="s">
        <v>241</v>
      </c>
      <c r="HZ985" s="4" t="s">
        <v>241</v>
      </c>
      <c r="IA985" s="4" t="s">
        <v>241</v>
      </c>
      <c r="IB985" s="4" t="s">
        <v>241</v>
      </c>
      <c r="IC985" s="4" t="s">
        <v>241</v>
      </c>
      <c r="ID985" s="4" t="s">
        <v>241</v>
      </c>
      <c r="IE985" s="4" t="s">
        <v>241</v>
      </c>
      <c r="IF985" s="4" t="s">
        <v>241</v>
      </c>
    </row>
    <row r="986" spans="1:240" x14ac:dyDescent="0.4">
      <c r="A986" s="4">
        <v>2</v>
      </c>
      <c r="B986" s="4" t="s">
        <v>239</v>
      </c>
      <c r="C986" s="4">
        <v>1057</v>
      </c>
      <c r="D986" s="4">
        <v>1</v>
      </c>
      <c r="E986" s="4">
        <v>3</v>
      </c>
      <c r="F986" s="4" t="s">
        <v>240</v>
      </c>
      <c r="G986" s="4" t="s">
        <v>241</v>
      </c>
      <c r="H986" s="4" t="s">
        <v>241</v>
      </c>
      <c r="I986" s="4" t="s">
        <v>2294</v>
      </c>
      <c r="J986" s="4" t="s">
        <v>344</v>
      </c>
      <c r="K986" s="4" t="s">
        <v>256</v>
      </c>
      <c r="L986" s="4" t="s">
        <v>2101</v>
      </c>
      <c r="M986" s="5" t="s">
        <v>2296</v>
      </c>
      <c r="N986" s="4" t="s">
        <v>2109</v>
      </c>
      <c r="O986" s="6">
        <f t="shared" si="90"/>
        <v>81.14</v>
      </c>
      <c r="P986" s="4" t="s">
        <v>276</v>
      </c>
      <c r="Q986" s="6">
        <f>11267004</f>
        <v>11267004</v>
      </c>
      <c r="R986" s="6">
        <f>16618000</f>
        <v>16618000</v>
      </c>
      <c r="S986" s="5" t="s">
        <v>2302</v>
      </c>
      <c r="T986" s="4" t="s">
        <v>314</v>
      </c>
      <c r="U986" s="4" t="s">
        <v>300</v>
      </c>
      <c r="V986" s="6">
        <f>764428</f>
        <v>764428</v>
      </c>
      <c r="W986" s="6">
        <f>5350996</f>
        <v>5350996</v>
      </c>
      <c r="X986" s="4" t="s">
        <v>243</v>
      </c>
      <c r="Y986" s="4" t="s">
        <v>244</v>
      </c>
      <c r="Z986" s="4" t="s">
        <v>338</v>
      </c>
      <c r="AA986" s="4" t="s">
        <v>241</v>
      </c>
      <c r="AD986" s="4" t="s">
        <v>241</v>
      </c>
      <c r="AE986" s="5" t="s">
        <v>241</v>
      </c>
      <c r="AF986" s="5" t="s">
        <v>241</v>
      </c>
      <c r="AH986" s="5" t="s">
        <v>241</v>
      </c>
      <c r="AI986" s="5" t="s">
        <v>249</v>
      </c>
      <c r="AJ986" s="4" t="s">
        <v>251</v>
      </c>
      <c r="AK986" s="4" t="s">
        <v>252</v>
      </c>
      <c r="AQ986" s="4" t="s">
        <v>241</v>
      </c>
      <c r="AR986" s="4" t="s">
        <v>241</v>
      </c>
      <c r="AS986" s="4" t="s">
        <v>241</v>
      </c>
      <c r="AT986" s="5" t="s">
        <v>241</v>
      </c>
      <c r="AU986" s="5" t="s">
        <v>241</v>
      </c>
      <c r="AV986" s="5" t="s">
        <v>241</v>
      </c>
      <c r="AY986" s="4" t="s">
        <v>286</v>
      </c>
      <c r="AZ986" s="4" t="s">
        <v>286</v>
      </c>
      <c r="BA986" s="4" t="s">
        <v>254</v>
      </c>
      <c r="BB986" s="4" t="s">
        <v>287</v>
      </c>
      <c r="BC986" s="4" t="s">
        <v>255</v>
      </c>
      <c r="BD986" s="4" t="s">
        <v>241</v>
      </c>
      <c r="BE986" s="4" t="s">
        <v>257</v>
      </c>
      <c r="BF986" s="4" t="s">
        <v>241</v>
      </c>
      <c r="BJ986" s="4" t="s">
        <v>288</v>
      </c>
      <c r="BK986" s="5" t="s">
        <v>289</v>
      </c>
      <c r="BL986" s="4" t="s">
        <v>290</v>
      </c>
      <c r="BM986" s="4" t="s">
        <v>290</v>
      </c>
      <c r="BN986" s="4" t="s">
        <v>241</v>
      </c>
      <c r="BO986" s="6">
        <f>0</f>
        <v>0</v>
      </c>
      <c r="BP986" s="6">
        <f>-764428</f>
        <v>-764428</v>
      </c>
      <c r="BQ986" s="4" t="s">
        <v>263</v>
      </c>
      <c r="BR986" s="4" t="s">
        <v>264</v>
      </c>
      <c r="BS986" s="4" t="s">
        <v>241</v>
      </c>
      <c r="BT986" s="4" t="s">
        <v>241</v>
      </c>
      <c r="BU986" s="4" t="s">
        <v>241</v>
      </c>
      <c r="BV986" s="4" t="s">
        <v>241</v>
      </c>
      <c r="CE986" s="4" t="s">
        <v>264</v>
      </c>
      <c r="CF986" s="4" t="s">
        <v>241</v>
      </c>
      <c r="CG986" s="4" t="s">
        <v>241</v>
      </c>
      <c r="CK986" s="4" t="s">
        <v>291</v>
      </c>
      <c r="CL986" s="4" t="s">
        <v>266</v>
      </c>
      <c r="CM986" s="4" t="s">
        <v>241</v>
      </c>
      <c r="CO986" s="4" t="s">
        <v>1542</v>
      </c>
      <c r="CP986" s="5" t="s">
        <v>268</v>
      </c>
      <c r="CQ986" s="4" t="s">
        <v>269</v>
      </c>
      <c r="CR986" s="4" t="s">
        <v>270</v>
      </c>
      <c r="CS986" s="4" t="s">
        <v>293</v>
      </c>
      <c r="CT986" s="4" t="s">
        <v>241</v>
      </c>
      <c r="CU986" s="4">
        <v>4.5999999999999999E-2</v>
      </c>
      <c r="CV986" s="4" t="s">
        <v>271</v>
      </c>
      <c r="CW986" s="4" t="s">
        <v>411</v>
      </c>
      <c r="CX986" s="4" t="s">
        <v>347</v>
      </c>
      <c r="CY986" s="6">
        <f>0</f>
        <v>0</v>
      </c>
      <c r="CZ986" s="6">
        <f>16618000</f>
        <v>16618000</v>
      </c>
      <c r="DA986" s="6">
        <f>11267004</f>
        <v>11267004</v>
      </c>
      <c r="DC986" s="4" t="s">
        <v>241</v>
      </c>
      <c r="DD986" s="4" t="s">
        <v>241</v>
      </c>
      <c r="DF986" s="4" t="s">
        <v>241</v>
      </c>
      <c r="DG986" s="6">
        <f>0</f>
        <v>0</v>
      </c>
      <c r="DI986" s="4" t="s">
        <v>241</v>
      </c>
      <c r="DJ986" s="4" t="s">
        <v>241</v>
      </c>
      <c r="DK986" s="4" t="s">
        <v>241</v>
      </c>
      <c r="DL986" s="4" t="s">
        <v>241</v>
      </c>
      <c r="DM986" s="4" t="s">
        <v>323</v>
      </c>
      <c r="DN986" s="4" t="s">
        <v>278</v>
      </c>
      <c r="DO986" s="6">
        <f t="shared" si="91"/>
        <v>81.14</v>
      </c>
      <c r="DP986" s="4" t="s">
        <v>241</v>
      </c>
      <c r="DQ986" s="4" t="s">
        <v>241</v>
      </c>
      <c r="DR986" s="4" t="s">
        <v>241</v>
      </c>
      <c r="DS986" s="4" t="s">
        <v>241</v>
      </c>
      <c r="DV986" s="4" t="s">
        <v>2297</v>
      </c>
      <c r="DW986" s="4" t="s">
        <v>323</v>
      </c>
      <c r="GN986" s="4" t="s">
        <v>2306</v>
      </c>
      <c r="HO986" s="4" t="s">
        <v>300</v>
      </c>
      <c r="HR986" s="4" t="s">
        <v>278</v>
      </c>
      <c r="HS986" s="4" t="s">
        <v>278</v>
      </c>
      <c r="HT986" s="4" t="s">
        <v>241</v>
      </c>
      <c r="HU986" s="4" t="s">
        <v>241</v>
      </c>
      <c r="HV986" s="4" t="s">
        <v>241</v>
      </c>
      <c r="HW986" s="4" t="s">
        <v>241</v>
      </c>
      <c r="HX986" s="4" t="s">
        <v>241</v>
      </c>
      <c r="HY986" s="4" t="s">
        <v>241</v>
      </c>
      <c r="HZ986" s="4" t="s">
        <v>241</v>
      </c>
      <c r="IA986" s="4" t="s">
        <v>241</v>
      </c>
      <c r="IB986" s="4" t="s">
        <v>241</v>
      </c>
      <c r="IC986" s="4" t="s">
        <v>241</v>
      </c>
      <c r="ID986" s="4" t="s">
        <v>241</v>
      </c>
      <c r="IE986" s="4" t="s">
        <v>241</v>
      </c>
      <c r="IF986" s="4" t="s">
        <v>241</v>
      </c>
    </row>
    <row r="987" spans="1:240" x14ac:dyDescent="0.4">
      <c r="A987" s="4">
        <v>2</v>
      </c>
      <c r="B987" s="4" t="s">
        <v>239</v>
      </c>
      <c r="C987" s="4">
        <v>1058</v>
      </c>
      <c r="D987" s="4">
        <v>1</v>
      </c>
      <c r="E987" s="4">
        <v>3</v>
      </c>
      <c r="F987" s="4" t="s">
        <v>240</v>
      </c>
      <c r="G987" s="4" t="s">
        <v>241</v>
      </c>
      <c r="H987" s="4" t="s">
        <v>241</v>
      </c>
      <c r="I987" s="4" t="s">
        <v>2294</v>
      </c>
      <c r="J987" s="4" t="s">
        <v>344</v>
      </c>
      <c r="K987" s="4" t="s">
        <v>256</v>
      </c>
      <c r="L987" s="4" t="s">
        <v>2101</v>
      </c>
      <c r="M987" s="5" t="s">
        <v>2296</v>
      </c>
      <c r="N987" s="4" t="s">
        <v>2110</v>
      </c>
      <c r="O987" s="6">
        <f>57.96</f>
        <v>57.96</v>
      </c>
      <c r="P987" s="4" t="s">
        <v>276</v>
      </c>
      <c r="Q987" s="6">
        <f>8951634</f>
        <v>8951634</v>
      </c>
      <c r="R987" s="6">
        <f>13203000</f>
        <v>13203000</v>
      </c>
      <c r="S987" s="5" t="s">
        <v>2302</v>
      </c>
      <c r="T987" s="4" t="s">
        <v>314</v>
      </c>
      <c r="U987" s="4" t="s">
        <v>300</v>
      </c>
      <c r="V987" s="6">
        <f>607338</f>
        <v>607338</v>
      </c>
      <c r="W987" s="6">
        <f>4251366</f>
        <v>4251366</v>
      </c>
      <c r="X987" s="4" t="s">
        <v>243</v>
      </c>
      <c r="Y987" s="4" t="s">
        <v>244</v>
      </c>
      <c r="Z987" s="4" t="s">
        <v>338</v>
      </c>
      <c r="AA987" s="4" t="s">
        <v>241</v>
      </c>
      <c r="AD987" s="4" t="s">
        <v>241</v>
      </c>
      <c r="AE987" s="5" t="s">
        <v>241</v>
      </c>
      <c r="AF987" s="5" t="s">
        <v>241</v>
      </c>
      <c r="AH987" s="5" t="s">
        <v>241</v>
      </c>
      <c r="AI987" s="5" t="s">
        <v>249</v>
      </c>
      <c r="AJ987" s="4" t="s">
        <v>251</v>
      </c>
      <c r="AK987" s="4" t="s">
        <v>252</v>
      </c>
      <c r="AQ987" s="4" t="s">
        <v>241</v>
      </c>
      <c r="AR987" s="4" t="s">
        <v>241</v>
      </c>
      <c r="AS987" s="4" t="s">
        <v>241</v>
      </c>
      <c r="AT987" s="5" t="s">
        <v>241</v>
      </c>
      <c r="AU987" s="5" t="s">
        <v>241</v>
      </c>
      <c r="AV987" s="5" t="s">
        <v>241</v>
      </c>
      <c r="AY987" s="4" t="s">
        <v>286</v>
      </c>
      <c r="AZ987" s="4" t="s">
        <v>286</v>
      </c>
      <c r="BA987" s="4" t="s">
        <v>254</v>
      </c>
      <c r="BB987" s="4" t="s">
        <v>287</v>
      </c>
      <c r="BC987" s="4" t="s">
        <v>255</v>
      </c>
      <c r="BD987" s="4" t="s">
        <v>241</v>
      </c>
      <c r="BE987" s="4" t="s">
        <v>257</v>
      </c>
      <c r="BF987" s="4" t="s">
        <v>241</v>
      </c>
      <c r="BJ987" s="4" t="s">
        <v>288</v>
      </c>
      <c r="BK987" s="5" t="s">
        <v>289</v>
      </c>
      <c r="BL987" s="4" t="s">
        <v>290</v>
      </c>
      <c r="BM987" s="4" t="s">
        <v>290</v>
      </c>
      <c r="BN987" s="4" t="s">
        <v>241</v>
      </c>
      <c r="BO987" s="6">
        <f>0</f>
        <v>0</v>
      </c>
      <c r="BP987" s="6">
        <f>-607338</f>
        <v>-607338</v>
      </c>
      <c r="BQ987" s="4" t="s">
        <v>263</v>
      </c>
      <c r="BR987" s="4" t="s">
        <v>264</v>
      </c>
      <c r="BS987" s="4" t="s">
        <v>241</v>
      </c>
      <c r="BT987" s="4" t="s">
        <v>241</v>
      </c>
      <c r="BU987" s="4" t="s">
        <v>241</v>
      </c>
      <c r="BV987" s="4" t="s">
        <v>241</v>
      </c>
      <c r="CE987" s="4" t="s">
        <v>264</v>
      </c>
      <c r="CF987" s="4" t="s">
        <v>241</v>
      </c>
      <c r="CG987" s="4" t="s">
        <v>241</v>
      </c>
      <c r="CK987" s="4" t="s">
        <v>291</v>
      </c>
      <c r="CL987" s="4" t="s">
        <v>266</v>
      </c>
      <c r="CM987" s="4" t="s">
        <v>241</v>
      </c>
      <c r="CO987" s="4" t="s">
        <v>1542</v>
      </c>
      <c r="CP987" s="5" t="s">
        <v>268</v>
      </c>
      <c r="CQ987" s="4" t="s">
        <v>269</v>
      </c>
      <c r="CR987" s="4" t="s">
        <v>270</v>
      </c>
      <c r="CS987" s="4" t="s">
        <v>293</v>
      </c>
      <c r="CT987" s="4" t="s">
        <v>241</v>
      </c>
      <c r="CU987" s="4">
        <v>4.5999999999999999E-2</v>
      </c>
      <c r="CV987" s="4" t="s">
        <v>271</v>
      </c>
      <c r="CW987" s="4" t="s">
        <v>411</v>
      </c>
      <c r="CX987" s="4" t="s">
        <v>347</v>
      </c>
      <c r="CY987" s="6">
        <f>0</f>
        <v>0</v>
      </c>
      <c r="CZ987" s="6">
        <f>13203000</f>
        <v>13203000</v>
      </c>
      <c r="DA987" s="6">
        <f>8951634</f>
        <v>8951634</v>
      </c>
      <c r="DC987" s="4" t="s">
        <v>241</v>
      </c>
      <c r="DD987" s="4" t="s">
        <v>241</v>
      </c>
      <c r="DF987" s="4" t="s">
        <v>241</v>
      </c>
      <c r="DG987" s="6">
        <f>0</f>
        <v>0</v>
      </c>
      <c r="DI987" s="4" t="s">
        <v>241</v>
      </c>
      <c r="DJ987" s="4" t="s">
        <v>241</v>
      </c>
      <c r="DK987" s="4" t="s">
        <v>241</v>
      </c>
      <c r="DL987" s="4" t="s">
        <v>241</v>
      </c>
      <c r="DM987" s="4" t="s">
        <v>277</v>
      </c>
      <c r="DN987" s="4" t="s">
        <v>278</v>
      </c>
      <c r="DO987" s="6">
        <f>57.96</f>
        <v>57.96</v>
      </c>
      <c r="DP987" s="4" t="s">
        <v>241</v>
      </c>
      <c r="DQ987" s="4" t="s">
        <v>241</v>
      </c>
      <c r="DR987" s="4" t="s">
        <v>241</v>
      </c>
      <c r="DS987" s="4" t="s">
        <v>241</v>
      </c>
      <c r="DV987" s="4" t="s">
        <v>2297</v>
      </c>
      <c r="DW987" s="4" t="s">
        <v>297</v>
      </c>
      <c r="GN987" s="4" t="s">
        <v>2305</v>
      </c>
      <c r="HO987" s="4" t="s">
        <v>300</v>
      </c>
      <c r="HR987" s="4" t="s">
        <v>278</v>
      </c>
      <c r="HS987" s="4" t="s">
        <v>278</v>
      </c>
      <c r="HT987" s="4" t="s">
        <v>241</v>
      </c>
      <c r="HU987" s="4" t="s">
        <v>241</v>
      </c>
      <c r="HV987" s="4" t="s">
        <v>241</v>
      </c>
      <c r="HW987" s="4" t="s">
        <v>241</v>
      </c>
      <c r="HX987" s="4" t="s">
        <v>241</v>
      </c>
      <c r="HY987" s="4" t="s">
        <v>241</v>
      </c>
      <c r="HZ987" s="4" t="s">
        <v>241</v>
      </c>
      <c r="IA987" s="4" t="s">
        <v>241</v>
      </c>
      <c r="IB987" s="4" t="s">
        <v>241</v>
      </c>
      <c r="IC987" s="4" t="s">
        <v>241</v>
      </c>
      <c r="ID987" s="4" t="s">
        <v>241</v>
      </c>
      <c r="IE987" s="4" t="s">
        <v>241</v>
      </c>
      <c r="IF987" s="4" t="s">
        <v>241</v>
      </c>
    </row>
    <row r="988" spans="1:240" x14ac:dyDescent="0.4">
      <c r="A988" s="4">
        <v>2</v>
      </c>
      <c r="B988" s="4" t="s">
        <v>239</v>
      </c>
      <c r="C988" s="4">
        <v>1059</v>
      </c>
      <c r="D988" s="4">
        <v>1</v>
      </c>
      <c r="E988" s="4">
        <v>3</v>
      </c>
      <c r="F988" s="4" t="s">
        <v>240</v>
      </c>
      <c r="G988" s="4" t="s">
        <v>241</v>
      </c>
      <c r="H988" s="4" t="s">
        <v>241</v>
      </c>
      <c r="I988" s="4" t="s">
        <v>2294</v>
      </c>
      <c r="J988" s="4" t="s">
        <v>344</v>
      </c>
      <c r="K988" s="4" t="s">
        <v>256</v>
      </c>
      <c r="L988" s="4" t="s">
        <v>2101</v>
      </c>
      <c r="M988" s="5" t="s">
        <v>2296</v>
      </c>
      <c r="N988" s="4" t="s">
        <v>2122</v>
      </c>
      <c r="O988" s="6">
        <f>57.96</f>
        <v>57.96</v>
      </c>
      <c r="P988" s="4" t="s">
        <v>276</v>
      </c>
      <c r="Q988" s="6">
        <f>8951634</f>
        <v>8951634</v>
      </c>
      <c r="R988" s="6">
        <f>13203000</f>
        <v>13203000</v>
      </c>
      <c r="S988" s="5" t="s">
        <v>2302</v>
      </c>
      <c r="T988" s="4" t="s">
        <v>314</v>
      </c>
      <c r="U988" s="4" t="s">
        <v>300</v>
      </c>
      <c r="V988" s="6">
        <f>607338</f>
        <v>607338</v>
      </c>
      <c r="W988" s="6">
        <f>4251366</f>
        <v>4251366</v>
      </c>
      <c r="X988" s="4" t="s">
        <v>243</v>
      </c>
      <c r="Y988" s="4" t="s">
        <v>244</v>
      </c>
      <c r="Z988" s="4" t="s">
        <v>338</v>
      </c>
      <c r="AA988" s="4" t="s">
        <v>241</v>
      </c>
      <c r="AD988" s="4" t="s">
        <v>241</v>
      </c>
      <c r="AE988" s="5" t="s">
        <v>241</v>
      </c>
      <c r="AF988" s="5" t="s">
        <v>241</v>
      </c>
      <c r="AH988" s="5" t="s">
        <v>241</v>
      </c>
      <c r="AI988" s="5" t="s">
        <v>249</v>
      </c>
      <c r="AJ988" s="4" t="s">
        <v>251</v>
      </c>
      <c r="AK988" s="4" t="s">
        <v>252</v>
      </c>
      <c r="AQ988" s="4" t="s">
        <v>241</v>
      </c>
      <c r="AR988" s="4" t="s">
        <v>241</v>
      </c>
      <c r="AS988" s="4" t="s">
        <v>241</v>
      </c>
      <c r="AT988" s="5" t="s">
        <v>241</v>
      </c>
      <c r="AU988" s="5" t="s">
        <v>241</v>
      </c>
      <c r="AV988" s="5" t="s">
        <v>241</v>
      </c>
      <c r="AY988" s="4" t="s">
        <v>286</v>
      </c>
      <c r="AZ988" s="4" t="s">
        <v>286</v>
      </c>
      <c r="BA988" s="4" t="s">
        <v>254</v>
      </c>
      <c r="BB988" s="4" t="s">
        <v>287</v>
      </c>
      <c r="BC988" s="4" t="s">
        <v>255</v>
      </c>
      <c r="BD988" s="4" t="s">
        <v>241</v>
      </c>
      <c r="BE988" s="4" t="s">
        <v>257</v>
      </c>
      <c r="BF988" s="4" t="s">
        <v>241</v>
      </c>
      <c r="BJ988" s="4" t="s">
        <v>288</v>
      </c>
      <c r="BK988" s="5" t="s">
        <v>289</v>
      </c>
      <c r="BL988" s="4" t="s">
        <v>290</v>
      </c>
      <c r="BM988" s="4" t="s">
        <v>290</v>
      </c>
      <c r="BN988" s="4" t="s">
        <v>241</v>
      </c>
      <c r="BO988" s="6">
        <f>0</f>
        <v>0</v>
      </c>
      <c r="BP988" s="6">
        <f>-607338</f>
        <v>-607338</v>
      </c>
      <c r="BQ988" s="4" t="s">
        <v>263</v>
      </c>
      <c r="BR988" s="4" t="s">
        <v>264</v>
      </c>
      <c r="BS988" s="4" t="s">
        <v>241</v>
      </c>
      <c r="BT988" s="4" t="s">
        <v>241</v>
      </c>
      <c r="BU988" s="4" t="s">
        <v>241</v>
      </c>
      <c r="BV988" s="4" t="s">
        <v>241</v>
      </c>
      <c r="CE988" s="4" t="s">
        <v>264</v>
      </c>
      <c r="CF988" s="4" t="s">
        <v>241</v>
      </c>
      <c r="CG988" s="4" t="s">
        <v>241</v>
      </c>
      <c r="CK988" s="4" t="s">
        <v>291</v>
      </c>
      <c r="CL988" s="4" t="s">
        <v>266</v>
      </c>
      <c r="CM988" s="4" t="s">
        <v>241</v>
      </c>
      <c r="CO988" s="4" t="s">
        <v>1542</v>
      </c>
      <c r="CP988" s="5" t="s">
        <v>268</v>
      </c>
      <c r="CQ988" s="4" t="s">
        <v>269</v>
      </c>
      <c r="CR988" s="4" t="s">
        <v>270</v>
      </c>
      <c r="CS988" s="4" t="s">
        <v>293</v>
      </c>
      <c r="CT988" s="4" t="s">
        <v>241</v>
      </c>
      <c r="CU988" s="4">
        <v>4.5999999999999999E-2</v>
      </c>
      <c r="CV988" s="4" t="s">
        <v>271</v>
      </c>
      <c r="CW988" s="4" t="s">
        <v>411</v>
      </c>
      <c r="CX988" s="4" t="s">
        <v>347</v>
      </c>
      <c r="CY988" s="6">
        <f>0</f>
        <v>0</v>
      </c>
      <c r="CZ988" s="6">
        <f>13203000</f>
        <v>13203000</v>
      </c>
      <c r="DA988" s="6">
        <f>8951634</f>
        <v>8951634</v>
      </c>
      <c r="DC988" s="4" t="s">
        <v>241</v>
      </c>
      <c r="DD988" s="4" t="s">
        <v>241</v>
      </c>
      <c r="DF988" s="4" t="s">
        <v>241</v>
      </c>
      <c r="DG988" s="6">
        <f>0</f>
        <v>0</v>
      </c>
      <c r="DI988" s="4" t="s">
        <v>241</v>
      </c>
      <c r="DJ988" s="4" t="s">
        <v>241</v>
      </c>
      <c r="DK988" s="4" t="s">
        <v>241</v>
      </c>
      <c r="DL988" s="4" t="s">
        <v>241</v>
      </c>
      <c r="DM988" s="4" t="s">
        <v>277</v>
      </c>
      <c r="DN988" s="4" t="s">
        <v>278</v>
      </c>
      <c r="DO988" s="6">
        <f>57.96</f>
        <v>57.96</v>
      </c>
      <c r="DP988" s="4" t="s">
        <v>241</v>
      </c>
      <c r="DQ988" s="4" t="s">
        <v>241</v>
      </c>
      <c r="DR988" s="4" t="s">
        <v>241</v>
      </c>
      <c r="DS988" s="4" t="s">
        <v>241</v>
      </c>
      <c r="DV988" s="4" t="s">
        <v>2297</v>
      </c>
      <c r="DW988" s="4" t="s">
        <v>336</v>
      </c>
      <c r="GN988" s="4" t="s">
        <v>2304</v>
      </c>
      <c r="HO988" s="4" t="s">
        <v>300</v>
      </c>
      <c r="HR988" s="4" t="s">
        <v>278</v>
      </c>
      <c r="HS988" s="4" t="s">
        <v>278</v>
      </c>
      <c r="HT988" s="4" t="s">
        <v>241</v>
      </c>
      <c r="HU988" s="4" t="s">
        <v>241</v>
      </c>
      <c r="HV988" s="4" t="s">
        <v>241</v>
      </c>
      <c r="HW988" s="4" t="s">
        <v>241</v>
      </c>
      <c r="HX988" s="4" t="s">
        <v>241</v>
      </c>
      <c r="HY988" s="4" t="s">
        <v>241</v>
      </c>
      <c r="HZ988" s="4" t="s">
        <v>241</v>
      </c>
      <c r="IA988" s="4" t="s">
        <v>241</v>
      </c>
      <c r="IB988" s="4" t="s">
        <v>241</v>
      </c>
      <c r="IC988" s="4" t="s">
        <v>241</v>
      </c>
      <c r="ID988" s="4" t="s">
        <v>241</v>
      </c>
      <c r="IE988" s="4" t="s">
        <v>241</v>
      </c>
      <c r="IF988" s="4" t="s">
        <v>241</v>
      </c>
    </row>
    <row r="989" spans="1:240" x14ac:dyDescent="0.4">
      <c r="A989" s="4">
        <v>2</v>
      </c>
      <c r="B989" s="4" t="s">
        <v>239</v>
      </c>
      <c r="C989" s="4">
        <v>1060</v>
      </c>
      <c r="D989" s="4">
        <v>1</v>
      </c>
      <c r="E989" s="4">
        <v>3</v>
      </c>
      <c r="F989" s="4" t="s">
        <v>240</v>
      </c>
      <c r="G989" s="4" t="s">
        <v>241</v>
      </c>
      <c r="H989" s="4" t="s">
        <v>241</v>
      </c>
      <c r="I989" s="4" t="s">
        <v>2294</v>
      </c>
      <c r="J989" s="4" t="s">
        <v>344</v>
      </c>
      <c r="K989" s="4" t="s">
        <v>256</v>
      </c>
      <c r="L989" s="4" t="s">
        <v>2101</v>
      </c>
      <c r="M989" s="5" t="s">
        <v>2296</v>
      </c>
      <c r="N989" s="4" t="s">
        <v>2098</v>
      </c>
      <c r="O989" s="6">
        <f>57.96</f>
        <v>57.96</v>
      </c>
      <c r="P989" s="4" t="s">
        <v>276</v>
      </c>
      <c r="Q989" s="6">
        <f>8951634</f>
        <v>8951634</v>
      </c>
      <c r="R989" s="6">
        <f>13203000</f>
        <v>13203000</v>
      </c>
      <c r="S989" s="5" t="s">
        <v>2302</v>
      </c>
      <c r="T989" s="4" t="s">
        <v>314</v>
      </c>
      <c r="U989" s="4" t="s">
        <v>300</v>
      </c>
      <c r="V989" s="6">
        <f>607338</f>
        <v>607338</v>
      </c>
      <c r="W989" s="6">
        <f>4251366</f>
        <v>4251366</v>
      </c>
      <c r="X989" s="4" t="s">
        <v>243</v>
      </c>
      <c r="Y989" s="4" t="s">
        <v>244</v>
      </c>
      <c r="Z989" s="4" t="s">
        <v>338</v>
      </c>
      <c r="AA989" s="4" t="s">
        <v>241</v>
      </c>
      <c r="AD989" s="4" t="s">
        <v>241</v>
      </c>
      <c r="AE989" s="5" t="s">
        <v>241</v>
      </c>
      <c r="AF989" s="5" t="s">
        <v>241</v>
      </c>
      <c r="AH989" s="5" t="s">
        <v>241</v>
      </c>
      <c r="AI989" s="5" t="s">
        <v>973</v>
      </c>
      <c r="AJ989" s="4" t="s">
        <v>251</v>
      </c>
      <c r="AK989" s="4" t="s">
        <v>252</v>
      </c>
      <c r="AQ989" s="4" t="s">
        <v>241</v>
      </c>
      <c r="AR989" s="4" t="s">
        <v>241</v>
      </c>
      <c r="AS989" s="4" t="s">
        <v>241</v>
      </c>
      <c r="AT989" s="5" t="s">
        <v>241</v>
      </c>
      <c r="AU989" s="5" t="s">
        <v>241</v>
      </c>
      <c r="AV989" s="5" t="s">
        <v>241</v>
      </c>
      <c r="AY989" s="4" t="s">
        <v>286</v>
      </c>
      <c r="AZ989" s="4" t="s">
        <v>286</v>
      </c>
      <c r="BA989" s="4" t="s">
        <v>254</v>
      </c>
      <c r="BB989" s="4" t="s">
        <v>287</v>
      </c>
      <c r="BC989" s="4" t="s">
        <v>255</v>
      </c>
      <c r="BD989" s="4" t="s">
        <v>241</v>
      </c>
      <c r="BE989" s="4" t="s">
        <v>257</v>
      </c>
      <c r="BF989" s="4" t="s">
        <v>241</v>
      </c>
      <c r="BJ989" s="4" t="s">
        <v>288</v>
      </c>
      <c r="BK989" s="5" t="s">
        <v>289</v>
      </c>
      <c r="BL989" s="4" t="s">
        <v>290</v>
      </c>
      <c r="BM989" s="4" t="s">
        <v>290</v>
      </c>
      <c r="BN989" s="4" t="s">
        <v>241</v>
      </c>
      <c r="BO989" s="6">
        <f>0</f>
        <v>0</v>
      </c>
      <c r="BP989" s="6">
        <f>-607338</f>
        <v>-607338</v>
      </c>
      <c r="BQ989" s="4" t="s">
        <v>263</v>
      </c>
      <c r="BR989" s="4" t="s">
        <v>264</v>
      </c>
      <c r="BS989" s="4" t="s">
        <v>241</v>
      </c>
      <c r="BT989" s="4" t="s">
        <v>241</v>
      </c>
      <c r="BU989" s="4" t="s">
        <v>241</v>
      </c>
      <c r="BV989" s="4" t="s">
        <v>241</v>
      </c>
      <c r="CE989" s="4" t="s">
        <v>264</v>
      </c>
      <c r="CF989" s="4" t="s">
        <v>241</v>
      </c>
      <c r="CG989" s="4" t="s">
        <v>241</v>
      </c>
      <c r="CK989" s="4" t="s">
        <v>291</v>
      </c>
      <c r="CL989" s="4" t="s">
        <v>266</v>
      </c>
      <c r="CM989" s="4" t="s">
        <v>241</v>
      </c>
      <c r="CO989" s="4" t="s">
        <v>1542</v>
      </c>
      <c r="CP989" s="5" t="s">
        <v>268</v>
      </c>
      <c r="CQ989" s="4" t="s">
        <v>269</v>
      </c>
      <c r="CR989" s="4" t="s">
        <v>270</v>
      </c>
      <c r="CS989" s="4" t="s">
        <v>293</v>
      </c>
      <c r="CT989" s="4" t="s">
        <v>241</v>
      </c>
      <c r="CU989" s="4">
        <v>4.5999999999999999E-2</v>
      </c>
      <c r="CV989" s="4" t="s">
        <v>271</v>
      </c>
      <c r="CW989" s="4" t="s">
        <v>411</v>
      </c>
      <c r="CX989" s="4" t="s">
        <v>347</v>
      </c>
      <c r="CY989" s="6">
        <f>0</f>
        <v>0</v>
      </c>
      <c r="CZ989" s="6">
        <f>13203000</f>
        <v>13203000</v>
      </c>
      <c r="DA989" s="6">
        <f>8951634</f>
        <v>8951634</v>
      </c>
      <c r="DC989" s="4" t="s">
        <v>241</v>
      </c>
      <c r="DD989" s="4" t="s">
        <v>241</v>
      </c>
      <c r="DF989" s="4" t="s">
        <v>241</v>
      </c>
      <c r="DG989" s="6">
        <f>0</f>
        <v>0</v>
      </c>
      <c r="DI989" s="4" t="s">
        <v>241</v>
      </c>
      <c r="DJ989" s="4" t="s">
        <v>241</v>
      </c>
      <c r="DK989" s="4" t="s">
        <v>241</v>
      </c>
      <c r="DL989" s="4" t="s">
        <v>241</v>
      </c>
      <c r="DM989" s="4" t="s">
        <v>277</v>
      </c>
      <c r="DN989" s="4" t="s">
        <v>278</v>
      </c>
      <c r="DO989" s="6">
        <f>57.96</f>
        <v>57.96</v>
      </c>
      <c r="DP989" s="4" t="s">
        <v>241</v>
      </c>
      <c r="DQ989" s="4" t="s">
        <v>241</v>
      </c>
      <c r="DR989" s="4" t="s">
        <v>241</v>
      </c>
      <c r="DS989" s="4" t="s">
        <v>241</v>
      </c>
      <c r="DV989" s="4" t="s">
        <v>2297</v>
      </c>
      <c r="DW989" s="4" t="s">
        <v>351</v>
      </c>
      <c r="GN989" s="4" t="s">
        <v>2303</v>
      </c>
      <c r="HO989" s="4" t="s">
        <v>300</v>
      </c>
      <c r="HR989" s="4" t="s">
        <v>278</v>
      </c>
      <c r="HS989" s="4" t="s">
        <v>278</v>
      </c>
      <c r="HT989" s="4" t="s">
        <v>241</v>
      </c>
      <c r="HU989" s="4" t="s">
        <v>241</v>
      </c>
      <c r="HV989" s="4" t="s">
        <v>241</v>
      </c>
      <c r="HW989" s="4" t="s">
        <v>241</v>
      </c>
      <c r="HX989" s="4" t="s">
        <v>241</v>
      </c>
      <c r="HY989" s="4" t="s">
        <v>241</v>
      </c>
      <c r="HZ989" s="4" t="s">
        <v>241</v>
      </c>
      <c r="IA989" s="4" t="s">
        <v>241</v>
      </c>
      <c r="IB989" s="4" t="s">
        <v>241</v>
      </c>
      <c r="IC989" s="4" t="s">
        <v>241</v>
      </c>
      <c r="ID989" s="4" t="s">
        <v>241</v>
      </c>
      <c r="IE989" s="4" t="s">
        <v>241</v>
      </c>
      <c r="IF989" s="4" t="s">
        <v>241</v>
      </c>
    </row>
    <row r="990" spans="1:240" x14ac:dyDescent="0.4">
      <c r="A990" s="4">
        <v>2</v>
      </c>
      <c r="B990" s="4" t="s">
        <v>239</v>
      </c>
      <c r="C990" s="4">
        <v>1061</v>
      </c>
      <c r="D990" s="4">
        <v>1</v>
      </c>
      <c r="E990" s="4">
        <v>3</v>
      </c>
      <c r="F990" s="4" t="s">
        <v>240</v>
      </c>
      <c r="G990" s="4" t="s">
        <v>241</v>
      </c>
      <c r="H990" s="4" t="s">
        <v>241</v>
      </c>
      <c r="I990" s="4" t="s">
        <v>2294</v>
      </c>
      <c r="J990" s="4" t="s">
        <v>344</v>
      </c>
      <c r="K990" s="4" t="s">
        <v>256</v>
      </c>
      <c r="L990" s="4" t="s">
        <v>2101</v>
      </c>
      <c r="M990" s="5" t="s">
        <v>2296</v>
      </c>
      <c r="N990" s="4" t="s">
        <v>2191</v>
      </c>
      <c r="O990" s="6">
        <f>81.14</f>
        <v>81.14</v>
      </c>
      <c r="P990" s="4" t="s">
        <v>276</v>
      </c>
      <c r="Q990" s="6">
        <f>10886646</f>
        <v>10886646</v>
      </c>
      <c r="R990" s="6">
        <f>16057000</f>
        <v>16057000</v>
      </c>
      <c r="S990" s="5" t="s">
        <v>2295</v>
      </c>
      <c r="T990" s="4" t="s">
        <v>314</v>
      </c>
      <c r="U990" s="4" t="s">
        <v>300</v>
      </c>
      <c r="V990" s="6">
        <f>738622</f>
        <v>738622</v>
      </c>
      <c r="W990" s="6">
        <f>5170354</f>
        <v>5170354</v>
      </c>
      <c r="X990" s="4" t="s">
        <v>243</v>
      </c>
      <c r="Y990" s="4" t="s">
        <v>244</v>
      </c>
      <c r="Z990" s="4" t="s">
        <v>338</v>
      </c>
      <c r="AA990" s="4" t="s">
        <v>241</v>
      </c>
      <c r="AD990" s="4" t="s">
        <v>241</v>
      </c>
      <c r="AE990" s="5" t="s">
        <v>241</v>
      </c>
      <c r="AF990" s="5" t="s">
        <v>241</v>
      </c>
      <c r="AH990" s="5" t="s">
        <v>241</v>
      </c>
      <c r="AI990" s="5" t="s">
        <v>973</v>
      </c>
      <c r="AJ990" s="4" t="s">
        <v>251</v>
      </c>
      <c r="AK990" s="4" t="s">
        <v>252</v>
      </c>
      <c r="AQ990" s="4" t="s">
        <v>241</v>
      </c>
      <c r="AR990" s="4" t="s">
        <v>241</v>
      </c>
      <c r="AS990" s="4" t="s">
        <v>241</v>
      </c>
      <c r="AT990" s="5" t="s">
        <v>241</v>
      </c>
      <c r="AU990" s="5" t="s">
        <v>241</v>
      </c>
      <c r="AV990" s="5" t="s">
        <v>241</v>
      </c>
      <c r="AY990" s="4" t="s">
        <v>286</v>
      </c>
      <c r="AZ990" s="4" t="s">
        <v>286</v>
      </c>
      <c r="BA990" s="4" t="s">
        <v>254</v>
      </c>
      <c r="BB990" s="4" t="s">
        <v>287</v>
      </c>
      <c r="BC990" s="4" t="s">
        <v>255</v>
      </c>
      <c r="BD990" s="4" t="s">
        <v>241</v>
      </c>
      <c r="BE990" s="4" t="s">
        <v>257</v>
      </c>
      <c r="BF990" s="4" t="s">
        <v>241</v>
      </c>
      <c r="BJ990" s="4" t="s">
        <v>288</v>
      </c>
      <c r="BK990" s="5" t="s">
        <v>289</v>
      </c>
      <c r="BL990" s="4" t="s">
        <v>290</v>
      </c>
      <c r="BM990" s="4" t="s">
        <v>290</v>
      </c>
      <c r="BN990" s="4" t="s">
        <v>241</v>
      </c>
      <c r="BO990" s="6">
        <f>0</f>
        <v>0</v>
      </c>
      <c r="BP990" s="6">
        <f>-738622</f>
        <v>-738622</v>
      </c>
      <c r="BQ990" s="4" t="s">
        <v>263</v>
      </c>
      <c r="BR990" s="4" t="s">
        <v>264</v>
      </c>
      <c r="BS990" s="4" t="s">
        <v>241</v>
      </c>
      <c r="BT990" s="4" t="s">
        <v>241</v>
      </c>
      <c r="BU990" s="4" t="s">
        <v>241</v>
      </c>
      <c r="BV990" s="4" t="s">
        <v>241</v>
      </c>
      <c r="CE990" s="4" t="s">
        <v>264</v>
      </c>
      <c r="CF990" s="4" t="s">
        <v>241</v>
      </c>
      <c r="CG990" s="4" t="s">
        <v>241</v>
      </c>
      <c r="CK990" s="4" t="s">
        <v>291</v>
      </c>
      <c r="CL990" s="4" t="s">
        <v>266</v>
      </c>
      <c r="CM990" s="4" t="s">
        <v>241</v>
      </c>
      <c r="CO990" s="4" t="s">
        <v>1542</v>
      </c>
      <c r="CP990" s="5" t="s">
        <v>268</v>
      </c>
      <c r="CQ990" s="4" t="s">
        <v>269</v>
      </c>
      <c r="CR990" s="4" t="s">
        <v>270</v>
      </c>
      <c r="CS990" s="4" t="s">
        <v>293</v>
      </c>
      <c r="CT990" s="4" t="s">
        <v>241</v>
      </c>
      <c r="CU990" s="4">
        <v>4.5999999999999999E-2</v>
      </c>
      <c r="CV990" s="4" t="s">
        <v>271</v>
      </c>
      <c r="CW990" s="4" t="s">
        <v>411</v>
      </c>
      <c r="CX990" s="4" t="s">
        <v>347</v>
      </c>
      <c r="CY990" s="6">
        <f>0</f>
        <v>0</v>
      </c>
      <c r="CZ990" s="6">
        <f>16057000</f>
        <v>16057000</v>
      </c>
      <c r="DA990" s="6">
        <f>10886646</f>
        <v>10886646</v>
      </c>
      <c r="DC990" s="4" t="s">
        <v>241</v>
      </c>
      <c r="DD990" s="4" t="s">
        <v>241</v>
      </c>
      <c r="DF990" s="4" t="s">
        <v>241</v>
      </c>
      <c r="DG990" s="6">
        <f>0</f>
        <v>0</v>
      </c>
      <c r="DI990" s="4" t="s">
        <v>241</v>
      </c>
      <c r="DJ990" s="4" t="s">
        <v>241</v>
      </c>
      <c r="DK990" s="4" t="s">
        <v>241</v>
      </c>
      <c r="DL990" s="4" t="s">
        <v>241</v>
      </c>
      <c r="DM990" s="4" t="s">
        <v>323</v>
      </c>
      <c r="DN990" s="4" t="s">
        <v>278</v>
      </c>
      <c r="DO990" s="6">
        <f>81.14</f>
        <v>81.14</v>
      </c>
      <c r="DP990" s="4" t="s">
        <v>241</v>
      </c>
      <c r="DQ990" s="4" t="s">
        <v>241</v>
      </c>
      <c r="DR990" s="4" t="s">
        <v>241</v>
      </c>
      <c r="DS990" s="4" t="s">
        <v>241</v>
      </c>
      <c r="DV990" s="4" t="s">
        <v>2297</v>
      </c>
      <c r="DW990" s="4" t="s">
        <v>300</v>
      </c>
      <c r="GN990" s="4" t="s">
        <v>2301</v>
      </c>
      <c r="HO990" s="4" t="s">
        <v>300</v>
      </c>
      <c r="HR990" s="4" t="s">
        <v>278</v>
      </c>
      <c r="HS990" s="4" t="s">
        <v>278</v>
      </c>
      <c r="HT990" s="4" t="s">
        <v>241</v>
      </c>
      <c r="HU990" s="4" t="s">
        <v>241</v>
      </c>
      <c r="HV990" s="4" t="s">
        <v>241</v>
      </c>
      <c r="HW990" s="4" t="s">
        <v>241</v>
      </c>
      <c r="HX990" s="4" t="s">
        <v>241</v>
      </c>
      <c r="HY990" s="4" t="s">
        <v>241</v>
      </c>
      <c r="HZ990" s="4" t="s">
        <v>241</v>
      </c>
      <c r="IA990" s="4" t="s">
        <v>241</v>
      </c>
      <c r="IB990" s="4" t="s">
        <v>241</v>
      </c>
      <c r="IC990" s="4" t="s">
        <v>241</v>
      </c>
      <c r="ID990" s="4" t="s">
        <v>241</v>
      </c>
      <c r="IE990" s="4" t="s">
        <v>241</v>
      </c>
      <c r="IF990" s="4" t="s">
        <v>241</v>
      </c>
    </row>
    <row r="991" spans="1:240" x14ac:dyDescent="0.4">
      <c r="A991" s="4">
        <v>2</v>
      </c>
      <c r="B991" s="4" t="s">
        <v>239</v>
      </c>
      <c r="C991" s="4">
        <v>1062</v>
      </c>
      <c r="D991" s="4">
        <v>1</v>
      </c>
      <c r="E991" s="4">
        <v>3</v>
      </c>
      <c r="F991" s="4" t="s">
        <v>240</v>
      </c>
      <c r="G991" s="4" t="s">
        <v>241</v>
      </c>
      <c r="H991" s="4" t="s">
        <v>241</v>
      </c>
      <c r="I991" s="4" t="s">
        <v>2294</v>
      </c>
      <c r="J991" s="4" t="s">
        <v>344</v>
      </c>
      <c r="K991" s="4" t="s">
        <v>256</v>
      </c>
      <c r="L991" s="4" t="s">
        <v>2101</v>
      </c>
      <c r="M991" s="5" t="s">
        <v>2296</v>
      </c>
      <c r="N991" s="4" t="s">
        <v>2192</v>
      </c>
      <c r="O991" s="6">
        <f>81.14</f>
        <v>81.14</v>
      </c>
      <c r="P991" s="4" t="s">
        <v>276</v>
      </c>
      <c r="Q991" s="6">
        <f>10886646</f>
        <v>10886646</v>
      </c>
      <c r="R991" s="6">
        <f>16057000</f>
        <v>16057000</v>
      </c>
      <c r="S991" s="5" t="s">
        <v>2295</v>
      </c>
      <c r="T991" s="4" t="s">
        <v>314</v>
      </c>
      <c r="U991" s="4" t="s">
        <v>300</v>
      </c>
      <c r="V991" s="6">
        <f>738622</f>
        <v>738622</v>
      </c>
      <c r="W991" s="6">
        <f>5170354</f>
        <v>5170354</v>
      </c>
      <c r="X991" s="4" t="s">
        <v>243</v>
      </c>
      <c r="Y991" s="4" t="s">
        <v>244</v>
      </c>
      <c r="Z991" s="4" t="s">
        <v>338</v>
      </c>
      <c r="AA991" s="4" t="s">
        <v>241</v>
      </c>
      <c r="AD991" s="4" t="s">
        <v>241</v>
      </c>
      <c r="AE991" s="5" t="s">
        <v>241</v>
      </c>
      <c r="AF991" s="5" t="s">
        <v>241</v>
      </c>
      <c r="AH991" s="5" t="s">
        <v>241</v>
      </c>
      <c r="AI991" s="5" t="s">
        <v>973</v>
      </c>
      <c r="AJ991" s="4" t="s">
        <v>251</v>
      </c>
      <c r="AK991" s="4" t="s">
        <v>252</v>
      </c>
      <c r="AQ991" s="4" t="s">
        <v>241</v>
      </c>
      <c r="AR991" s="4" t="s">
        <v>241</v>
      </c>
      <c r="AS991" s="4" t="s">
        <v>241</v>
      </c>
      <c r="AT991" s="5" t="s">
        <v>241</v>
      </c>
      <c r="AU991" s="5" t="s">
        <v>241</v>
      </c>
      <c r="AV991" s="5" t="s">
        <v>241</v>
      </c>
      <c r="AY991" s="4" t="s">
        <v>286</v>
      </c>
      <c r="AZ991" s="4" t="s">
        <v>286</v>
      </c>
      <c r="BA991" s="4" t="s">
        <v>254</v>
      </c>
      <c r="BB991" s="4" t="s">
        <v>287</v>
      </c>
      <c r="BC991" s="4" t="s">
        <v>255</v>
      </c>
      <c r="BD991" s="4" t="s">
        <v>241</v>
      </c>
      <c r="BE991" s="4" t="s">
        <v>257</v>
      </c>
      <c r="BF991" s="4" t="s">
        <v>241</v>
      </c>
      <c r="BJ991" s="4" t="s">
        <v>288</v>
      </c>
      <c r="BK991" s="5" t="s">
        <v>289</v>
      </c>
      <c r="BL991" s="4" t="s">
        <v>290</v>
      </c>
      <c r="BM991" s="4" t="s">
        <v>290</v>
      </c>
      <c r="BN991" s="4" t="s">
        <v>241</v>
      </c>
      <c r="BO991" s="6">
        <f>0</f>
        <v>0</v>
      </c>
      <c r="BP991" s="6">
        <f>-738622</f>
        <v>-738622</v>
      </c>
      <c r="BQ991" s="4" t="s">
        <v>263</v>
      </c>
      <c r="BR991" s="4" t="s">
        <v>264</v>
      </c>
      <c r="BS991" s="4" t="s">
        <v>241</v>
      </c>
      <c r="BT991" s="4" t="s">
        <v>241</v>
      </c>
      <c r="BU991" s="4" t="s">
        <v>241</v>
      </c>
      <c r="BV991" s="4" t="s">
        <v>241</v>
      </c>
      <c r="CE991" s="4" t="s">
        <v>264</v>
      </c>
      <c r="CF991" s="4" t="s">
        <v>241</v>
      </c>
      <c r="CG991" s="4" t="s">
        <v>241</v>
      </c>
      <c r="CK991" s="4" t="s">
        <v>291</v>
      </c>
      <c r="CL991" s="4" t="s">
        <v>266</v>
      </c>
      <c r="CM991" s="4" t="s">
        <v>241</v>
      </c>
      <c r="CO991" s="4" t="s">
        <v>1542</v>
      </c>
      <c r="CP991" s="5" t="s">
        <v>268</v>
      </c>
      <c r="CQ991" s="4" t="s">
        <v>269</v>
      </c>
      <c r="CR991" s="4" t="s">
        <v>270</v>
      </c>
      <c r="CS991" s="4" t="s">
        <v>293</v>
      </c>
      <c r="CT991" s="4" t="s">
        <v>241</v>
      </c>
      <c r="CU991" s="4">
        <v>4.5999999999999999E-2</v>
      </c>
      <c r="CV991" s="4" t="s">
        <v>271</v>
      </c>
      <c r="CW991" s="4" t="s">
        <v>411</v>
      </c>
      <c r="CX991" s="4" t="s">
        <v>347</v>
      </c>
      <c r="CY991" s="6">
        <f>0</f>
        <v>0</v>
      </c>
      <c r="CZ991" s="6">
        <f>16057000</f>
        <v>16057000</v>
      </c>
      <c r="DA991" s="6">
        <f>10886646</f>
        <v>10886646</v>
      </c>
      <c r="DC991" s="4" t="s">
        <v>241</v>
      </c>
      <c r="DD991" s="4" t="s">
        <v>241</v>
      </c>
      <c r="DF991" s="4" t="s">
        <v>241</v>
      </c>
      <c r="DG991" s="6">
        <f>0</f>
        <v>0</v>
      </c>
      <c r="DI991" s="4" t="s">
        <v>241</v>
      </c>
      <c r="DJ991" s="4" t="s">
        <v>241</v>
      </c>
      <c r="DK991" s="4" t="s">
        <v>241</v>
      </c>
      <c r="DL991" s="4" t="s">
        <v>241</v>
      </c>
      <c r="DM991" s="4" t="s">
        <v>323</v>
      </c>
      <c r="DN991" s="4" t="s">
        <v>278</v>
      </c>
      <c r="DO991" s="6">
        <f>81.14</f>
        <v>81.14</v>
      </c>
      <c r="DP991" s="4" t="s">
        <v>241</v>
      </c>
      <c r="DQ991" s="4" t="s">
        <v>241</v>
      </c>
      <c r="DR991" s="4" t="s">
        <v>241</v>
      </c>
      <c r="DS991" s="4" t="s">
        <v>241</v>
      </c>
      <c r="DV991" s="4" t="s">
        <v>2297</v>
      </c>
      <c r="DW991" s="4" t="s">
        <v>341</v>
      </c>
      <c r="GN991" s="4" t="s">
        <v>2300</v>
      </c>
      <c r="HO991" s="4" t="s">
        <v>300</v>
      </c>
      <c r="HR991" s="4" t="s">
        <v>278</v>
      </c>
      <c r="HS991" s="4" t="s">
        <v>278</v>
      </c>
      <c r="HT991" s="4" t="s">
        <v>241</v>
      </c>
      <c r="HU991" s="4" t="s">
        <v>241</v>
      </c>
      <c r="HV991" s="4" t="s">
        <v>241</v>
      </c>
      <c r="HW991" s="4" t="s">
        <v>241</v>
      </c>
      <c r="HX991" s="4" t="s">
        <v>241</v>
      </c>
      <c r="HY991" s="4" t="s">
        <v>241</v>
      </c>
      <c r="HZ991" s="4" t="s">
        <v>241</v>
      </c>
      <c r="IA991" s="4" t="s">
        <v>241</v>
      </c>
      <c r="IB991" s="4" t="s">
        <v>241</v>
      </c>
      <c r="IC991" s="4" t="s">
        <v>241</v>
      </c>
      <c r="ID991" s="4" t="s">
        <v>241</v>
      </c>
      <c r="IE991" s="4" t="s">
        <v>241</v>
      </c>
      <c r="IF991" s="4" t="s">
        <v>241</v>
      </c>
    </row>
    <row r="992" spans="1:240" x14ac:dyDescent="0.4">
      <c r="A992" s="4">
        <v>2</v>
      </c>
      <c r="B992" s="4" t="s">
        <v>239</v>
      </c>
      <c r="C992" s="4">
        <v>1063</v>
      </c>
      <c r="D992" s="4">
        <v>1</v>
      </c>
      <c r="E992" s="4">
        <v>3</v>
      </c>
      <c r="F992" s="4" t="s">
        <v>240</v>
      </c>
      <c r="G992" s="4" t="s">
        <v>241</v>
      </c>
      <c r="H992" s="4" t="s">
        <v>241</v>
      </c>
      <c r="I992" s="4" t="s">
        <v>2294</v>
      </c>
      <c r="J992" s="4" t="s">
        <v>344</v>
      </c>
      <c r="K992" s="4" t="s">
        <v>256</v>
      </c>
      <c r="L992" s="4" t="s">
        <v>2101</v>
      </c>
      <c r="M992" s="5" t="s">
        <v>2296</v>
      </c>
      <c r="N992" s="4" t="s">
        <v>2173</v>
      </c>
      <c r="O992" s="6">
        <f>81.14</f>
        <v>81.14</v>
      </c>
      <c r="P992" s="4" t="s">
        <v>276</v>
      </c>
      <c r="Q992" s="6">
        <f>10886646</f>
        <v>10886646</v>
      </c>
      <c r="R992" s="6">
        <f>16057000</f>
        <v>16057000</v>
      </c>
      <c r="S992" s="5" t="s">
        <v>2295</v>
      </c>
      <c r="T992" s="4" t="s">
        <v>314</v>
      </c>
      <c r="U992" s="4" t="s">
        <v>300</v>
      </c>
      <c r="V992" s="6">
        <f>738622</f>
        <v>738622</v>
      </c>
      <c r="W992" s="6">
        <f>5170354</f>
        <v>5170354</v>
      </c>
      <c r="X992" s="4" t="s">
        <v>243</v>
      </c>
      <c r="Y992" s="4" t="s">
        <v>244</v>
      </c>
      <c r="Z992" s="4" t="s">
        <v>338</v>
      </c>
      <c r="AA992" s="4" t="s">
        <v>241</v>
      </c>
      <c r="AD992" s="4" t="s">
        <v>241</v>
      </c>
      <c r="AE992" s="5" t="s">
        <v>241</v>
      </c>
      <c r="AF992" s="5" t="s">
        <v>241</v>
      </c>
      <c r="AH992" s="5" t="s">
        <v>241</v>
      </c>
      <c r="AI992" s="5" t="s">
        <v>380</v>
      </c>
      <c r="AJ992" s="4" t="s">
        <v>251</v>
      </c>
      <c r="AK992" s="4" t="s">
        <v>252</v>
      </c>
      <c r="AQ992" s="4" t="s">
        <v>241</v>
      </c>
      <c r="AR992" s="4" t="s">
        <v>241</v>
      </c>
      <c r="AS992" s="4" t="s">
        <v>241</v>
      </c>
      <c r="AT992" s="5" t="s">
        <v>241</v>
      </c>
      <c r="AU992" s="5" t="s">
        <v>241</v>
      </c>
      <c r="AV992" s="5" t="s">
        <v>241</v>
      </c>
      <c r="AY992" s="4" t="s">
        <v>286</v>
      </c>
      <c r="AZ992" s="4" t="s">
        <v>286</v>
      </c>
      <c r="BA992" s="4" t="s">
        <v>254</v>
      </c>
      <c r="BB992" s="4" t="s">
        <v>287</v>
      </c>
      <c r="BC992" s="4" t="s">
        <v>255</v>
      </c>
      <c r="BD992" s="4" t="s">
        <v>241</v>
      </c>
      <c r="BE992" s="4" t="s">
        <v>257</v>
      </c>
      <c r="BF992" s="4" t="s">
        <v>241</v>
      </c>
      <c r="BJ992" s="4" t="s">
        <v>288</v>
      </c>
      <c r="BK992" s="5" t="s">
        <v>289</v>
      </c>
      <c r="BL992" s="4" t="s">
        <v>290</v>
      </c>
      <c r="BM992" s="4" t="s">
        <v>290</v>
      </c>
      <c r="BN992" s="4" t="s">
        <v>241</v>
      </c>
      <c r="BO992" s="6">
        <f>0</f>
        <v>0</v>
      </c>
      <c r="BP992" s="6">
        <f>-738622</f>
        <v>-738622</v>
      </c>
      <c r="BQ992" s="4" t="s">
        <v>263</v>
      </c>
      <c r="BR992" s="4" t="s">
        <v>264</v>
      </c>
      <c r="BS992" s="4" t="s">
        <v>241</v>
      </c>
      <c r="BT992" s="4" t="s">
        <v>241</v>
      </c>
      <c r="BU992" s="4" t="s">
        <v>241</v>
      </c>
      <c r="BV992" s="4" t="s">
        <v>241</v>
      </c>
      <c r="CE992" s="4" t="s">
        <v>264</v>
      </c>
      <c r="CF992" s="4" t="s">
        <v>241</v>
      </c>
      <c r="CG992" s="4" t="s">
        <v>241</v>
      </c>
      <c r="CK992" s="4" t="s">
        <v>291</v>
      </c>
      <c r="CL992" s="4" t="s">
        <v>266</v>
      </c>
      <c r="CM992" s="4" t="s">
        <v>241</v>
      </c>
      <c r="CO992" s="4" t="s">
        <v>1542</v>
      </c>
      <c r="CP992" s="5" t="s">
        <v>268</v>
      </c>
      <c r="CQ992" s="4" t="s">
        <v>269</v>
      </c>
      <c r="CR992" s="4" t="s">
        <v>270</v>
      </c>
      <c r="CS992" s="4" t="s">
        <v>293</v>
      </c>
      <c r="CT992" s="4" t="s">
        <v>241</v>
      </c>
      <c r="CU992" s="4">
        <v>4.5999999999999999E-2</v>
      </c>
      <c r="CV992" s="4" t="s">
        <v>271</v>
      </c>
      <c r="CW992" s="4" t="s">
        <v>411</v>
      </c>
      <c r="CX992" s="4" t="s">
        <v>347</v>
      </c>
      <c r="CY992" s="6">
        <f>0</f>
        <v>0</v>
      </c>
      <c r="CZ992" s="6">
        <f>16057000</f>
        <v>16057000</v>
      </c>
      <c r="DA992" s="6">
        <f>10886646</f>
        <v>10886646</v>
      </c>
      <c r="DC992" s="4" t="s">
        <v>241</v>
      </c>
      <c r="DD992" s="4" t="s">
        <v>241</v>
      </c>
      <c r="DF992" s="4" t="s">
        <v>241</v>
      </c>
      <c r="DG992" s="6">
        <f>0</f>
        <v>0</v>
      </c>
      <c r="DI992" s="4" t="s">
        <v>241</v>
      </c>
      <c r="DJ992" s="4" t="s">
        <v>241</v>
      </c>
      <c r="DK992" s="4" t="s">
        <v>241</v>
      </c>
      <c r="DL992" s="4" t="s">
        <v>241</v>
      </c>
      <c r="DM992" s="4" t="s">
        <v>323</v>
      </c>
      <c r="DN992" s="4" t="s">
        <v>278</v>
      </c>
      <c r="DO992" s="6">
        <f>81.14</f>
        <v>81.14</v>
      </c>
      <c r="DP992" s="4" t="s">
        <v>241</v>
      </c>
      <c r="DQ992" s="4" t="s">
        <v>241</v>
      </c>
      <c r="DR992" s="4" t="s">
        <v>241</v>
      </c>
      <c r="DS992" s="4" t="s">
        <v>241</v>
      </c>
      <c r="DV992" s="4" t="s">
        <v>2297</v>
      </c>
      <c r="DW992" s="4" t="s">
        <v>343</v>
      </c>
      <c r="GN992" s="4" t="s">
        <v>2299</v>
      </c>
      <c r="HO992" s="4" t="s">
        <v>300</v>
      </c>
      <c r="HR992" s="4" t="s">
        <v>278</v>
      </c>
      <c r="HS992" s="4" t="s">
        <v>278</v>
      </c>
      <c r="HT992" s="4" t="s">
        <v>241</v>
      </c>
      <c r="HU992" s="4" t="s">
        <v>241</v>
      </c>
      <c r="HV992" s="4" t="s">
        <v>241</v>
      </c>
      <c r="HW992" s="4" t="s">
        <v>241</v>
      </c>
      <c r="HX992" s="4" t="s">
        <v>241</v>
      </c>
      <c r="HY992" s="4" t="s">
        <v>241</v>
      </c>
      <c r="HZ992" s="4" t="s">
        <v>241</v>
      </c>
      <c r="IA992" s="4" t="s">
        <v>241</v>
      </c>
      <c r="IB992" s="4" t="s">
        <v>241</v>
      </c>
      <c r="IC992" s="4" t="s">
        <v>241</v>
      </c>
      <c r="ID992" s="4" t="s">
        <v>241</v>
      </c>
      <c r="IE992" s="4" t="s">
        <v>241</v>
      </c>
      <c r="IF992" s="4" t="s">
        <v>241</v>
      </c>
    </row>
    <row r="993" spans="1:240" x14ac:dyDescent="0.4">
      <c r="A993" s="4">
        <v>2</v>
      </c>
      <c r="B993" s="4" t="s">
        <v>239</v>
      </c>
      <c r="C993" s="4">
        <v>1064</v>
      </c>
      <c r="D993" s="4">
        <v>1</v>
      </c>
      <c r="E993" s="4">
        <v>3</v>
      </c>
      <c r="F993" s="4" t="s">
        <v>240</v>
      </c>
      <c r="G993" s="4" t="s">
        <v>241</v>
      </c>
      <c r="H993" s="4" t="s">
        <v>241</v>
      </c>
      <c r="I993" s="4" t="s">
        <v>2294</v>
      </c>
      <c r="J993" s="4" t="s">
        <v>344</v>
      </c>
      <c r="K993" s="4" t="s">
        <v>256</v>
      </c>
      <c r="L993" s="4" t="s">
        <v>2101</v>
      </c>
      <c r="M993" s="5" t="s">
        <v>2296</v>
      </c>
      <c r="N993" s="4" t="s">
        <v>2174</v>
      </c>
      <c r="O993" s="6">
        <f>81.14</f>
        <v>81.14</v>
      </c>
      <c r="P993" s="4" t="s">
        <v>276</v>
      </c>
      <c r="Q993" s="6">
        <f>10886646</f>
        <v>10886646</v>
      </c>
      <c r="R993" s="6">
        <f>16057000</f>
        <v>16057000</v>
      </c>
      <c r="S993" s="5" t="s">
        <v>2295</v>
      </c>
      <c r="T993" s="4" t="s">
        <v>314</v>
      </c>
      <c r="U993" s="4" t="s">
        <v>300</v>
      </c>
      <c r="V993" s="6">
        <f>738622</f>
        <v>738622</v>
      </c>
      <c r="W993" s="6">
        <f>5170354</f>
        <v>5170354</v>
      </c>
      <c r="X993" s="4" t="s">
        <v>243</v>
      </c>
      <c r="Y993" s="4" t="s">
        <v>244</v>
      </c>
      <c r="Z993" s="4" t="s">
        <v>338</v>
      </c>
      <c r="AA993" s="4" t="s">
        <v>241</v>
      </c>
      <c r="AD993" s="4" t="s">
        <v>241</v>
      </c>
      <c r="AE993" s="5" t="s">
        <v>241</v>
      </c>
      <c r="AF993" s="5" t="s">
        <v>241</v>
      </c>
      <c r="AH993" s="5" t="s">
        <v>241</v>
      </c>
      <c r="AI993" s="5" t="s">
        <v>380</v>
      </c>
      <c r="AJ993" s="4" t="s">
        <v>251</v>
      </c>
      <c r="AK993" s="4" t="s">
        <v>252</v>
      </c>
      <c r="AQ993" s="4" t="s">
        <v>241</v>
      </c>
      <c r="AR993" s="4" t="s">
        <v>241</v>
      </c>
      <c r="AS993" s="4" t="s">
        <v>241</v>
      </c>
      <c r="AT993" s="5" t="s">
        <v>241</v>
      </c>
      <c r="AU993" s="5" t="s">
        <v>241</v>
      </c>
      <c r="AV993" s="5" t="s">
        <v>241</v>
      </c>
      <c r="AY993" s="4" t="s">
        <v>286</v>
      </c>
      <c r="AZ993" s="4" t="s">
        <v>286</v>
      </c>
      <c r="BA993" s="4" t="s">
        <v>254</v>
      </c>
      <c r="BB993" s="4" t="s">
        <v>287</v>
      </c>
      <c r="BC993" s="4" t="s">
        <v>255</v>
      </c>
      <c r="BD993" s="4" t="s">
        <v>241</v>
      </c>
      <c r="BE993" s="4" t="s">
        <v>257</v>
      </c>
      <c r="BF993" s="4" t="s">
        <v>241</v>
      </c>
      <c r="BJ993" s="4" t="s">
        <v>288</v>
      </c>
      <c r="BK993" s="5" t="s">
        <v>289</v>
      </c>
      <c r="BL993" s="4" t="s">
        <v>290</v>
      </c>
      <c r="BM993" s="4" t="s">
        <v>290</v>
      </c>
      <c r="BN993" s="4" t="s">
        <v>241</v>
      </c>
      <c r="BO993" s="6">
        <f>0</f>
        <v>0</v>
      </c>
      <c r="BP993" s="6">
        <f>-738622</f>
        <v>-738622</v>
      </c>
      <c r="BQ993" s="4" t="s">
        <v>263</v>
      </c>
      <c r="BR993" s="4" t="s">
        <v>264</v>
      </c>
      <c r="BS993" s="4" t="s">
        <v>241</v>
      </c>
      <c r="BT993" s="4" t="s">
        <v>241</v>
      </c>
      <c r="BU993" s="4" t="s">
        <v>241</v>
      </c>
      <c r="BV993" s="4" t="s">
        <v>241</v>
      </c>
      <c r="CE993" s="4" t="s">
        <v>264</v>
      </c>
      <c r="CF993" s="4" t="s">
        <v>241</v>
      </c>
      <c r="CG993" s="4" t="s">
        <v>241</v>
      </c>
      <c r="CK993" s="4" t="s">
        <v>291</v>
      </c>
      <c r="CL993" s="4" t="s">
        <v>266</v>
      </c>
      <c r="CM993" s="4" t="s">
        <v>241</v>
      </c>
      <c r="CO993" s="4" t="s">
        <v>1542</v>
      </c>
      <c r="CP993" s="5" t="s">
        <v>268</v>
      </c>
      <c r="CQ993" s="4" t="s">
        <v>269</v>
      </c>
      <c r="CR993" s="4" t="s">
        <v>270</v>
      </c>
      <c r="CS993" s="4" t="s">
        <v>293</v>
      </c>
      <c r="CT993" s="4" t="s">
        <v>241</v>
      </c>
      <c r="CU993" s="4">
        <v>4.5999999999999999E-2</v>
      </c>
      <c r="CV993" s="4" t="s">
        <v>271</v>
      </c>
      <c r="CW993" s="4" t="s">
        <v>411</v>
      </c>
      <c r="CX993" s="4" t="s">
        <v>347</v>
      </c>
      <c r="CY993" s="6">
        <f>0</f>
        <v>0</v>
      </c>
      <c r="CZ993" s="6">
        <f>16057000</f>
        <v>16057000</v>
      </c>
      <c r="DA993" s="6">
        <f>10886646</f>
        <v>10886646</v>
      </c>
      <c r="DC993" s="4" t="s">
        <v>241</v>
      </c>
      <c r="DD993" s="4" t="s">
        <v>241</v>
      </c>
      <c r="DF993" s="4" t="s">
        <v>241</v>
      </c>
      <c r="DG993" s="6">
        <f>0</f>
        <v>0</v>
      </c>
      <c r="DI993" s="4" t="s">
        <v>241</v>
      </c>
      <c r="DJ993" s="4" t="s">
        <v>241</v>
      </c>
      <c r="DK993" s="4" t="s">
        <v>241</v>
      </c>
      <c r="DL993" s="4" t="s">
        <v>241</v>
      </c>
      <c r="DM993" s="4" t="s">
        <v>323</v>
      </c>
      <c r="DN993" s="4" t="s">
        <v>278</v>
      </c>
      <c r="DO993" s="6">
        <f>81.14</f>
        <v>81.14</v>
      </c>
      <c r="DP993" s="4" t="s">
        <v>241</v>
      </c>
      <c r="DQ993" s="4" t="s">
        <v>241</v>
      </c>
      <c r="DR993" s="4" t="s">
        <v>241</v>
      </c>
      <c r="DS993" s="4" t="s">
        <v>241</v>
      </c>
      <c r="DV993" s="4" t="s">
        <v>2297</v>
      </c>
      <c r="DW993" s="4" t="s">
        <v>417</v>
      </c>
      <c r="GN993" s="4" t="s">
        <v>2298</v>
      </c>
      <c r="HO993" s="4" t="s">
        <v>300</v>
      </c>
      <c r="HR993" s="4" t="s">
        <v>278</v>
      </c>
      <c r="HS993" s="4" t="s">
        <v>278</v>
      </c>
      <c r="HT993" s="4" t="s">
        <v>241</v>
      </c>
      <c r="HU993" s="4" t="s">
        <v>241</v>
      </c>
      <c r="HV993" s="4" t="s">
        <v>241</v>
      </c>
      <c r="HW993" s="4" t="s">
        <v>241</v>
      </c>
      <c r="HX993" s="4" t="s">
        <v>241</v>
      </c>
      <c r="HY993" s="4" t="s">
        <v>241</v>
      </c>
      <c r="HZ993" s="4" t="s">
        <v>241</v>
      </c>
      <c r="IA993" s="4" t="s">
        <v>241</v>
      </c>
      <c r="IB993" s="4" t="s">
        <v>241</v>
      </c>
      <c r="IC993" s="4" t="s">
        <v>241</v>
      </c>
      <c r="ID993" s="4" t="s">
        <v>241</v>
      </c>
      <c r="IE993" s="4" t="s">
        <v>241</v>
      </c>
      <c r="IF993" s="4" t="s">
        <v>241</v>
      </c>
    </row>
    <row r="994" spans="1:240" x14ac:dyDescent="0.4">
      <c r="A994" s="4">
        <v>2</v>
      </c>
      <c r="B994" s="4" t="s">
        <v>239</v>
      </c>
      <c r="C994" s="4">
        <v>1065</v>
      </c>
      <c r="D994" s="4">
        <v>1</v>
      </c>
      <c r="E994" s="4">
        <v>3</v>
      </c>
      <c r="F994" s="4" t="s">
        <v>240</v>
      </c>
      <c r="G994" s="4" t="s">
        <v>241</v>
      </c>
      <c r="H994" s="4" t="s">
        <v>241</v>
      </c>
      <c r="I994" s="4" t="s">
        <v>2280</v>
      </c>
      <c r="J994" s="4" t="s">
        <v>344</v>
      </c>
      <c r="K994" s="4" t="s">
        <v>256</v>
      </c>
      <c r="L994" s="4" t="s">
        <v>2101</v>
      </c>
      <c r="M994" s="5" t="s">
        <v>2282</v>
      </c>
      <c r="N994" s="4" t="s">
        <v>2104</v>
      </c>
      <c r="O994" s="6">
        <f t="shared" ref="O994:O999" si="92">57.96</f>
        <v>57.96</v>
      </c>
      <c r="P994" s="4" t="s">
        <v>276</v>
      </c>
      <c r="Q994" s="6">
        <f t="shared" ref="Q994:Q999" si="93">10635786</f>
        <v>10635786</v>
      </c>
      <c r="R994" s="6">
        <f t="shared" ref="R994:R999" si="94">15687000</f>
        <v>15687000</v>
      </c>
      <c r="S994" s="5" t="s">
        <v>2281</v>
      </c>
      <c r="T994" s="4" t="s">
        <v>314</v>
      </c>
      <c r="U994" s="4" t="s">
        <v>300</v>
      </c>
      <c r="V994" s="6">
        <f t="shared" ref="V994:V999" si="95">721602</f>
        <v>721602</v>
      </c>
      <c r="W994" s="6">
        <f t="shared" ref="W994:W999" si="96">5051214</f>
        <v>5051214</v>
      </c>
      <c r="X994" s="4" t="s">
        <v>243</v>
      </c>
      <c r="Y994" s="4" t="s">
        <v>244</v>
      </c>
      <c r="Z994" s="4" t="s">
        <v>338</v>
      </c>
      <c r="AA994" s="4" t="s">
        <v>241</v>
      </c>
      <c r="AD994" s="4" t="s">
        <v>241</v>
      </c>
      <c r="AE994" s="5" t="s">
        <v>241</v>
      </c>
      <c r="AF994" s="5" t="s">
        <v>241</v>
      </c>
      <c r="AH994" s="5" t="s">
        <v>241</v>
      </c>
      <c r="AI994" s="5" t="s">
        <v>380</v>
      </c>
      <c r="AJ994" s="4" t="s">
        <v>251</v>
      </c>
      <c r="AK994" s="4" t="s">
        <v>252</v>
      </c>
      <c r="AQ994" s="4" t="s">
        <v>241</v>
      </c>
      <c r="AR994" s="4" t="s">
        <v>241</v>
      </c>
      <c r="AS994" s="4" t="s">
        <v>241</v>
      </c>
      <c r="AT994" s="5" t="s">
        <v>241</v>
      </c>
      <c r="AU994" s="5" t="s">
        <v>241</v>
      </c>
      <c r="AV994" s="5" t="s">
        <v>241</v>
      </c>
      <c r="AY994" s="4" t="s">
        <v>286</v>
      </c>
      <c r="AZ994" s="4" t="s">
        <v>286</v>
      </c>
      <c r="BA994" s="4" t="s">
        <v>254</v>
      </c>
      <c r="BB994" s="4" t="s">
        <v>287</v>
      </c>
      <c r="BC994" s="4" t="s">
        <v>255</v>
      </c>
      <c r="BD994" s="4" t="s">
        <v>241</v>
      </c>
      <c r="BE994" s="4" t="s">
        <v>257</v>
      </c>
      <c r="BF994" s="4" t="s">
        <v>241</v>
      </c>
      <c r="BJ994" s="4" t="s">
        <v>288</v>
      </c>
      <c r="BK994" s="5" t="s">
        <v>289</v>
      </c>
      <c r="BL994" s="4" t="s">
        <v>290</v>
      </c>
      <c r="BM994" s="4" t="s">
        <v>290</v>
      </c>
      <c r="BN994" s="4" t="s">
        <v>241</v>
      </c>
      <c r="BO994" s="6">
        <f>0</f>
        <v>0</v>
      </c>
      <c r="BP994" s="6">
        <f t="shared" ref="BP994:BP999" si="97">-721602</f>
        <v>-721602</v>
      </c>
      <c r="BQ994" s="4" t="s">
        <v>263</v>
      </c>
      <c r="BR994" s="4" t="s">
        <v>264</v>
      </c>
      <c r="BS994" s="4" t="s">
        <v>241</v>
      </c>
      <c r="BT994" s="4" t="s">
        <v>241</v>
      </c>
      <c r="BU994" s="4" t="s">
        <v>241</v>
      </c>
      <c r="BV994" s="4" t="s">
        <v>241</v>
      </c>
      <c r="CE994" s="4" t="s">
        <v>264</v>
      </c>
      <c r="CF994" s="4" t="s">
        <v>241</v>
      </c>
      <c r="CG994" s="4" t="s">
        <v>241</v>
      </c>
      <c r="CK994" s="4" t="s">
        <v>291</v>
      </c>
      <c r="CL994" s="4" t="s">
        <v>266</v>
      </c>
      <c r="CM994" s="4" t="s">
        <v>241</v>
      </c>
      <c r="CO994" s="4" t="s">
        <v>1542</v>
      </c>
      <c r="CP994" s="5" t="s">
        <v>268</v>
      </c>
      <c r="CQ994" s="4" t="s">
        <v>269</v>
      </c>
      <c r="CR994" s="4" t="s">
        <v>270</v>
      </c>
      <c r="CS994" s="4" t="s">
        <v>293</v>
      </c>
      <c r="CT994" s="4" t="s">
        <v>241</v>
      </c>
      <c r="CU994" s="4">
        <v>4.5999999999999999E-2</v>
      </c>
      <c r="CV994" s="4" t="s">
        <v>271</v>
      </c>
      <c r="CW994" s="4" t="s">
        <v>411</v>
      </c>
      <c r="CX994" s="4" t="s">
        <v>347</v>
      </c>
      <c r="CY994" s="6">
        <f>0</f>
        <v>0</v>
      </c>
      <c r="CZ994" s="6">
        <f t="shared" ref="CZ994:CZ999" si="98">15687000</f>
        <v>15687000</v>
      </c>
      <c r="DA994" s="6">
        <f t="shared" ref="DA994:DA999" si="99">10635786</f>
        <v>10635786</v>
      </c>
      <c r="DC994" s="4" t="s">
        <v>241</v>
      </c>
      <c r="DD994" s="4" t="s">
        <v>241</v>
      </c>
      <c r="DF994" s="4" t="s">
        <v>241</v>
      </c>
      <c r="DG994" s="6">
        <f>0</f>
        <v>0</v>
      </c>
      <c r="DI994" s="4" t="s">
        <v>241</v>
      </c>
      <c r="DJ994" s="4" t="s">
        <v>241</v>
      </c>
      <c r="DK994" s="4" t="s">
        <v>241</v>
      </c>
      <c r="DL994" s="4" t="s">
        <v>241</v>
      </c>
      <c r="DM994" s="4" t="s">
        <v>277</v>
      </c>
      <c r="DN994" s="4" t="s">
        <v>278</v>
      </c>
      <c r="DO994" s="6">
        <f t="shared" ref="DO994:DO999" si="100">57.96</f>
        <v>57.96</v>
      </c>
      <c r="DP994" s="4" t="s">
        <v>241</v>
      </c>
      <c r="DQ994" s="4" t="s">
        <v>241</v>
      </c>
      <c r="DR994" s="4" t="s">
        <v>241</v>
      </c>
      <c r="DS994" s="4" t="s">
        <v>241</v>
      </c>
      <c r="DV994" s="4" t="s">
        <v>2283</v>
      </c>
      <c r="DW994" s="4" t="s">
        <v>277</v>
      </c>
      <c r="GN994" s="4" t="s">
        <v>2293</v>
      </c>
      <c r="HO994" s="4" t="s">
        <v>300</v>
      </c>
      <c r="HR994" s="4" t="s">
        <v>278</v>
      </c>
      <c r="HS994" s="4" t="s">
        <v>278</v>
      </c>
      <c r="HT994" s="4" t="s">
        <v>241</v>
      </c>
      <c r="HU994" s="4" t="s">
        <v>241</v>
      </c>
      <c r="HV994" s="4" t="s">
        <v>241</v>
      </c>
      <c r="HW994" s="4" t="s">
        <v>241</v>
      </c>
      <c r="HX994" s="4" t="s">
        <v>241</v>
      </c>
      <c r="HY994" s="4" t="s">
        <v>241</v>
      </c>
      <c r="HZ994" s="4" t="s">
        <v>241</v>
      </c>
      <c r="IA994" s="4" t="s">
        <v>241</v>
      </c>
      <c r="IB994" s="4" t="s">
        <v>241</v>
      </c>
      <c r="IC994" s="4" t="s">
        <v>241</v>
      </c>
      <c r="ID994" s="4" t="s">
        <v>241</v>
      </c>
      <c r="IE994" s="4" t="s">
        <v>241</v>
      </c>
      <c r="IF994" s="4" t="s">
        <v>241</v>
      </c>
    </row>
    <row r="995" spans="1:240" x14ac:dyDescent="0.4">
      <c r="A995" s="4">
        <v>2</v>
      </c>
      <c r="B995" s="4" t="s">
        <v>239</v>
      </c>
      <c r="C995" s="4">
        <v>1066</v>
      </c>
      <c r="D995" s="4">
        <v>1</v>
      </c>
      <c r="E995" s="4">
        <v>3</v>
      </c>
      <c r="F995" s="4" t="s">
        <v>240</v>
      </c>
      <c r="G995" s="4" t="s">
        <v>241</v>
      </c>
      <c r="H995" s="4" t="s">
        <v>241</v>
      </c>
      <c r="I995" s="4" t="s">
        <v>2280</v>
      </c>
      <c r="J995" s="4" t="s">
        <v>344</v>
      </c>
      <c r="K995" s="4" t="s">
        <v>256</v>
      </c>
      <c r="L995" s="4" t="s">
        <v>2101</v>
      </c>
      <c r="M995" s="5" t="s">
        <v>2282</v>
      </c>
      <c r="N995" s="4" t="s">
        <v>2109</v>
      </c>
      <c r="O995" s="6">
        <f t="shared" si="92"/>
        <v>57.96</v>
      </c>
      <c r="P995" s="4" t="s">
        <v>276</v>
      </c>
      <c r="Q995" s="6">
        <f t="shared" si="93"/>
        <v>10635786</v>
      </c>
      <c r="R995" s="6">
        <f t="shared" si="94"/>
        <v>15687000</v>
      </c>
      <c r="S995" s="5" t="s">
        <v>2281</v>
      </c>
      <c r="T995" s="4" t="s">
        <v>314</v>
      </c>
      <c r="U995" s="4" t="s">
        <v>300</v>
      </c>
      <c r="V995" s="6">
        <f t="shared" si="95"/>
        <v>721602</v>
      </c>
      <c r="W995" s="6">
        <f t="shared" si="96"/>
        <v>5051214</v>
      </c>
      <c r="X995" s="4" t="s">
        <v>243</v>
      </c>
      <c r="Y995" s="4" t="s">
        <v>244</v>
      </c>
      <c r="Z995" s="4" t="s">
        <v>338</v>
      </c>
      <c r="AA995" s="4" t="s">
        <v>241</v>
      </c>
      <c r="AD995" s="4" t="s">
        <v>241</v>
      </c>
      <c r="AE995" s="5" t="s">
        <v>241</v>
      </c>
      <c r="AF995" s="5" t="s">
        <v>241</v>
      </c>
      <c r="AH995" s="5" t="s">
        <v>241</v>
      </c>
      <c r="AI995" s="5" t="s">
        <v>249</v>
      </c>
      <c r="AJ995" s="4" t="s">
        <v>251</v>
      </c>
      <c r="AK995" s="4" t="s">
        <v>252</v>
      </c>
      <c r="AQ995" s="4" t="s">
        <v>241</v>
      </c>
      <c r="AR995" s="4" t="s">
        <v>241</v>
      </c>
      <c r="AS995" s="4" t="s">
        <v>241</v>
      </c>
      <c r="AT995" s="5" t="s">
        <v>241</v>
      </c>
      <c r="AU995" s="5" t="s">
        <v>241</v>
      </c>
      <c r="AV995" s="5" t="s">
        <v>241</v>
      </c>
      <c r="AY995" s="4" t="s">
        <v>286</v>
      </c>
      <c r="AZ995" s="4" t="s">
        <v>286</v>
      </c>
      <c r="BA995" s="4" t="s">
        <v>254</v>
      </c>
      <c r="BB995" s="4" t="s">
        <v>287</v>
      </c>
      <c r="BC995" s="4" t="s">
        <v>255</v>
      </c>
      <c r="BD995" s="4" t="s">
        <v>241</v>
      </c>
      <c r="BE995" s="4" t="s">
        <v>257</v>
      </c>
      <c r="BF995" s="4" t="s">
        <v>241</v>
      </c>
      <c r="BJ995" s="4" t="s">
        <v>288</v>
      </c>
      <c r="BK995" s="5" t="s">
        <v>289</v>
      </c>
      <c r="BL995" s="4" t="s">
        <v>290</v>
      </c>
      <c r="BM995" s="4" t="s">
        <v>290</v>
      </c>
      <c r="BN995" s="4" t="s">
        <v>241</v>
      </c>
      <c r="BO995" s="6">
        <f>0</f>
        <v>0</v>
      </c>
      <c r="BP995" s="6">
        <f t="shared" si="97"/>
        <v>-721602</v>
      </c>
      <c r="BQ995" s="4" t="s">
        <v>263</v>
      </c>
      <c r="BR995" s="4" t="s">
        <v>264</v>
      </c>
      <c r="BS995" s="4" t="s">
        <v>241</v>
      </c>
      <c r="BT995" s="4" t="s">
        <v>241</v>
      </c>
      <c r="BU995" s="4" t="s">
        <v>241</v>
      </c>
      <c r="BV995" s="4" t="s">
        <v>241</v>
      </c>
      <c r="CE995" s="4" t="s">
        <v>264</v>
      </c>
      <c r="CF995" s="4" t="s">
        <v>241</v>
      </c>
      <c r="CG995" s="4" t="s">
        <v>241</v>
      </c>
      <c r="CK995" s="4" t="s">
        <v>291</v>
      </c>
      <c r="CL995" s="4" t="s">
        <v>266</v>
      </c>
      <c r="CM995" s="4" t="s">
        <v>241</v>
      </c>
      <c r="CO995" s="4" t="s">
        <v>1542</v>
      </c>
      <c r="CP995" s="5" t="s">
        <v>268</v>
      </c>
      <c r="CQ995" s="4" t="s">
        <v>269</v>
      </c>
      <c r="CR995" s="4" t="s">
        <v>270</v>
      </c>
      <c r="CS995" s="4" t="s">
        <v>293</v>
      </c>
      <c r="CT995" s="4" t="s">
        <v>241</v>
      </c>
      <c r="CU995" s="4">
        <v>4.5999999999999999E-2</v>
      </c>
      <c r="CV995" s="4" t="s">
        <v>271</v>
      </c>
      <c r="CW995" s="4" t="s">
        <v>411</v>
      </c>
      <c r="CX995" s="4" t="s">
        <v>347</v>
      </c>
      <c r="CY995" s="6">
        <f>0</f>
        <v>0</v>
      </c>
      <c r="CZ995" s="6">
        <f t="shared" si="98"/>
        <v>15687000</v>
      </c>
      <c r="DA995" s="6">
        <f t="shared" si="99"/>
        <v>10635786</v>
      </c>
      <c r="DC995" s="4" t="s">
        <v>241</v>
      </c>
      <c r="DD995" s="4" t="s">
        <v>241</v>
      </c>
      <c r="DF995" s="4" t="s">
        <v>241</v>
      </c>
      <c r="DG995" s="6">
        <f>0</f>
        <v>0</v>
      </c>
      <c r="DI995" s="4" t="s">
        <v>241</v>
      </c>
      <c r="DJ995" s="4" t="s">
        <v>241</v>
      </c>
      <c r="DK995" s="4" t="s">
        <v>241</v>
      </c>
      <c r="DL995" s="4" t="s">
        <v>241</v>
      </c>
      <c r="DM995" s="4" t="s">
        <v>277</v>
      </c>
      <c r="DN995" s="4" t="s">
        <v>278</v>
      </c>
      <c r="DO995" s="6">
        <f t="shared" si="100"/>
        <v>57.96</v>
      </c>
      <c r="DP995" s="4" t="s">
        <v>241</v>
      </c>
      <c r="DQ995" s="4" t="s">
        <v>241</v>
      </c>
      <c r="DR995" s="4" t="s">
        <v>241</v>
      </c>
      <c r="DS995" s="4" t="s">
        <v>241</v>
      </c>
      <c r="DV995" s="4" t="s">
        <v>2283</v>
      </c>
      <c r="DW995" s="4" t="s">
        <v>323</v>
      </c>
      <c r="GN995" s="4" t="s">
        <v>2292</v>
      </c>
      <c r="HO995" s="4" t="s">
        <v>300</v>
      </c>
      <c r="HR995" s="4" t="s">
        <v>278</v>
      </c>
      <c r="HS995" s="4" t="s">
        <v>278</v>
      </c>
      <c r="HT995" s="4" t="s">
        <v>241</v>
      </c>
      <c r="HU995" s="4" t="s">
        <v>241</v>
      </c>
      <c r="HV995" s="4" t="s">
        <v>241</v>
      </c>
      <c r="HW995" s="4" t="s">
        <v>241</v>
      </c>
      <c r="HX995" s="4" t="s">
        <v>241</v>
      </c>
      <c r="HY995" s="4" t="s">
        <v>241</v>
      </c>
      <c r="HZ995" s="4" t="s">
        <v>241</v>
      </c>
      <c r="IA995" s="4" t="s">
        <v>241</v>
      </c>
      <c r="IB995" s="4" t="s">
        <v>241</v>
      </c>
      <c r="IC995" s="4" t="s">
        <v>241</v>
      </c>
      <c r="ID995" s="4" t="s">
        <v>241</v>
      </c>
      <c r="IE995" s="4" t="s">
        <v>241</v>
      </c>
      <c r="IF995" s="4" t="s">
        <v>241</v>
      </c>
    </row>
    <row r="996" spans="1:240" x14ac:dyDescent="0.4">
      <c r="A996" s="4">
        <v>2</v>
      </c>
      <c r="B996" s="4" t="s">
        <v>239</v>
      </c>
      <c r="C996" s="4">
        <v>1067</v>
      </c>
      <c r="D996" s="4">
        <v>1</v>
      </c>
      <c r="E996" s="4">
        <v>3</v>
      </c>
      <c r="F996" s="4" t="s">
        <v>240</v>
      </c>
      <c r="G996" s="4" t="s">
        <v>241</v>
      </c>
      <c r="H996" s="4" t="s">
        <v>241</v>
      </c>
      <c r="I996" s="4" t="s">
        <v>2280</v>
      </c>
      <c r="J996" s="4" t="s">
        <v>344</v>
      </c>
      <c r="K996" s="4" t="s">
        <v>256</v>
      </c>
      <c r="L996" s="4" t="s">
        <v>2101</v>
      </c>
      <c r="M996" s="5" t="s">
        <v>2282</v>
      </c>
      <c r="N996" s="4" t="s">
        <v>2192</v>
      </c>
      <c r="O996" s="6">
        <f t="shared" si="92"/>
        <v>57.96</v>
      </c>
      <c r="P996" s="4" t="s">
        <v>276</v>
      </c>
      <c r="Q996" s="6">
        <f t="shared" si="93"/>
        <v>10635786</v>
      </c>
      <c r="R996" s="6">
        <f t="shared" si="94"/>
        <v>15687000</v>
      </c>
      <c r="S996" s="5" t="s">
        <v>2281</v>
      </c>
      <c r="T996" s="4" t="s">
        <v>314</v>
      </c>
      <c r="U996" s="4" t="s">
        <v>300</v>
      </c>
      <c r="V996" s="6">
        <f t="shared" si="95"/>
        <v>721602</v>
      </c>
      <c r="W996" s="6">
        <f t="shared" si="96"/>
        <v>5051214</v>
      </c>
      <c r="X996" s="4" t="s">
        <v>243</v>
      </c>
      <c r="Y996" s="4" t="s">
        <v>244</v>
      </c>
      <c r="Z996" s="4" t="s">
        <v>338</v>
      </c>
      <c r="AA996" s="4" t="s">
        <v>241</v>
      </c>
      <c r="AD996" s="4" t="s">
        <v>241</v>
      </c>
      <c r="AE996" s="5" t="s">
        <v>241</v>
      </c>
      <c r="AF996" s="5" t="s">
        <v>241</v>
      </c>
      <c r="AH996" s="5" t="s">
        <v>241</v>
      </c>
      <c r="AI996" s="5" t="s">
        <v>249</v>
      </c>
      <c r="AJ996" s="4" t="s">
        <v>251</v>
      </c>
      <c r="AK996" s="4" t="s">
        <v>252</v>
      </c>
      <c r="AQ996" s="4" t="s">
        <v>241</v>
      </c>
      <c r="AR996" s="4" t="s">
        <v>241</v>
      </c>
      <c r="AS996" s="4" t="s">
        <v>241</v>
      </c>
      <c r="AT996" s="5" t="s">
        <v>241</v>
      </c>
      <c r="AU996" s="5" t="s">
        <v>241</v>
      </c>
      <c r="AV996" s="5" t="s">
        <v>241</v>
      </c>
      <c r="AY996" s="4" t="s">
        <v>286</v>
      </c>
      <c r="AZ996" s="4" t="s">
        <v>286</v>
      </c>
      <c r="BA996" s="4" t="s">
        <v>254</v>
      </c>
      <c r="BB996" s="4" t="s">
        <v>287</v>
      </c>
      <c r="BC996" s="4" t="s">
        <v>255</v>
      </c>
      <c r="BD996" s="4" t="s">
        <v>241</v>
      </c>
      <c r="BE996" s="4" t="s">
        <v>257</v>
      </c>
      <c r="BF996" s="4" t="s">
        <v>241</v>
      </c>
      <c r="BJ996" s="4" t="s">
        <v>288</v>
      </c>
      <c r="BK996" s="5" t="s">
        <v>289</v>
      </c>
      <c r="BL996" s="4" t="s">
        <v>290</v>
      </c>
      <c r="BM996" s="4" t="s">
        <v>290</v>
      </c>
      <c r="BN996" s="4" t="s">
        <v>241</v>
      </c>
      <c r="BO996" s="6">
        <f>0</f>
        <v>0</v>
      </c>
      <c r="BP996" s="6">
        <f t="shared" si="97"/>
        <v>-721602</v>
      </c>
      <c r="BQ996" s="4" t="s">
        <v>263</v>
      </c>
      <c r="BR996" s="4" t="s">
        <v>264</v>
      </c>
      <c r="BS996" s="4" t="s">
        <v>241</v>
      </c>
      <c r="BT996" s="4" t="s">
        <v>241</v>
      </c>
      <c r="BU996" s="4" t="s">
        <v>241</v>
      </c>
      <c r="BV996" s="4" t="s">
        <v>241</v>
      </c>
      <c r="CE996" s="4" t="s">
        <v>264</v>
      </c>
      <c r="CF996" s="4" t="s">
        <v>241</v>
      </c>
      <c r="CG996" s="4" t="s">
        <v>241</v>
      </c>
      <c r="CK996" s="4" t="s">
        <v>291</v>
      </c>
      <c r="CL996" s="4" t="s">
        <v>266</v>
      </c>
      <c r="CM996" s="4" t="s">
        <v>241</v>
      </c>
      <c r="CO996" s="4" t="s">
        <v>1542</v>
      </c>
      <c r="CP996" s="5" t="s">
        <v>268</v>
      </c>
      <c r="CQ996" s="4" t="s">
        <v>269</v>
      </c>
      <c r="CR996" s="4" t="s">
        <v>270</v>
      </c>
      <c r="CS996" s="4" t="s">
        <v>293</v>
      </c>
      <c r="CT996" s="4" t="s">
        <v>241</v>
      </c>
      <c r="CU996" s="4">
        <v>4.5999999999999999E-2</v>
      </c>
      <c r="CV996" s="4" t="s">
        <v>271</v>
      </c>
      <c r="CW996" s="4" t="s">
        <v>411</v>
      </c>
      <c r="CX996" s="4" t="s">
        <v>347</v>
      </c>
      <c r="CY996" s="6">
        <f>0</f>
        <v>0</v>
      </c>
      <c r="CZ996" s="6">
        <f t="shared" si="98"/>
        <v>15687000</v>
      </c>
      <c r="DA996" s="6">
        <f t="shared" si="99"/>
        <v>10635786</v>
      </c>
      <c r="DC996" s="4" t="s">
        <v>241</v>
      </c>
      <c r="DD996" s="4" t="s">
        <v>241</v>
      </c>
      <c r="DF996" s="4" t="s">
        <v>241</v>
      </c>
      <c r="DG996" s="6">
        <f>0</f>
        <v>0</v>
      </c>
      <c r="DI996" s="4" t="s">
        <v>241</v>
      </c>
      <c r="DJ996" s="4" t="s">
        <v>241</v>
      </c>
      <c r="DK996" s="4" t="s">
        <v>241</v>
      </c>
      <c r="DL996" s="4" t="s">
        <v>241</v>
      </c>
      <c r="DM996" s="4" t="s">
        <v>277</v>
      </c>
      <c r="DN996" s="4" t="s">
        <v>278</v>
      </c>
      <c r="DO996" s="6">
        <f t="shared" si="100"/>
        <v>57.96</v>
      </c>
      <c r="DP996" s="4" t="s">
        <v>241</v>
      </c>
      <c r="DQ996" s="4" t="s">
        <v>241</v>
      </c>
      <c r="DR996" s="4" t="s">
        <v>241</v>
      </c>
      <c r="DS996" s="4" t="s">
        <v>241</v>
      </c>
      <c r="DV996" s="4" t="s">
        <v>2283</v>
      </c>
      <c r="DW996" s="4" t="s">
        <v>297</v>
      </c>
      <c r="GN996" s="4" t="s">
        <v>2291</v>
      </c>
      <c r="HO996" s="4" t="s">
        <v>300</v>
      </c>
      <c r="HR996" s="4" t="s">
        <v>278</v>
      </c>
      <c r="HS996" s="4" t="s">
        <v>278</v>
      </c>
      <c r="HT996" s="4" t="s">
        <v>241</v>
      </c>
      <c r="HU996" s="4" t="s">
        <v>241</v>
      </c>
      <c r="HV996" s="4" t="s">
        <v>241</v>
      </c>
      <c r="HW996" s="4" t="s">
        <v>241</v>
      </c>
      <c r="HX996" s="4" t="s">
        <v>241</v>
      </c>
      <c r="HY996" s="4" t="s">
        <v>241</v>
      </c>
      <c r="HZ996" s="4" t="s">
        <v>241</v>
      </c>
      <c r="IA996" s="4" t="s">
        <v>241</v>
      </c>
      <c r="IB996" s="4" t="s">
        <v>241</v>
      </c>
      <c r="IC996" s="4" t="s">
        <v>241</v>
      </c>
      <c r="ID996" s="4" t="s">
        <v>241</v>
      </c>
      <c r="IE996" s="4" t="s">
        <v>241</v>
      </c>
      <c r="IF996" s="4" t="s">
        <v>241</v>
      </c>
    </row>
    <row r="997" spans="1:240" x14ac:dyDescent="0.4">
      <c r="A997" s="4">
        <v>2</v>
      </c>
      <c r="B997" s="4" t="s">
        <v>239</v>
      </c>
      <c r="C997" s="4">
        <v>1068</v>
      </c>
      <c r="D997" s="4">
        <v>1</v>
      </c>
      <c r="E997" s="4">
        <v>3</v>
      </c>
      <c r="F997" s="4" t="s">
        <v>240</v>
      </c>
      <c r="G997" s="4" t="s">
        <v>241</v>
      </c>
      <c r="H997" s="4" t="s">
        <v>241</v>
      </c>
      <c r="I997" s="4" t="s">
        <v>2280</v>
      </c>
      <c r="J997" s="4" t="s">
        <v>344</v>
      </c>
      <c r="K997" s="4" t="s">
        <v>256</v>
      </c>
      <c r="L997" s="4" t="s">
        <v>2101</v>
      </c>
      <c r="M997" s="5" t="s">
        <v>2282</v>
      </c>
      <c r="N997" s="4" t="s">
        <v>2173</v>
      </c>
      <c r="O997" s="6">
        <f t="shared" si="92"/>
        <v>57.96</v>
      </c>
      <c r="P997" s="4" t="s">
        <v>276</v>
      </c>
      <c r="Q997" s="6">
        <f t="shared" si="93"/>
        <v>10635786</v>
      </c>
      <c r="R997" s="6">
        <f t="shared" si="94"/>
        <v>15687000</v>
      </c>
      <c r="S997" s="5" t="s">
        <v>2281</v>
      </c>
      <c r="T997" s="4" t="s">
        <v>314</v>
      </c>
      <c r="U997" s="4" t="s">
        <v>300</v>
      </c>
      <c r="V997" s="6">
        <f t="shared" si="95"/>
        <v>721602</v>
      </c>
      <c r="W997" s="6">
        <f t="shared" si="96"/>
        <v>5051214</v>
      </c>
      <c r="X997" s="4" t="s">
        <v>243</v>
      </c>
      <c r="Y997" s="4" t="s">
        <v>244</v>
      </c>
      <c r="Z997" s="4" t="s">
        <v>338</v>
      </c>
      <c r="AA997" s="4" t="s">
        <v>241</v>
      </c>
      <c r="AD997" s="4" t="s">
        <v>241</v>
      </c>
      <c r="AE997" s="5" t="s">
        <v>241</v>
      </c>
      <c r="AF997" s="5" t="s">
        <v>241</v>
      </c>
      <c r="AH997" s="5" t="s">
        <v>241</v>
      </c>
      <c r="AI997" s="5" t="s">
        <v>249</v>
      </c>
      <c r="AJ997" s="4" t="s">
        <v>251</v>
      </c>
      <c r="AK997" s="4" t="s">
        <v>252</v>
      </c>
      <c r="AQ997" s="4" t="s">
        <v>241</v>
      </c>
      <c r="AR997" s="4" t="s">
        <v>241</v>
      </c>
      <c r="AS997" s="4" t="s">
        <v>241</v>
      </c>
      <c r="AT997" s="5" t="s">
        <v>241</v>
      </c>
      <c r="AU997" s="5" t="s">
        <v>241</v>
      </c>
      <c r="AV997" s="5" t="s">
        <v>241</v>
      </c>
      <c r="AY997" s="4" t="s">
        <v>286</v>
      </c>
      <c r="AZ997" s="4" t="s">
        <v>286</v>
      </c>
      <c r="BA997" s="4" t="s">
        <v>254</v>
      </c>
      <c r="BB997" s="4" t="s">
        <v>287</v>
      </c>
      <c r="BC997" s="4" t="s">
        <v>255</v>
      </c>
      <c r="BD997" s="4" t="s">
        <v>241</v>
      </c>
      <c r="BE997" s="4" t="s">
        <v>257</v>
      </c>
      <c r="BF997" s="4" t="s">
        <v>241</v>
      </c>
      <c r="BJ997" s="4" t="s">
        <v>288</v>
      </c>
      <c r="BK997" s="5" t="s">
        <v>289</v>
      </c>
      <c r="BL997" s="4" t="s">
        <v>290</v>
      </c>
      <c r="BM997" s="4" t="s">
        <v>290</v>
      </c>
      <c r="BN997" s="4" t="s">
        <v>241</v>
      </c>
      <c r="BO997" s="6">
        <f>0</f>
        <v>0</v>
      </c>
      <c r="BP997" s="6">
        <f t="shared" si="97"/>
        <v>-721602</v>
      </c>
      <c r="BQ997" s="4" t="s">
        <v>263</v>
      </c>
      <c r="BR997" s="4" t="s">
        <v>264</v>
      </c>
      <c r="BS997" s="4" t="s">
        <v>241</v>
      </c>
      <c r="BT997" s="4" t="s">
        <v>241</v>
      </c>
      <c r="BU997" s="4" t="s">
        <v>241</v>
      </c>
      <c r="BV997" s="4" t="s">
        <v>241</v>
      </c>
      <c r="CE997" s="4" t="s">
        <v>264</v>
      </c>
      <c r="CF997" s="4" t="s">
        <v>241</v>
      </c>
      <c r="CG997" s="4" t="s">
        <v>241</v>
      </c>
      <c r="CK997" s="4" t="s">
        <v>291</v>
      </c>
      <c r="CL997" s="4" t="s">
        <v>266</v>
      </c>
      <c r="CM997" s="4" t="s">
        <v>241</v>
      </c>
      <c r="CO997" s="4" t="s">
        <v>1542</v>
      </c>
      <c r="CP997" s="5" t="s">
        <v>268</v>
      </c>
      <c r="CQ997" s="4" t="s">
        <v>269</v>
      </c>
      <c r="CR997" s="4" t="s">
        <v>270</v>
      </c>
      <c r="CS997" s="4" t="s">
        <v>293</v>
      </c>
      <c r="CT997" s="4" t="s">
        <v>241</v>
      </c>
      <c r="CU997" s="4">
        <v>4.5999999999999999E-2</v>
      </c>
      <c r="CV997" s="4" t="s">
        <v>271</v>
      </c>
      <c r="CW997" s="4" t="s">
        <v>411</v>
      </c>
      <c r="CX997" s="4" t="s">
        <v>347</v>
      </c>
      <c r="CY997" s="6">
        <f>0</f>
        <v>0</v>
      </c>
      <c r="CZ997" s="6">
        <f t="shared" si="98"/>
        <v>15687000</v>
      </c>
      <c r="DA997" s="6">
        <f t="shared" si="99"/>
        <v>10635786</v>
      </c>
      <c r="DC997" s="4" t="s">
        <v>241</v>
      </c>
      <c r="DD997" s="4" t="s">
        <v>241</v>
      </c>
      <c r="DF997" s="4" t="s">
        <v>241</v>
      </c>
      <c r="DG997" s="6">
        <f>0</f>
        <v>0</v>
      </c>
      <c r="DI997" s="4" t="s">
        <v>241</v>
      </c>
      <c r="DJ997" s="4" t="s">
        <v>241</v>
      </c>
      <c r="DK997" s="4" t="s">
        <v>241</v>
      </c>
      <c r="DL997" s="4" t="s">
        <v>241</v>
      </c>
      <c r="DM997" s="4" t="s">
        <v>277</v>
      </c>
      <c r="DN997" s="4" t="s">
        <v>278</v>
      </c>
      <c r="DO997" s="6">
        <f t="shared" si="100"/>
        <v>57.96</v>
      </c>
      <c r="DP997" s="4" t="s">
        <v>241</v>
      </c>
      <c r="DQ997" s="4" t="s">
        <v>241</v>
      </c>
      <c r="DR997" s="4" t="s">
        <v>241</v>
      </c>
      <c r="DS997" s="4" t="s">
        <v>241</v>
      </c>
      <c r="DV997" s="4" t="s">
        <v>2283</v>
      </c>
      <c r="DW997" s="4" t="s">
        <v>336</v>
      </c>
      <c r="GN997" s="4" t="s">
        <v>2290</v>
      </c>
      <c r="HO997" s="4" t="s">
        <v>300</v>
      </c>
      <c r="HR997" s="4" t="s">
        <v>278</v>
      </c>
      <c r="HS997" s="4" t="s">
        <v>278</v>
      </c>
      <c r="HT997" s="4" t="s">
        <v>241</v>
      </c>
      <c r="HU997" s="4" t="s">
        <v>241</v>
      </c>
      <c r="HV997" s="4" t="s">
        <v>241</v>
      </c>
      <c r="HW997" s="4" t="s">
        <v>241</v>
      </c>
      <c r="HX997" s="4" t="s">
        <v>241</v>
      </c>
      <c r="HY997" s="4" t="s">
        <v>241</v>
      </c>
      <c r="HZ997" s="4" t="s">
        <v>241</v>
      </c>
      <c r="IA997" s="4" t="s">
        <v>241</v>
      </c>
      <c r="IB997" s="4" t="s">
        <v>241</v>
      </c>
      <c r="IC997" s="4" t="s">
        <v>241</v>
      </c>
      <c r="ID997" s="4" t="s">
        <v>241</v>
      </c>
      <c r="IE997" s="4" t="s">
        <v>241</v>
      </c>
      <c r="IF997" s="4" t="s">
        <v>241</v>
      </c>
    </row>
    <row r="998" spans="1:240" x14ac:dyDescent="0.4">
      <c r="A998" s="4">
        <v>2</v>
      </c>
      <c r="B998" s="4" t="s">
        <v>239</v>
      </c>
      <c r="C998" s="4">
        <v>1069</v>
      </c>
      <c r="D998" s="4">
        <v>1</v>
      </c>
      <c r="E998" s="4">
        <v>3</v>
      </c>
      <c r="F998" s="4" t="s">
        <v>240</v>
      </c>
      <c r="G998" s="4" t="s">
        <v>241</v>
      </c>
      <c r="H998" s="4" t="s">
        <v>241</v>
      </c>
      <c r="I998" s="4" t="s">
        <v>2280</v>
      </c>
      <c r="J998" s="4" t="s">
        <v>344</v>
      </c>
      <c r="K998" s="4" t="s">
        <v>256</v>
      </c>
      <c r="L998" s="4" t="s">
        <v>2101</v>
      </c>
      <c r="M998" s="5" t="s">
        <v>2282</v>
      </c>
      <c r="N998" s="4" t="s">
        <v>2174</v>
      </c>
      <c r="O998" s="6">
        <f t="shared" si="92"/>
        <v>57.96</v>
      </c>
      <c r="P998" s="4" t="s">
        <v>276</v>
      </c>
      <c r="Q998" s="6">
        <f t="shared" si="93"/>
        <v>10635786</v>
      </c>
      <c r="R998" s="6">
        <f t="shared" si="94"/>
        <v>15687000</v>
      </c>
      <c r="S998" s="5" t="s">
        <v>2281</v>
      </c>
      <c r="T998" s="4" t="s">
        <v>314</v>
      </c>
      <c r="U998" s="4" t="s">
        <v>300</v>
      </c>
      <c r="V998" s="6">
        <f t="shared" si="95"/>
        <v>721602</v>
      </c>
      <c r="W998" s="6">
        <f t="shared" si="96"/>
        <v>5051214</v>
      </c>
      <c r="X998" s="4" t="s">
        <v>243</v>
      </c>
      <c r="Y998" s="4" t="s">
        <v>244</v>
      </c>
      <c r="Z998" s="4" t="s">
        <v>338</v>
      </c>
      <c r="AA998" s="4" t="s">
        <v>241</v>
      </c>
      <c r="AD998" s="4" t="s">
        <v>241</v>
      </c>
      <c r="AE998" s="5" t="s">
        <v>241</v>
      </c>
      <c r="AF998" s="5" t="s">
        <v>241</v>
      </c>
      <c r="AH998" s="5" t="s">
        <v>241</v>
      </c>
      <c r="AI998" s="5" t="s">
        <v>249</v>
      </c>
      <c r="AJ998" s="4" t="s">
        <v>251</v>
      </c>
      <c r="AK998" s="4" t="s">
        <v>252</v>
      </c>
      <c r="AQ998" s="4" t="s">
        <v>241</v>
      </c>
      <c r="AR998" s="4" t="s">
        <v>241</v>
      </c>
      <c r="AS998" s="4" t="s">
        <v>241</v>
      </c>
      <c r="AT998" s="5" t="s">
        <v>241</v>
      </c>
      <c r="AU998" s="5" t="s">
        <v>241</v>
      </c>
      <c r="AV998" s="5" t="s">
        <v>241</v>
      </c>
      <c r="AY998" s="4" t="s">
        <v>286</v>
      </c>
      <c r="AZ998" s="4" t="s">
        <v>286</v>
      </c>
      <c r="BA998" s="4" t="s">
        <v>254</v>
      </c>
      <c r="BB998" s="4" t="s">
        <v>287</v>
      </c>
      <c r="BC998" s="4" t="s">
        <v>255</v>
      </c>
      <c r="BD998" s="4" t="s">
        <v>241</v>
      </c>
      <c r="BE998" s="4" t="s">
        <v>257</v>
      </c>
      <c r="BF998" s="4" t="s">
        <v>241</v>
      </c>
      <c r="BJ998" s="4" t="s">
        <v>288</v>
      </c>
      <c r="BK998" s="5" t="s">
        <v>289</v>
      </c>
      <c r="BL998" s="4" t="s">
        <v>290</v>
      </c>
      <c r="BM998" s="4" t="s">
        <v>290</v>
      </c>
      <c r="BN998" s="4" t="s">
        <v>241</v>
      </c>
      <c r="BO998" s="6">
        <f>0</f>
        <v>0</v>
      </c>
      <c r="BP998" s="6">
        <f t="shared" si="97"/>
        <v>-721602</v>
      </c>
      <c r="BQ998" s="4" t="s">
        <v>263</v>
      </c>
      <c r="BR998" s="4" t="s">
        <v>264</v>
      </c>
      <c r="BS998" s="4" t="s">
        <v>241</v>
      </c>
      <c r="BT998" s="4" t="s">
        <v>241</v>
      </c>
      <c r="BU998" s="4" t="s">
        <v>241</v>
      </c>
      <c r="BV998" s="4" t="s">
        <v>241</v>
      </c>
      <c r="CE998" s="4" t="s">
        <v>264</v>
      </c>
      <c r="CF998" s="4" t="s">
        <v>241</v>
      </c>
      <c r="CG998" s="4" t="s">
        <v>241</v>
      </c>
      <c r="CK998" s="4" t="s">
        <v>291</v>
      </c>
      <c r="CL998" s="4" t="s">
        <v>266</v>
      </c>
      <c r="CM998" s="4" t="s">
        <v>241</v>
      </c>
      <c r="CO998" s="4" t="s">
        <v>1542</v>
      </c>
      <c r="CP998" s="5" t="s">
        <v>268</v>
      </c>
      <c r="CQ998" s="4" t="s">
        <v>269</v>
      </c>
      <c r="CR998" s="4" t="s">
        <v>270</v>
      </c>
      <c r="CS998" s="4" t="s">
        <v>293</v>
      </c>
      <c r="CT998" s="4" t="s">
        <v>241</v>
      </c>
      <c r="CU998" s="4">
        <v>4.5999999999999999E-2</v>
      </c>
      <c r="CV998" s="4" t="s">
        <v>271</v>
      </c>
      <c r="CW998" s="4" t="s">
        <v>411</v>
      </c>
      <c r="CX998" s="4" t="s">
        <v>347</v>
      </c>
      <c r="CY998" s="6">
        <f>0</f>
        <v>0</v>
      </c>
      <c r="CZ998" s="6">
        <f t="shared" si="98"/>
        <v>15687000</v>
      </c>
      <c r="DA998" s="6">
        <f t="shared" si="99"/>
        <v>10635786</v>
      </c>
      <c r="DC998" s="4" t="s">
        <v>241</v>
      </c>
      <c r="DD998" s="4" t="s">
        <v>241</v>
      </c>
      <c r="DF998" s="4" t="s">
        <v>241</v>
      </c>
      <c r="DG998" s="6">
        <f>0</f>
        <v>0</v>
      </c>
      <c r="DI998" s="4" t="s">
        <v>241</v>
      </c>
      <c r="DJ998" s="4" t="s">
        <v>241</v>
      </c>
      <c r="DK998" s="4" t="s">
        <v>241</v>
      </c>
      <c r="DL998" s="4" t="s">
        <v>241</v>
      </c>
      <c r="DM998" s="4" t="s">
        <v>277</v>
      </c>
      <c r="DN998" s="4" t="s">
        <v>278</v>
      </c>
      <c r="DO998" s="6">
        <f t="shared" si="100"/>
        <v>57.96</v>
      </c>
      <c r="DP998" s="4" t="s">
        <v>241</v>
      </c>
      <c r="DQ998" s="4" t="s">
        <v>241</v>
      </c>
      <c r="DR998" s="4" t="s">
        <v>241</v>
      </c>
      <c r="DS998" s="4" t="s">
        <v>241</v>
      </c>
      <c r="DV998" s="4" t="s">
        <v>2283</v>
      </c>
      <c r="DW998" s="4" t="s">
        <v>351</v>
      </c>
      <c r="GN998" s="4" t="s">
        <v>2289</v>
      </c>
      <c r="HO998" s="4" t="s">
        <v>300</v>
      </c>
      <c r="HR998" s="4" t="s">
        <v>278</v>
      </c>
      <c r="HS998" s="4" t="s">
        <v>278</v>
      </c>
      <c r="HT998" s="4" t="s">
        <v>241</v>
      </c>
      <c r="HU998" s="4" t="s">
        <v>241</v>
      </c>
      <c r="HV998" s="4" t="s">
        <v>241</v>
      </c>
      <c r="HW998" s="4" t="s">
        <v>241</v>
      </c>
      <c r="HX998" s="4" t="s">
        <v>241</v>
      </c>
      <c r="HY998" s="4" t="s">
        <v>241</v>
      </c>
      <c r="HZ998" s="4" t="s">
        <v>241</v>
      </c>
      <c r="IA998" s="4" t="s">
        <v>241</v>
      </c>
      <c r="IB998" s="4" t="s">
        <v>241</v>
      </c>
      <c r="IC998" s="4" t="s">
        <v>241</v>
      </c>
      <c r="ID998" s="4" t="s">
        <v>241</v>
      </c>
      <c r="IE998" s="4" t="s">
        <v>241</v>
      </c>
      <c r="IF998" s="4" t="s">
        <v>241</v>
      </c>
    </row>
    <row r="999" spans="1:240" x14ac:dyDescent="0.4">
      <c r="A999" s="4">
        <v>2</v>
      </c>
      <c r="B999" s="4" t="s">
        <v>239</v>
      </c>
      <c r="C999" s="4">
        <v>1070</v>
      </c>
      <c r="D999" s="4">
        <v>1</v>
      </c>
      <c r="E999" s="4">
        <v>3</v>
      </c>
      <c r="F999" s="4" t="s">
        <v>240</v>
      </c>
      <c r="G999" s="4" t="s">
        <v>241</v>
      </c>
      <c r="H999" s="4" t="s">
        <v>241</v>
      </c>
      <c r="I999" s="4" t="s">
        <v>2280</v>
      </c>
      <c r="J999" s="4" t="s">
        <v>344</v>
      </c>
      <c r="K999" s="4" t="s">
        <v>256</v>
      </c>
      <c r="L999" s="4" t="s">
        <v>2101</v>
      </c>
      <c r="M999" s="5" t="s">
        <v>2282</v>
      </c>
      <c r="N999" s="4" t="s">
        <v>2154</v>
      </c>
      <c r="O999" s="6">
        <f t="shared" si="92"/>
        <v>57.96</v>
      </c>
      <c r="P999" s="4" t="s">
        <v>276</v>
      </c>
      <c r="Q999" s="6">
        <f t="shared" si="93"/>
        <v>10635786</v>
      </c>
      <c r="R999" s="6">
        <f t="shared" si="94"/>
        <v>15687000</v>
      </c>
      <c r="S999" s="5" t="s">
        <v>2281</v>
      </c>
      <c r="T999" s="4" t="s">
        <v>314</v>
      </c>
      <c r="U999" s="4" t="s">
        <v>300</v>
      </c>
      <c r="V999" s="6">
        <f t="shared" si="95"/>
        <v>721602</v>
      </c>
      <c r="W999" s="6">
        <f t="shared" si="96"/>
        <v>5051214</v>
      </c>
      <c r="X999" s="4" t="s">
        <v>243</v>
      </c>
      <c r="Y999" s="4" t="s">
        <v>244</v>
      </c>
      <c r="Z999" s="4" t="s">
        <v>338</v>
      </c>
      <c r="AA999" s="4" t="s">
        <v>241</v>
      </c>
      <c r="AD999" s="4" t="s">
        <v>241</v>
      </c>
      <c r="AE999" s="5" t="s">
        <v>241</v>
      </c>
      <c r="AF999" s="5" t="s">
        <v>241</v>
      </c>
      <c r="AH999" s="5" t="s">
        <v>241</v>
      </c>
      <c r="AI999" s="5" t="s">
        <v>249</v>
      </c>
      <c r="AJ999" s="4" t="s">
        <v>251</v>
      </c>
      <c r="AK999" s="4" t="s">
        <v>252</v>
      </c>
      <c r="AQ999" s="4" t="s">
        <v>241</v>
      </c>
      <c r="AR999" s="4" t="s">
        <v>241</v>
      </c>
      <c r="AS999" s="4" t="s">
        <v>241</v>
      </c>
      <c r="AT999" s="5" t="s">
        <v>241</v>
      </c>
      <c r="AU999" s="5" t="s">
        <v>241</v>
      </c>
      <c r="AV999" s="5" t="s">
        <v>241</v>
      </c>
      <c r="AY999" s="4" t="s">
        <v>286</v>
      </c>
      <c r="AZ999" s="4" t="s">
        <v>286</v>
      </c>
      <c r="BA999" s="4" t="s">
        <v>254</v>
      </c>
      <c r="BB999" s="4" t="s">
        <v>287</v>
      </c>
      <c r="BC999" s="4" t="s">
        <v>255</v>
      </c>
      <c r="BD999" s="4" t="s">
        <v>241</v>
      </c>
      <c r="BE999" s="4" t="s">
        <v>257</v>
      </c>
      <c r="BF999" s="4" t="s">
        <v>241</v>
      </c>
      <c r="BJ999" s="4" t="s">
        <v>288</v>
      </c>
      <c r="BK999" s="5" t="s">
        <v>289</v>
      </c>
      <c r="BL999" s="4" t="s">
        <v>290</v>
      </c>
      <c r="BM999" s="4" t="s">
        <v>290</v>
      </c>
      <c r="BN999" s="4" t="s">
        <v>241</v>
      </c>
      <c r="BO999" s="6">
        <f>0</f>
        <v>0</v>
      </c>
      <c r="BP999" s="6">
        <f t="shared" si="97"/>
        <v>-721602</v>
      </c>
      <c r="BQ999" s="4" t="s">
        <v>263</v>
      </c>
      <c r="BR999" s="4" t="s">
        <v>264</v>
      </c>
      <c r="BS999" s="4" t="s">
        <v>241</v>
      </c>
      <c r="BT999" s="4" t="s">
        <v>241</v>
      </c>
      <c r="BU999" s="4" t="s">
        <v>241</v>
      </c>
      <c r="BV999" s="4" t="s">
        <v>241</v>
      </c>
      <c r="CE999" s="4" t="s">
        <v>264</v>
      </c>
      <c r="CF999" s="4" t="s">
        <v>241</v>
      </c>
      <c r="CG999" s="4" t="s">
        <v>241</v>
      </c>
      <c r="CK999" s="4" t="s">
        <v>291</v>
      </c>
      <c r="CL999" s="4" t="s">
        <v>266</v>
      </c>
      <c r="CM999" s="4" t="s">
        <v>241</v>
      </c>
      <c r="CO999" s="4" t="s">
        <v>1542</v>
      </c>
      <c r="CP999" s="5" t="s">
        <v>268</v>
      </c>
      <c r="CQ999" s="4" t="s">
        <v>269</v>
      </c>
      <c r="CR999" s="4" t="s">
        <v>270</v>
      </c>
      <c r="CS999" s="4" t="s">
        <v>293</v>
      </c>
      <c r="CT999" s="4" t="s">
        <v>241</v>
      </c>
      <c r="CU999" s="4">
        <v>4.5999999999999999E-2</v>
      </c>
      <c r="CV999" s="4" t="s">
        <v>271</v>
      </c>
      <c r="CW999" s="4" t="s">
        <v>411</v>
      </c>
      <c r="CX999" s="4" t="s">
        <v>347</v>
      </c>
      <c r="CY999" s="6">
        <f>0</f>
        <v>0</v>
      </c>
      <c r="CZ999" s="6">
        <f t="shared" si="98"/>
        <v>15687000</v>
      </c>
      <c r="DA999" s="6">
        <f t="shared" si="99"/>
        <v>10635786</v>
      </c>
      <c r="DC999" s="4" t="s">
        <v>241</v>
      </c>
      <c r="DD999" s="4" t="s">
        <v>241</v>
      </c>
      <c r="DF999" s="4" t="s">
        <v>241</v>
      </c>
      <c r="DG999" s="6">
        <f>0</f>
        <v>0</v>
      </c>
      <c r="DI999" s="4" t="s">
        <v>241</v>
      </c>
      <c r="DJ999" s="4" t="s">
        <v>241</v>
      </c>
      <c r="DK999" s="4" t="s">
        <v>241</v>
      </c>
      <c r="DL999" s="4" t="s">
        <v>241</v>
      </c>
      <c r="DM999" s="4" t="s">
        <v>277</v>
      </c>
      <c r="DN999" s="4" t="s">
        <v>278</v>
      </c>
      <c r="DO999" s="6">
        <f t="shared" si="100"/>
        <v>57.96</v>
      </c>
      <c r="DP999" s="4" t="s">
        <v>241</v>
      </c>
      <c r="DQ999" s="4" t="s">
        <v>241</v>
      </c>
      <c r="DR999" s="4" t="s">
        <v>241</v>
      </c>
      <c r="DS999" s="4" t="s">
        <v>241</v>
      </c>
      <c r="DV999" s="4" t="s">
        <v>2283</v>
      </c>
      <c r="DW999" s="4" t="s">
        <v>300</v>
      </c>
      <c r="GN999" s="4" t="s">
        <v>2288</v>
      </c>
      <c r="HO999" s="4" t="s">
        <v>300</v>
      </c>
      <c r="HR999" s="4" t="s">
        <v>278</v>
      </c>
      <c r="HS999" s="4" t="s">
        <v>278</v>
      </c>
      <c r="HT999" s="4" t="s">
        <v>241</v>
      </c>
      <c r="HU999" s="4" t="s">
        <v>241</v>
      </c>
      <c r="HV999" s="4" t="s">
        <v>241</v>
      </c>
      <c r="HW999" s="4" t="s">
        <v>241</v>
      </c>
      <c r="HX999" s="4" t="s">
        <v>241</v>
      </c>
      <c r="HY999" s="4" t="s">
        <v>241</v>
      </c>
      <c r="HZ999" s="4" t="s">
        <v>241</v>
      </c>
      <c r="IA999" s="4" t="s">
        <v>241</v>
      </c>
      <c r="IB999" s="4" t="s">
        <v>241</v>
      </c>
      <c r="IC999" s="4" t="s">
        <v>241</v>
      </c>
      <c r="ID999" s="4" t="s">
        <v>241</v>
      </c>
      <c r="IE999" s="4" t="s">
        <v>241</v>
      </c>
      <c r="IF999" s="4" t="s">
        <v>241</v>
      </c>
    </row>
    <row r="1000" spans="1:240" x14ac:dyDescent="0.4">
      <c r="A1000" s="4">
        <v>2</v>
      </c>
      <c r="B1000" s="4" t="s">
        <v>239</v>
      </c>
      <c r="C1000" s="4">
        <v>1071</v>
      </c>
      <c r="D1000" s="4">
        <v>1</v>
      </c>
      <c r="E1000" s="4">
        <v>3</v>
      </c>
      <c r="F1000" s="4" t="s">
        <v>240</v>
      </c>
      <c r="G1000" s="4" t="s">
        <v>241</v>
      </c>
      <c r="H1000" s="4" t="s">
        <v>241</v>
      </c>
      <c r="I1000" s="4" t="s">
        <v>2280</v>
      </c>
      <c r="J1000" s="4" t="s">
        <v>344</v>
      </c>
      <c r="K1000" s="4" t="s">
        <v>256</v>
      </c>
      <c r="L1000" s="4" t="s">
        <v>2101</v>
      </c>
      <c r="M1000" s="5" t="s">
        <v>2282</v>
      </c>
      <c r="N1000" s="4" t="s">
        <v>2110</v>
      </c>
      <c r="O1000" s="6">
        <f>81.14</f>
        <v>81.14</v>
      </c>
      <c r="P1000" s="4" t="s">
        <v>276</v>
      </c>
      <c r="Q1000" s="6">
        <f>12488760</f>
        <v>12488760</v>
      </c>
      <c r="R1000" s="6">
        <f>18420000</f>
        <v>18420000</v>
      </c>
      <c r="S1000" s="5" t="s">
        <v>2281</v>
      </c>
      <c r="T1000" s="4" t="s">
        <v>314</v>
      </c>
      <c r="U1000" s="4" t="s">
        <v>300</v>
      </c>
      <c r="V1000" s="6">
        <f>847320</f>
        <v>847320</v>
      </c>
      <c r="W1000" s="6">
        <f>5931240</f>
        <v>5931240</v>
      </c>
      <c r="X1000" s="4" t="s">
        <v>243</v>
      </c>
      <c r="Y1000" s="4" t="s">
        <v>244</v>
      </c>
      <c r="Z1000" s="4" t="s">
        <v>338</v>
      </c>
      <c r="AA1000" s="4" t="s">
        <v>241</v>
      </c>
      <c r="AD1000" s="4" t="s">
        <v>241</v>
      </c>
      <c r="AE1000" s="5" t="s">
        <v>241</v>
      </c>
      <c r="AF1000" s="5" t="s">
        <v>241</v>
      </c>
      <c r="AH1000" s="5" t="s">
        <v>241</v>
      </c>
      <c r="AI1000" s="5" t="s">
        <v>249</v>
      </c>
      <c r="AJ1000" s="4" t="s">
        <v>251</v>
      </c>
      <c r="AK1000" s="4" t="s">
        <v>252</v>
      </c>
      <c r="AQ1000" s="4" t="s">
        <v>241</v>
      </c>
      <c r="AR1000" s="4" t="s">
        <v>241</v>
      </c>
      <c r="AS1000" s="4" t="s">
        <v>241</v>
      </c>
      <c r="AT1000" s="5" t="s">
        <v>241</v>
      </c>
      <c r="AU1000" s="5" t="s">
        <v>241</v>
      </c>
      <c r="AV1000" s="5" t="s">
        <v>241</v>
      </c>
      <c r="AY1000" s="4" t="s">
        <v>286</v>
      </c>
      <c r="AZ1000" s="4" t="s">
        <v>286</v>
      </c>
      <c r="BA1000" s="4" t="s">
        <v>254</v>
      </c>
      <c r="BB1000" s="4" t="s">
        <v>287</v>
      </c>
      <c r="BC1000" s="4" t="s">
        <v>255</v>
      </c>
      <c r="BD1000" s="4" t="s">
        <v>241</v>
      </c>
      <c r="BE1000" s="4" t="s">
        <v>257</v>
      </c>
      <c r="BF1000" s="4" t="s">
        <v>241</v>
      </c>
      <c r="BJ1000" s="4" t="s">
        <v>288</v>
      </c>
      <c r="BK1000" s="5" t="s">
        <v>289</v>
      </c>
      <c r="BL1000" s="4" t="s">
        <v>290</v>
      </c>
      <c r="BM1000" s="4" t="s">
        <v>290</v>
      </c>
      <c r="BN1000" s="4" t="s">
        <v>241</v>
      </c>
      <c r="BO1000" s="6">
        <f>0</f>
        <v>0</v>
      </c>
      <c r="BP1000" s="6">
        <f>-847320</f>
        <v>-847320</v>
      </c>
      <c r="BQ1000" s="4" t="s">
        <v>263</v>
      </c>
      <c r="BR1000" s="4" t="s">
        <v>264</v>
      </c>
      <c r="BS1000" s="4" t="s">
        <v>241</v>
      </c>
      <c r="BT1000" s="4" t="s">
        <v>241</v>
      </c>
      <c r="BU1000" s="4" t="s">
        <v>241</v>
      </c>
      <c r="BV1000" s="4" t="s">
        <v>241</v>
      </c>
      <c r="CE1000" s="4" t="s">
        <v>264</v>
      </c>
      <c r="CF1000" s="4" t="s">
        <v>241</v>
      </c>
      <c r="CG1000" s="4" t="s">
        <v>241</v>
      </c>
      <c r="CK1000" s="4" t="s">
        <v>291</v>
      </c>
      <c r="CL1000" s="4" t="s">
        <v>266</v>
      </c>
      <c r="CM1000" s="4" t="s">
        <v>241</v>
      </c>
      <c r="CO1000" s="4" t="s">
        <v>1542</v>
      </c>
      <c r="CP1000" s="5" t="s">
        <v>268</v>
      </c>
      <c r="CQ1000" s="4" t="s">
        <v>269</v>
      </c>
      <c r="CR1000" s="4" t="s">
        <v>270</v>
      </c>
      <c r="CS1000" s="4" t="s">
        <v>293</v>
      </c>
      <c r="CT1000" s="4" t="s">
        <v>241</v>
      </c>
      <c r="CU1000" s="4">
        <v>4.5999999999999999E-2</v>
      </c>
      <c r="CV1000" s="4" t="s">
        <v>271</v>
      </c>
      <c r="CW1000" s="4" t="s">
        <v>411</v>
      </c>
      <c r="CX1000" s="4" t="s">
        <v>347</v>
      </c>
      <c r="CY1000" s="6">
        <f>0</f>
        <v>0</v>
      </c>
      <c r="CZ1000" s="6">
        <f>18420000</f>
        <v>18420000</v>
      </c>
      <c r="DA1000" s="6">
        <f>12488760</f>
        <v>12488760</v>
      </c>
      <c r="DC1000" s="4" t="s">
        <v>241</v>
      </c>
      <c r="DD1000" s="4" t="s">
        <v>241</v>
      </c>
      <c r="DF1000" s="4" t="s">
        <v>241</v>
      </c>
      <c r="DG1000" s="6">
        <f>0</f>
        <v>0</v>
      </c>
      <c r="DI1000" s="4" t="s">
        <v>241</v>
      </c>
      <c r="DJ1000" s="4" t="s">
        <v>241</v>
      </c>
      <c r="DK1000" s="4" t="s">
        <v>241</v>
      </c>
      <c r="DL1000" s="4" t="s">
        <v>241</v>
      </c>
      <c r="DM1000" s="4" t="s">
        <v>323</v>
      </c>
      <c r="DN1000" s="4" t="s">
        <v>278</v>
      </c>
      <c r="DO1000" s="6">
        <f>81.14</f>
        <v>81.14</v>
      </c>
      <c r="DP1000" s="4" t="s">
        <v>241</v>
      </c>
      <c r="DQ1000" s="4" t="s">
        <v>241</v>
      </c>
      <c r="DR1000" s="4" t="s">
        <v>241</v>
      </c>
      <c r="DS1000" s="4" t="s">
        <v>241</v>
      </c>
      <c r="DV1000" s="4" t="s">
        <v>2283</v>
      </c>
      <c r="DW1000" s="4" t="s">
        <v>341</v>
      </c>
      <c r="GN1000" s="4" t="s">
        <v>2287</v>
      </c>
      <c r="HO1000" s="4" t="s">
        <v>300</v>
      </c>
      <c r="HR1000" s="4" t="s">
        <v>278</v>
      </c>
      <c r="HS1000" s="4" t="s">
        <v>278</v>
      </c>
      <c r="HT1000" s="4" t="s">
        <v>241</v>
      </c>
      <c r="HU1000" s="4" t="s">
        <v>241</v>
      </c>
      <c r="HV1000" s="4" t="s">
        <v>241</v>
      </c>
      <c r="HW1000" s="4" t="s">
        <v>241</v>
      </c>
      <c r="HX1000" s="4" t="s">
        <v>241</v>
      </c>
      <c r="HY1000" s="4" t="s">
        <v>241</v>
      </c>
      <c r="HZ1000" s="4" t="s">
        <v>241</v>
      </c>
      <c r="IA1000" s="4" t="s">
        <v>241</v>
      </c>
      <c r="IB1000" s="4" t="s">
        <v>241</v>
      </c>
      <c r="IC1000" s="4" t="s">
        <v>241</v>
      </c>
      <c r="ID1000" s="4" t="s">
        <v>241</v>
      </c>
      <c r="IE1000" s="4" t="s">
        <v>241</v>
      </c>
      <c r="IF1000" s="4" t="s">
        <v>241</v>
      </c>
    </row>
    <row r="1001" spans="1:240" x14ac:dyDescent="0.4">
      <c r="A1001" s="4">
        <v>2</v>
      </c>
      <c r="B1001" s="4" t="s">
        <v>239</v>
      </c>
      <c r="C1001" s="4">
        <v>1072</v>
      </c>
      <c r="D1001" s="4">
        <v>1</v>
      </c>
      <c r="E1001" s="4">
        <v>3</v>
      </c>
      <c r="F1001" s="4" t="s">
        <v>240</v>
      </c>
      <c r="G1001" s="4" t="s">
        <v>241</v>
      </c>
      <c r="H1001" s="4" t="s">
        <v>241</v>
      </c>
      <c r="I1001" s="4" t="s">
        <v>2280</v>
      </c>
      <c r="J1001" s="4" t="s">
        <v>344</v>
      </c>
      <c r="K1001" s="4" t="s">
        <v>256</v>
      </c>
      <c r="L1001" s="4" t="s">
        <v>2101</v>
      </c>
      <c r="M1001" s="5" t="s">
        <v>2282</v>
      </c>
      <c r="N1001" s="4" t="s">
        <v>2122</v>
      </c>
      <c r="O1001" s="6">
        <f>81.14</f>
        <v>81.14</v>
      </c>
      <c r="P1001" s="4" t="s">
        <v>276</v>
      </c>
      <c r="Q1001" s="6">
        <f>12488760</f>
        <v>12488760</v>
      </c>
      <c r="R1001" s="6">
        <f>18420000</f>
        <v>18420000</v>
      </c>
      <c r="S1001" s="5" t="s">
        <v>2281</v>
      </c>
      <c r="T1001" s="4" t="s">
        <v>314</v>
      </c>
      <c r="U1001" s="4" t="s">
        <v>300</v>
      </c>
      <c r="V1001" s="6">
        <f>847320</f>
        <v>847320</v>
      </c>
      <c r="W1001" s="6">
        <f>5931240</f>
        <v>5931240</v>
      </c>
      <c r="X1001" s="4" t="s">
        <v>243</v>
      </c>
      <c r="Y1001" s="4" t="s">
        <v>244</v>
      </c>
      <c r="Z1001" s="4" t="s">
        <v>338</v>
      </c>
      <c r="AA1001" s="4" t="s">
        <v>241</v>
      </c>
      <c r="AD1001" s="4" t="s">
        <v>241</v>
      </c>
      <c r="AE1001" s="5" t="s">
        <v>241</v>
      </c>
      <c r="AF1001" s="5" t="s">
        <v>241</v>
      </c>
      <c r="AH1001" s="5" t="s">
        <v>241</v>
      </c>
      <c r="AI1001" s="5" t="s">
        <v>249</v>
      </c>
      <c r="AJ1001" s="4" t="s">
        <v>251</v>
      </c>
      <c r="AK1001" s="4" t="s">
        <v>252</v>
      </c>
      <c r="AQ1001" s="4" t="s">
        <v>241</v>
      </c>
      <c r="AR1001" s="4" t="s">
        <v>241</v>
      </c>
      <c r="AS1001" s="4" t="s">
        <v>241</v>
      </c>
      <c r="AT1001" s="5" t="s">
        <v>241</v>
      </c>
      <c r="AU1001" s="5" t="s">
        <v>241</v>
      </c>
      <c r="AV1001" s="5" t="s">
        <v>241</v>
      </c>
      <c r="AY1001" s="4" t="s">
        <v>286</v>
      </c>
      <c r="AZ1001" s="4" t="s">
        <v>286</v>
      </c>
      <c r="BA1001" s="4" t="s">
        <v>254</v>
      </c>
      <c r="BB1001" s="4" t="s">
        <v>287</v>
      </c>
      <c r="BC1001" s="4" t="s">
        <v>255</v>
      </c>
      <c r="BD1001" s="4" t="s">
        <v>241</v>
      </c>
      <c r="BE1001" s="4" t="s">
        <v>257</v>
      </c>
      <c r="BF1001" s="4" t="s">
        <v>241</v>
      </c>
      <c r="BJ1001" s="4" t="s">
        <v>288</v>
      </c>
      <c r="BK1001" s="5" t="s">
        <v>289</v>
      </c>
      <c r="BL1001" s="4" t="s">
        <v>290</v>
      </c>
      <c r="BM1001" s="4" t="s">
        <v>290</v>
      </c>
      <c r="BN1001" s="4" t="s">
        <v>241</v>
      </c>
      <c r="BO1001" s="6">
        <f>0</f>
        <v>0</v>
      </c>
      <c r="BP1001" s="6">
        <f>-847320</f>
        <v>-847320</v>
      </c>
      <c r="BQ1001" s="4" t="s">
        <v>263</v>
      </c>
      <c r="BR1001" s="4" t="s">
        <v>264</v>
      </c>
      <c r="BS1001" s="4" t="s">
        <v>241</v>
      </c>
      <c r="BT1001" s="4" t="s">
        <v>241</v>
      </c>
      <c r="BU1001" s="4" t="s">
        <v>241</v>
      </c>
      <c r="BV1001" s="4" t="s">
        <v>241</v>
      </c>
      <c r="CE1001" s="4" t="s">
        <v>264</v>
      </c>
      <c r="CF1001" s="4" t="s">
        <v>241</v>
      </c>
      <c r="CG1001" s="4" t="s">
        <v>241</v>
      </c>
      <c r="CK1001" s="4" t="s">
        <v>291</v>
      </c>
      <c r="CL1001" s="4" t="s">
        <v>266</v>
      </c>
      <c r="CM1001" s="4" t="s">
        <v>241</v>
      </c>
      <c r="CO1001" s="4" t="s">
        <v>1542</v>
      </c>
      <c r="CP1001" s="5" t="s">
        <v>268</v>
      </c>
      <c r="CQ1001" s="4" t="s">
        <v>269</v>
      </c>
      <c r="CR1001" s="4" t="s">
        <v>270</v>
      </c>
      <c r="CS1001" s="4" t="s">
        <v>293</v>
      </c>
      <c r="CT1001" s="4" t="s">
        <v>241</v>
      </c>
      <c r="CU1001" s="4">
        <v>4.5999999999999999E-2</v>
      </c>
      <c r="CV1001" s="4" t="s">
        <v>271</v>
      </c>
      <c r="CW1001" s="4" t="s">
        <v>411</v>
      </c>
      <c r="CX1001" s="4" t="s">
        <v>347</v>
      </c>
      <c r="CY1001" s="6">
        <f>0</f>
        <v>0</v>
      </c>
      <c r="CZ1001" s="6">
        <f>18420000</f>
        <v>18420000</v>
      </c>
      <c r="DA1001" s="6">
        <f>12488760</f>
        <v>12488760</v>
      </c>
      <c r="DC1001" s="4" t="s">
        <v>241</v>
      </c>
      <c r="DD1001" s="4" t="s">
        <v>241</v>
      </c>
      <c r="DF1001" s="4" t="s">
        <v>241</v>
      </c>
      <c r="DG1001" s="6">
        <f>0</f>
        <v>0</v>
      </c>
      <c r="DI1001" s="4" t="s">
        <v>241</v>
      </c>
      <c r="DJ1001" s="4" t="s">
        <v>241</v>
      </c>
      <c r="DK1001" s="4" t="s">
        <v>241</v>
      </c>
      <c r="DL1001" s="4" t="s">
        <v>241</v>
      </c>
      <c r="DM1001" s="4" t="s">
        <v>323</v>
      </c>
      <c r="DN1001" s="4" t="s">
        <v>278</v>
      </c>
      <c r="DO1001" s="6">
        <f>81.14</f>
        <v>81.14</v>
      </c>
      <c r="DP1001" s="4" t="s">
        <v>241</v>
      </c>
      <c r="DQ1001" s="4" t="s">
        <v>241</v>
      </c>
      <c r="DR1001" s="4" t="s">
        <v>241</v>
      </c>
      <c r="DS1001" s="4" t="s">
        <v>241</v>
      </c>
      <c r="DV1001" s="4" t="s">
        <v>2283</v>
      </c>
      <c r="DW1001" s="4" t="s">
        <v>343</v>
      </c>
      <c r="GN1001" s="4" t="s">
        <v>2286</v>
      </c>
      <c r="HO1001" s="4" t="s">
        <v>300</v>
      </c>
      <c r="HR1001" s="4" t="s">
        <v>278</v>
      </c>
      <c r="HS1001" s="4" t="s">
        <v>278</v>
      </c>
      <c r="HT1001" s="4" t="s">
        <v>241</v>
      </c>
      <c r="HU1001" s="4" t="s">
        <v>241</v>
      </c>
      <c r="HV1001" s="4" t="s">
        <v>241</v>
      </c>
      <c r="HW1001" s="4" t="s">
        <v>241</v>
      </c>
      <c r="HX1001" s="4" t="s">
        <v>241</v>
      </c>
      <c r="HY1001" s="4" t="s">
        <v>241</v>
      </c>
      <c r="HZ1001" s="4" t="s">
        <v>241</v>
      </c>
      <c r="IA1001" s="4" t="s">
        <v>241</v>
      </c>
      <c r="IB1001" s="4" t="s">
        <v>241</v>
      </c>
      <c r="IC1001" s="4" t="s">
        <v>241</v>
      </c>
      <c r="ID1001" s="4" t="s">
        <v>241</v>
      </c>
      <c r="IE1001" s="4" t="s">
        <v>241</v>
      </c>
      <c r="IF1001" s="4" t="s">
        <v>241</v>
      </c>
    </row>
    <row r="1002" spans="1:240" x14ac:dyDescent="0.4">
      <c r="A1002" s="4">
        <v>2</v>
      </c>
      <c r="B1002" s="4" t="s">
        <v>239</v>
      </c>
      <c r="C1002" s="4">
        <v>1073</v>
      </c>
      <c r="D1002" s="4">
        <v>1</v>
      </c>
      <c r="E1002" s="4">
        <v>3</v>
      </c>
      <c r="F1002" s="4" t="s">
        <v>240</v>
      </c>
      <c r="G1002" s="4" t="s">
        <v>241</v>
      </c>
      <c r="H1002" s="4" t="s">
        <v>241</v>
      </c>
      <c r="I1002" s="4" t="s">
        <v>2280</v>
      </c>
      <c r="J1002" s="4" t="s">
        <v>344</v>
      </c>
      <c r="K1002" s="4" t="s">
        <v>256</v>
      </c>
      <c r="L1002" s="4" t="s">
        <v>2101</v>
      </c>
      <c r="M1002" s="5" t="s">
        <v>2282</v>
      </c>
      <c r="N1002" s="4" t="s">
        <v>2098</v>
      </c>
      <c r="O1002" s="6">
        <f>81.14</f>
        <v>81.14</v>
      </c>
      <c r="P1002" s="4" t="s">
        <v>276</v>
      </c>
      <c r="Q1002" s="6">
        <f>12488760</f>
        <v>12488760</v>
      </c>
      <c r="R1002" s="6">
        <f>18420000</f>
        <v>18420000</v>
      </c>
      <c r="S1002" s="5" t="s">
        <v>2281</v>
      </c>
      <c r="T1002" s="4" t="s">
        <v>314</v>
      </c>
      <c r="U1002" s="4" t="s">
        <v>300</v>
      </c>
      <c r="V1002" s="6">
        <f>847320</f>
        <v>847320</v>
      </c>
      <c r="W1002" s="6">
        <f>5931240</f>
        <v>5931240</v>
      </c>
      <c r="X1002" s="4" t="s">
        <v>243</v>
      </c>
      <c r="Y1002" s="4" t="s">
        <v>244</v>
      </c>
      <c r="Z1002" s="4" t="s">
        <v>338</v>
      </c>
      <c r="AA1002" s="4" t="s">
        <v>241</v>
      </c>
      <c r="AD1002" s="4" t="s">
        <v>241</v>
      </c>
      <c r="AE1002" s="5" t="s">
        <v>241</v>
      </c>
      <c r="AF1002" s="5" t="s">
        <v>241</v>
      </c>
      <c r="AH1002" s="5" t="s">
        <v>241</v>
      </c>
      <c r="AI1002" s="5" t="s">
        <v>249</v>
      </c>
      <c r="AJ1002" s="4" t="s">
        <v>251</v>
      </c>
      <c r="AK1002" s="4" t="s">
        <v>252</v>
      </c>
      <c r="AQ1002" s="4" t="s">
        <v>241</v>
      </c>
      <c r="AR1002" s="4" t="s">
        <v>241</v>
      </c>
      <c r="AS1002" s="4" t="s">
        <v>241</v>
      </c>
      <c r="AT1002" s="5" t="s">
        <v>241</v>
      </c>
      <c r="AU1002" s="5" t="s">
        <v>241</v>
      </c>
      <c r="AV1002" s="5" t="s">
        <v>241</v>
      </c>
      <c r="AY1002" s="4" t="s">
        <v>286</v>
      </c>
      <c r="AZ1002" s="4" t="s">
        <v>286</v>
      </c>
      <c r="BA1002" s="4" t="s">
        <v>254</v>
      </c>
      <c r="BB1002" s="4" t="s">
        <v>287</v>
      </c>
      <c r="BC1002" s="4" t="s">
        <v>255</v>
      </c>
      <c r="BD1002" s="4" t="s">
        <v>241</v>
      </c>
      <c r="BE1002" s="4" t="s">
        <v>257</v>
      </c>
      <c r="BF1002" s="4" t="s">
        <v>241</v>
      </c>
      <c r="BJ1002" s="4" t="s">
        <v>288</v>
      </c>
      <c r="BK1002" s="5" t="s">
        <v>289</v>
      </c>
      <c r="BL1002" s="4" t="s">
        <v>290</v>
      </c>
      <c r="BM1002" s="4" t="s">
        <v>290</v>
      </c>
      <c r="BN1002" s="4" t="s">
        <v>241</v>
      </c>
      <c r="BO1002" s="6">
        <f>0</f>
        <v>0</v>
      </c>
      <c r="BP1002" s="6">
        <f>-847320</f>
        <v>-847320</v>
      </c>
      <c r="BQ1002" s="4" t="s">
        <v>263</v>
      </c>
      <c r="BR1002" s="4" t="s">
        <v>264</v>
      </c>
      <c r="BS1002" s="4" t="s">
        <v>241</v>
      </c>
      <c r="BT1002" s="4" t="s">
        <v>241</v>
      </c>
      <c r="BU1002" s="4" t="s">
        <v>241</v>
      </c>
      <c r="BV1002" s="4" t="s">
        <v>241</v>
      </c>
      <c r="CE1002" s="4" t="s">
        <v>264</v>
      </c>
      <c r="CF1002" s="4" t="s">
        <v>241</v>
      </c>
      <c r="CG1002" s="4" t="s">
        <v>241</v>
      </c>
      <c r="CK1002" s="4" t="s">
        <v>291</v>
      </c>
      <c r="CL1002" s="4" t="s">
        <v>266</v>
      </c>
      <c r="CM1002" s="4" t="s">
        <v>241</v>
      </c>
      <c r="CO1002" s="4" t="s">
        <v>1542</v>
      </c>
      <c r="CP1002" s="5" t="s">
        <v>268</v>
      </c>
      <c r="CQ1002" s="4" t="s">
        <v>269</v>
      </c>
      <c r="CR1002" s="4" t="s">
        <v>270</v>
      </c>
      <c r="CS1002" s="4" t="s">
        <v>293</v>
      </c>
      <c r="CT1002" s="4" t="s">
        <v>241</v>
      </c>
      <c r="CU1002" s="4">
        <v>4.5999999999999999E-2</v>
      </c>
      <c r="CV1002" s="4" t="s">
        <v>271</v>
      </c>
      <c r="CW1002" s="4" t="s">
        <v>411</v>
      </c>
      <c r="CX1002" s="4" t="s">
        <v>347</v>
      </c>
      <c r="CY1002" s="6">
        <f>0</f>
        <v>0</v>
      </c>
      <c r="CZ1002" s="6">
        <f>18420000</f>
        <v>18420000</v>
      </c>
      <c r="DA1002" s="6">
        <f>12488760</f>
        <v>12488760</v>
      </c>
      <c r="DC1002" s="4" t="s">
        <v>241</v>
      </c>
      <c r="DD1002" s="4" t="s">
        <v>241</v>
      </c>
      <c r="DF1002" s="4" t="s">
        <v>241</v>
      </c>
      <c r="DG1002" s="6">
        <f>0</f>
        <v>0</v>
      </c>
      <c r="DI1002" s="4" t="s">
        <v>241</v>
      </c>
      <c r="DJ1002" s="4" t="s">
        <v>241</v>
      </c>
      <c r="DK1002" s="4" t="s">
        <v>241</v>
      </c>
      <c r="DL1002" s="4" t="s">
        <v>241</v>
      </c>
      <c r="DM1002" s="4" t="s">
        <v>323</v>
      </c>
      <c r="DN1002" s="4" t="s">
        <v>278</v>
      </c>
      <c r="DO1002" s="6">
        <f>81.14</f>
        <v>81.14</v>
      </c>
      <c r="DP1002" s="4" t="s">
        <v>241</v>
      </c>
      <c r="DQ1002" s="4" t="s">
        <v>241</v>
      </c>
      <c r="DR1002" s="4" t="s">
        <v>241</v>
      </c>
      <c r="DS1002" s="4" t="s">
        <v>241</v>
      </c>
      <c r="DV1002" s="4" t="s">
        <v>2283</v>
      </c>
      <c r="DW1002" s="4" t="s">
        <v>417</v>
      </c>
      <c r="GN1002" s="4" t="s">
        <v>2285</v>
      </c>
      <c r="HO1002" s="4" t="s">
        <v>300</v>
      </c>
      <c r="HR1002" s="4" t="s">
        <v>278</v>
      </c>
      <c r="HS1002" s="4" t="s">
        <v>278</v>
      </c>
      <c r="HT1002" s="4" t="s">
        <v>241</v>
      </c>
      <c r="HU1002" s="4" t="s">
        <v>241</v>
      </c>
      <c r="HV1002" s="4" t="s">
        <v>241</v>
      </c>
      <c r="HW1002" s="4" t="s">
        <v>241</v>
      </c>
      <c r="HX1002" s="4" t="s">
        <v>241</v>
      </c>
      <c r="HY1002" s="4" t="s">
        <v>241</v>
      </c>
      <c r="HZ1002" s="4" t="s">
        <v>241</v>
      </c>
      <c r="IA1002" s="4" t="s">
        <v>241</v>
      </c>
      <c r="IB1002" s="4" t="s">
        <v>241</v>
      </c>
      <c r="IC1002" s="4" t="s">
        <v>241</v>
      </c>
      <c r="ID1002" s="4" t="s">
        <v>241</v>
      </c>
      <c r="IE1002" s="4" t="s">
        <v>241</v>
      </c>
      <c r="IF1002" s="4" t="s">
        <v>241</v>
      </c>
    </row>
    <row r="1003" spans="1:240" x14ac:dyDescent="0.4">
      <c r="A1003" s="4">
        <v>2</v>
      </c>
      <c r="B1003" s="4" t="s">
        <v>239</v>
      </c>
      <c r="C1003" s="4">
        <v>1074</v>
      </c>
      <c r="D1003" s="4">
        <v>1</v>
      </c>
      <c r="E1003" s="4">
        <v>3</v>
      </c>
      <c r="F1003" s="4" t="s">
        <v>240</v>
      </c>
      <c r="G1003" s="4" t="s">
        <v>241</v>
      </c>
      <c r="H1003" s="4" t="s">
        <v>241</v>
      </c>
      <c r="I1003" s="4" t="s">
        <v>2280</v>
      </c>
      <c r="J1003" s="4" t="s">
        <v>344</v>
      </c>
      <c r="K1003" s="4" t="s">
        <v>256</v>
      </c>
      <c r="L1003" s="4" t="s">
        <v>2101</v>
      </c>
      <c r="M1003" s="5" t="s">
        <v>2282</v>
      </c>
      <c r="N1003" s="4" t="s">
        <v>2191</v>
      </c>
      <c r="O1003" s="6">
        <f>81.14</f>
        <v>81.14</v>
      </c>
      <c r="P1003" s="4" t="s">
        <v>276</v>
      </c>
      <c r="Q1003" s="6">
        <f>12488760</f>
        <v>12488760</v>
      </c>
      <c r="R1003" s="6">
        <f>18420000</f>
        <v>18420000</v>
      </c>
      <c r="S1003" s="5" t="s">
        <v>2281</v>
      </c>
      <c r="T1003" s="4" t="s">
        <v>314</v>
      </c>
      <c r="U1003" s="4" t="s">
        <v>300</v>
      </c>
      <c r="V1003" s="6">
        <f>847320</f>
        <v>847320</v>
      </c>
      <c r="W1003" s="6">
        <f>5931240</f>
        <v>5931240</v>
      </c>
      <c r="X1003" s="4" t="s">
        <v>243</v>
      </c>
      <c r="Y1003" s="4" t="s">
        <v>244</v>
      </c>
      <c r="Z1003" s="4" t="s">
        <v>338</v>
      </c>
      <c r="AA1003" s="4" t="s">
        <v>241</v>
      </c>
      <c r="AD1003" s="4" t="s">
        <v>241</v>
      </c>
      <c r="AE1003" s="5" t="s">
        <v>241</v>
      </c>
      <c r="AF1003" s="5" t="s">
        <v>241</v>
      </c>
      <c r="AH1003" s="5" t="s">
        <v>241</v>
      </c>
      <c r="AI1003" s="5" t="s">
        <v>249</v>
      </c>
      <c r="AJ1003" s="4" t="s">
        <v>251</v>
      </c>
      <c r="AK1003" s="4" t="s">
        <v>252</v>
      </c>
      <c r="AQ1003" s="4" t="s">
        <v>241</v>
      </c>
      <c r="AR1003" s="4" t="s">
        <v>241</v>
      </c>
      <c r="AS1003" s="4" t="s">
        <v>241</v>
      </c>
      <c r="AT1003" s="5" t="s">
        <v>241</v>
      </c>
      <c r="AU1003" s="5" t="s">
        <v>241</v>
      </c>
      <c r="AV1003" s="5" t="s">
        <v>241</v>
      </c>
      <c r="AY1003" s="4" t="s">
        <v>286</v>
      </c>
      <c r="AZ1003" s="4" t="s">
        <v>286</v>
      </c>
      <c r="BA1003" s="4" t="s">
        <v>254</v>
      </c>
      <c r="BB1003" s="4" t="s">
        <v>287</v>
      </c>
      <c r="BC1003" s="4" t="s">
        <v>255</v>
      </c>
      <c r="BD1003" s="4" t="s">
        <v>241</v>
      </c>
      <c r="BE1003" s="4" t="s">
        <v>257</v>
      </c>
      <c r="BF1003" s="4" t="s">
        <v>241</v>
      </c>
      <c r="BJ1003" s="4" t="s">
        <v>288</v>
      </c>
      <c r="BK1003" s="5" t="s">
        <v>289</v>
      </c>
      <c r="BL1003" s="4" t="s">
        <v>290</v>
      </c>
      <c r="BM1003" s="4" t="s">
        <v>290</v>
      </c>
      <c r="BN1003" s="4" t="s">
        <v>241</v>
      </c>
      <c r="BO1003" s="6">
        <f>0</f>
        <v>0</v>
      </c>
      <c r="BP1003" s="6">
        <f>-847320</f>
        <v>-847320</v>
      </c>
      <c r="BQ1003" s="4" t="s">
        <v>263</v>
      </c>
      <c r="BR1003" s="4" t="s">
        <v>264</v>
      </c>
      <c r="BS1003" s="4" t="s">
        <v>241</v>
      </c>
      <c r="BT1003" s="4" t="s">
        <v>241</v>
      </c>
      <c r="BU1003" s="4" t="s">
        <v>241</v>
      </c>
      <c r="BV1003" s="4" t="s">
        <v>241</v>
      </c>
      <c r="CE1003" s="4" t="s">
        <v>264</v>
      </c>
      <c r="CF1003" s="4" t="s">
        <v>241</v>
      </c>
      <c r="CG1003" s="4" t="s">
        <v>241</v>
      </c>
      <c r="CK1003" s="4" t="s">
        <v>291</v>
      </c>
      <c r="CL1003" s="4" t="s">
        <v>266</v>
      </c>
      <c r="CM1003" s="4" t="s">
        <v>241</v>
      </c>
      <c r="CO1003" s="4" t="s">
        <v>1542</v>
      </c>
      <c r="CP1003" s="5" t="s">
        <v>268</v>
      </c>
      <c r="CQ1003" s="4" t="s">
        <v>269</v>
      </c>
      <c r="CR1003" s="4" t="s">
        <v>270</v>
      </c>
      <c r="CS1003" s="4" t="s">
        <v>293</v>
      </c>
      <c r="CT1003" s="4" t="s">
        <v>241</v>
      </c>
      <c r="CU1003" s="4">
        <v>4.5999999999999999E-2</v>
      </c>
      <c r="CV1003" s="4" t="s">
        <v>271</v>
      </c>
      <c r="CW1003" s="4" t="s">
        <v>411</v>
      </c>
      <c r="CX1003" s="4" t="s">
        <v>347</v>
      </c>
      <c r="CY1003" s="6">
        <f>0</f>
        <v>0</v>
      </c>
      <c r="CZ1003" s="6">
        <f>18420000</f>
        <v>18420000</v>
      </c>
      <c r="DA1003" s="6">
        <f>12488760</f>
        <v>12488760</v>
      </c>
      <c r="DC1003" s="4" t="s">
        <v>241</v>
      </c>
      <c r="DD1003" s="4" t="s">
        <v>241</v>
      </c>
      <c r="DF1003" s="4" t="s">
        <v>241</v>
      </c>
      <c r="DG1003" s="6">
        <f>0</f>
        <v>0</v>
      </c>
      <c r="DI1003" s="4" t="s">
        <v>241</v>
      </c>
      <c r="DJ1003" s="4" t="s">
        <v>241</v>
      </c>
      <c r="DK1003" s="4" t="s">
        <v>241</v>
      </c>
      <c r="DL1003" s="4" t="s">
        <v>241</v>
      </c>
      <c r="DM1003" s="4" t="s">
        <v>323</v>
      </c>
      <c r="DN1003" s="4" t="s">
        <v>278</v>
      </c>
      <c r="DO1003" s="6">
        <f>81.14</f>
        <v>81.14</v>
      </c>
      <c r="DP1003" s="4" t="s">
        <v>241</v>
      </c>
      <c r="DQ1003" s="4" t="s">
        <v>241</v>
      </c>
      <c r="DR1003" s="4" t="s">
        <v>241</v>
      </c>
      <c r="DS1003" s="4" t="s">
        <v>241</v>
      </c>
      <c r="DV1003" s="4" t="s">
        <v>2283</v>
      </c>
      <c r="DW1003" s="4" t="s">
        <v>427</v>
      </c>
      <c r="GN1003" s="4" t="s">
        <v>2284</v>
      </c>
      <c r="HO1003" s="4" t="s">
        <v>300</v>
      </c>
      <c r="HR1003" s="4" t="s">
        <v>278</v>
      </c>
      <c r="HS1003" s="4" t="s">
        <v>278</v>
      </c>
      <c r="HT1003" s="4" t="s">
        <v>241</v>
      </c>
      <c r="HU1003" s="4" t="s">
        <v>241</v>
      </c>
      <c r="HV1003" s="4" t="s">
        <v>241</v>
      </c>
      <c r="HW1003" s="4" t="s">
        <v>241</v>
      </c>
      <c r="HX1003" s="4" t="s">
        <v>241</v>
      </c>
      <c r="HY1003" s="4" t="s">
        <v>241</v>
      </c>
      <c r="HZ1003" s="4" t="s">
        <v>241</v>
      </c>
      <c r="IA1003" s="4" t="s">
        <v>241</v>
      </c>
      <c r="IB1003" s="4" t="s">
        <v>241</v>
      </c>
      <c r="IC1003" s="4" t="s">
        <v>241</v>
      </c>
      <c r="ID1003" s="4" t="s">
        <v>241</v>
      </c>
      <c r="IE1003" s="4" t="s">
        <v>241</v>
      </c>
      <c r="IF1003" s="4" t="s">
        <v>241</v>
      </c>
    </row>
    <row r="1004" spans="1:240" x14ac:dyDescent="0.4">
      <c r="A1004" s="4">
        <v>2</v>
      </c>
      <c r="B1004" s="4" t="s">
        <v>239</v>
      </c>
      <c r="C1004" s="4">
        <v>1075</v>
      </c>
      <c r="D1004" s="4">
        <v>1</v>
      </c>
      <c r="E1004" s="4">
        <v>3</v>
      </c>
      <c r="F1004" s="4" t="s">
        <v>240</v>
      </c>
      <c r="G1004" s="4" t="s">
        <v>241</v>
      </c>
      <c r="H1004" s="4" t="s">
        <v>241</v>
      </c>
      <c r="I1004" s="4" t="s">
        <v>2275</v>
      </c>
      <c r="J1004" s="4" t="s">
        <v>344</v>
      </c>
      <c r="K1004" s="4" t="s">
        <v>256</v>
      </c>
      <c r="L1004" s="4" t="s">
        <v>2101</v>
      </c>
      <c r="M1004" s="5" t="s">
        <v>2277</v>
      </c>
      <c r="N1004" s="4" t="s">
        <v>2114</v>
      </c>
      <c r="O1004" s="6">
        <f>1479.62</f>
        <v>1479.62</v>
      </c>
      <c r="P1004" s="4" t="s">
        <v>276</v>
      </c>
      <c r="Q1004" s="6">
        <f>401080630</f>
        <v>401080630</v>
      </c>
      <c r="R1004" s="6">
        <f>471859560</f>
        <v>471859560</v>
      </c>
      <c r="S1004" s="5" t="s">
        <v>2276</v>
      </c>
      <c r="T1004" s="4" t="s">
        <v>357</v>
      </c>
      <c r="U1004" s="4" t="s">
        <v>336</v>
      </c>
      <c r="V1004" s="6">
        <f>14155786</f>
        <v>14155786</v>
      </c>
      <c r="W1004" s="6">
        <f>70778930</f>
        <v>70778930</v>
      </c>
      <c r="X1004" s="4" t="s">
        <v>243</v>
      </c>
      <c r="Y1004" s="4" t="s">
        <v>244</v>
      </c>
      <c r="Z1004" s="4" t="s">
        <v>338</v>
      </c>
      <c r="AA1004" s="4" t="s">
        <v>241</v>
      </c>
      <c r="AD1004" s="4" t="s">
        <v>241</v>
      </c>
      <c r="AE1004" s="5" t="s">
        <v>241</v>
      </c>
      <c r="AF1004" s="5" t="s">
        <v>241</v>
      </c>
      <c r="AH1004" s="5" t="s">
        <v>241</v>
      </c>
      <c r="AI1004" s="5" t="s">
        <v>249</v>
      </c>
      <c r="AJ1004" s="4" t="s">
        <v>251</v>
      </c>
      <c r="AK1004" s="4" t="s">
        <v>252</v>
      </c>
      <c r="AQ1004" s="4" t="s">
        <v>241</v>
      </c>
      <c r="AR1004" s="4" t="s">
        <v>241</v>
      </c>
      <c r="AS1004" s="4" t="s">
        <v>241</v>
      </c>
      <c r="AT1004" s="5" t="s">
        <v>241</v>
      </c>
      <c r="AU1004" s="5" t="s">
        <v>241</v>
      </c>
      <c r="AV1004" s="5" t="s">
        <v>241</v>
      </c>
      <c r="AY1004" s="4" t="s">
        <v>286</v>
      </c>
      <c r="AZ1004" s="4" t="s">
        <v>286</v>
      </c>
      <c r="BA1004" s="4" t="s">
        <v>254</v>
      </c>
      <c r="BB1004" s="4" t="s">
        <v>287</v>
      </c>
      <c r="BC1004" s="4" t="s">
        <v>255</v>
      </c>
      <c r="BD1004" s="4" t="s">
        <v>241</v>
      </c>
      <c r="BE1004" s="4" t="s">
        <v>257</v>
      </c>
      <c r="BF1004" s="4" t="s">
        <v>241</v>
      </c>
      <c r="BJ1004" s="4" t="s">
        <v>288</v>
      </c>
      <c r="BK1004" s="5" t="s">
        <v>289</v>
      </c>
      <c r="BL1004" s="4" t="s">
        <v>290</v>
      </c>
      <c r="BM1004" s="4" t="s">
        <v>290</v>
      </c>
      <c r="BN1004" s="4" t="s">
        <v>241</v>
      </c>
      <c r="BO1004" s="6">
        <f>0</f>
        <v>0</v>
      </c>
      <c r="BP1004" s="6">
        <f>-14155786</f>
        <v>-14155786</v>
      </c>
      <c r="BQ1004" s="4" t="s">
        <v>263</v>
      </c>
      <c r="BR1004" s="4" t="s">
        <v>264</v>
      </c>
      <c r="BS1004" s="4" t="s">
        <v>241</v>
      </c>
      <c r="BT1004" s="4" t="s">
        <v>241</v>
      </c>
      <c r="BU1004" s="4" t="s">
        <v>241</v>
      </c>
      <c r="BV1004" s="4" t="s">
        <v>241</v>
      </c>
      <c r="CE1004" s="4" t="s">
        <v>264</v>
      </c>
      <c r="CF1004" s="4" t="s">
        <v>241</v>
      </c>
      <c r="CG1004" s="4" t="s">
        <v>241</v>
      </c>
      <c r="CK1004" s="4" t="s">
        <v>291</v>
      </c>
      <c r="CL1004" s="4" t="s">
        <v>266</v>
      </c>
      <c r="CM1004" s="4" t="s">
        <v>241</v>
      </c>
      <c r="CO1004" s="4" t="s">
        <v>593</v>
      </c>
      <c r="CP1004" s="5" t="s">
        <v>268</v>
      </c>
      <c r="CQ1004" s="4" t="s">
        <v>269</v>
      </c>
      <c r="CR1004" s="4" t="s">
        <v>270</v>
      </c>
      <c r="CS1004" s="4" t="s">
        <v>293</v>
      </c>
      <c r="CT1004" s="4" t="s">
        <v>241</v>
      </c>
      <c r="CU1004" s="4">
        <v>0.03</v>
      </c>
      <c r="CV1004" s="4" t="s">
        <v>271</v>
      </c>
      <c r="CW1004" s="4" t="s">
        <v>411</v>
      </c>
      <c r="CX1004" s="4" t="s">
        <v>487</v>
      </c>
      <c r="CY1004" s="6">
        <f>0</f>
        <v>0</v>
      </c>
      <c r="CZ1004" s="6">
        <f>471859560</f>
        <v>471859560</v>
      </c>
      <c r="DA1004" s="6">
        <f>401080630</f>
        <v>401080630</v>
      </c>
      <c r="DC1004" s="4" t="s">
        <v>241</v>
      </c>
      <c r="DD1004" s="4" t="s">
        <v>241</v>
      </c>
      <c r="DF1004" s="4" t="s">
        <v>241</v>
      </c>
      <c r="DG1004" s="6">
        <f>0</f>
        <v>0</v>
      </c>
      <c r="DI1004" s="4" t="s">
        <v>241</v>
      </c>
      <c r="DJ1004" s="4" t="s">
        <v>241</v>
      </c>
      <c r="DK1004" s="4" t="s">
        <v>241</v>
      </c>
      <c r="DL1004" s="4" t="s">
        <v>241</v>
      </c>
      <c r="DM1004" s="4" t="s">
        <v>278</v>
      </c>
      <c r="DN1004" s="4" t="s">
        <v>278</v>
      </c>
      <c r="DO1004" s="6">
        <f>1479.62</f>
        <v>1479.62</v>
      </c>
      <c r="DP1004" s="4" t="s">
        <v>241</v>
      </c>
      <c r="DQ1004" s="4" t="s">
        <v>241</v>
      </c>
      <c r="DR1004" s="4" t="s">
        <v>241</v>
      </c>
      <c r="DS1004" s="4" t="s">
        <v>241</v>
      </c>
      <c r="DV1004" s="4" t="s">
        <v>2278</v>
      </c>
      <c r="DW1004" s="4" t="s">
        <v>277</v>
      </c>
      <c r="GN1004" s="4" t="s">
        <v>2279</v>
      </c>
      <c r="HO1004" s="4" t="s">
        <v>300</v>
      </c>
      <c r="HR1004" s="4" t="s">
        <v>278</v>
      </c>
      <c r="HS1004" s="4" t="s">
        <v>278</v>
      </c>
      <c r="HT1004" s="4" t="s">
        <v>241</v>
      </c>
      <c r="HU1004" s="4" t="s">
        <v>241</v>
      </c>
      <c r="HV1004" s="4" t="s">
        <v>241</v>
      </c>
      <c r="HW1004" s="4" t="s">
        <v>241</v>
      </c>
      <c r="HX1004" s="4" t="s">
        <v>241</v>
      </c>
      <c r="HY1004" s="4" t="s">
        <v>241</v>
      </c>
      <c r="HZ1004" s="4" t="s">
        <v>241</v>
      </c>
      <c r="IA1004" s="4" t="s">
        <v>241</v>
      </c>
      <c r="IB1004" s="4" t="s">
        <v>241</v>
      </c>
      <c r="IC1004" s="4" t="s">
        <v>241</v>
      </c>
      <c r="ID1004" s="4" t="s">
        <v>241</v>
      </c>
      <c r="IE1004" s="4" t="s">
        <v>241</v>
      </c>
      <c r="IF1004" s="4" t="s">
        <v>241</v>
      </c>
    </row>
    <row r="1005" spans="1:240" x14ac:dyDescent="0.4">
      <c r="A1005" s="4">
        <v>2</v>
      </c>
      <c r="B1005" s="4" t="s">
        <v>239</v>
      </c>
      <c r="C1005" s="4">
        <v>1165</v>
      </c>
      <c r="D1005" s="4">
        <v>1</v>
      </c>
      <c r="E1005" s="4">
        <v>3</v>
      </c>
      <c r="F1005" s="4" t="s">
        <v>326</v>
      </c>
      <c r="G1005" s="4" t="s">
        <v>241</v>
      </c>
      <c r="H1005" s="4" t="s">
        <v>241</v>
      </c>
      <c r="I1005" s="4" t="s">
        <v>327</v>
      </c>
      <c r="J1005" s="4" t="s">
        <v>328</v>
      </c>
      <c r="K1005" s="4" t="s">
        <v>256</v>
      </c>
      <c r="L1005" s="4" t="s">
        <v>241</v>
      </c>
      <c r="M1005" s="5" t="s">
        <v>330</v>
      </c>
      <c r="N1005" s="4" t="s">
        <v>1828</v>
      </c>
      <c r="O1005" s="6">
        <f>0</f>
        <v>0</v>
      </c>
      <c r="P1005" s="4" t="s">
        <v>276</v>
      </c>
      <c r="Q1005" s="6">
        <f>8696160</f>
        <v>8696160</v>
      </c>
      <c r="R1005" s="6">
        <f>11880000</f>
        <v>11880000</v>
      </c>
      <c r="S1005" s="5" t="s">
        <v>1829</v>
      </c>
      <c r="T1005" s="4" t="s">
        <v>348</v>
      </c>
      <c r="U1005" s="4" t="s">
        <v>297</v>
      </c>
      <c r="V1005" s="6">
        <f>795960</f>
        <v>795960</v>
      </c>
      <c r="W1005" s="6">
        <f>3183840</f>
        <v>3183840</v>
      </c>
      <c r="X1005" s="4" t="s">
        <v>243</v>
      </c>
      <c r="Y1005" s="4" t="s">
        <v>244</v>
      </c>
      <c r="Z1005" s="4" t="s">
        <v>338</v>
      </c>
      <c r="AA1005" s="4" t="s">
        <v>241</v>
      </c>
      <c r="AD1005" s="4" t="s">
        <v>241</v>
      </c>
      <c r="AE1005" s="5" t="s">
        <v>241</v>
      </c>
      <c r="AF1005" s="5" t="s">
        <v>241</v>
      </c>
      <c r="AH1005" s="5" t="s">
        <v>241</v>
      </c>
      <c r="AI1005" s="5" t="s">
        <v>249</v>
      </c>
      <c r="AJ1005" s="4" t="s">
        <v>251</v>
      </c>
      <c r="AK1005" s="4" t="s">
        <v>252</v>
      </c>
      <c r="AQ1005" s="4" t="s">
        <v>241</v>
      </c>
      <c r="AR1005" s="4" t="s">
        <v>241</v>
      </c>
      <c r="AS1005" s="4" t="s">
        <v>241</v>
      </c>
      <c r="AT1005" s="5" t="s">
        <v>241</v>
      </c>
      <c r="AU1005" s="5" t="s">
        <v>241</v>
      </c>
      <c r="AV1005" s="5" t="s">
        <v>241</v>
      </c>
      <c r="AY1005" s="4" t="s">
        <v>286</v>
      </c>
      <c r="AZ1005" s="4" t="s">
        <v>286</v>
      </c>
      <c r="BA1005" s="4" t="s">
        <v>254</v>
      </c>
      <c r="BB1005" s="4" t="s">
        <v>287</v>
      </c>
      <c r="BC1005" s="4" t="s">
        <v>255</v>
      </c>
      <c r="BD1005" s="4" t="s">
        <v>241</v>
      </c>
      <c r="BE1005" s="4" t="s">
        <v>257</v>
      </c>
      <c r="BF1005" s="4" t="s">
        <v>241</v>
      </c>
      <c r="BJ1005" s="4" t="s">
        <v>288</v>
      </c>
      <c r="BK1005" s="5" t="s">
        <v>289</v>
      </c>
      <c r="BL1005" s="4" t="s">
        <v>290</v>
      </c>
      <c r="BM1005" s="4" t="s">
        <v>290</v>
      </c>
      <c r="BN1005" s="4" t="s">
        <v>241</v>
      </c>
      <c r="BP1005" s="6">
        <f>-795960</f>
        <v>-795960</v>
      </c>
      <c r="BQ1005" s="4" t="s">
        <v>263</v>
      </c>
      <c r="BR1005" s="4" t="s">
        <v>264</v>
      </c>
      <c r="BS1005" s="4" t="s">
        <v>241</v>
      </c>
      <c r="BT1005" s="4" t="s">
        <v>241</v>
      </c>
      <c r="BU1005" s="4" t="s">
        <v>241</v>
      </c>
      <c r="BV1005" s="4" t="s">
        <v>241</v>
      </c>
      <c r="CE1005" s="4" t="s">
        <v>264</v>
      </c>
      <c r="CF1005" s="4" t="s">
        <v>241</v>
      </c>
      <c r="CG1005" s="4" t="s">
        <v>241</v>
      </c>
      <c r="CK1005" s="4" t="s">
        <v>291</v>
      </c>
      <c r="CL1005" s="4" t="s">
        <v>266</v>
      </c>
      <c r="CM1005" s="4" t="s">
        <v>241</v>
      </c>
      <c r="CO1005" s="4" t="s">
        <v>413</v>
      </c>
      <c r="CP1005" s="5" t="s">
        <v>268</v>
      </c>
      <c r="CQ1005" s="4" t="s">
        <v>269</v>
      </c>
      <c r="CR1005" s="4" t="s">
        <v>270</v>
      </c>
      <c r="CS1005" s="4" t="s">
        <v>293</v>
      </c>
      <c r="CT1005" s="4" t="s">
        <v>241</v>
      </c>
      <c r="CU1005" s="4">
        <v>6.7000000000000004E-2</v>
      </c>
      <c r="CV1005" s="4" t="s">
        <v>271</v>
      </c>
      <c r="CW1005" s="4" t="s">
        <v>1830</v>
      </c>
      <c r="CX1005" s="4" t="s">
        <v>347</v>
      </c>
      <c r="CY1005" s="6">
        <f>0</f>
        <v>0</v>
      </c>
      <c r="CZ1005" s="6">
        <f>11880000</f>
        <v>11880000</v>
      </c>
      <c r="DA1005" s="6">
        <f>8696160</f>
        <v>8696160</v>
      </c>
      <c r="DC1005" s="4" t="s">
        <v>241</v>
      </c>
      <c r="DD1005" s="4" t="s">
        <v>241</v>
      </c>
      <c r="DF1005" s="4" t="s">
        <v>241</v>
      </c>
      <c r="DG1005" s="6">
        <f>0</f>
        <v>0</v>
      </c>
      <c r="DI1005" s="4" t="s">
        <v>241</v>
      </c>
      <c r="DJ1005" s="4" t="s">
        <v>241</v>
      </c>
      <c r="DK1005" s="4" t="s">
        <v>241</v>
      </c>
      <c r="DL1005" s="4" t="s">
        <v>241</v>
      </c>
      <c r="DM1005" s="4" t="s">
        <v>278</v>
      </c>
      <c r="DN1005" s="4" t="s">
        <v>278</v>
      </c>
      <c r="DO1005" s="6" t="s">
        <v>241</v>
      </c>
      <c r="DP1005" s="4" t="s">
        <v>241</v>
      </c>
      <c r="DQ1005" s="4" t="s">
        <v>241</v>
      </c>
      <c r="DR1005" s="4" t="s">
        <v>241</v>
      </c>
      <c r="DS1005" s="4" t="s">
        <v>241</v>
      </c>
      <c r="DV1005" s="4" t="s">
        <v>334</v>
      </c>
      <c r="DW1005" s="4" t="s">
        <v>365</v>
      </c>
      <c r="GN1005" s="4" t="s">
        <v>1831</v>
      </c>
      <c r="HO1005" s="4" t="s">
        <v>300</v>
      </c>
      <c r="HR1005" s="4" t="s">
        <v>278</v>
      </c>
      <c r="HS1005" s="4" t="s">
        <v>278</v>
      </c>
      <c r="HT1005" s="4" t="s">
        <v>241</v>
      </c>
      <c r="HU1005" s="4" t="s">
        <v>241</v>
      </c>
      <c r="HV1005" s="4" t="s">
        <v>241</v>
      </c>
      <c r="HW1005" s="4" t="s">
        <v>241</v>
      </c>
      <c r="HX1005" s="4" t="s">
        <v>241</v>
      </c>
      <c r="HY1005" s="4" t="s">
        <v>241</v>
      </c>
      <c r="HZ1005" s="4" t="s">
        <v>241</v>
      </c>
      <c r="IA1005" s="4" t="s">
        <v>241</v>
      </c>
      <c r="IB1005" s="4" t="s">
        <v>241</v>
      </c>
      <c r="IC1005" s="4" t="s">
        <v>241</v>
      </c>
      <c r="ID1005" s="4" t="s">
        <v>241</v>
      </c>
      <c r="IE1005" s="4" t="s">
        <v>241</v>
      </c>
      <c r="IF1005" s="4" t="s">
        <v>241</v>
      </c>
    </row>
    <row r="1006" spans="1:240" x14ac:dyDescent="0.4">
      <c r="A1006" s="4">
        <v>2</v>
      </c>
      <c r="B1006" s="4" t="s">
        <v>239</v>
      </c>
      <c r="C1006" s="4">
        <v>1166</v>
      </c>
      <c r="D1006" s="4">
        <v>1</v>
      </c>
      <c r="E1006" s="4">
        <v>3</v>
      </c>
      <c r="F1006" s="4" t="s">
        <v>326</v>
      </c>
      <c r="G1006" s="4" t="s">
        <v>241</v>
      </c>
      <c r="H1006" s="4" t="s">
        <v>241</v>
      </c>
      <c r="I1006" s="4" t="s">
        <v>327</v>
      </c>
      <c r="J1006" s="4" t="s">
        <v>328</v>
      </c>
      <c r="K1006" s="4" t="s">
        <v>256</v>
      </c>
      <c r="L1006" s="4" t="s">
        <v>2571</v>
      </c>
      <c r="M1006" s="5" t="s">
        <v>330</v>
      </c>
      <c r="N1006" s="4" t="s">
        <v>2730</v>
      </c>
      <c r="O1006" s="6">
        <f>0</f>
        <v>0</v>
      </c>
      <c r="P1006" s="4" t="s">
        <v>276</v>
      </c>
      <c r="Q1006" s="6">
        <f>2118704</f>
        <v>2118704</v>
      </c>
      <c r="R1006" s="6">
        <f>2894400</f>
        <v>2894400</v>
      </c>
      <c r="S1006" s="5" t="s">
        <v>2731</v>
      </c>
      <c r="T1006" s="4" t="s">
        <v>348</v>
      </c>
      <c r="U1006" s="4" t="s">
        <v>297</v>
      </c>
      <c r="V1006" s="6">
        <f>193924</f>
        <v>193924</v>
      </c>
      <c r="W1006" s="6">
        <f>775696</f>
        <v>775696</v>
      </c>
      <c r="X1006" s="4" t="s">
        <v>243</v>
      </c>
      <c r="Y1006" s="4" t="s">
        <v>244</v>
      </c>
      <c r="Z1006" s="4" t="s">
        <v>338</v>
      </c>
      <c r="AA1006" s="4" t="s">
        <v>241</v>
      </c>
      <c r="AD1006" s="4" t="s">
        <v>241</v>
      </c>
      <c r="AE1006" s="5" t="s">
        <v>241</v>
      </c>
      <c r="AF1006" s="5" t="s">
        <v>241</v>
      </c>
      <c r="AH1006" s="5" t="s">
        <v>241</v>
      </c>
      <c r="AI1006" s="5" t="s">
        <v>249</v>
      </c>
      <c r="AJ1006" s="4" t="s">
        <v>251</v>
      </c>
      <c r="AK1006" s="4" t="s">
        <v>252</v>
      </c>
      <c r="AQ1006" s="4" t="s">
        <v>241</v>
      </c>
      <c r="AR1006" s="4" t="s">
        <v>241</v>
      </c>
      <c r="AS1006" s="4" t="s">
        <v>241</v>
      </c>
      <c r="AT1006" s="5" t="s">
        <v>241</v>
      </c>
      <c r="AU1006" s="5" t="s">
        <v>241</v>
      </c>
      <c r="AV1006" s="5" t="s">
        <v>241</v>
      </c>
      <c r="AY1006" s="4" t="s">
        <v>286</v>
      </c>
      <c r="AZ1006" s="4" t="s">
        <v>286</v>
      </c>
      <c r="BA1006" s="4" t="s">
        <v>254</v>
      </c>
      <c r="BB1006" s="4" t="s">
        <v>287</v>
      </c>
      <c r="BC1006" s="4" t="s">
        <v>255</v>
      </c>
      <c r="BD1006" s="4" t="s">
        <v>241</v>
      </c>
      <c r="BE1006" s="4" t="s">
        <v>257</v>
      </c>
      <c r="BF1006" s="4" t="s">
        <v>241</v>
      </c>
      <c r="BJ1006" s="4" t="s">
        <v>288</v>
      </c>
      <c r="BK1006" s="5" t="s">
        <v>289</v>
      </c>
      <c r="BL1006" s="4" t="s">
        <v>290</v>
      </c>
      <c r="BM1006" s="4" t="s">
        <v>290</v>
      </c>
      <c r="BN1006" s="4" t="s">
        <v>241</v>
      </c>
      <c r="BP1006" s="6">
        <f>-193924</f>
        <v>-193924</v>
      </c>
      <c r="BQ1006" s="4" t="s">
        <v>263</v>
      </c>
      <c r="BR1006" s="4" t="s">
        <v>264</v>
      </c>
      <c r="BS1006" s="4" t="s">
        <v>241</v>
      </c>
      <c r="BT1006" s="4" t="s">
        <v>241</v>
      </c>
      <c r="BU1006" s="4" t="s">
        <v>241</v>
      </c>
      <c r="BV1006" s="4" t="s">
        <v>241</v>
      </c>
      <c r="CE1006" s="4" t="s">
        <v>264</v>
      </c>
      <c r="CF1006" s="4" t="s">
        <v>241</v>
      </c>
      <c r="CG1006" s="4" t="s">
        <v>241</v>
      </c>
      <c r="CK1006" s="4" t="s">
        <v>291</v>
      </c>
      <c r="CL1006" s="4" t="s">
        <v>266</v>
      </c>
      <c r="CM1006" s="4" t="s">
        <v>241</v>
      </c>
      <c r="CO1006" s="4" t="s">
        <v>413</v>
      </c>
      <c r="CP1006" s="5" t="s">
        <v>268</v>
      </c>
      <c r="CQ1006" s="4" t="s">
        <v>269</v>
      </c>
      <c r="CR1006" s="4" t="s">
        <v>270</v>
      </c>
      <c r="CS1006" s="4" t="s">
        <v>293</v>
      </c>
      <c r="CT1006" s="4" t="s">
        <v>241</v>
      </c>
      <c r="CU1006" s="4">
        <v>6.7000000000000004E-2</v>
      </c>
      <c r="CV1006" s="4" t="s">
        <v>271</v>
      </c>
      <c r="CW1006" s="4" t="s">
        <v>415</v>
      </c>
      <c r="CX1006" s="4" t="s">
        <v>2732</v>
      </c>
      <c r="CY1006" s="6">
        <f>0</f>
        <v>0</v>
      </c>
      <c r="CZ1006" s="6">
        <f>2894400</f>
        <v>2894400</v>
      </c>
      <c r="DA1006" s="6">
        <f>2118704</f>
        <v>2118704</v>
      </c>
      <c r="DC1006" s="4" t="s">
        <v>241</v>
      </c>
      <c r="DD1006" s="4" t="s">
        <v>241</v>
      </c>
      <c r="DF1006" s="4" t="s">
        <v>241</v>
      </c>
      <c r="DG1006" s="6">
        <f>0</f>
        <v>0</v>
      </c>
      <c r="DI1006" s="4" t="s">
        <v>241</v>
      </c>
      <c r="DJ1006" s="4" t="s">
        <v>241</v>
      </c>
      <c r="DK1006" s="4" t="s">
        <v>241</v>
      </c>
      <c r="DL1006" s="4" t="s">
        <v>241</v>
      </c>
      <c r="DM1006" s="4" t="s">
        <v>278</v>
      </c>
      <c r="DN1006" s="4" t="s">
        <v>278</v>
      </c>
      <c r="DO1006" s="6" t="s">
        <v>241</v>
      </c>
      <c r="DP1006" s="4" t="s">
        <v>241</v>
      </c>
      <c r="DQ1006" s="4" t="s">
        <v>241</v>
      </c>
      <c r="DR1006" s="4" t="s">
        <v>241</v>
      </c>
      <c r="DS1006" s="4" t="s">
        <v>241</v>
      </c>
      <c r="DV1006" s="4" t="s">
        <v>334</v>
      </c>
      <c r="DW1006" s="4" t="s">
        <v>379</v>
      </c>
      <c r="GN1006" s="4" t="s">
        <v>2733</v>
      </c>
      <c r="HO1006" s="4" t="s">
        <v>300</v>
      </c>
      <c r="HR1006" s="4" t="s">
        <v>278</v>
      </c>
      <c r="HS1006" s="4" t="s">
        <v>278</v>
      </c>
      <c r="HT1006" s="4" t="s">
        <v>241</v>
      </c>
      <c r="HU1006" s="4" t="s">
        <v>241</v>
      </c>
      <c r="HV1006" s="4" t="s">
        <v>241</v>
      </c>
      <c r="HW1006" s="4" t="s">
        <v>241</v>
      </c>
      <c r="HX1006" s="4" t="s">
        <v>241</v>
      </c>
      <c r="HY1006" s="4" t="s">
        <v>241</v>
      </c>
      <c r="HZ1006" s="4" t="s">
        <v>241</v>
      </c>
      <c r="IA1006" s="4" t="s">
        <v>241</v>
      </c>
      <c r="IB1006" s="4" t="s">
        <v>241</v>
      </c>
      <c r="IC1006" s="4" t="s">
        <v>241</v>
      </c>
      <c r="ID1006" s="4" t="s">
        <v>241</v>
      </c>
      <c r="IE1006" s="4" t="s">
        <v>241</v>
      </c>
      <c r="IF1006" s="4" t="s">
        <v>241</v>
      </c>
    </row>
    <row r="1007" spans="1:240" x14ac:dyDescent="0.4">
      <c r="A1007" s="4">
        <v>2</v>
      </c>
      <c r="B1007" s="4" t="s">
        <v>239</v>
      </c>
      <c r="C1007" s="4">
        <v>1203</v>
      </c>
      <c r="D1007" s="4">
        <v>1</v>
      </c>
      <c r="E1007" s="4">
        <v>3</v>
      </c>
      <c r="F1007" s="4" t="s">
        <v>326</v>
      </c>
      <c r="G1007" s="4" t="s">
        <v>241</v>
      </c>
      <c r="H1007" s="4" t="s">
        <v>241</v>
      </c>
      <c r="I1007" s="4" t="s">
        <v>431</v>
      </c>
      <c r="J1007" s="4" t="s">
        <v>328</v>
      </c>
      <c r="K1007" s="4" t="s">
        <v>256</v>
      </c>
      <c r="L1007" s="4" t="s">
        <v>2728</v>
      </c>
      <c r="M1007" s="5" t="s">
        <v>432</v>
      </c>
      <c r="N1007" s="4" t="s">
        <v>2726</v>
      </c>
      <c r="O1007" s="6">
        <f>0</f>
        <v>0</v>
      </c>
      <c r="P1007" s="4" t="s">
        <v>276</v>
      </c>
      <c r="Q1007" s="6">
        <f>790560</f>
        <v>790560</v>
      </c>
      <c r="R1007" s="6">
        <f>1080000</f>
        <v>1080000</v>
      </c>
      <c r="S1007" s="5" t="s">
        <v>2727</v>
      </c>
      <c r="T1007" s="4" t="s">
        <v>348</v>
      </c>
      <c r="U1007" s="4" t="s">
        <v>297</v>
      </c>
      <c r="V1007" s="6">
        <f>72360</f>
        <v>72360</v>
      </c>
      <c r="W1007" s="6">
        <f>289440</f>
        <v>289440</v>
      </c>
      <c r="X1007" s="4" t="s">
        <v>243</v>
      </c>
      <c r="Y1007" s="4" t="s">
        <v>244</v>
      </c>
      <c r="Z1007" s="4" t="s">
        <v>338</v>
      </c>
      <c r="AA1007" s="4" t="s">
        <v>241</v>
      </c>
      <c r="AD1007" s="4" t="s">
        <v>241</v>
      </c>
      <c r="AE1007" s="5" t="s">
        <v>241</v>
      </c>
      <c r="AF1007" s="5" t="s">
        <v>241</v>
      </c>
      <c r="AH1007" s="5" t="s">
        <v>241</v>
      </c>
      <c r="AI1007" s="5" t="s">
        <v>249</v>
      </c>
      <c r="AJ1007" s="4" t="s">
        <v>251</v>
      </c>
      <c r="AK1007" s="4" t="s">
        <v>252</v>
      </c>
      <c r="AQ1007" s="4" t="s">
        <v>241</v>
      </c>
      <c r="AR1007" s="4" t="s">
        <v>241</v>
      </c>
      <c r="AS1007" s="4" t="s">
        <v>241</v>
      </c>
      <c r="AT1007" s="5" t="s">
        <v>241</v>
      </c>
      <c r="AU1007" s="5" t="s">
        <v>241</v>
      </c>
      <c r="AV1007" s="5" t="s">
        <v>241</v>
      </c>
      <c r="AY1007" s="4" t="s">
        <v>286</v>
      </c>
      <c r="AZ1007" s="4" t="s">
        <v>286</v>
      </c>
      <c r="BA1007" s="4" t="s">
        <v>254</v>
      </c>
      <c r="BB1007" s="4" t="s">
        <v>287</v>
      </c>
      <c r="BC1007" s="4" t="s">
        <v>255</v>
      </c>
      <c r="BD1007" s="4" t="s">
        <v>241</v>
      </c>
      <c r="BE1007" s="4" t="s">
        <v>257</v>
      </c>
      <c r="BF1007" s="4" t="s">
        <v>241</v>
      </c>
      <c r="BJ1007" s="4" t="s">
        <v>288</v>
      </c>
      <c r="BK1007" s="5" t="s">
        <v>289</v>
      </c>
      <c r="BL1007" s="4" t="s">
        <v>290</v>
      </c>
      <c r="BM1007" s="4" t="s">
        <v>290</v>
      </c>
      <c r="BN1007" s="4" t="s">
        <v>241</v>
      </c>
      <c r="BP1007" s="6">
        <f>-72360</f>
        <v>-72360</v>
      </c>
      <c r="BQ1007" s="4" t="s">
        <v>263</v>
      </c>
      <c r="BR1007" s="4" t="s">
        <v>264</v>
      </c>
      <c r="BS1007" s="4" t="s">
        <v>241</v>
      </c>
      <c r="BT1007" s="4" t="s">
        <v>241</v>
      </c>
      <c r="BU1007" s="4" t="s">
        <v>241</v>
      </c>
      <c r="BV1007" s="4" t="s">
        <v>241</v>
      </c>
      <c r="CE1007" s="4" t="s">
        <v>264</v>
      </c>
      <c r="CF1007" s="4" t="s">
        <v>241</v>
      </c>
      <c r="CG1007" s="4" t="s">
        <v>241</v>
      </c>
      <c r="CK1007" s="4" t="s">
        <v>291</v>
      </c>
      <c r="CL1007" s="4" t="s">
        <v>266</v>
      </c>
      <c r="CM1007" s="4" t="s">
        <v>241</v>
      </c>
      <c r="CO1007" s="4" t="s">
        <v>413</v>
      </c>
      <c r="CP1007" s="5" t="s">
        <v>268</v>
      </c>
      <c r="CQ1007" s="4" t="s">
        <v>269</v>
      </c>
      <c r="CR1007" s="4" t="s">
        <v>270</v>
      </c>
      <c r="CS1007" s="4" t="s">
        <v>293</v>
      </c>
      <c r="CT1007" s="4" t="s">
        <v>241</v>
      </c>
      <c r="CU1007" s="4">
        <v>6.7000000000000004E-2</v>
      </c>
      <c r="CV1007" s="4" t="s">
        <v>271</v>
      </c>
      <c r="CW1007" s="4" t="s">
        <v>415</v>
      </c>
      <c r="CX1007" s="4" t="s">
        <v>416</v>
      </c>
      <c r="CY1007" s="6">
        <f>0</f>
        <v>0</v>
      </c>
      <c r="CZ1007" s="6">
        <f>1080000</f>
        <v>1080000</v>
      </c>
      <c r="DA1007" s="6">
        <f>790560</f>
        <v>790560</v>
      </c>
      <c r="DC1007" s="4" t="s">
        <v>241</v>
      </c>
      <c r="DD1007" s="4" t="s">
        <v>241</v>
      </c>
      <c r="DF1007" s="4" t="s">
        <v>241</v>
      </c>
      <c r="DG1007" s="6">
        <f>0</f>
        <v>0</v>
      </c>
      <c r="DI1007" s="4" t="s">
        <v>241</v>
      </c>
      <c r="DJ1007" s="4" t="s">
        <v>241</v>
      </c>
      <c r="DK1007" s="4" t="s">
        <v>241</v>
      </c>
      <c r="DL1007" s="4" t="s">
        <v>241</v>
      </c>
      <c r="DM1007" s="4" t="s">
        <v>278</v>
      </c>
      <c r="DN1007" s="4" t="s">
        <v>278</v>
      </c>
      <c r="DO1007" s="6" t="s">
        <v>241</v>
      </c>
      <c r="DP1007" s="4" t="s">
        <v>241</v>
      </c>
      <c r="DQ1007" s="4" t="s">
        <v>241</v>
      </c>
      <c r="DR1007" s="4" t="s">
        <v>241</v>
      </c>
      <c r="DS1007" s="4" t="s">
        <v>241</v>
      </c>
      <c r="DV1007" s="4" t="s">
        <v>433</v>
      </c>
      <c r="DW1007" s="4" t="s">
        <v>336</v>
      </c>
      <c r="GN1007" s="4" t="s">
        <v>2729</v>
      </c>
      <c r="HO1007" s="4" t="s">
        <v>300</v>
      </c>
      <c r="HR1007" s="4" t="s">
        <v>278</v>
      </c>
      <c r="HS1007" s="4" t="s">
        <v>278</v>
      </c>
      <c r="HT1007" s="4" t="s">
        <v>241</v>
      </c>
      <c r="HU1007" s="4" t="s">
        <v>241</v>
      </c>
      <c r="HV1007" s="4" t="s">
        <v>241</v>
      </c>
      <c r="HW1007" s="4" t="s">
        <v>241</v>
      </c>
      <c r="HX1007" s="4" t="s">
        <v>241</v>
      </c>
      <c r="HY1007" s="4" t="s">
        <v>241</v>
      </c>
      <c r="HZ1007" s="4" t="s">
        <v>241</v>
      </c>
      <c r="IA1007" s="4" t="s">
        <v>241</v>
      </c>
      <c r="IB1007" s="4" t="s">
        <v>241</v>
      </c>
      <c r="IC1007" s="4" t="s">
        <v>241</v>
      </c>
      <c r="ID1007" s="4" t="s">
        <v>241</v>
      </c>
      <c r="IE1007" s="4" t="s">
        <v>241</v>
      </c>
      <c r="IF1007" s="4" t="s">
        <v>241</v>
      </c>
    </row>
    <row r="1008" spans="1:240" x14ac:dyDescent="0.4">
      <c r="A1008" s="4">
        <v>2</v>
      </c>
      <c r="B1008" s="4" t="s">
        <v>239</v>
      </c>
      <c r="C1008" s="4">
        <v>1204</v>
      </c>
      <c r="D1008" s="4">
        <v>1</v>
      </c>
      <c r="E1008" s="4">
        <v>3</v>
      </c>
      <c r="F1008" s="4" t="s">
        <v>326</v>
      </c>
      <c r="G1008" s="4" t="s">
        <v>241</v>
      </c>
      <c r="H1008" s="4" t="s">
        <v>241</v>
      </c>
      <c r="I1008" s="4" t="s">
        <v>431</v>
      </c>
      <c r="J1008" s="4" t="s">
        <v>328</v>
      </c>
      <c r="K1008" s="4" t="s">
        <v>256</v>
      </c>
      <c r="L1008" s="4" t="s">
        <v>2724</v>
      </c>
      <c r="M1008" s="5" t="s">
        <v>432</v>
      </c>
      <c r="N1008" s="4" t="s">
        <v>2722</v>
      </c>
      <c r="O1008" s="6">
        <f>0</f>
        <v>0</v>
      </c>
      <c r="P1008" s="4" t="s">
        <v>276</v>
      </c>
      <c r="Q1008" s="6">
        <f>1814336</f>
        <v>1814336</v>
      </c>
      <c r="R1008" s="6">
        <f>2478600</f>
        <v>2478600</v>
      </c>
      <c r="S1008" s="5" t="s">
        <v>2723</v>
      </c>
      <c r="T1008" s="4" t="s">
        <v>348</v>
      </c>
      <c r="U1008" s="4" t="s">
        <v>297</v>
      </c>
      <c r="V1008" s="6">
        <f>166066</f>
        <v>166066</v>
      </c>
      <c r="W1008" s="6">
        <f>664264</f>
        <v>664264</v>
      </c>
      <c r="X1008" s="4" t="s">
        <v>243</v>
      </c>
      <c r="Y1008" s="4" t="s">
        <v>244</v>
      </c>
      <c r="Z1008" s="4" t="s">
        <v>338</v>
      </c>
      <c r="AA1008" s="4" t="s">
        <v>241</v>
      </c>
      <c r="AD1008" s="4" t="s">
        <v>241</v>
      </c>
      <c r="AE1008" s="5" t="s">
        <v>241</v>
      </c>
      <c r="AF1008" s="5" t="s">
        <v>241</v>
      </c>
      <c r="AH1008" s="5" t="s">
        <v>241</v>
      </c>
      <c r="AI1008" s="5" t="s">
        <v>249</v>
      </c>
      <c r="AJ1008" s="4" t="s">
        <v>251</v>
      </c>
      <c r="AK1008" s="4" t="s">
        <v>252</v>
      </c>
      <c r="AQ1008" s="4" t="s">
        <v>241</v>
      </c>
      <c r="AR1008" s="4" t="s">
        <v>241</v>
      </c>
      <c r="AS1008" s="4" t="s">
        <v>241</v>
      </c>
      <c r="AT1008" s="5" t="s">
        <v>241</v>
      </c>
      <c r="AU1008" s="5" t="s">
        <v>241</v>
      </c>
      <c r="AV1008" s="5" t="s">
        <v>241</v>
      </c>
      <c r="AY1008" s="4" t="s">
        <v>286</v>
      </c>
      <c r="AZ1008" s="4" t="s">
        <v>286</v>
      </c>
      <c r="BA1008" s="4" t="s">
        <v>254</v>
      </c>
      <c r="BB1008" s="4" t="s">
        <v>287</v>
      </c>
      <c r="BC1008" s="4" t="s">
        <v>255</v>
      </c>
      <c r="BD1008" s="4" t="s">
        <v>241</v>
      </c>
      <c r="BE1008" s="4" t="s">
        <v>257</v>
      </c>
      <c r="BF1008" s="4" t="s">
        <v>241</v>
      </c>
      <c r="BJ1008" s="4" t="s">
        <v>288</v>
      </c>
      <c r="BK1008" s="5" t="s">
        <v>289</v>
      </c>
      <c r="BL1008" s="4" t="s">
        <v>290</v>
      </c>
      <c r="BM1008" s="4" t="s">
        <v>290</v>
      </c>
      <c r="BN1008" s="4" t="s">
        <v>241</v>
      </c>
      <c r="BP1008" s="6">
        <f>-166066</f>
        <v>-166066</v>
      </c>
      <c r="BQ1008" s="4" t="s">
        <v>263</v>
      </c>
      <c r="BR1008" s="4" t="s">
        <v>264</v>
      </c>
      <c r="BS1008" s="4" t="s">
        <v>241</v>
      </c>
      <c r="BT1008" s="4" t="s">
        <v>241</v>
      </c>
      <c r="BU1008" s="4" t="s">
        <v>241</v>
      </c>
      <c r="BV1008" s="4" t="s">
        <v>241</v>
      </c>
      <c r="CE1008" s="4" t="s">
        <v>264</v>
      </c>
      <c r="CF1008" s="4" t="s">
        <v>241</v>
      </c>
      <c r="CG1008" s="4" t="s">
        <v>241</v>
      </c>
      <c r="CK1008" s="4" t="s">
        <v>291</v>
      </c>
      <c r="CL1008" s="4" t="s">
        <v>266</v>
      </c>
      <c r="CM1008" s="4" t="s">
        <v>241</v>
      </c>
      <c r="CO1008" s="4" t="s">
        <v>413</v>
      </c>
      <c r="CP1008" s="5" t="s">
        <v>268</v>
      </c>
      <c r="CQ1008" s="4" t="s">
        <v>269</v>
      </c>
      <c r="CR1008" s="4" t="s">
        <v>270</v>
      </c>
      <c r="CS1008" s="4" t="s">
        <v>293</v>
      </c>
      <c r="CT1008" s="4" t="s">
        <v>241</v>
      </c>
      <c r="CU1008" s="4">
        <v>6.7000000000000004E-2</v>
      </c>
      <c r="CV1008" s="4" t="s">
        <v>271</v>
      </c>
      <c r="CW1008" s="4" t="s">
        <v>415</v>
      </c>
      <c r="CX1008" s="4" t="s">
        <v>422</v>
      </c>
      <c r="CY1008" s="6">
        <f>0</f>
        <v>0</v>
      </c>
      <c r="CZ1008" s="6">
        <f>2478600</f>
        <v>2478600</v>
      </c>
      <c r="DA1008" s="6">
        <f>1814336</f>
        <v>1814336</v>
      </c>
      <c r="DC1008" s="4" t="s">
        <v>241</v>
      </c>
      <c r="DD1008" s="4" t="s">
        <v>241</v>
      </c>
      <c r="DF1008" s="4" t="s">
        <v>241</v>
      </c>
      <c r="DG1008" s="6">
        <f>0</f>
        <v>0</v>
      </c>
      <c r="DI1008" s="4" t="s">
        <v>241</v>
      </c>
      <c r="DJ1008" s="4" t="s">
        <v>241</v>
      </c>
      <c r="DK1008" s="4" t="s">
        <v>241</v>
      </c>
      <c r="DL1008" s="4" t="s">
        <v>241</v>
      </c>
      <c r="DM1008" s="4" t="s">
        <v>278</v>
      </c>
      <c r="DN1008" s="4" t="s">
        <v>278</v>
      </c>
      <c r="DO1008" s="6" t="s">
        <v>241</v>
      </c>
      <c r="DP1008" s="4" t="s">
        <v>241</v>
      </c>
      <c r="DQ1008" s="4" t="s">
        <v>241</v>
      </c>
      <c r="DR1008" s="4" t="s">
        <v>241</v>
      </c>
      <c r="DS1008" s="4" t="s">
        <v>241</v>
      </c>
      <c r="DV1008" s="4" t="s">
        <v>433</v>
      </c>
      <c r="DW1008" s="4" t="s">
        <v>351</v>
      </c>
      <c r="GN1008" s="4" t="s">
        <v>2725</v>
      </c>
      <c r="HO1008" s="4" t="s">
        <v>300</v>
      </c>
      <c r="HR1008" s="4" t="s">
        <v>278</v>
      </c>
      <c r="HS1008" s="4" t="s">
        <v>278</v>
      </c>
      <c r="HT1008" s="4" t="s">
        <v>241</v>
      </c>
      <c r="HU1008" s="4" t="s">
        <v>241</v>
      </c>
      <c r="HV1008" s="4" t="s">
        <v>241</v>
      </c>
      <c r="HW1008" s="4" t="s">
        <v>241</v>
      </c>
      <c r="HX1008" s="4" t="s">
        <v>241</v>
      </c>
      <c r="HY1008" s="4" t="s">
        <v>241</v>
      </c>
      <c r="HZ1008" s="4" t="s">
        <v>241</v>
      </c>
      <c r="IA1008" s="4" t="s">
        <v>241</v>
      </c>
      <c r="IB1008" s="4" t="s">
        <v>241</v>
      </c>
      <c r="IC1008" s="4" t="s">
        <v>241</v>
      </c>
      <c r="ID1008" s="4" t="s">
        <v>241</v>
      </c>
      <c r="IE1008" s="4" t="s">
        <v>241</v>
      </c>
      <c r="IF1008" s="4" t="s">
        <v>241</v>
      </c>
    </row>
    <row r="1009" spans="1:240" x14ac:dyDescent="0.4">
      <c r="A1009" s="4">
        <v>2</v>
      </c>
      <c r="B1009" s="4" t="s">
        <v>239</v>
      </c>
      <c r="C1009" s="4">
        <v>1242</v>
      </c>
      <c r="D1009" s="4">
        <v>1</v>
      </c>
      <c r="E1009" s="4">
        <v>3</v>
      </c>
      <c r="F1009" s="4" t="s">
        <v>326</v>
      </c>
      <c r="G1009" s="4" t="s">
        <v>241</v>
      </c>
      <c r="H1009" s="4" t="s">
        <v>241</v>
      </c>
      <c r="I1009" s="4" t="s">
        <v>2717</v>
      </c>
      <c r="J1009" s="4" t="s">
        <v>406</v>
      </c>
      <c r="K1009" s="4" t="s">
        <v>256</v>
      </c>
      <c r="L1009" s="4" t="s">
        <v>2921</v>
      </c>
      <c r="M1009" s="5" t="s">
        <v>630</v>
      </c>
      <c r="N1009" s="4" t="s">
        <v>2919</v>
      </c>
      <c r="O1009" s="6">
        <f>0</f>
        <v>0</v>
      </c>
      <c r="P1009" s="4" t="s">
        <v>276</v>
      </c>
      <c r="Q1009" s="6">
        <f>363660</f>
        <v>363660</v>
      </c>
      <c r="R1009" s="6">
        <f>496800</f>
        <v>496800</v>
      </c>
      <c r="S1009" s="5" t="s">
        <v>2920</v>
      </c>
      <c r="T1009" s="4" t="s">
        <v>348</v>
      </c>
      <c r="U1009" s="4" t="s">
        <v>297</v>
      </c>
      <c r="V1009" s="6">
        <f>33285</f>
        <v>33285</v>
      </c>
      <c r="W1009" s="6">
        <f>133140</f>
        <v>133140</v>
      </c>
      <c r="X1009" s="4" t="s">
        <v>243</v>
      </c>
      <c r="Y1009" s="4" t="s">
        <v>244</v>
      </c>
      <c r="Z1009" s="4" t="s">
        <v>338</v>
      </c>
      <c r="AA1009" s="4" t="s">
        <v>241</v>
      </c>
      <c r="AD1009" s="4" t="s">
        <v>241</v>
      </c>
      <c r="AE1009" s="5" t="s">
        <v>241</v>
      </c>
      <c r="AF1009" s="5" t="s">
        <v>241</v>
      </c>
      <c r="AH1009" s="5" t="s">
        <v>241</v>
      </c>
      <c r="AI1009" s="5" t="s">
        <v>1209</v>
      </c>
      <c r="AJ1009" s="4" t="s">
        <v>251</v>
      </c>
      <c r="AK1009" s="4" t="s">
        <v>252</v>
      </c>
      <c r="AQ1009" s="4" t="s">
        <v>241</v>
      </c>
      <c r="AR1009" s="4" t="s">
        <v>241</v>
      </c>
      <c r="AS1009" s="4" t="s">
        <v>241</v>
      </c>
      <c r="AT1009" s="5" t="s">
        <v>241</v>
      </c>
      <c r="AU1009" s="5" t="s">
        <v>241</v>
      </c>
      <c r="AV1009" s="5" t="s">
        <v>241</v>
      </c>
      <c r="AY1009" s="4" t="s">
        <v>286</v>
      </c>
      <c r="AZ1009" s="4" t="s">
        <v>286</v>
      </c>
      <c r="BA1009" s="4" t="s">
        <v>254</v>
      </c>
      <c r="BB1009" s="4" t="s">
        <v>287</v>
      </c>
      <c r="BC1009" s="4" t="s">
        <v>255</v>
      </c>
      <c r="BD1009" s="4" t="s">
        <v>241</v>
      </c>
      <c r="BE1009" s="4" t="s">
        <v>257</v>
      </c>
      <c r="BF1009" s="4" t="s">
        <v>241</v>
      </c>
      <c r="BJ1009" s="4" t="s">
        <v>288</v>
      </c>
      <c r="BK1009" s="5" t="s">
        <v>289</v>
      </c>
      <c r="BL1009" s="4" t="s">
        <v>290</v>
      </c>
      <c r="BM1009" s="4" t="s">
        <v>290</v>
      </c>
      <c r="BN1009" s="4" t="s">
        <v>241</v>
      </c>
      <c r="BP1009" s="6">
        <f>-33285</f>
        <v>-33285</v>
      </c>
      <c r="BQ1009" s="4" t="s">
        <v>263</v>
      </c>
      <c r="BR1009" s="4" t="s">
        <v>264</v>
      </c>
      <c r="BS1009" s="4" t="s">
        <v>241</v>
      </c>
      <c r="BT1009" s="4" t="s">
        <v>241</v>
      </c>
      <c r="BU1009" s="4" t="s">
        <v>241</v>
      </c>
      <c r="BV1009" s="4" t="s">
        <v>241</v>
      </c>
      <c r="CE1009" s="4" t="s">
        <v>264</v>
      </c>
      <c r="CF1009" s="4" t="s">
        <v>241</v>
      </c>
      <c r="CG1009" s="4" t="s">
        <v>241</v>
      </c>
      <c r="CK1009" s="4" t="s">
        <v>291</v>
      </c>
      <c r="CL1009" s="4" t="s">
        <v>266</v>
      </c>
      <c r="CM1009" s="4" t="s">
        <v>241</v>
      </c>
      <c r="CO1009" s="4" t="s">
        <v>413</v>
      </c>
      <c r="CP1009" s="5" t="s">
        <v>268</v>
      </c>
      <c r="CQ1009" s="4" t="s">
        <v>269</v>
      </c>
      <c r="CR1009" s="4" t="s">
        <v>270</v>
      </c>
      <c r="CS1009" s="4" t="s">
        <v>293</v>
      </c>
      <c r="CT1009" s="4" t="s">
        <v>241</v>
      </c>
      <c r="CU1009" s="4">
        <v>6.7000000000000004E-2</v>
      </c>
      <c r="CV1009" s="4" t="s">
        <v>271</v>
      </c>
      <c r="CW1009" s="4" t="s">
        <v>415</v>
      </c>
      <c r="CX1009" s="4" t="s">
        <v>422</v>
      </c>
      <c r="CY1009" s="6">
        <f>0</f>
        <v>0</v>
      </c>
      <c r="CZ1009" s="6">
        <f>496800</f>
        <v>496800</v>
      </c>
      <c r="DA1009" s="6">
        <f>363660</f>
        <v>363660</v>
      </c>
      <c r="DC1009" s="4" t="s">
        <v>241</v>
      </c>
      <c r="DD1009" s="4" t="s">
        <v>241</v>
      </c>
      <c r="DF1009" s="4" t="s">
        <v>241</v>
      </c>
      <c r="DG1009" s="6">
        <f>0</f>
        <v>0</v>
      </c>
      <c r="DI1009" s="4" t="s">
        <v>241</v>
      </c>
      <c r="DJ1009" s="4" t="s">
        <v>241</v>
      </c>
      <c r="DK1009" s="4" t="s">
        <v>241</v>
      </c>
      <c r="DL1009" s="4" t="s">
        <v>241</v>
      </c>
      <c r="DM1009" s="4" t="s">
        <v>278</v>
      </c>
      <c r="DN1009" s="4" t="s">
        <v>278</v>
      </c>
      <c r="DO1009" s="6" t="s">
        <v>241</v>
      </c>
      <c r="DP1009" s="4" t="s">
        <v>241</v>
      </c>
      <c r="DQ1009" s="4" t="s">
        <v>241</v>
      </c>
      <c r="DR1009" s="4" t="s">
        <v>241</v>
      </c>
      <c r="DS1009" s="4" t="s">
        <v>241</v>
      </c>
      <c r="DV1009" s="4" t="s">
        <v>2720</v>
      </c>
      <c r="DW1009" s="4" t="s">
        <v>323</v>
      </c>
      <c r="GN1009" s="4" t="s">
        <v>2922</v>
      </c>
      <c r="HO1009" s="4" t="s">
        <v>300</v>
      </c>
      <c r="HR1009" s="4" t="s">
        <v>278</v>
      </c>
      <c r="HS1009" s="4" t="s">
        <v>278</v>
      </c>
      <c r="HT1009" s="4" t="s">
        <v>241</v>
      </c>
      <c r="HU1009" s="4" t="s">
        <v>241</v>
      </c>
      <c r="HV1009" s="4" t="s">
        <v>241</v>
      </c>
      <c r="HW1009" s="4" t="s">
        <v>241</v>
      </c>
      <c r="HX1009" s="4" t="s">
        <v>241</v>
      </c>
      <c r="HY1009" s="4" t="s">
        <v>241</v>
      </c>
      <c r="HZ1009" s="4" t="s">
        <v>241</v>
      </c>
      <c r="IA1009" s="4" t="s">
        <v>241</v>
      </c>
      <c r="IB1009" s="4" t="s">
        <v>241</v>
      </c>
      <c r="IC1009" s="4" t="s">
        <v>241</v>
      </c>
      <c r="ID1009" s="4" t="s">
        <v>241</v>
      </c>
      <c r="IE1009" s="4" t="s">
        <v>241</v>
      </c>
      <c r="IF1009" s="4" t="s">
        <v>241</v>
      </c>
    </row>
    <row r="1010" spans="1:240" x14ac:dyDescent="0.4">
      <c r="A1010" s="4">
        <v>2</v>
      </c>
      <c r="B1010" s="4" t="s">
        <v>239</v>
      </c>
      <c r="C1010" s="4">
        <v>1243</v>
      </c>
      <c r="D1010" s="4">
        <v>1</v>
      </c>
      <c r="E1010" s="4">
        <v>3</v>
      </c>
      <c r="F1010" s="4" t="s">
        <v>326</v>
      </c>
      <c r="G1010" s="4" t="s">
        <v>241</v>
      </c>
      <c r="H1010" s="4" t="s">
        <v>241</v>
      </c>
      <c r="I1010" s="4" t="s">
        <v>2717</v>
      </c>
      <c r="J1010" s="4" t="s">
        <v>406</v>
      </c>
      <c r="K1010" s="4" t="s">
        <v>256</v>
      </c>
      <c r="L1010" s="4" t="s">
        <v>2571</v>
      </c>
      <c r="M1010" s="5" t="s">
        <v>630</v>
      </c>
      <c r="N1010" s="4" t="s">
        <v>2716</v>
      </c>
      <c r="O1010" s="6">
        <f>0</f>
        <v>0</v>
      </c>
      <c r="P1010" s="4" t="s">
        <v>276</v>
      </c>
      <c r="Q1010" s="6">
        <f>3423128</f>
        <v>3423128</v>
      </c>
      <c r="R1010" s="6">
        <f>4676400</f>
        <v>4676400</v>
      </c>
      <c r="S1010" s="5" t="s">
        <v>380</v>
      </c>
      <c r="T1010" s="4" t="s">
        <v>348</v>
      </c>
      <c r="U1010" s="4" t="s">
        <v>297</v>
      </c>
      <c r="V1010" s="6">
        <f>313318</f>
        <v>313318</v>
      </c>
      <c r="W1010" s="6">
        <f>1253272</f>
        <v>1253272</v>
      </c>
      <c r="X1010" s="4" t="s">
        <v>243</v>
      </c>
      <c r="Y1010" s="4" t="s">
        <v>244</v>
      </c>
      <c r="Z1010" s="4" t="s">
        <v>338</v>
      </c>
      <c r="AA1010" s="4" t="s">
        <v>241</v>
      </c>
      <c r="AD1010" s="4" t="s">
        <v>241</v>
      </c>
      <c r="AE1010" s="5" t="s">
        <v>241</v>
      </c>
      <c r="AF1010" s="5" t="s">
        <v>241</v>
      </c>
      <c r="AH1010" s="5" t="s">
        <v>241</v>
      </c>
      <c r="AI1010" s="5" t="s">
        <v>2718</v>
      </c>
      <c r="AJ1010" s="4" t="s">
        <v>251</v>
      </c>
      <c r="AK1010" s="4" t="s">
        <v>252</v>
      </c>
      <c r="AQ1010" s="4" t="s">
        <v>241</v>
      </c>
      <c r="AR1010" s="4" t="s">
        <v>241</v>
      </c>
      <c r="AS1010" s="4" t="s">
        <v>241</v>
      </c>
      <c r="AT1010" s="5" t="s">
        <v>241</v>
      </c>
      <c r="AU1010" s="5" t="s">
        <v>241</v>
      </c>
      <c r="AV1010" s="5" t="s">
        <v>241</v>
      </c>
      <c r="AY1010" s="4" t="s">
        <v>286</v>
      </c>
      <c r="AZ1010" s="4" t="s">
        <v>286</v>
      </c>
      <c r="BA1010" s="4" t="s">
        <v>254</v>
      </c>
      <c r="BB1010" s="4" t="s">
        <v>287</v>
      </c>
      <c r="BC1010" s="4" t="s">
        <v>255</v>
      </c>
      <c r="BD1010" s="4" t="s">
        <v>241</v>
      </c>
      <c r="BE1010" s="4" t="s">
        <v>257</v>
      </c>
      <c r="BF1010" s="4" t="s">
        <v>241</v>
      </c>
      <c r="BJ1010" s="4" t="s">
        <v>288</v>
      </c>
      <c r="BK1010" s="5" t="s">
        <v>289</v>
      </c>
      <c r="BL1010" s="4" t="s">
        <v>290</v>
      </c>
      <c r="BM1010" s="4" t="s">
        <v>290</v>
      </c>
      <c r="BN1010" s="4" t="s">
        <v>241</v>
      </c>
      <c r="BP1010" s="6">
        <f>-313318</f>
        <v>-313318</v>
      </c>
      <c r="BQ1010" s="4" t="s">
        <v>263</v>
      </c>
      <c r="BR1010" s="4" t="s">
        <v>264</v>
      </c>
      <c r="BS1010" s="4" t="s">
        <v>241</v>
      </c>
      <c r="BT1010" s="4" t="s">
        <v>241</v>
      </c>
      <c r="BU1010" s="4" t="s">
        <v>241</v>
      </c>
      <c r="BV1010" s="4" t="s">
        <v>241</v>
      </c>
      <c r="CE1010" s="4" t="s">
        <v>264</v>
      </c>
      <c r="CF1010" s="4" t="s">
        <v>241</v>
      </c>
      <c r="CG1010" s="4" t="s">
        <v>241</v>
      </c>
      <c r="CK1010" s="4" t="s">
        <v>291</v>
      </c>
      <c r="CL1010" s="4" t="s">
        <v>266</v>
      </c>
      <c r="CM1010" s="4" t="s">
        <v>241</v>
      </c>
      <c r="CO1010" s="4" t="s">
        <v>413</v>
      </c>
      <c r="CP1010" s="5" t="s">
        <v>268</v>
      </c>
      <c r="CQ1010" s="4" t="s">
        <v>269</v>
      </c>
      <c r="CR1010" s="4" t="s">
        <v>270</v>
      </c>
      <c r="CS1010" s="4" t="s">
        <v>293</v>
      </c>
      <c r="CT1010" s="4" t="s">
        <v>241</v>
      </c>
      <c r="CU1010" s="4">
        <v>6.7000000000000004E-2</v>
      </c>
      <c r="CV1010" s="4" t="s">
        <v>271</v>
      </c>
      <c r="CW1010" s="4" t="s">
        <v>415</v>
      </c>
      <c r="CX1010" s="4" t="s">
        <v>2719</v>
      </c>
      <c r="CY1010" s="6">
        <f>0</f>
        <v>0</v>
      </c>
      <c r="CZ1010" s="6">
        <f>4676400</f>
        <v>4676400</v>
      </c>
      <c r="DA1010" s="6">
        <f>3423128</f>
        <v>3423128</v>
      </c>
      <c r="DC1010" s="4" t="s">
        <v>241</v>
      </c>
      <c r="DD1010" s="4" t="s">
        <v>241</v>
      </c>
      <c r="DF1010" s="4" t="s">
        <v>241</v>
      </c>
      <c r="DG1010" s="6">
        <f>0</f>
        <v>0</v>
      </c>
      <c r="DI1010" s="4" t="s">
        <v>241</v>
      </c>
      <c r="DJ1010" s="4" t="s">
        <v>241</v>
      </c>
      <c r="DK1010" s="4" t="s">
        <v>241</v>
      </c>
      <c r="DL1010" s="4" t="s">
        <v>241</v>
      </c>
      <c r="DM1010" s="4" t="s">
        <v>278</v>
      </c>
      <c r="DN1010" s="4" t="s">
        <v>278</v>
      </c>
      <c r="DO1010" s="6" t="s">
        <v>241</v>
      </c>
      <c r="DP1010" s="4" t="s">
        <v>241</v>
      </c>
      <c r="DQ1010" s="4" t="s">
        <v>241</v>
      </c>
      <c r="DR1010" s="4" t="s">
        <v>241</v>
      </c>
      <c r="DS1010" s="4" t="s">
        <v>241</v>
      </c>
      <c r="DV1010" s="4" t="s">
        <v>2720</v>
      </c>
      <c r="DW1010" s="4" t="s">
        <v>297</v>
      </c>
      <c r="GN1010" s="4" t="s">
        <v>2721</v>
      </c>
      <c r="HO1010" s="4" t="s">
        <v>300</v>
      </c>
      <c r="HR1010" s="4" t="s">
        <v>278</v>
      </c>
      <c r="HS1010" s="4" t="s">
        <v>278</v>
      </c>
      <c r="HT1010" s="4" t="s">
        <v>241</v>
      </c>
      <c r="HU1010" s="4" t="s">
        <v>241</v>
      </c>
      <c r="HV1010" s="4" t="s">
        <v>241</v>
      </c>
      <c r="HW1010" s="4" t="s">
        <v>241</v>
      </c>
      <c r="HX1010" s="4" t="s">
        <v>241</v>
      </c>
      <c r="HY1010" s="4" t="s">
        <v>241</v>
      </c>
      <c r="HZ1010" s="4" t="s">
        <v>241</v>
      </c>
      <c r="IA1010" s="4" t="s">
        <v>241</v>
      </c>
      <c r="IB1010" s="4" t="s">
        <v>241</v>
      </c>
      <c r="IC1010" s="4" t="s">
        <v>241</v>
      </c>
      <c r="ID1010" s="4" t="s">
        <v>241</v>
      </c>
      <c r="IE1010" s="4" t="s">
        <v>241</v>
      </c>
      <c r="IF1010" s="4" t="s">
        <v>241</v>
      </c>
    </row>
    <row r="1011" spans="1:240" x14ac:dyDescent="0.4">
      <c r="A1011" s="4">
        <v>2</v>
      </c>
      <c r="B1011" s="4" t="s">
        <v>239</v>
      </c>
      <c r="C1011" s="4">
        <v>1293</v>
      </c>
      <c r="D1011" s="4">
        <v>1</v>
      </c>
      <c r="E1011" s="4">
        <v>3</v>
      </c>
      <c r="F1011" s="4" t="s">
        <v>240</v>
      </c>
      <c r="G1011" s="4" t="s">
        <v>241</v>
      </c>
      <c r="H1011" s="4" t="s">
        <v>241</v>
      </c>
      <c r="I1011" s="4" t="s">
        <v>1707</v>
      </c>
      <c r="J1011" s="4" t="s">
        <v>944</v>
      </c>
      <c r="K1011" s="4" t="s">
        <v>256</v>
      </c>
      <c r="L1011" s="4" t="s">
        <v>1666</v>
      </c>
      <c r="M1011" s="5" t="s">
        <v>1709</v>
      </c>
      <c r="N1011" s="4" t="s">
        <v>1666</v>
      </c>
      <c r="O1011" s="6">
        <f>269.82</f>
        <v>269.82</v>
      </c>
      <c r="P1011" s="4" t="s">
        <v>276</v>
      </c>
      <c r="Q1011" s="6">
        <f>4371100</f>
        <v>4371100</v>
      </c>
      <c r="R1011" s="6">
        <f>36425700</f>
        <v>36425700</v>
      </c>
      <c r="S1011" s="5" t="s">
        <v>1708</v>
      </c>
      <c r="T1011" s="4" t="s">
        <v>668</v>
      </c>
      <c r="U1011" s="4" t="s">
        <v>393</v>
      </c>
      <c r="V1011" s="6">
        <f>801365</f>
        <v>801365</v>
      </c>
      <c r="W1011" s="6">
        <f>32054600</f>
        <v>32054600</v>
      </c>
      <c r="X1011" s="4" t="s">
        <v>243</v>
      </c>
      <c r="Y1011" s="4" t="s">
        <v>244</v>
      </c>
      <c r="Z1011" s="4" t="s">
        <v>874</v>
      </c>
      <c r="AA1011" s="4" t="s">
        <v>241</v>
      </c>
      <c r="AD1011" s="4" t="s">
        <v>241</v>
      </c>
      <c r="AE1011" s="5" t="s">
        <v>241</v>
      </c>
      <c r="AF1011" s="5" t="s">
        <v>241</v>
      </c>
      <c r="AH1011" s="5" t="s">
        <v>241</v>
      </c>
      <c r="AI1011" s="5" t="s">
        <v>249</v>
      </c>
      <c r="AJ1011" s="4" t="s">
        <v>251</v>
      </c>
      <c r="AK1011" s="4" t="s">
        <v>252</v>
      </c>
      <c r="AQ1011" s="4" t="s">
        <v>241</v>
      </c>
      <c r="AR1011" s="4" t="s">
        <v>241</v>
      </c>
      <c r="AS1011" s="4" t="s">
        <v>241</v>
      </c>
      <c r="AT1011" s="5" t="s">
        <v>241</v>
      </c>
      <c r="AU1011" s="5" t="s">
        <v>241</v>
      </c>
      <c r="AV1011" s="5" t="s">
        <v>241</v>
      </c>
      <c r="AY1011" s="4" t="s">
        <v>286</v>
      </c>
      <c r="AZ1011" s="4" t="s">
        <v>286</v>
      </c>
      <c r="BA1011" s="4" t="s">
        <v>254</v>
      </c>
      <c r="BB1011" s="4" t="s">
        <v>287</v>
      </c>
      <c r="BC1011" s="4" t="s">
        <v>255</v>
      </c>
      <c r="BD1011" s="4" t="s">
        <v>241</v>
      </c>
      <c r="BE1011" s="4" t="s">
        <v>257</v>
      </c>
      <c r="BF1011" s="4" t="s">
        <v>241</v>
      </c>
      <c r="BJ1011" s="4" t="s">
        <v>288</v>
      </c>
      <c r="BK1011" s="5" t="s">
        <v>289</v>
      </c>
      <c r="BL1011" s="4" t="s">
        <v>290</v>
      </c>
      <c r="BM1011" s="4" t="s">
        <v>290</v>
      </c>
      <c r="BN1011" s="4" t="s">
        <v>241</v>
      </c>
      <c r="BO1011" s="6">
        <f>0</f>
        <v>0</v>
      </c>
      <c r="BP1011" s="6">
        <f>-801365</f>
        <v>-801365</v>
      </c>
      <c r="BQ1011" s="4" t="s">
        <v>263</v>
      </c>
      <c r="BR1011" s="4" t="s">
        <v>264</v>
      </c>
      <c r="BS1011" s="4" t="s">
        <v>241</v>
      </c>
      <c r="BT1011" s="4" t="s">
        <v>241</v>
      </c>
      <c r="BU1011" s="4" t="s">
        <v>241</v>
      </c>
      <c r="BV1011" s="4" t="s">
        <v>241</v>
      </c>
      <c r="CE1011" s="4" t="s">
        <v>264</v>
      </c>
      <c r="CF1011" s="4" t="s">
        <v>241</v>
      </c>
      <c r="CG1011" s="4" t="s">
        <v>241</v>
      </c>
      <c r="CK1011" s="4" t="s">
        <v>265</v>
      </c>
      <c r="CL1011" s="4" t="s">
        <v>266</v>
      </c>
      <c r="CM1011" s="4" t="s">
        <v>241</v>
      </c>
      <c r="CO1011" s="4" t="s">
        <v>382</v>
      </c>
      <c r="CP1011" s="5" t="s">
        <v>268</v>
      </c>
      <c r="CQ1011" s="4" t="s">
        <v>269</v>
      </c>
      <c r="CR1011" s="4" t="s">
        <v>270</v>
      </c>
      <c r="CS1011" s="4" t="s">
        <v>293</v>
      </c>
      <c r="CT1011" s="4" t="s">
        <v>241</v>
      </c>
      <c r="CU1011" s="4">
        <v>2.1999999999999999E-2</v>
      </c>
      <c r="CV1011" s="4" t="s">
        <v>271</v>
      </c>
      <c r="CW1011" s="4" t="s">
        <v>1671</v>
      </c>
      <c r="CX1011" s="4" t="s">
        <v>295</v>
      </c>
      <c r="CY1011" s="6">
        <f>0</f>
        <v>0</v>
      </c>
      <c r="CZ1011" s="6">
        <f>36425700</f>
        <v>36425700</v>
      </c>
      <c r="DA1011" s="6">
        <f>4371100</f>
        <v>4371100</v>
      </c>
      <c r="DC1011" s="4" t="s">
        <v>241</v>
      </c>
      <c r="DD1011" s="4" t="s">
        <v>241</v>
      </c>
      <c r="DF1011" s="4" t="s">
        <v>241</v>
      </c>
      <c r="DG1011" s="6">
        <f>0</f>
        <v>0</v>
      </c>
      <c r="DI1011" s="4" t="s">
        <v>241</v>
      </c>
      <c r="DJ1011" s="4" t="s">
        <v>241</v>
      </c>
      <c r="DK1011" s="4" t="s">
        <v>241</v>
      </c>
      <c r="DL1011" s="4" t="s">
        <v>241</v>
      </c>
      <c r="DM1011" s="4" t="s">
        <v>277</v>
      </c>
      <c r="DN1011" s="4" t="s">
        <v>278</v>
      </c>
      <c r="DO1011" s="6">
        <f>269.82</f>
        <v>269.82</v>
      </c>
      <c r="DP1011" s="4" t="s">
        <v>241</v>
      </c>
      <c r="DQ1011" s="4" t="s">
        <v>241</v>
      </c>
      <c r="DR1011" s="4" t="s">
        <v>241</v>
      </c>
      <c r="DS1011" s="4" t="s">
        <v>241</v>
      </c>
      <c r="DV1011" s="4" t="s">
        <v>1710</v>
      </c>
      <c r="DW1011" s="4" t="s">
        <v>277</v>
      </c>
      <c r="GN1011" s="4" t="s">
        <v>1711</v>
      </c>
      <c r="HO1011" s="4" t="s">
        <v>300</v>
      </c>
      <c r="HR1011" s="4" t="s">
        <v>278</v>
      </c>
      <c r="HS1011" s="4" t="s">
        <v>278</v>
      </c>
      <c r="HT1011" s="4" t="s">
        <v>241</v>
      </c>
      <c r="HU1011" s="4" t="s">
        <v>241</v>
      </c>
      <c r="HV1011" s="4" t="s">
        <v>241</v>
      </c>
      <c r="HW1011" s="4" t="s">
        <v>241</v>
      </c>
      <c r="HX1011" s="4" t="s">
        <v>241</v>
      </c>
      <c r="HY1011" s="4" t="s">
        <v>241</v>
      </c>
      <c r="HZ1011" s="4" t="s">
        <v>241</v>
      </c>
      <c r="IA1011" s="4" t="s">
        <v>241</v>
      </c>
      <c r="IB1011" s="4" t="s">
        <v>241</v>
      </c>
      <c r="IC1011" s="4" t="s">
        <v>241</v>
      </c>
      <c r="ID1011" s="4" t="s">
        <v>241</v>
      </c>
      <c r="IE1011" s="4" t="s">
        <v>241</v>
      </c>
      <c r="IF1011" s="4" t="s">
        <v>241</v>
      </c>
    </row>
    <row r="1012" spans="1:240" x14ac:dyDescent="0.4">
      <c r="A1012" s="4">
        <v>2</v>
      </c>
      <c r="B1012" s="4" t="s">
        <v>239</v>
      </c>
      <c r="C1012" s="4">
        <v>1297</v>
      </c>
      <c r="D1012" s="4">
        <v>1</v>
      </c>
      <c r="E1012" s="4">
        <v>3</v>
      </c>
      <c r="F1012" s="4" t="s">
        <v>240</v>
      </c>
      <c r="G1012" s="4" t="s">
        <v>241</v>
      </c>
      <c r="H1012" s="4" t="s">
        <v>241</v>
      </c>
      <c r="I1012" s="4" t="s">
        <v>1674</v>
      </c>
      <c r="J1012" s="4" t="s">
        <v>944</v>
      </c>
      <c r="K1012" s="4" t="s">
        <v>256</v>
      </c>
      <c r="L1012" s="4" t="s">
        <v>1666</v>
      </c>
      <c r="M1012" s="5" t="s">
        <v>1677</v>
      </c>
      <c r="N1012" s="4" t="s">
        <v>1666</v>
      </c>
      <c r="O1012" s="6">
        <f>1012.9</f>
        <v>1012.9</v>
      </c>
      <c r="P1012" s="4" t="s">
        <v>276</v>
      </c>
      <c r="Q1012" s="6">
        <f>16408980</f>
        <v>16408980</v>
      </c>
      <c r="R1012" s="6">
        <f>136741500</f>
        <v>136741500</v>
      </c>
      <c r="S1012" s="5" t="s">
        <v>1693</v>
      </c>
      <c r="T1012" s="4" t="s">
        <v>668</v>
      </c>
      <c r="U1012" s="4" t="s">
        <v>393</v>
      </c>
      <c r="V1012" s="6">
        <f>3008313</f>
        <v>3008313</v>
      </c>
      <c r="W1012" s="6">
        <f>120332520</f>
        <v>120332520</v>
      </c>
      <c r="X1012" s="4" t="s">
        <v>243</v>
      </c>
      <c r="Y1012" s="4" t="s">
        <v>244</v>
      </c>
      <c r="Z1012" s="4" t="s">
        <v>874</v>
      </c>
      <c r="AA1012" s="4" t="s">
        <v>241</v>
      </c>
      <c r="AD1012" s="4" t="s">
        <v>241</v>
      </c>
      <c r="AE1012" s="5" t="s">
        <v>241</v>
      </c>
      <c r="AF1012" s="5" t="s">
        <v>241</v>
      </c>
      <c r="AH1012" s="5" t="s">
        <v>241</v>
      </c>
      <c r="AI1012" s="5" t="s">
        <v>249</v>
      </c>
      <c r="AJ1012" s="4" t="s">
        <v>251</v>
      </c>
      <c r="AK1012" s="4" t="s">
        <v>252</v>
      </c>
      <c r="AQ1012" s="4" t="s">
        <v>241</v>
      </c>
      <c r="AR1012" s="4" t="s">
        <v>241</v>
      </c>
      <c r="AS1012" s="4" t="s">
        <v>241</v>
      </c>
      <c r="AT1012" s="5" t="s">
        <v>241</v>
      </c>
      <c r="AU1012" s="5" t="s">
        <v>241</v>
      </c>
      <c r="AV1012" s="5" t="s">
        <v>241</v>
      </c>
      <c r="AY1012" s="4" t="s">
        <v>286</v>
      </c>
      <c r="AZ1012" s="4" t="s">
        <v>286</v>
      </c>
      <c r="BA1012" s="4" t="s">
        <v>254</v>
      </c>
      <c r="BB1012" s="4" t="s">
        <v>287</v>
      </c>
      <c r="BC1012" s="4" t="s">
        <v>255</v>
      </c>
      <c r="BD1012" s="4" t="s">
        <v>241</v>
      </c>
      <c r="BE1012" s="4" t="s">
        <v>257</v>
      </c>
      <c r="BF1012" s="4" t="s">
        <v>241</v>
      </c>
      <c r="BJ1012" s="4" t="s">
        <v>288</v>
      </c>
      <c r="BK1012" s="5" t="s">
        <v>289</v>
      </c>
      <c r="BL1012" s="4" t="s">
        <v>290</v>
      </c>
      <c r="BM1012" s="4" t="s">
        <v>290</v>
      </c>
      <c r="BN1012" s="4" t="s">
        <v>241</v>
      </c>
      <c r="BO1012" s="6">
        <f>0</f>
        <v>0</v>
      </c>
      <c r="BP1012" s="6">
        <f>-3008313</f>
        <v>-3008313</v>
      </c>
      <c r="BQ1012" s="4" t="s">
        <v>263</v>
      </c>
      <c r="BR1012" s="4" t="s">
        <v>264</v>
      </c>
      <c r="BS1012" s="4" t="s">
        <v>241</v>
      </c>
      <c r="BT1012" s="4" t="s">
        <v>241</v>
      </c>
      <c r="BU1012" s="4" t="s">
        <v>241</v>
      </c>
      <c r="BV1012" s="4" t="s">
        <v>241</v>
      </c>
      <c r="CE1012" s="4" t="s">
        <v>264</v>
      </c>
      <c r="CF1012" s="4" t="s">
        <v>241</v>
      </c>
      <c r="CG1012" s="4" t="s">
        <v>241</v>
      </c>
      <c r="CK1012" s="4" t="s">
        <v>265</v>
      </c>
      <c r="CL1012" s="4" t="s">
        <v>266</v>
      </c>
      <c r="CM1012" s="4" t="s">
        <v>241</v>
      </c>
      <c r="CO1012" s="4" t="s">
        <v>382</v>
      </c>
      <c r="CP1012" s="5" t="s">
        <v>268</v>
      </c>
      <c r="CQ1012" s="4" t="s">
        <v>269</v>
      </c>
      <c r="CR1012" s="4" t="s">
        <v>270</v>
      </c>
      <c r="CS1012" s="4" t="s">
        <v>293</v>
      </c>
      <c r="CT1012" s="4" t="s">
        <v>241</v>
      </c>
      <c r="CU1012" s="4">
        <v>2.1999999999999999E-2</v>
      </c>
      <c r="CV1012" s="4" t="s">
        <v>271</v>
      </c>
      <c r="CW1012" s="4" t="s">
        <v>1671</v>
      </c>
      <c r="CX1012" s="4" t="s">
        <v>295</v>
      </c>
      <c r="CY1012" s="6">
        <f>0</f>
        <v>0</v>
      </c>
      <c r="CZ1012" s="6">
        <f>136741500</f>
        <v>136741500</v>
      </c>
      <c r="DA1012" s="6">
        <f>16408980</f>
        <v>16408980</v>
      </c>
      <c r="DC1012" s="4" t="s">
        <v>241</v>
      </c>
      <c r="DD1012" s="4" t="s">
        <v>241</v>
      </c>
      <c r="DF1012" s="4" t="s">
        <v>241</v>
      </c>
      <c r="DG1012" s="6">
        <f>0</f>
        <v>0</v>
      </c>
      <c r="DI1012" s="4" t="s">
        <v>241</v>
      </c>
      <c r="DJ1012" s="4" t="s">
        <v>241</v>
      </c>
      <c r="DK1012" s="4" t="s">
        <v>241</v>
      </c>
      <c r="DL1012" s="4" t="s">
        <v>241</v>
      </c>
      <c r="DM1012" s="4" t="s">
        <v>277</v>
      </c>
      <c r="DN1012" s="4" t="s">
        <v>278</v>
      </c>
      <c r="DO1012" s="6">
        <f>1012.9</f>
        <v>1012.9</v>
      </c>
      <c r="DP1012" s="4" t="s">
        <v>241</v>
      </c>
      <c r="DQ1012" s="4" t="s">
        <v>241</v>
      </c>
      <c r="DR1012" s="4" t="s">
        <v>241</v>
      </c>
      <c r="DS1012" s="4" t="s">
        <v>241</v>
      </c>
      <c r="DV1012" s="4" t="s">
        <v>1678</v>
      </c>
      <c r="DW1012" s="4" t="s">
        <v>277</v>
      </c>
      <c r="GN1012" s="4" t="s">
        <v>1694</v>
      </c>
      <c r="HO1012" s="4" t="s">
        <v>300</v>
      </c>
      <c r="HR1012" s="4" t="s">
        <v>278</v>
      </c>
      <c r="HS1012" s="4" t="s">
        <v>278</v>
      </c>
      <c r="HT1012" s="4" t="s">
        <v>241</v>
      </c>
      <c r="HU1012" s="4" t="s">
        <v>241</v>
      </c>
      <c r="HV1012" s="4" t="s">
        <v>241</v>
      </c>
      <c r="HW1012" s="4" t="s">
        <v>241</v>
      </c>
      <c r="HX1012" s="4" t="s">
        <v>241</v>
      </c>
      <c r="HY1012" s="4" t="s">
        <v>241</v>
      </c>
      <c r="HZ1012" s="4" t="s">
        <v>241</v>
      </c>
      <c r="IA1012" s="4" t="s">
        <v>241</v>
      </c>
      <c r="IB1012" s="4" t="s">
        <v>241</v>
      </c>
      <c r="IC1012" s="4" t="s">
        <v>241</v>
      </c>
      <c r="ID1012" s="4" t="s">
        <v>241</v>
      </c>
      <c r="IE1012" s="4" t="s">
        <v>241</v>
      </c>
      <c r="IF1012" s="4" t="s">
        <v>241</v>
      </c>
    </row>
    <row r="1013" spans="1:240" x14ac:dyDescent="0.4">
      <c r="A1013" s="4">
        <v>2</v>
      </c>
      <c r="B1013" s="4" t="s">
        <v>239</v>
      </c>
      <c r="C1013" s="4">
        <v>1298</v>
      </c>
      <c r="D1013" s="4">
        <v>1</v>
      </c>
      <c r="E1013" s="4">
        <v>1</v>
      </c>
      <c r="F1013" s="4" t="s">
        <v>240</v>
      </c>
      <c r="G1013" s="4" t="s">
        <v>241</v>
      </c>
      <c r="H1013" s="4" t="s">
        <v>241</v>
      </c>
      <c r="I1013" s="4" t="s">
        <v>1674</v>
      </c>
      <c r="J1013" s="4" t="s">
        <v>944</v>
      </c>
      <c r="K1013" s="4" t="s">
        <v>256</v>
      </c>
      <c r="L1013" s="4" t="s">
        <v>430</v>
      </c>
      <c r="M1013" s="5" t="s">
        <v>1677</v>
      </c>
      <c r="N1013" s="4" t="s">
        <v>430</v>
      </c>
      <c r="O1013" s="6">
        <f>45</f>
        <v>45</v>
      </c>
      <c r="P1013" s="4" t="s">
        <v>276</v>
      </c>
      <c r="Q1013" s="6">
        <f>1</f>
        <v>1</v>
      </c>
      <c r="R1013" s="6">
        <f>2700000</f>
        <v>2700000</v>
      </c>
      <c r="S1013" s="5" t="s">
        <v>1693</v>
      </c>
      <c r="T1013" s="4" t="s">
        <v>441</v>
      </c>
      <c r="U1013" s="4" t="s">
        <v>357</v>
      </c>
      <c r="W1013" s="6">
        <f>2699999</f>
        <v>2699999</v>
      </c>
      <c r="X1013" s="4" t="s">
        <v>243</v>
      </c>
      <c r="Y1013" s="4" t="s">
        <v>244</v>
      </c>
      <c r="Z1013" s="4" t="s">
        <v>874</v>
      </c>
      <c r="AA1013" s="4" t="s">
        <v>241</v>
      </c>
      <c r="AD1013" s="4" t="s">
        <v>241</v>
      </c>
      <c r="AF1013" s="5" t="s">
        <v>241</v>
      </c>
      <c r="AI1013" s="5" t="s">
        <v>249</v>
      </c>
      <c r="AJ1013" s="4" t="s">
        <v>251</v>
      </c>
      <c r="AK1013" s="4" t="s">
        <v>252</v>
      </c>
      <c r="BA1013" s="4" t="s">
        <v>254</v>
      </c>
      <c r="BB1013" s="4" t="s">
        <v>241</v>
      </c>
      <c r="BC1013" s="4" t="s">
        <v>255</v>
      </c>
      <c r="BD1013" s="4" t="s">
        <v>241</v>
      </c>
      <c r="BE1013" s="4" t="s">
        <v>257</v>
      </c>
      <c r="BF1013" s="4" t="s">
        <v>241</v>
      </c>
      <c r="BJ1013" s="4" t="s">
        <v>367</v>
      </c>
      <c r="BK1013" s="5" t="s">
        <v>249</v>
      </c>
      <c r="BL1013" s="4" t="s">
        <v>261</v>
      </c>
      <c r="BM1013" s="4" t="s">
        <v>262</v>
      </c>
      <c r="BN1013" s="4" t="s">
        <v>241</v>
      </c>
      <c r="BO1013" s="6">
        <f>0</f>
        <v>0</v>
      </c>
      <c r="BP1013" s="6">
        <f>0</f>
        <v>0</v>
      </c>
      <c r="BQ1013" s="4" t="s">
        <v>263</v>
      </c>
      <c r="BR1013" s="4" t="s">
        <v>264</v>
      </c>
      <c r="CF1013" s="4" t="s">
        <v>241</v>
      </c>
      <c r="CG1013" s="4" t="s">
        <v>241</v>
      </c>
      <c r="CK1013" s="4" t="s">
        <v>265</v>
      </c>
      <c r="CL1013" s="4" t="s">
        <v>266</v>
      </c>
      <c r="CM1013" s="4" t="s">
        <v>241</v>
      </c>
      <c r="CO1013" s="4" t="s">
        <v>382</v>
      </c>
      <c r="CP1013" s="5" t="s">
        <v>268</v>
      </c>
      <c r="CQ1013" s="4" t="s">
        <v>269</v>
      </c>
      <c r="CR1013" s="4" t="s">
        <v>270</v>
      </c>
      <c r="CS1013" s="4" t="s">
        <v>241</v>
      </c>
      <c r="CT1013" s="4" t="s">
        <v>241</v>
      </c>
      <c r="CU1013" s="4">
        <v>0</v>
      </c>
      <c r="CV1013" s="4" t="s">
        <v>271</v>
      </c>
      <c r="CW1013" s="4" t="s">
        <v>272</v>
      </c>
      <c r="CX1013" s="4" t="s">
        <v>487</v>
      </c>
      <c r="CZ1013" s="6">
        <f>2700000</f>
        <v>2700000</v>
      </c>
      <c r="DA1013" s="6">
        <f>0</f>
        <v>0</v>
      </c>
      <c r="DC1013" s="4" t="s">
        <v>241</v>
      </c>
      <c r="DD1013" s="4" t="s">
        <v>241</v>
      </c>
      <c r="DF1013" s="4" t="s">
        <v>241</v>
      </c>
      <c r="DI1013" s="4" t="s">
        <v>241</v>
      </c>
      <c r="DJ1013" s="4" t="s">
        <v>241</v>
      </c>
      <c r="DK1013" s="4" t="s">
        <v>241</v>
      </c>
      <c r="DL1013" s="4" t="s">
        <v>241</v>
      </c>
      <c r="DM1013" s="4" t="s">
        <v>277</v>
      </c>
      <c r="DN1013" s="4" t="s">
        <v>278</v>
      </c>
      <c r="DO1013" s="6">
        <f>45</f>
        <v>45</v>
      </c>
      <c r="DP1013" s="4" t="s">
        <v>241</v>
      </c>
      <c r="DQ1013" s="4" t="s">
        <v>241</v>
      </c>
      <c r="DR1013" s="4" t="s">
        <v>241</v>
      </c>
      <c r="DS1013" s="4" t="s">
        <v>241</v>
      </c>
      <c r="DV1013" s="4" t="s">
        <v>1678</v>
      </c>
      <c r="DW1013" s="4" t="s">
        <v>323</v>
      </c>
      <c r="HO1013" s="4" t="s">
        <v>277</v>
      </c>
      <c r="HR1013" s="4" t="s">
        <v>278</v>
      </c>
      <c r="HS1013" s="4" t="s">
        <v>278</v>
      </c>
    </row>
    <row r="1014" spans="1:240" x14ac:dyDescent="0.4">
      <c r="A1014" s="4">
        <v>2</v>
      </c>
      <c r="B1014" s="4" t="s">
        <v>239</v>
      </c>
      <c r="C1014" s="4">
        <v>1299</v>
      </c>
      <c r="D1014" s="4">
        <v>1</v>
      </c>
      <c r="E1014" s="4">
        <v>3</v>
      </c>
      <c r="F1014" s="4" t="s">
        <v>326</v>
      </c>
      <c r="G1014" s="4" t="s">
        <v>241</v>
      </c>
      <c r="H1014" s="4" t="s">
        <v>241</v>
      </c>
      <c r="I1014" s="4" t="s">
        <v>1674</v>
      </c>
      <c r="J1014" s="4" t="s">
        <v>944</v>
      </c>
      <c r="K1014" s="4" t="s">
        <v>256</v>
      </c>
      <c r="L1014" s="4" t="s">
        <v>1681</v>
      </c>
      <c r="M1014" s="5" t="s">
        <v>1677</v>
      </c>
      <c r="N1014" s="4" t="s">
        <v>1680</v>
      </c>
      <c r="O1014" s="6">
        <f>0</f>
        <v>0</v>
      </c>
      <c r="P1014" s="4" t="s">
        <v>276</v>
      </c>
      <c r="Q1014" s="6">
        <f>12713864</f>
        <v>12713864</v>
      </c>
      <c r="R1014" s="6">
        <f>13940640</f>
        <v>13940640</v>
      </c>
      <c r="S1014" s="5" t="s">
        <v>678</v>
      </c>
      <c r="T1014" s="4" t="s">
        <v>668</v>
      </c>
      <c r="U1014" s="4" t="s">
        <v>297</v>
      </c>
      <c r="V1014" s="6">
        <f>306694</f>
        <v>306694</v>
      </c>
      <c r="W1014" s="6">
        <f>1226776</f>
        <v>1226776</v>
      </c>
      <c r="X1014" s="4" t="s">
        <v>243</v>
      </c>
      <c r="Y1014" s="4" t="s">
        <v>244</v>
      </c>
      <c r="Z1014" s="4" t="s">
        <v>874</v>
      </c>
      <c r="AA1014" s="4" t="s">
        <v>241</v>
      </c>
      <c r="AD1014" s="4" t="s">
        <v>241</v>
      </c>
      <c r="AE1014" s="5" t="s">
        <v>241</v>
      </c>
      <c r="AF1014" s="5" t="s">
        <v>241</v>
      </c>
      <c r="AH1014" s="5" t="s">
        <v>241</v>
      </c>
      <c r="AI1014" s="5" t="s">
        <v>249</v>
      </c>
      <c r="AJ1014" s="4" t="s">
        <v>251</v>
      </c>
      <c r="AK1014" s="4" t="s">
        <v>252</v>
      </c>
      <c r="AQ1014" s="4" t="s">
        <v>241</v>
      </c>
      <c r="AR1014" s="4" t="s">
        <v>241</v>
      </c>
      <c r="AS1014" s="4" t="s">
        <v>241</v>
      </c>
      <c r="AT1014" s="5" t="s">
        <v>241</v>
      </c>
      <c r="AU1014" s="5" t="s">
        <v>241</v>
      </c>
      <c r="AV1014" s="5" t="s">
        <v>241</v>
      </c>
      <c r="AY1014" s="4" t="s">
        <v>286</v>
      </c>
      <c r="AZ1014" s="4" t="s">
        <v>286</v>
      </c>
      <c r="BA1014" s="4" t="s">
        <v>254</v>
      </c>
      <c r="BB1014" s="4" t="s">
        <v>287</v>
      </c>
      <c r="BC1014" s="4" t="s">
        <v>255</v>
      </c>
      <c r="BD1014" s="4" t="s">
        <v>241</v>
      </c>
      <c r="BE1014" s="4" t="s">
        <v>257</v>
      </c>
      <c r="BF1014" s="4" t="s">
        <v>241</v>
      </c>
      <c r="BJ1014" s="4" t="s">
        <v>288</v>
      </c>
      <c r="BK1014" s="5" t="s">
        <v>289</v>
      </c>
      <c r="BL1014" s="4" t="s">
        <v>290</v>
      </c>
      <c r="BM1014" s="4" t="s">
        <v>290</v>
      </c>
      <c r="BN1014" s="4" t="s">
        <v>241</v>
      </c>
      <c r="BP1014" s="6">
        <f>-306694</f>
        <v>-306694</v>
      </c>
      <c r="BQ1014" s="4" t="s">
        <v>263</v>
      </c>
      <c r="BR1014" s="4" t="s">
        <v>264</v>
      </c>
      <c r="BS1014" s="4" t="s">
        <v>241</v>
      </c>
      <c r="BT1014" s="4" t="s">
        <v>241</v>
      </c>
      <c r="BU1014" s="4" t="s">
        <v>241</v>
      </c>
      <c r="BV1014" s="4" t="s">
        <v>241</v>
      </c>
      <c r="CE1014" s="4" t="s">
        <v>264</v>
      </c>
      <c r="CF1014" s="4" t="s">
        <v>241</v>
      </c>
      <c r="CG1014" s="4" t="s">
        <v>241</v>
      </c>
      <c r="CK1014" s="4" t="s">
        <v>291</v>
      </c>
      <c r="CL1014" s="4" t="s">
        <v>266</v>
      </c>
      <c r="CM1014" s="4" t="s">
        <v>241</v>
      </c>
      <c r="CO1014" s="4" t="s">
        <v>413</v>
      </c>
      <c r="CP1014" s="5" t="s">
        <v>268</v>
      </c>
      <c r="CQ1014" s="4" t="s">
        <v>269</v>
      </c>
      <c r="CR1014" s="4" t="s">
        <v>270</v>
      </c>
      <c r="CS1014" s="4" t="s">
        <v>293</v>
      </c>
      <c r="CT1014" s="4" t="s">
        <v>241</v>
      </c>
      <c r="CU1014" s="4">
        <v>2.1999999999999999E-2</v>
      </c>
      <c r="CV1014" s="4" t="s">
        <v>271</v>
      </c>
      <c r="CW1014" s="4" t="s">
        <v>1671</v>
      </c>
      <c r="CX1014" s="4" t="s">
        <v>295</v>
      </c>
      <c r="CY1014" s="6">
        <f>0</f>
        <v>0</v>
      </c>
      <c r="CZ1014" s="6">
        <f>13940640</f>
        <v>13940640</v>
      </c>
      <c r="DA1014" s="6">
        <f>12713864</f>
        <v>12713864</v>
      </c>
      <c r="DC1014" s="4" t="s">
        <v>241</v>
      </c>
      <c r="DD1014" s="4" t="s">
        <v>241</v>
      </c>
      <c r="DF1014" s="4" t="s">
        <v>241</v>
      </c>
      <c r="DG1014" s="6">
        <f>0</f>
        <v>0</v>
      </c>
      <c r="DI1014" s="4" t="s">
        <v>241</v>
      </c>
      <c r="DJ1014" s="4" t="s">
        <v>241</v>
      </c>
      <c r="DK1014" s="4" t="s">
        <v>241</v>
      </c>
      <c r="DL1014" s="4" t="s">
        <v>241</v>
      </c>
      <c r="DM1014" s="4" t="s">
        <v>278</v>
      </c>
      <c r="DN1014" s="4" t="s">
        <v>278</v>
      </c>
      <c r="DO1014" s="6" t="s">
        <v>241</v>
      </c>
      <c r="DP1014" s="4" t="s">
        <v>241</v>
      </c>
      <c r="DQ1014" s="4" t="s">
        <v>241</v>
      </c>
      <c r="DR1014" s="4" t="s">
        <v>241</v>
      </c>
      <c r="DS1014" s="4" t="s">
        <v>241</v>
      </c>
      <c r="DV1014" s="4" t="s">
        <v>1678</v>
      </c>
      <c r="DW1014" s="4" t="s">
        <v>297</v>
      </c>
      <c r="GN1014" s="4" t="s">
        <v>1682</v>
      </c>
      <c r="HO1014" s="4" t="s">
        <v>351</v>
      </c>
      <c r="HR1014" s="4" t="s">
        <v>278</v>
      </c>
      <c r="HS1014" s="4" t="s">
        <v>278</v>
      </c>
      <c r="HT1014" s="4" t="s">
        <v>241</v>
      </c>
      <c r="HU1014" s="4" t="s">
        <v>241</v>
      </c>
      <c r="HV1014" s="4" t="s">
        <v>241</v>
      </c>
      <c r="HW1014" s="4" t="s">
        <v>241</v>
      </c>
      <c r="HX1014" s="4" t="s">
        <v>241</v>
      </c>
      <c r="HY1014" s="4" t="s">
        <v>241</v>
      </c>
      <c r="HZ1014" s="4" t="s">
        <v>241</v>
      </c>
      <c r="IA1014" s="4" t="s">
        <v>241</v>
      </c>
      <c r="IB1014" s="4" t="s">
        <v>241</v>
      </c>
      <c r="IC1014" s="4" t="s">
        <v>241</v>
      </c>
      <c r="ID1014" s="4" t="s">
        <v>241</v>
      </c>
      <c r="IE1014" s="4" t="s">
        <v>241</v>
      </c>
      <c r="IF1014" s="4" t="s">
        <v>241</v>
      </c>
    </row>
    <row r="1015" spans="1:240" x14ac:dyDescent="0.4">
      <c r="A1015" s="4">
        <v>2</v>
      </c>
      <c r="B1015" s="4" t="s">
        <v>239</v>
      </c>
      <c r="C1015" s="4">
        <v>1300</v>
      </c>
      <c r="D1015" s="4">
        <v>1</v>
      </c>
      <c r="E1015" s="4">
        <v>3</v>
      </c>
      <c r="F1015" s="4" t="s">
        <v>326</v>
      </c>
      <c r="G1015" s="4" t="s">
        <v>241</v>
      </c>
      <c r="H1015" s="4" t="s">
        <v>241</v>
      </c>
      <c r="I1015" s="4" t="s">
        <v>1674</v>
      </c>
      <c r="J1015" s="4" t="s">
        <v>944</v>
      </c>
      <c r="K1015" s="4" t="s">
        <v>256</v>
      </c>
      <c r="L1015" s="4" t="s">
        <v>1676</v>
      </c>
      <c r="M1015" s="5" t="s">
        <v>1677</v>
      </c>
      <c r="N1015" s="4" t="s">
        <v>1673</v>
      </c>
      <c r="O1015" s="6">
        <f>0</f>
        <v>0</v>
      </c>
      <c r="P1015" s="4" t="s">
        <v>276</v>
      </c>
      <c r="Q1015" s="6">
        <f>90108</f>
        <v>90108</v>
      </c>
      <c r="R1015" s="6">
        <f>98800</f>
        <v>98800</v>
      </c>
      <c r="S1015" s="5" t="s">
        <v>1675</v>
      </c>
      <c r="T1015" s="4" t="s">
        <v>668</v>
      </c>
      <c r="U1015" s="4" t="s">
        <v>297</v>
      </c>
      <c r="V1015" s="6">
        <f>2173</f>
        <v>2173</v>
      </c>
      <c r="W1015" s="6">
        <f>8692</f>
        <v>8692</v>
      </c>
      <c r="X1015" s="4" t="s">
        <v>243</v>
      </c>
      <c r="Y1015" s="4" t="s">
        <v>244</v>
      </c>
      <c r="Z1015" s="4" t="s">
        <v>874</v>
      </c>
      <c r="AA1015" s="4" t="s">
        <v>241</v>
      </c>
      <c r="AD1015" s="4" t="s">
        <v>241</v>
      </c>
      <c r="AE1015" s="5" t="s">
        <v>241</v>
      </c>
      <c r="AF1015" s="5" t="s">
        <v>241</v>
      </c>
      <c r="AH1015" s="5" t="s">
        <v>241</v>
      </c>
      <c r="AI1015" s="5" t="s">
        <v>249</v>
      </c>
      <c r="AJ1015" s="4" t="s">
        <v>251</v>
      </c>
      <c r="AK1015" s="4" t="s">
        <v>252</v>
      </c>
      <c r="AQ1015" s="4" t="s">
        <v>241</v>
      </c>
      <c r="AR1015" s="4" t="s">
        <v>241</v>
      </c>
      <c r="AS1015" s="4" t="s">
        <v>241</v>
      </c>
      <c r="AT1015" s="5" t="s">
        <v>241</v>
      </c>
      <c r="AU1015" s="5" t="s">
        <v>241</v>
      </c>
      <c r="AV1015" s="5" t="s">
        <v>241</v>
      </c>
      <c r="AY1015" s="4" t="s">
        <v>286</v>
      </c>
      <c r="AZ1015" s="4" t="s">
        <v>286</v>
      </c>
      <c r="BA1015" s="4" t="s">
        <v>254</v>
      </c>
      <c r="BB1015" s="4" t="s">
        <v>287</v>
      </c>
      <c r="BC1015" s="4" t="s">
        <v>255</v>
      </c>
      <c r="BD1015" s="4" t="s">
        <v>241</v>
      </c>
      <c r="BE1015" s="4" t="s">
        <v>257</v>
      </c>
      <c r="BF1015" s="4" t="s">
        <v>241</v>
      </c>
      <c r="BJ1015" s="4" t="s">
        <v>288</v>
      </c>
      <c r="BK1015" s="5" t="s">
        <v>289</v>
      </c>
      <c r="BL1015" s="4" t="s">
        <v>290</v>
      </c>
      <c r="BM1015" s="4" t="s">
        <v>290</v>
      </c>
      <c r="BN1015" s="4" t="s">
        <v>241</v>
      </c>
      <c r="BP1015" s="6">
        <f>-2173</f>
        <v>-2173</v>
      </c>
      <c r="BQ1015" s="4" t="s">
        <v>263</v>
      </c>
      <c r="BR1015" s="4" t="s">
        <v>264</v>
      </c>
      <c r="BS1015" s="4" t="s">
        <v>241</v>
      </c>
      <c r="BT1015" s="4" t="s">
        <v>241</v>
      </c>
      <c r="BU1015" s="4" t="s">
        <v>241</v>
      </c>
      <c r="BV1015" s="4" t="s">
        <v>241</v>
      </c>
      <c r="CE1015" s="4" t="s">
        <v>264</v>
      </c>
      <c r="CF1015" s="4" t="s">
        <v>241</v>
      </c>
      <c r="CG1015" s="4" t="s">
        <v>241</v>
      </c>
      <c r="CK1015" s="4" t="s">
        <v>291</v>
      </c>
      <c r="CL1015" s="4" t="s">
        <v>266</v>
      </c>
      <c r="CM1015" s="4" t="s">
        <v>241</v>
      </c>
      <c r="CO1015" s="4" t="s">
        <v>413</v>
      </c>
      <c r="CP1015" s="5" t="s">
        <v>268</v>
      </c>
      <c r="CQ1015" s="4" t="s">
        <v>269</v>
      </c>
      <c r="CR1015" s="4" t="s">
        <v>270</v>
      </c>
      <c r="CS1015" s="4" t="s">
        <v>293</v>
      </c>
      <c r="CT1015" s="4" t="s">
        <v>241</v>
      </c>
      <c r="CU1015" s="4">
        <v>2.1999999999999999E-2</v>
      </c>
      <c r="CV1015" s="4" t="s">
        <v>271</v>
      </c>
      <c r="CW1015" s="4" t="s">
        <v>1671</v>
      </c>
      <c r="CX1015" s="4" t="s">
        <v>295</v>
      </c>
      <c r="CY1015" s="6">
        <f>0</f>
        <v>0</v>
      </c>
      <c r="CZ1015" s="6">
        <f>98800</f>
        <v>98800</v>
      </c>
      <c r="DA1015" s="6">
        <f>90108</f>
        <v>90108</v>
      </c>
      <c r="DC1015" s="4" t="s">
        <v>241</v>
      </c>
      <c r="DD1015" s="4" t="s">
        <v>241</v>
      </c>
      <c r="DF1015" s="4" t="s">
        <v>241</v>
      </c>
      <c r="DG1015" s="6">
        <f>0</f>
        <v>0</v>
      </c>
      <c r="DI1015" s="4" t="s">
        <v>241</v>
      </c>
      <c r="DJ1015" s="4" t="s">
        <v>241</v>
      </c>
      <c r="DK1015" s="4" t="s">
        <v>241</v>
      </c>
      <c r="DL1015" s="4" t="s">
        <v>241</v>
      </c>
      <c r="DM1015" s="4" t="s">
        <v>278</v>
      </c>
      <c r="DN1015" s="4" t="s">
        <v>278</v>
      </c>
      <c r="DO1015" s="6" t="s">
        <v>241</v>
      </c>
      <c r="DP1015" s="4" t="s">
        <v>241</v>
      </c>
      <c r="DQ1015" s="4" t="s">
        <v>241</v>
      </c>
      <c r="DR1015" s="4" t="s">
        <v>241</v>
      </c>
      <c r="DS1015" s="4" t="s">
        <v>241</v>
      </c>
      <c r="DV1015" s="4" t="s">
        <v>1678</v>
      </c>
      <c r="DW1015" s="4" t="s">
        <v>336</v>
      </c>
      <c r="GN1015" s="4" t="s">
        <v>1679</v>
      </c>
      <c r="HO1015" s="4" t="s">
        <v>351</v>
      </c>
      <c r="HR1015" s="4" t="s">
        <v>278</v>
      </c>
      <c r="HS1015" s="4" t="s">
        <v>278</v>
      </c>
      <c r="HT1015" s="4" t="s">
        <v>241</v>
      </c>
      <c r="HU1015" s="4" t="s">
        <v>241</v>
      </c>
      <c r="HV1015" s="4" t="s">
        <v>241</v>
      </c>
      <c r="HW1015" s="4" t="s">
        <v>241</v>
      </c>
      <c r="HX1015" s="4" t="s">
        <v>241</v>
      </c>
      <c r="HY1015" s="4" t="s">
        <v>241</v>
      </c>
      <c r="HZ1015" s="4" t="s">
        <v>241</v>
      </c>
      <c r="IA1015" s="4" t="s">
        <v>241</v>
      </c>
      <c r="IB1015" s="4" t="s">
        <v>241</v>
      </c>
      <c r="IC1015" s="4" t="s">
        <v>241</v>
      </c>
      <c r="ID1015" s="4" t="s">
        <v>241</v>
      </c>
      <c r="IE1015" s="4" t="s">
        <v>241</v>
      </c>
      <c r="IF1015" s="4" t="s">
        <v>241</v>
      </c>
    </row>
    <row r="1016" spans="1:240" x14ac:dyDescent="0.4">
      <c r="A1016" s="4">
        <v>2</v>
      </c>
      <c r="B1016" s="4" t="s">
        <v>239</v>
      </c>
      <c r="C1016" s="4">
        <v>1301</v>
      </c>
      <c r="D1016" s="4">
        <v>1</v>
      </c>
      <c r="E1016" s="4">
        <v>3</v>
      </c>
      <c r="F1016" s="4" t="s">
        <v>326</v>
      </c>
      <c r="G1016" s="4" t="s">
        <v>241</v>
      </c>
      <c r="H1016" s="4" t="s">
        <v>241</v>
      </c>
      <c r="I1016" s="4" t="s">
        <v>1674</v>
      </c>
      <c r="J1016" s="4" t="s">
        <v>944</v>
      </c>
      <c r="K1016" s="4" t="s">
        <v>256</v>
      </c>
      <c r="L1016" s="4" t="s">
        <v>2713</v>
      </c>
      <c r="M1016" s="5" t="s">
        <v>1677</v>
      </c>
      <c r="N1016" s="4" t="s">
        <v>2711</v>
      </c>
      <c r="O1016" s="6">
        <f>0</f>
        <v>0</v>
      </c>
      <c r="P1016" s="4" t="s">
        <v>276</v>
      </c>
      <c r="Q1016" s="6">
        <f>7464960</f>
        <v>7464960</v>
      </c>
      <c r="R1016" s="6">
        <f>12441600</f>
        <v>12441600</v>
      </c>
      <c r="S1016" s="5" t="s">
        <v>2712</v>
      </c>
      <c r="T1016" s="4" t="s">
        <v>427</v>
      </c>
      <c r="U1016" s="4" t="s">
        <v>297</v>
      </c>
      <c r="V1016" s="6">
        <f>1244160</f>
        <v>1244160</v>
      </c>
      <c r="W1016" s="6">
        <f>4976640</f>
        <v>4976640</v>
      </c>
      <c r="X1016" s="4" t="s">
        <v>243</v>
      </c>
      <c r="Y1016" s="4" t="s">
        <v>244</v>
      </c>
      <c r="Z1016" s="4" t="s">
        <v>874</v>
      </c>
      <c r="AA1016" s="4" t="s">
        <v>241</v>
      </c>
      <c r="AD1016" s="4" t="s">
        <v>241</v>
      </c>
      <c r="AE1016" s="5" t="s">
        <v>241</v>
      </c>
      <c r="AF1016" s="5" t="s">
        <v>241</v>
      </c>
      <c r="AH1016" s="5" t="s">
        <v>241</v>
      </c>
      <c r="AI1016" s="5" t="s">
        <v>249</v>
      </c>
      <c r="AJ1016" s="4" t="s">
        <v>251</v>
      </c>
      <c r="AK1016" s="4" t="s">
        <v>252</v>
      </c>
      <c r="AQ1016" s="4" t="s">
        <v>241</v>
      </c>
      <c r="AR1016" s="4" t="s">
        <v>241</v>
      </c>
      <c r="AS1016" s="4" t="s">
        <v>241</v>
      </c>
      <c r="AT1016" s="5" t="s">
        <v>241</v>
      </c>
      <c r="AU1016" s="5" t="s">
        <v>241</v>
      </c>
      <c r="AV1016" s="5" t="s">
        <v>241</v>
      </c>
      <c r="AY1016" s="4" t="s">
        <v>286</v>
      </c>
      <c r="AZ1016" s="4" t="s">
        <v>286</v>
      </c>
      <c r="BA1016" s="4" t="s">
        <v>254</v>
      </c>
      <c r="BB1016" s="4" t="s">
        <v>287</v>
      </c>
      <c r="BC1016" s="4" t="s">
        <v>255</v>
      </c>
      <c r="BD1016" s="4" t="s">
        <v>241</v>
      </c>
      <c r="BE1016" s="4" t="s">
        <v>257</v>
      </c>
      <c r="BF1016" s="4" t="s">
        <v>241</v>
      </c>
      <c r="BJ1016" s="4" t="s">
        <v>288</v>
      </c>
      <c r="BK1016" s="5" t="s">
        <v>289</v>
      </c>
      <c r="BL1016" s="4" t="s">
        <v>290</v>
      </c>
      <c r="BM1016" s="4" t="s">
        <v>290</v>
      </c>
      <c r="BN1016" s="4" t="s">
        <v>241</v>
      </c>
      <c r="BP1016" s="6">
        <f>-1244160</f>
        <v>-1244160</v>
      </c>
      <c r="BQ1016" s="4" t="s">
        <v>263</v>
      </c>
      <c r="BR1016" s="4" t="s">
        <v>264</v>
      </c>
      <c r="BS1016" s="4" t="s">
        <v>241</v>
      </c>
      <c r="BT1016" s="4" t="s">
        <v>241</v>
      </c>
      <c r="BU1016" s="4" t="s">
        <v>241</v>
      </c>
      <c r="BV1016" s="4" t="s">
        <v>241</v>
      </c>
      <c r="CE1016" s="4" t="s">
        <v>264</v>
      </c>
      <c r="CF1016" s="4" t="s">
        <v>241</v>
      </c>
      <c r="CG1016" s="4" t="s">
        <v>241</v>
      </c>
      <c r="CK1016" s="4" t="s">
        <v>291</v>
      </c>
      <c r="CL1016" s="4" t="s">
        <v>266</v>
      </c>
      <c r="CM1016" s="4" t="s">
        <v>241</v>
      </c>
      <c r="CO1016" s="4" t="s">
        <v>413</v>
      </c>
      <c r="CP1016" s="5" t="s">
        <v>268</v>
      </c>
      <c r="CQ1016" s="4" t="s">
        <v>269</v>
      </c>
      <c r="CR1016" s="4" t="s">
        <v>270</v>
      </c>
      <c r="CS1016" s="4" t="s">
        <v>293</v>
      </c>
      <c r="CT1016" s="4" t="s">
        <v>241</v>
      </c>
      <c r="CU1016" s="4">
        <v>0.1</v>
      </c>
      <c r="CV1016" s="4" t="s">
        <v>271</v>
      </c>
      <c r="CW1016" s="4" t="s">
        <v>415</v>
      </c>
      <c r="CX1016" s="4" t="s">
        <v>2714</v>
      </c>
      <c r="CY1016" s="6">
        <f>0</f>
        <v>0</v>
      </c>
      <c r="CZ1016" s="6">
        <f>12441600</f>
        <v>12441600</v>
      </c>
      <c r="DA1016" s="6">
        <f>7464960</f>
        <v>7464960</v>
      </c>
      <c r="DC1016" s="4" t="s">
        <v>241</v>
      </c>
      <c r="DD1016" s="4" t="s">
        <v>241</v>
      </c>
      <c r="DF1016" s="4" t="s">
        <v>241</v>
      </c>
      <c r="DG1016" s="6">
        <f>0</f>
        <v>0</v>
      </c>
      <c r="DI1016" s="4" t="s">
        <v>241</v>
      </c>
      <c r="DJ1016" s="4" t="s">
        <v>241</v>
      </c>
      <c r="DK1016" s="4" t="s">
        <v>241</v>
      </c>
      <c r="DL1016" s="4" t="s">
        <v>241</v>
      </c>
      <c r="DM1016" s="4" t="s">
        <v>278</v>
      </c>
      <c r="DN1016" s="4" t="s">
        <v>278</v>
      </c>
      <c r="DO1016" s="6" t="s">
        <v>241</v>
      </c>
      <c r="DP1016" s="4" t="s">
        <v>241</v>
      </c>
      <c r="DQ1016" s="4" t="s">
        <v>241</v>
      </c>
      <c r="DR1016" s="4" t="s">
        <v>241</v>
      </c>
      <c r="DS1016" s="4" t="s">
        <v>241</v>
      </c>
      <c r="DV1016" s="4" t="s">
        <v>1678</v>
      </c>
      <c r="DW1016" s="4" t="s">
        <v>351</v>
      </c>
      <c r="GN1016" s="4" t="s">
        <v>2715</v>
      </c>
      <c r="HO1016" s="4" t="s">
        <v>351</v>
      </c>
      <c r="HR1016" s="4" t="s">
        <v>278</v>
      </c>
      <c r="HS1016" s="4" t="s">
        <v>278</v>
      </c>
      <c r="HT1016" s="4" t="s">
        <v>241</v>
      </c>
      <c r="HU1016" s="4" t="s">
        <v>241</v>
      </c>
      <c r="HV1016" s="4" t="s">
        <v>241</v>
      </c>
      <c r="HW1016" s="4" t="s">
        <v>241</v>
      </c>
      <c r="HX1016" s="4" t="s">
        <v>241</v>
      </c>
      <c r="HY1016" s="4" t="s">
        <v>241</v>
      </c>
      <c r="HZ1016" s="4" t="s">
        <v>241</v>
      </c>
      <c r="IA1016" s="4" t="s">
        <v>241</v>
      </c>
      <c r="IB1016" s="4" t="s">
        <v>241</v>
      </c>
      <c r="IC1016" s="4" t="s">
        <v>241</v>
      </c>
      <c r="ID1016" s="4" t="s">
        <v>241</v>
      </c>
      <c r="IE1016" s="4" t="s">
        <v>241</v>
      </c>
      <c r="IF1016" s="4" t="s">
        <v>241</v>
      </c>
    </row>
    <row r="1017" spans="1:240" x14ac:dyDescent="0.4">
      <c r="A1017" s="4">
        <v>2</v>
      </c>
      <c r="B1017" s="4" t="s">
        <v>239</v>
      </c>
      <c r="C1017" s="4">
        <v>1302</v>
      </c>
      <c r="D1017" s="4">
        <v>1</v>
      </c>
      <c r="E1017" s="4">
        <v>3</v>
      </c>
      <c r="F1017" s="4" t="s">
        <v>326</v>
      </c>
      <c r="G1017" s="4" t="s">
        <v>241</v>
      </c>
      <c r="H1017" s="4" t="s">
        <v>241</v>
      </c>
      <c r="I1017" s="4" t="s">
        <v>1674</v>
      </c>
      <c r="J1017" s="4" t="s">
        <v>944</v>
      </c>
      <c r="K1017" s="4" t="s">
        <v>256</v>
      </c>
      <c r="L1017" s="4" t="s">
        <v>2709</v>
      </c>
      <c r="M1017" s="5" t="s">
        <v>1677</v>
      </c>
      <c r="N1017" s="4" t="s">
        <v>2707</v>
      </c>
      <c r="O1017" s="6">
        <f>0</f>
        <v>0</v>
      </c>
      <c r="P1017" s="4" t="s">
        <v>276</v>
      </c>
      <c r="Q1017" s="6">
        <f>89336</f>
        <v>89336</v>
      </c>
      <c r="R1017" s="6">
        <f>122040</f>
        <v>122040</v>
      </c>
      <c r="S1017" s="5" t="s">
        <v>2708</v>
      </c>
      <c r="T1017" s="4" t="s">
        <v>348</v>
      </c>
      <c r="U1017" s="4" t="s">
        <v>297</v>
      </c>
      <c r="V1017" s="6">
        <f>8176</f>
        <v>8176</v>
      </c>
      <c r="W1017" s="6">
        <f>32704</f>
        <v>32704</v>
      </c>
      <c r="X1017" s="4" t="s">
        <v>243</v>
      </c>
      <c r="Y1017" s="4" t="s">
        <v>244</v>
      </c>
      <c r="Z1017" s="4" t="s">
        <v>874</v>
      </c>
      <c r="AA1017" s="4" t="s">
        <v>241</v>
      </c>
      <c r="AD1017" s="4" t="s">
        <v>241</v>
      </c>
      <c r="AE1017" s="5" t="s">
        <v>241</v>
      </c>
      <c r="AF1017" s="5" t="s">
        <v>241</v>
      </c>
      <c r="AH1017" s="5" t="s">
        <v>241</v>
      </c>
      <c r="AI1017" s="5" t="s">
        <v>249</v>
      </c>
      <c r="AJ1017" s="4" t="s">
        <v>251</v>
      </c>
      <c r="AK1017" s="4" t="s">
        <v>252</v>
      </c>
      <c r="AQ1017" s="4" t="s">
        <v>241</v>
      </c>
      <c r="AR1017" s="4" t="s">
        <v>241</v>
      </c>
      <c r="AS1017" s="4" t="s">
        <v>241</v>
      </c>
      <c r="AT1017" s="5" t="s">
        <v>241</v>
      </c>
      <c r="AU1017" s="5" t="s">
        <v>241</v>
      </c>
      <c r="AV1017" s="5" t="s">
        <v>241</v>
      </c>
      <c r="AY1017" s="4" t="s">
        <v>286</v>
      </c>
      <c r="AZ1017" s="4" t="s">
        <v>286</v>
      </c>
      <c r="BA1017" s="4" t="s">
        <v>254</v>
      </c>
      <c r="BB1017" s="4" t="s">
        <v>287</v>
      </c>
      <c r="BC1017" s="4" t="s">
        <v>255</v>
      </c>
      <c r="BD1017" s="4" t="s">
        <v>241</v>
      </c>
      <c r="BE1017" s="4" t="s">
        <v>257</v>
      </c>
      <c r="BF1017" s="4" t="s">
        <v>241</v>
      </c>
      <c r="BJ1017" s="4" t="s">
        <v>288</v>
      </c>
      <c r="BK1017" s="5" t="s">
        <v>289</v>
      </c>
      <c r="BL1017" s="4" t="s">
        <v>290</v>
      </c>
      <c r="BM1017" s="4" t="s">
        <v>290</v>
      </c>
      <c r="BN1017" s="4" t="s">
        <v>241</v>
      </c>
      <c r="BP1017" s="6">
        <f>-8176</f>
        <v>-8176</v>
      </c>
      <c r="BQ1017" s="4" t="s">
        <v>263</v>
      </c>
      <c r="BR1017" s="4" t="s">
        <v>264</v>
      </c>
      <c r="BS1017" s="4" t="s">
        <v>241</v>
      </c>
      <c r="BT1017" s="4" t="s">
        <v>241</v>
      </c>
      <c r="BU1017" s="4" t="s">
        <v>241</v>
      </c>
      <c r="BV1017" s="4" t="s">
        <v>241</v>
      </c>
      <c r="CE1017" s="4" t="s">
        <v>264</v>
      </c>
      <c r="CF1017" s="4" t="s">
        <v>241</v>
      </c>
      <c r="CG1017" s="4" t="s">
        <v>241</v>
      </c>
      <c r="CK1017" s="4" t="s">
        <v>291</v>
      </c>
      <c r="CL1017" s="4" t="s">
        <v>266</v>
      </c>
      <c r="CM1017" s="4" t="s">
        <v>241</v>
      </c>
      <c r="CO1017" s="4" t="s">
        <v>413</v>
      </c>
      <c r="CP1017" s="5" t="s">
        <v>268</v>
      </c>
      <c r="CQ1017" s="4" t="s">
        <v>269</v>
      </c>
      <c r="CR1017" s="4" t="s">
        <v>270</v>
      </c>
      <c r="CS1017" s="4" t="s">
        <v>293</v>
      </c>
      <c r="CT1017" s="4" t="s">
        <v>241</v>
      </c>
      <c r="CU1017" s="4">
        <v>6.7000000000000004E-2</v>
      </c>
      <c r="CV1017" s="4" t="s">
        <v>271</v>
      </c>
      <c r="CW1017" s="4" t="s">
        <v>415</v>
      </c>
      <c r="CX1017" s="4" t="s">
        <v>416</v>
      </c>
      <c r="CY1017" s="6">
        <f>0</f>
        <v>0</v>
      </c>
      <c r="CZ1017" s="6">
        <f>122040</f>
        <v>122040</v>
      </c>
      <c r="DA1017" s="6">
        <f>89336</f>
        <v>89336</v>
      </c>
      <c r="DC1017" s="4" t="s">
        <v>241</v>
      </c>
      <c r="DD1017" s="4" t="s">
        <v>241</v>
      </c>
      <c r="DF1017" s="4" t="s">
        <v>241</v>
      </c>
      <c r="DG1017" s="6">
        <f>0</f>
        <v>0</v>
      </c>
      <c r="DI1017" s="4" t="s">
        <v>241</v>
      </c>
      <c r="DJ1017" s="4" t="s">
        <v>241</v>
      </c>
      <c r="DK1017" s="4" t="s">
        <v>241</v>
      </c>
      <c r="DL1017" s="4" t="s">
        <v>241</v>
      </c>
      <c r="DM1017" s="4" t="s">
        <v>278</v>
      </c>
      <c r="DN1017" s="4" t="s">
        <v>278</v>
      </c>
      <c r="DO1017" s="6" t="s">
        <v>241</v>
      </c>
      <c r="DP1017" s="4" t="s">
        <v>241</v>
      </c>
      <c r="DQ1017" s="4" t="s">
        <v>241</v>
      </c>
      <c r="DR1017" s="4" t="s">
        <v>241</v>
      </c>
      <c r="DS1017" s="4" t="s">
        <v>241</v>
      </c>
      <c r="DV1017" s="4" t="s">
        <v>1678</v>
      </c>
      <c r="DW1017" s="4" t="s">
        <v>300</v>
      </c>
      <c r="GN1017" s="4" t="s">
        <v>2710</v>
      </c>
      <c r="HO1017" s="4" t="s">
        <v>351</v>
      </c>
      <c r="HR1017" s="4" t="s">
        <v>278</v>
      </c>
      <c r="HS1017" s="4" t="s">
        <v>278</v>
      </c>
      <c r="HT1017" s="4" t="s">
        <v>241</v>
      </c>
      <c r="HU1017" s="4" t="s">
        <v>241</v>
      </c>
      <c r="HV1017" s="4" t="s">
        <v>241</v>
      </c>
      <c r="HW1017" s="4" t="s">
        <v>241</v>
      </c>
      <c r="HX1017" s="4" t="s">
        <v>241</v>
      </c>
      <c r="HY1017" s="4" t="s">
        <v>241</v>
      </c>
      <c r="HZ1017" s="4" t="s">
        <v>241</v>
      </c>
      <c r="IA1017" s="4" t="s">
        <v>241</v>
      </c>
      <c r="IB1017" s="4" t="s">
        <v>241</v>
      </c>
      <c r="IC1017" s="4" t="s">
        <v>241</v>
      </c>
      <c r="ID1017" s="4" t="s">
        <v>241</v>
      </c>
      <c r="IE1017" s="4" t="s">
        <v>241</v>
      </c>
      <c r="IF1017" s="4" t="s">
        <v>241</v>
      </c>
    </row>
    <row r="1018" spans="1:240" x14ac:dyDescent="0.4">
      <c r="A1018" s="4">
        <v>2</v>
      </c>
      <c r="B1018" s="4" t="s">
        <v>239</v>
      </c>
      <c r="C1018" s="4">
        <v>1303</v>
      </c>
      <c r="D1018" s="4">
        <v>1</v>
      </c>
      <c r="E1018" s="4">
        <v>3</v>
      </c>
      <c r="F1018" s="4" t="s">
        <v>326</v>
      </c>
      <c r="G1018" s="4" t="s">
        <v>241</v>
      </c>
      <c r="H1018" s="4" t="s">
        <v>241</v>
      </c>
      <c r="I1018" s="4" t="s">
        <v>1674</v>
      </c>
      <c r="J1018" s="4" t="s">
        <v>944</v>
      </c>
      <c r="K1018" s="4" t="s">
        <v>256</v>
      </c>
      <c r="L1018" s="4" t="s">
        <v>241</v>
      </c>
      <c r="M1018" s="5" t="s">
        <v>1677</v>
      </c>
      <c r="N1018" s="4" t="s">
        <v>2704</v>
      </c>
      <c r="O1018" s="6">
        <f>0</f>
        <v>0</v>
      </c>
      <c r="P1018" s="4" t="s">
        <v>276</v>
      </c>
      <c r="Q1018" s="6">
        <f>15756750</f>
        <v>15756750</v>
      </c>
      <c r="R1018" s="6">
        <f>18625000</f>
        <v>18625000</v>
      </c>
      <c r="S1018" s="5" t="s">
        <v>2705</v>
      </c>
      <c r="T1018" s="4" t="s">
        <v>322</v>
      </c>
      <c r="U1018" s="4" t="s">
        <v>277</v>
      </c>
      <c r="V1018" s="6">
        <f>1434125</f>
        <v>1434125</v>
      </c>
      <c r="W1018" s="6">
        <f>2868250</f>
        <v>2868250</v>
      </c>
      <c r="X1018" s="4" t="s">
        <v>243</v>
      </c>
      <c r="Y1018" s="4" t="s">
        <v>244</v>
      </c>
      <c r="Z1018" s="4" t="s">
        <v>241</v>
      </c>
      <c r="AA1018" s="4" t="s">
        <v>241</v>
      </c>
      <c r="AD1018" s="4" t="s">
        <v>241</v>
      </c>
      <c r="AE1018" s="5" t="s">
        <v>241</v>
      </c>
      <c r="AF1018" s="5" t="s">
        <v>241</v>
      </c>
      <c r="AH1018" s="5" t="s">
        <v>241</v>
      </c>
      <c r="AI1018" s="5" t="s">
        <v>249</v>
      </c>
      <c r="AJ1018" s="4" t="s">
        <v>251</v>
      </c>
      <c r="AK1018" s="4" t="s">
        <v>252</v>
      </c>
      <c r="AQ1018" s="4" t="s">
        <v>241</v>
      </c>
      <c r="AR1018" s="4" t="s">
        <v>241</v>
      </c>
      <c r="AS1018" s="4" t="s">
        <v>241</v>
      </c>
      <c r="AT1018" s="5" t="s">
        <v>241</v>
      </c>
      <c r="AU1018" s="5" t="s">
        <v>241</v>
      </c>
      <c r="AV1018" s="5" t="s">
        <v>241</v>
      </c>
      <c r="AY1018" s="4" t="s">
        <v>286</v>
      </c>
      <c r="AZ1018" s="4" t="s">
        <v>286</v>
      </c>
      <c r="BA1018" s="4" t="s">
        <v>254</v>
      </c>
      <c r="BB1018" s="4" t="s">
        <v>287</v>
      </c>
      <c r="BC1018" s="4" t="s">
        <v>255</v>
      </c>
      <c r="BD1018" s="4" t="s">
        <v>241</v>
      </c>
      <c r="BE1018" s="4" t="s">
        <v>257</v>
      </c>
      <c r="BF1018" s="4" t="s">
        <v>241</v>
      </c>
      <c r="BJ1018" s="4" t="s">
        <v>288</v>
      </c>
      <c r="BK1018" s="5" t="s">
        <v>289</v>
      </c>
      <c r="BL1018" s="4" t="s">
        <v>290</v>
      </c>
      <c r="BM1018" s="4" t="s">
        <v>290</v>
      </c>
      <c r="BN1018" s="4" t="s">
        <v>241</v>
      </c>
      <c r="BP1018" s="6">
        <f>-1434125</f>
        <v>-1434125</v>
      </c>
      <c r="BQ1018" s="4" t="s">
        <v>263</v>
      </c>
      <c r="BR1018" s="4" t="s">
        <v>264</v>
      </c>
      <c r="BS1018" s="4" t="s">
        <v>241</v>
      </c>
      <c r="BT1018" s="4" t="s">
        <v>241</v>
      </c>
      <c r="BU1018" s="4" t="s">
        <v>241</v>
      </c>
      <c r="BV1018" s="4" t="s">
        <v>241</v>
      </c>
      <c r="CE1018" s="4" t="s">
        <v>264</v>
      </c>
      <c r="CF1018" s="4" t="s">
        <v>241</v>
      </c>
      <c r="CG1018" s="4" t="s">
        <v>241</v>
      </c>
      <c r="CK1018" s="4" t="s">
        <v>291</v>
      </c>
      <c r="CL1018" s="4" t="s">
        <v>266</v>
      </c>
      <c r="CM1018" s="4" t="s">
        <v>241</v>
      </c>
      <c r="CO1018" s="4" t="s">
        <v>331</v>
      </c>
      <c r="CP1018" s="5" t="s">
        <v>268</v>
      </c>
      <c r="CQ1018" s="4" t="s">
        <v>269</v>
      </c>
      <c r="CR1018" s="4" t="s">
        <v>270</v>
      </c>
      <c r="CS1018" s="4" t="s">
        <v>293</v>
      </c>
      <c r="CT1018" s="4" t="s">
        <v>241</v>
      </c>
      <c r="CU1018" s="4">
        <v>7.6999999999999999E-2</v>
      </c>
      <c r="CV1018" s="4" t="s">
        <v>271</v>
      </c>
      <c r="CW1018" s="4" t="s">
        <v>415</v>
      </c>
      <c r="CX1018" s="4" t="s">
        <v>428</v>
      </c>
      <c r="CY1018" s="6">
        <f>0</f>
        <v>0</v>
      </c>
      <c r="CZ1018" s="6">
        <f>18625000</f>
        <v>18625000</v>
      </c>
      <c r="DA1018" s="6">
        <f>15756750</f>
        <v>15756750</v>
      </c>
      <c r="DC1018" s="4" t="s">
        <v>241</v>
      </c>
      <c r="DD1018" s="4" t="s">
        <v>241</v>
      </c>
      <c r="DF1018" s="4" t="s">
        <v>241</v>
      </c>
      <c r="DG1018" s="6">
        <f>0</f>
        <v>0</v>
      </c>
      <c r="DI1018" s="4" t="s">
        <v>241</v>
      </c>
      <c r="DJ1018" s="4" t="s">
        <v>241</v>
      </c>
      <c r="DK1018" s="4" t="s">
        <v>241</v>
      </c>
      <c r="DL1018" s="4" t="s">
        <v>241</v>
      </c>
      <c r="DM1018" s="4" t="s">
        <v>278</v>
      </c>
      <c r="DN1018" s="4" t="s">
        <v>278</v>
      </c>
      <c r="DO1018" s="6" t="s">
        <v>241</v>
      </c>
      <c r="DP1018" s="4" t="s">
        <v>241</v>
      </c>
      <c r="DQ1018" s="4" t="s">
        <v>241</v>
      </c>
      <c r="DR1018" s="4" t="s">
        <v>241</v>
      </c>
      <c r="DS1018" s="4" t="s">
        <v>241</v>
      </c>
      <c r="DV1018" s="4" t="s">
        <v>1678</v>
      </c>
      <c r="DW1018" s="4" t="s">
        <v>341</v>
      </c>
      <c r="GN1018" s="4" t="s">
        <v>2706</v>
      </c>
      <c r="HO1018" s="4" t="s">
        <v>297</v>
      </c>
      <c r="HR1018" s="4" t="s">
        <v>278</v>
      </c>
      <c r="HS1018" s="4" t="s">
        <v>278</v>
      </c>
      <c r="HT1018" s="4" t="s">
        <v>241</v>
      </c>
      <c r="HU1018" s="4" t="s">
        <v>241</v>
      </c>
      <c r="HV1018" s="4" t="s">
        <v>241</v>
      </c>
      <c r="HW1018" s="4" t="s">
        <v>241</v>
      </c>
      <c r="HX1018" s="4" t="s">
        <v>241</v>
      </c>
      <c r="HY1018" s="4" t="s">
        <v>241</v>
      </c>
      <c r="HZ1018" s="4" t="s">
        <v>241</v>
      </c>
      <c r="IA1018" s="4" t="s">
        <v>241</v>
      </c>
      <c r="IB1018" s="4" t="s">
        <v>241</v>
      </c>
      <c r="IC1018" s="4" t="s">
        <v>241</v>
      </c>
      <c r="ID1018" s="4" t="s">
        <v>241</v>
      </c>
      <c r="IE1018" s="4" t="s">
        <v>241</v>
      </c>
      <c r="IF1018" s="4" t="s">
        <v>241</v>
      </c>
    </row>
    <row r="1019" spans="1:240" x14ac:dyDescent="0.4">
      <c r="A1019" s="4">
        <v>2</v>
      </c>
      <c r="B1019" s="4" t="s">
        <v>239</v>
      </c>
      <c r="C1019" s="4">
        <v>1304</v>
      </c>
      <c r="D1019" s="4">
        <v>1</v>
      </c>
      <c r="E1019" s="4">
        <v>3</v>
      </c>
      <c r="F1019" s="4" t="s">
        <v>326</v>
      </c>
      <c r="G1019" s="4" t="s">
        <v>241</v>
      </c>
      <c r="H1019" s="4" t="s">
        <v>241</v>
      </c>
      <c r="I1019" s="4" t="s">
        <v>1674</v>
      </c>
      <c r="J1019" s="4" t="s">
        <v>944</v>
      </c>
      <c r="K1019" s="4" t="s">
        <v>256</v>
      </c>
      <c r="L1019" s="4" t="s">
        <v>241</v>
      </c>
      <c r="M1019" s="5" t="s">
        <v>1677</v>
      </c>
      <c r="N1019" s="4" t="s">
        <v>1688</v>
      </c>
      <c r="O1019" s="6">
        <f>0</f>
        <v>0</v>
      </c>
      <c r="P1019" s="4" t="s">
        <v>276</v>
      </c>
      <c r="Q1019" s="6">
        <f>4615182</f>
        <v>4615182</v>
      </c>
      <c r="R1019" s="6">
        <f>4719000</f>
        <v>4719000</v>
      </c>
      <c r="S1019" s="5" t="s">
        <v>1689</v>
      </c>
      <c r="T1019" s="4" t="s">
        <v>668</v>
      </c>
      <c r="U1019" s="4" t="s">
        <v>278</v>
      </c>
      <c r="V1019" s="6">
        <f>4718999</f>
        <v>4718999</v>
      </c>
      <c r="W1019" s="6">
        <f>103818</f>
        <v>103818</v>
      </c>
      <c r="X1019" s="4" t="s">
        <v>243</v>
      </c>
      <c r="Y1019" s="4" t="s">
        <v>244</v>
      </c>
      <c r="Z1019" s="4" t="s">
        <v>241</v>
      </c>
      <c r="AA1019" s="4" t="s">
        <v>241</v>
      </c>
      <c r="AD1019" s="4" t="s">
        <v>241</v>
      </c>
      <c r="AE1019" s="5" t="s">
        <v>241</v>
      </c>
      <c r="AF1019" s="5" t="s">
        <v>241</v>
      </c>
      <c r="AH1019" s="5" t="s">
        <v>241</v>
      </c>
      <c r="AI1019" s="5" t="s">
        <v>249</v>
      </c>
      <c r="AJ1019" s="4" t="s">
        <v>251</v>
      </c>
      <c r="AK1019" s="4" t="s">
        <v>252</v>
      </c>
      <c r="AQ1019" s="4" t="s">
        <v>241</v>
      </c>
      <c r="AR1019" s="4" t="s">
        <v>241</v>
      </c>
      <c r="AS1019" s="4" t="s">
        <v>241</v>
      </c>
      <c r="AT1019" s="5" t="s">
        <v>241</v>
      </c>
      <c r="AU1019" s="5" t="s">
        <v>241</v>
      </c>
      <c r="AV1019" s="5" t="s">
        <v>241</v>
      </c>
      <c r="AY1019" s="4" t="s">
        <v>286</v>
      </c>
      <c r="AZ1019" s="4" t="s">
        <v>286</v>
      </c>
      <c r="BA1019" s="4" t="s">
        <v>254</v>
      </c>
      <c r="BB1019" s="4" t="s">
        <v>287</v>
      </c>
      <c r="BC1019" s="4" t="s">
        <v>255</v>
      </c>
      <c r="BD1019" s="4" t="s">
        <v>241</v>
      </c>
      <c r="BE1019" s="4" t="s">
        <v>257</v>
      </c>
      <c r="BF1019" s="4" t="s">
        <v>241</v>
      </c>
      <c r="BJ1019" s="4" t="s">
        <v>288</v>
      </c>
      <c r="BK1019" s="5" t="s">
        <v>289</v>
      </c>
      <c r="BL1019" s="4" t="s">
        <v>290</v>
      </c>
      <c r="BM1019" s="4" t="s">
        <v>290</v>
      </c>
      <c r="BN1019" s="4" t="s">
        <v>241</v>
      </c>
      <c r="BP1019" s="6">
        <f>-103818</f>
        <v>-103818</v>
      </c>
      <c r="BQ1019" s="4" t="s">
        <v>263</v>
      </c>
      <c r="BR1019" s="4" t="s">
        <v>264</v>
      </c>
      <c r="BS1019" s="4" t="s">
        <v>241</v>
      </c>
      <c r="BT1019" s="4" t="s">
        <v>241</v>
      </c>
      <c r="BU1019" s="4" t="s">
        <v>241</v>
      </c>
      <c r="BV1019" s="4" t="s">
        <v>241</v>
      </c>
      <c r="CE1019" s="4" t="s">
        <v>264</v>
      </c>
      <c r="CF1019" s="4" t="s">
        <v>241</v>
      </c>
      <c r="CG1019" s="4" t="s">
        <v>241</v>
      </c>
      <c r="CK1019" s="4" t="s">
        <v>291</v>
      </c>
      <c r="CL1019" s="4" t="s">
        <v>266</v>
      </c>
      <c r="CM1019" s="4" t="s">
        <v>241</v>
      </c>
      <c r="CO1019" s="4" t="s">
        <v>426</v>
      </c>
      <c r="CP1019" s="5" t="s">
        <v>268</v>
      </c>
      <c r="CQ1019" s="4" t="s">
        <v>269</v>
      </c>
      <c r="CR1019" s="4" t="s">
        <v>270</v>
      </c>
      <c r="CS1019" s="4" t="s">
        <v>293</v>
      </c>
      <c r="CT1019" s="4" t="s">
        <v>241</v>
      </c>
      <c r="CU1019" s="4">
        <v>2.1999999999999999E-2</v>
      </c>
      <c r="CV1019" s="4" t="s">
        <v>271</v>
      </c>
      <c r="CW1019" s="4" t="s">
        <v>1671</v>
      </c>
      <c r="CX1019" s="4" t="s">
        <v>295</v>
      </c>
      <c r="CY1019" s="6">
        <f>0</f>
        <v>0</v>
      </c>
      <c r="CZ1019" s="6">
        <f>4719000</f>
        <v>4719000</v>
      </c>
      <c r="DA1019" s="6">
        <f>1</f>
        <v>1</v>
      </c>
      <c r="DC1019" s="4" t="s">
        <v>241</v>
      </c>
      <c r="DD1019" s="4" t="s">
        <v>241</v>
      </c>
      <c r="DF1019" s="4" t="s">
        <v>241</v>
      </c>
      <c r="DG1019" s="6">
        <f>0</f>
        <v>0</v>
      </c>
      <c r="DI1019" s="4" t="s">
        <v>241</v>
      </c>
      <c r="DJ1019" s="4" t="s">
        <v>241</v>
      </c>
      <c r="DK1019" s="4" t="s">
        <v>241</v>
      </c>
      <c r="DL1019" s="4" t="s">
        <v>241</v>
      </c>
      <c r="DM1019" s="4" t="s">
        <v>278</v>
      </c>
      <c r="DN1019" s="4" t="s">
        <v>278</v>
      </c>
      <c r="DO1019" s="6" t="s">
        <v>241</v>
      </c>
      <c r="DP1019" s="4" t="s">
        <v>241</v>
      </c>
      <c r="DQ1019" s="4" t="s">
        <v>241</v>
      </c>
      <c r="DR1019" s="4" t="s">
        <v>241</v>
      </c>
      <c r="DS1019" s="4" t="s">
        <v>241</v>
      </c>
      <c r="DV1019" s="4" t="s">
        <v>1678</v>
      </c>
      <c r="DW1019" s="4" t="s">
        <v>343</v>
      </c>
      <c r="GN1019" s="4" t="s">
        <v>1690</v>
      </c>
      <c r="HO1019" s="4" t="s">
        <v>323</v>
      </c>
      <c r="HR1019" s="4" t="s">
        <v>278</v>
      </c>
      <c r="HS1019" s="4" t="s">
        <v>278</v>
      </c>
      <c r="HT1019" s="4" t="s">
        <v>241</v>
      </c>
      <c r="HU1019" s="4" t="s">
        <v>241</v>
      </c>
      <c r="HV1019" s="4" t="s">
        <v>241</v>
      </c>
      <c r="HW1019" s="4" t="s">
        <v>241</v>
      </c>
      <c r="HX1019" s="4" t="s">
        <v>241</v>
      </c>
      <c r="HY1019" s="4" t="s">
        <v>241</v>
      </c>
      <c r="HZ1019" s="4" t="s">
        <v>241</v>
      </c>
      <c r="IA1019" s="4" t="s">
        <v>241</v>
      </c>
      <c r="IB1019" s="4" t="s">
        <v>241</v>
      </c>
      <c r="IC1019" s="4" t="s">
        <v>241</v>
      </c>
      <c r="ID1019" s="4" t="s">
        <v>241</v>
      </c>
      <c r="IE1019" s="4" t="s">
        <v>241</v>
      </c>
      <c r="IF1019" s="4" t="s">
        <v>241</v>
      </c>
    </row>
    <row r="1020" spans="1:240" x14ac:dyDescent="0.4">
      <c r="A1020" s="4">
        <v>2</v>
      </c>
      <c r="B1020" s="4" t="s">
        <v>239</v>
      </c>
      <c r="C1020" s="4">
        <v>1305</v>
      </c>
      <c r="D1020" s="4">
        <v>1</v>
      </c>
      <c r="E1020" s="4">
        <v>1</v>
      </c>
      <c r="F1020" s="4" t="s">
        <v>240</v>
      </c>
      <c r="G1020" s="4" t="s">
        <v>241</v>
      </c>
      <c r="H1020" s="4" t="s">
        <v>241</v>
      </c>
      <c r="I1020" s="4" t="s">
        <v>1667</v>
      </c>
      <c r="J1020" s="4" t="s">
        <v>944</v>
      </c>
      <c r="K1020" s="4" t="s">
        <v>256</v>
      </c>
      <c r="L1020" s="4" t="s">
        <v>1666</v>
      </c>
      <c r="M1020" s="5" t="s">
        <v>1669</v>
      </c>
      <c r="N1020" s="4" t="s">
        <v>1666</v>
      </c>
      <c r="O1020" s="6">
        <f>666.54</f>
        <v>666.54</v>
      </c>
      <c r="P1020" s="4" t="s">
        <v>276</v>
      </c>
      <c r="Q1020" s="6">
        <f>1</f>
        <v>1</v>
      </c>
      <c r="R1020" s="6">
        <f>53323200</f>
        <v>53323200</v>
      </c>
      <c r="S1020" s="5" t="s">
        <v>1668</v>
      </c>
      <c r="T1020" s="4" t="s">
        <v>357</v>
      </c>
      <c r="U1020" s="4" t="s">
        <v>412</v>
      </c>
      <c r="W1020" s="6">
        <f>53323199</f>
        <v>53323199</v>
      </c>
      <c r="X1020" s="4" t="s">
        <v>243</v>
      </c>
      <c r="Y1020" s="4" t="s">
        <v>244</v>
      </c>
      <c r="Z1020" s="4" t="s">
        <v>874</v>
      </c>
      <c r="AA1020" s="4" t="s">
        <v>241</v>
      </c>
      <c r="AD1020" s="4" t="s">
        <v>241</v>
      </c>
      <c r="AF1020" s="5" t="s">
        <v>241</v>
      </c>
      <c r="AI1020" s="5" t="s">
        <v>249</v>
      </c>
      <c r="AJ1020" s="4" t="s">
        <v>251</v>
      </c>
      <c r="AK1020" s="4" t="s">
        <v>252</v>
      </c>
      <c r="BA1020" s="4" t="s">
        <v>254</v>
      </c>
      <c r="BB1020" s="4" t="s">
        <v>241</v>
      </c>
      <c r="BC1020" s="4" t="s">
        <v>255</v>
      </c>
      <c r="BD1020" s="4" t="s">
        <v>241</v>
      </c>
      <c r="BE1020" s="4" t="s">
        <v>257</v>
      </c>
      <c r="BF1020" s="4" t="s">
        <v>241</v>
      </c>
      <c r="BJ1020" s="4" t="s">
        <v>374</v>
      </c>
      <c r="BK1020" s="5" t="s">
        <v>375</v>
      </c>
      <c r="BL1020" s="4" t="s">
        <v>261</v>
      </c>
      <c r="BM1020" s="4" t="s">
        <v>262</v>
      </c>
      <c r="BN1020" s="4" t="s">
        <v>241</v>
      </c>
      <c r="BO1020" s="6">
        <f>0</f>
        <v>0</v>
      </c>
      <c r="BP1020" s="6">
        <f>0</f>
        <v>0</v>
      </c>
      <c r="BQ1020" s="4" t="s">
        <v>263</v>
      </c>
      <c r="BR1020" s="4" t="s">
        <v>264</v>
      </c>
      <c r="CF1020" s="4" t="s">
        <v>241</v>
      </c>
      <c r="CG1020" s="4" t="s">
        <v>241</v>
      </c>
      <c r="CK1020" s="4" t="s">
        <v>265</v>
      </c>
      <c r="CL1020" s="4" t="s">
        <v>266</v>
      </c>
      <c r="CM1020" s="4" t="s">
        <v>241</v>
      </c>
      <c r="CO1020" s="4" t="s">
        <v>1670</v>
      </c>
      <c r="CP1020" s="5" t="s">
        <v>268</v>
      </c>
      <c r="CQ1020" s="4" t="s">
        <v>269</v>
      </c>
      <c r="CR1020" s="4" t="s">
        <v>270</v>
      </c>
      <c r="CS1020" s="4" t="s">
        <v>241</v>
      </c>
      <c r="CT1020" s="4" t="s">
        <v>241</v>
      </c>
      <c r="CU1020" s="4">
        <v>0</v>
      </c>
      <c r="CV1020" s="4" t="s">
        <v>271</v>
      </c>
      <c r="CW1020" s="4" t="s">
        <v>1671</v>
      </c>
      <c r="CX1020" s="4" t="s">
        <v>487</v>
      </c>
      <c r="CZ1020" s="6">
        <f>53323200</f>
        <v>53323200</v>
      </c>
      <c r="DA1020" s="6">
        <f>0</f>
        <v>0</v>
      </c>
      <c r="DC1020" s="4" t="s">
        <v>241</v>
      </c>
      <c r="DD1020" s="4" t="s">
        <v>241</v>
      </c>
      <c r="DF1020" s="4" t="s">
        <v>241</v>
      </c>
      <c r="DI1020" s="4" t="s">
        <v>241</v>
      </c>
      <c r="DJ1020" s="4" t="s">
        <v>241</v>
      </c>
      <c r="DK1020" s="4" t="s">
        <v>241</v>
      </c>
      <c r="DL1020" s="4" t="s">
        <v>241</v>
      </c>
      <c r="DM1020" s="4" t="s">
        <v>277</v>
      </c>
      <c r="DN1020" s="4" t="s">
        <v>278</v>
      </c>
      <c r="DO1020" s="6">
        <f>666.54</f>
        <v>666.54</v>
      </c>
      <c r="DP1020" s="4" t="s">
        <v>241</v>
      </c>
      <c r="DQ1020" s="4" t="s">
        <v>241</v>
      </c>
      <c r="DR1020" s="4" t="s">
        <v>241</v>
      </c>
      <c r="DS1020" s="4" t="s">
        <v>241</v>
      </c>
      <c r="DV1020" s="4" t="s">
        <v>1672</v>
      </c>
      <c r="DW1020" s="4" t="s">
        <v>277</v>
      </c>
      <c r="HO1020" s="4" t="s">
        <v>277</v>
      </c>
      <c r="HR1020" s="4" t="s">
        <v>278</v>
      </c>
      <c r="HS1020" s="4" t="s">
        <v>278</v>
      </c>
    </row>
    <row r="1021" spans="1:240" x14ac:dyDescent="0.4">
      <c r="A1021" s="4">
        <v>2</v>
      </c>
      <c r="B1021" s="4" t="s">
        <v>239</v>
      </c>
      <c r="C1021" s="4">
        <v>1306</v>
      </c>
      <c r="D1021" s="4">
        <v>1</v>
      </c>
      <c r="E1021" s="4">
        <v>3</v>
      </c>
      <c r="F1021" s="4" t="s">
        <v>240</v>
      </c>
      <c r="G1021" s="4" t="s">
        <v>241</v>
      </c>
      <c r="H1021" s="4" t="s">
        <v>241</v>
      </c>
      <c r="I1021" s="4" t="s">
        <v>1701</v>
      </c>
      <c r="J1021" s="4" t="s">
        <v>944</v>
      </c>
      <c r="K1021" s="4" t="s">
        <v>256</v>
      </c>
      <c r="L1021" s="4" t="s">
        <v>1666</v>
      </c>
      <c r="M1021" s="5" t="s">
        <v>1703</v>
      </c>
      <c r="N1021" s="4" t="s">
        <v>1666</v>
      </c>
      <c r="O1021" s="6">
        <f>945.45</f>
        <v>945.45</v>
      </c>
      <c r="P1021" s="4" t="s">
        <v>276</v>
      </c>
      <c r="Q1021" s="6">
        <f>18833370</f>
        <v>18833370</v>
      </c>
      <c r="R1021" s="6">
        <f>235417050</f>
        <v>235417050</v>
      </c>
      <c r="S1021" s="5" t="s">
        <v>1702</v>
      </c>
      <c r="T1021" s="4" t="s">
        <v>314</v>
      </c>
      <c r="U1021" s="4" t="s">
        <v>379</v>
      </c>
      <c r="V1021" s="6">
        <f>10829184</f>
        <v>10829184</v>
      </c>
      <c r="W1021" s="6">
        <f>216583680</f>
        <v>216583680</v>
      </c>
      <c r="X1021" s="4" t="s">
        <v>243</v>
      </c>
      <c r="Y1021" s="4" t="s">
        <v>244</v>
      </c>
      <c r="Z1021" s="4" t="s">
        <v>874</v>
      </c>
      <c r="AA1021" s="4" t="s">
        <v>241</v>
      </c>
      <c r="AD1021" s="4" t="s">
        <v>241</v>
      </c>
      <c r="AE1021" s="5" t="s">
        <v>241</v>
      </c>
      <c r="AF1021" s="5" t="s">
        <v>241</v>
      </c>
      <c r="AH1021" s="5" t="s">
        <v>241</v>
      </c>
      <c r="AI1021" s="5" t="s">
        <v>249</v>
      </c>
      <c r="AJ1021" s="4" t="s">
        <v>251</v>
      </c>
      <c r="AK1021" s="4" t="s">
        <v>252</v>
      </c>
      <c r="AQ1021" s="4" t="s">
        <v>241</v>
      </c>
      <c r="AR1021" s="4" t="s">
        <v>241</v>
      </c>
      <c r="AS1021" s="4" t="s">
        <v>241</v>
      </c>
      <c r="AT1021" s="5" t="s">
        <v>241</v>
      </c>
      <c r="AU1021" s="5" t="s">
        <v>241</v>
      </c>
      <c r="AV1021" s="5" t="s">
        <v>241</v>
      </c>
      <c r="AY1021" s="4" t="s">
        <v>286</v>
      </c>
      <c r="AZ1021" s="4" t="s">
        <v>286</v>
      </c>
      <c r="BA1021" s="4" t="s">
        <v>254</v>
      </c>
      <c r="BB1021" s="4" t="s">
        <v>287</v>
      </c>
      <c r="BC1021" s="4" t="s">
        <v>255</v>
      </c>
      <c r="BD1021" s="4" t="s">
        <v>241</v>
      </c>
      <c r="BE1021" s="4" t="s">
        <v>257</v>
      </c>
      <c r="BF1021" s="4" t="s">
        <v>241</v>
      </c>
      <c r="BJ1021" s="4" t="s">
        <v>288</v>
      </c>
      <c r="BK1021" s="5" t="s">
        <v>289</v>
      </c>
      <c r="BL1021" s="4" t="s">
        <v>290</v>
      </c>
      <c r="BM1021" s="4" t="s">
        <v>290</v>
      </c>
      <c r="BN1021" s="4" t="s">
        <v>241</v>
      </c>
      <c r="BO1021" s="6">
        <f>0</f>
        <v>0</v>
      </c>
      <c r="BP1021" s="6">
        <f>-10829184</f>
        <v>-10829184</v>
      </c>
      <c r="BQ1021" s="4" t="s">
        <v>263</v>
      </c>
      <c r="BR1021" s="4" t="s">
        <v>264</v>
      </c>
      <c r="BS1021" s="4" t="s">
        <v>241</v>
      </c>
      <c r="BT1021" s="4" t="s">
        <v>241</v>
      </c>
      <c r="BU1021" s="4" t="s">
        <v>241</v>
      </c>
      <c r="BV1021" s="4" t="s">
        <v>241</v>
      </c>
      <c r="CE1021" s="4" t="s">
        <v>264</v>
      </c>
      <c r="CF1021" s="4" t="s">
        <v>241</v>
      </c>
      <c r="CG1021" s="4" t="s">
        <v>241</v>
      </c>
      <c r="CK1021" s="4" t="s">
        <v>291</v>
      </c>
      <c r="CL1021" s="4" t="s">
        <v>266</v>
      </c>
      <c r="CM1021" s="4" t="s">
        <v>241</v>
      </c>
      <c r="CO1021" s="4" t="s">
        <v>1127</v>
      </c>
      <c r="CP1021" s="5" t="s">
        <v>268</v>
      </c>
      <c r="CQ1021" s="4" t="s">
        <v>269</v>
      </c>
      <c r="CR1021" s="4" t="s">
        <v>270</v>
      </c>
      <c r="CS1021" s="4" t="s">
        <v>293</v>
      </c>
      <c r="CT1021" s="4" t="s">
        <v>241</v>
      </c>
      <c r="CU1021" s="4">
        <v>4.5999999999999999E-2</v>
      </c>
      <c r="CV1021" s="4" t="s">
        <v>271</v>
      </c>
      <c r="CW1021" s="4" t="s">
        <v>1671</v>
      </c>
      <c r="CX1021" s="4" t="s">
        <v>347</v>
      </c>
      <c r="CY1021" s="6">
        <f>0</f>
        <v>0</v>
      </c>
      <c r="CZ1021" s="6">
        <f>235417050</f>
        <v>235417050</v>
      </c>
      <c r="DA1021" s="6">
        <f>18833370</f>
        <v>18833370</v>
      </c>
      <c r="DC1021" s="4" t="s">
        <v>241</v>
      </c>
      <c r="DD1021" s="4" t="s">
        <v>241</v>
      </c>
      <c r="DF1021" s="4" t="s">
        <v>241</v>
      </c>
      <c r="DG1021" s="6">
        <f>0</f>
        <v>0</v>
      </c>
      <c r="DI1021" s="4" t="s">
        <v>241</v>
      </c>
      <c r="DJ1021" s="4" t="s">
        <v>241</v>
      </c>
      <c r="DK1021" s="4" t="s">
        <v>241</v>
      </c>
      <c r="DL1021" s="4" t="s">
        <v>241</v>
      </c>
      <c r="DM1021" s="4" t="s">
        <v>277</v>
      </c>
      <c r="DN1021" s="4" t="s">
        <v>278</v>
      </c>
      <c r="DO1021" s="6">
        <f>945.45</f>
        <v>945.45</v>
      </c>
      <c r="DP1021" s="4" t="s">
        <v>241</v>
      </c>
      <c r="DQ1021" s="4" t="s">
        <v>241</v>
      </c>
      <c r="DR1021" s="4" t="s">
        <v>241</v>
      </c>
      <c r="DS1021" s="4" t="s">
        <v>241</v>
      </c>
      <c r="DV1021" s="4" t="s">
        <v>1704</v>
      </c>
      <c r="DW1021" s="4" t="s">
        <v>277</v>
      </c>
      <c r="GN1021" s="4" t="s">
        <v>1705</v>
      </c>
      <c r="HO1021" s="4" t="s">
        <v>300</v>
      </c>
      <c r="HR1021" s="4" t="s">
        <v>278</v>
      </c>
      <c r="HS1021" s="4" t="s">
        <v>278</v>
      </c>
      <c r="HT1021" s="4" t="s">
        <v>241</v>
      </c>
      <c r="HU1021" s="4" t="s">
        <v>241</v>
      </c>
      <c r="HV1021" s="4" t="s">
        <v>241</v>
      </c>
      <c r="HW1021" s="4" t="s">
        <v>241</v>
      </c>
      <c r="HX1021" s="4" t="s">
        <v>241</v>
      </c>
      <c r="HY1021" s="4" t="s">
        <v>241</v>
      </c>
      <c r="HZ1021" s="4" t="s">
        <v>241</v>
      </c>
      <c r="IA1021" s="4" t="s">
        <v>241</v>
      </c>
      <c r="IB1021" s="4" t="s">
        <v>241</v>
      </c>
      <c r="IC1021" s="4" t="s">
        <v>241</v>
      </c>
      <c r="ID1021" s="4" t="s">
        <v>241</v>
      </c>
      <c r="IE1021" s="4" t="s">
        <v>241</v>
      </c>
      <c r="IF1021" s="4" t="s">
        <v>241</v>
      </c>
    </row>
    <row r="1022" spans="1:240" x14ac:dyDescent="0.4">
      <c r="A1022" s="4">
        <v>2</v>
      </c>
      <c r="B1022" s="4" t="s">
        <v>239</v>
      </c>
      <c r="C1022" s="4">
        <v>1307</v>
      </c>
      <c r="D1022" s="4">
        <v>1</v>
      </c>
      <c r="E1022" s="4">
        <v>3</v>
      </c>
      <c r="F1022" s="4" t="s">
        <v>326</v>
      </c>
      <c r="G1022" s="4" t="s">
        <v>241</v>
      </c>
      <c r="H1022" s="4" t="s">
        <v>241</v>
      </c>
      <c r="I1022" s="4" t="s">
        <v>1701</v>
      </c>
      <c r="J1022" s="4" t="s">
        <v>944</v>
      </c>
      <c r="K1022" s="4" t="s">
        <v>256</v>
      </c>
      <c r="L1022" s="4" t="s">
        <v>241</v>
      </c>
      <c r="M1022" s="5" t="s">
        <v>1703</v>
      </c>
      <c r="N1022" s="4" t="s">
        <v>2701</v>
      </c>
      <c r="O1022" s="6">
        <f>0</f>
        <v>0</v>
      </c>
      <c r="P1022" s="4" t="s">
        <v>276</v>
      </c>
      <c r="Q1022" s="6">
        <f>23351900</f>
        <v>23351900</v>
      </c>
      <c r="R1022" s="6">
        <f>25300000</f>
        <v>25300000</v>
      </c>
      <c r="S1022" s="5" t="s">
        <v>2702</v>
      </c>
      <c r="T1022" s="4" t="s">
        <v>322</v>
      </c>
      <c r="U1022" s="4" t="s">
        <v>278</v>
      </c>
      <c r="V1022" s="6">
        <f>25299999</f>
        <v>25299999</v>
      </c>
      <c r="W1022" s="6">
        <f>1948100</f>
        <v>1948100</v>
      </c>
      <c r="X1022" s="4" t="s">
        <v>243</v>
      </c>
      <c r="Y1022" s="4" t="s">
        <v>244</v>
      </c>
      <c r="Z1022" s="4" t="s">
        <v>241</v>
      </c>
      <c r="AA1022" s="4" t="s">
        <v>241</v>
      </c>
      <c r="AD1022" s="4" t="s">
        <v>241</v>
      </c>
      <c r="AE1022" s="5" t="s">
        <v>241</v>
      </c>
      <c r="AF1022" s="5" t="s">
        <v>241</v>
      </c>
      <c r="AH1022" s="5" t="s">
        <v>241</v>
      </c>
      <c r="AI1022" s="5" t="s">
        <v>249</v>
      </c>
      <c r="AJ1022" s="4" t="s">
        <v>251</v>
      </c>
      <c r="AK1022" s="4" t="s">
        <v>252</v>
      </c>
      <c r="AQ1022" s="4" t="s">
        <v>241</v>
      </c>
      <c r="AR1022" s="4" t="s">
        <v>241</v>
      </c>
      <c r="AS1022" s="4" t="s">
        <v>241</v>
      </c>
      <c r="AT1022" s="5" t="s">
        <v>241</v>
      </c>
      <c r="AU1022" s="5" t="s">
        <v>241</v>
      </c>
      <c r="AV1022" s="5" t="s">
        <v>241</v>
      </c>
      <c r="AY1022" s="4" t="s">
        <v>286</v>
      </c>
      <c r="AZ1022" s="4" t="s">
        <v>286</v>
      </c>
      <c r="BA1022" s="4" t="s">
        <v>254</v>
      </c>
      <c r="BB1022" s="4" t="s">
        <v>287</v>
      </c>
      <c r="BC1022" s="4" t="s">
        <v>255</v>
      </c>
      <c r="BD1022" s="4" t="s">
        <v>241</v>
      </c>
      <c r="BE1022" s="4" t="s">
        <v>257</v>
      </c>
      <c r="BF1022" s="4" t="s">
        <v>241</v>
      </c>
      <c r="BJ1022" s="4" t="s">
        <v>288</v>
      </c>
      <c r="BK1022" s="5" t="s">
        <v>289</v>
      </c>
      <c r="BL1022" s="4" t="s">
        <v>290</v>
      </c>
      <c r="BM1022" s="4" t="s">
        <v>290</v>
      </c>
      <c r="BN1022" s="4" t="s">
        <v>241</v>
      </c>
      <c r="BP1022" s="6">
        <f>-1948100</f>
        <v>-1948100</v>
      </c>
      <c r="BQ1022" s="4" t="s">
        <v>263</v>
      </c>
      <c r="BR1022" s="4" t="s">
        <v>264</v>
      </c>
      <c r="BS1022" s="4" t="s">
        <v>241</v>
      </c>
      <c r="BT1022" s="4" t="s">
        <v>241</v>
      </c>
      <c r="BU1022" s="4" t="s">
        <v>241</v>
      </c>
      <c r="BV1022" s="4" t="s">
        <v>241</v>
      </c>
      <c r="CE1022" s="4" t="s">
        <v>264</v>
      </c>
      <c r="CF1022" s="4" t="s">
        <v>241</v>
      </c>
      <c r="CG1022" s="4" t="s">
        <v>241</v>
      </c>
      <c r="CK1022" s="4" t="s">
        <v>291</v>
      </c>
      <c r="CL1022" s="4" t="s">
        <v>266</v>
      </c>
      <c r="CM1022" s="4" t="s">
        <v>241</v>
      </c>
      <c r="CO1022" s="4" t="s">
        <v>426</v>
      </c>
      <c r="CP1022" s="5" t="s">
        <v>268</v>
      </c>
      <c r="CQ1022" s="4" t="s">
        <v>269</v>
      </c>
      <c r="CR1022" s="4" t="s">
        <v>270</v>
      </c>
      <c r="CS1022" s="4" t="s">
        <v>293</v>
      </c>
      <c r="CT1022" s="4" t="s">
        <v>241</v>
      </c>
      <c r="CU1022" s="4">
        <v>7.6999999999999999E-2</v>
      </c>
      <c r="CV1022" s="4" t="s">
        <v>271</v>
      </c>
      <c r="CW1022" s="4" t="s">
        <v>415</v>
      </c>
      <c r="CX1022" s="4" t="s">
        <v>428</v>
      </c>
      <c r="CY1022" s="6">
        <f>0</f>
        <v>0</v>
      </c>
      <c r="CZ1022" s="6">
        <f>25300000</f>
        <v>25300000</v>
      </c>
      <c r="DA1022" s="6">
        <f>1</f>
        <v>1</v>
      </c>
      <c r="DC1022" s="4" t="s">
        <v>241</v>
      </c>
      <c r="DD1022" s="4" t="s">
        <v>241</v>
      </c>
      <c r="DF1022" s="4" t="s">
        <v>241</v>
      </c>
      <c r="DG1022" s="6">
        <f>0</f>
        <v>0</v>
      </c>
      <c r="DI1022" s="4" t="s">
        <v>241</v>
      </c>
      <c r="DJ1022" s="4" t="s">
        <v>241</v>
      </c>
      <c r="DK1022" s="4" t="s">
        <v>241</v>
      </c>
      <c r="DL1022" s="4" t="s">
        <v>241</v>
      </c>
      <c r="DM1022" s="4" t="s">
        <v>278</v>
      </c>
      <c r="DN1022" s="4" t="s">
        <v>278</v>
      </c>
      <c r="DO1022" s="6" t="s">
        <v>241</v>
      </c>
      <c r="DP1022" s="4" t="s">
        <v>241</v>
      </c>
      <c r="DQ1022" s="4" t="s">
        <v>241</v>
      </c>
      <c r="DR1022" s="4" t="s">
        <v>241</v>
      </c>
      <c r="DS1022" s="4" t="s">
        <v>241</v>
      </c>
      <c r="DV1022" s="4" t="s">
        <v>1704</v>
      </c>
      <c r="DW1022" s="4" t="s">
        <v>323</v>
      </c>
      <c r="GN1022" s="4" t="s">
        <v>2703</v>
      </c>
      <c r="HO1022" s="4" t="s">
        <v>323</v>
      </c>
      <c r="HR1022" s="4" t="s">
        <v>278</v>
      </c>
      <c r="HS1022" s="4" t="s">
        <v>278</v>
      </c>
      <c r="HT1022" s="4" t="s">
        <v>241</v>
      </c>
      <c r="HU1022" s="4" t="s">
        <v>241</v>
      </c>
      <c r="HV1022" s="4" t="s">
        <v>241</v>
      </c>
      <c r="HW1022" s="4" t="s">
        <v>241</v>
      </c>
      <c r="HX1022" s="4" t="s">
        <v>241</v>
      </c>
      <c r="HY1022" s="4" t="s">
        <v>241</v>
      </c>
      <c r="HZ1022" s="4" t="s">
        <v>241</v>
      </c>
      <c r="IA1022" s="4" t="s">
        <v>241</v>
      </c>
      <c r="IB1022" s="4" t="s">
        <v>241</v>
      </c>
      <c r="IC1022" s="4" t="s">
        <v>241</v>
      </c>
      <c r="ID1022" s="4" t="s">
        <v>241</v>
      </c>
      <c r="IE1022" s="4" t="s">
        <v>241</v>
      </c>
      <c r="IF1022" s="4" t="s">
        <v>241</v>
      </c>
    </row>
    <row r="1023" spans="1:240" x14ac:dyDescent="0.4">
      <c r="A1023" s="4">
        <v>2</v>
      </c>
      <c r="B1023" s="4" t="s">
        <v>239</v>
      </c>
      <c r="C1023" s="4">
        <v>1308</v>
      </c>
      <c r="D1023" s="4">
        <v>1</v>
      </c>
      <c r="E1023" s="4">
        <v>1</v>
      </c>
      <c r="F1023" s="4" t="s">
        <v>240</v>
      </c>
      <c r="G1023" s="4" t="s">
        <v>241</v>
      </c>
      <c r="H1023" s="4" t="s">
        <v>241</v>
      </c>
      <c r="I1023" s="4" t="s">
        <v>1695</v>
      </c>
      <c r="J1023" s="4" t="s">
        <v>944</v>
      </c>
      <c r="K1023" s="4" t="s">
        <v>256</v>
      </c>
      <c r="L1023" s="4" t="s">
        <v>1666</v>
      </c>
      <c r="M1023" s="5" t="s">
        <v>1697</v>
      </c>
      <c r="N1023" s="4" t="s">
        <v>1666</v>
      </c>
      <c r="O1023" s="6">
        <f>702.68</f>
        <v>702.68</v>
      </c>
      <c r="P1023" s="4" t="s">
        <v>276</v>
      </c>
      <c r="Q1023" s="6">
        <f>1</f>
        <v>1</v>
      </c>
      <c r="R1023" s="6">
        <f>56214400</f>
        <v>56214400</v>
      </c>
      <c r="S1023" s="5" t="s">
        <v>1696</v>
      </c>
      <c r="T1023" s="4" t="s">
        <v>357</v>
      </c>
      <c r="U1023" s="4" t="s">
        <v>669</v>
      </c>
      <c r="W1023" s="6">
        <f>56214399</f>
        <v>56214399</v>
      </c>
      <c r="X1023" s="4" t="s">
        <v>243</v>
      </c>
      <c r="Y1023" s="4" t="s">
        <v>244</v>
      </c>
      <c r="Z1023" s="4" t="s">
        <v>874</v>
      </c>
      <c r="AA1023" s="4" t="s">
        <v>241</v>
      </c>
      <c r="AD1023" s="4" t="s">
        <v>241</v>
      </c>
      <c r="AF1023" s="5" t="s">
        <v>241</v>
      </c>
      <c r="AI1023" s="5" t="s">
        <v>249</v>
      </c>
      <c r="AJ1023" s="4" t="s">
        <v>251</v>
      </c>
      <c r="AK1023" s="4" t="s">
        <v>252</v>
      </c>
      <c r="BA1023" s="4" t="s">
        <v>254</v>
      </c>
      <c r="BB1023" s="4" t="s">
        <v>241</v>
      </c>
      <c r="BC1023" s="4" t="s">
        <v>255</v>
      </c>
      <c r="BD1023" s="4" t="s">
        <v>241</v>
      </c>
      <c r="BE1023" s="4" t="s">
        <v>257</v>
      </c>
      <c r="BF1023" s="4" t="s">
        <v>241</v>
      </c>
      <c r="BJ1023" s="4" t="s">
        <v>367</v>
      </c>
      <c r="BK1023" s="5" t="s">
        <v>249</v>
      </c>
      <c r="BL1023" s="4" t="s">
        <v>261</v>
      </c>
      <c r="BM1023" s="4" t="s">
        <v>262</v>
      </c>
      <c r="BN1023" s="4" t="s">
        <v>241</v>
      </c>
      <c r="BO1023" s="6">
        <f>0</f>
        <v>0</v>
      </c>
      <c r="BP1023" s="6">
        <f>0</f>
        <v>0</v>
      </c>
      <c r="BQ1023" s="4" t="s">
        <v>263</v>
      </c>
      <c r="BR1023" s="4" t="s">
        <v>264</v>
      </c>
      <c r="CF1023" s="4" t="s">
        <v>241</v>
      </c>
      <c r="CG1023" s="4" t="s">
        <v>241</v>
      </c>
      <c r="CK1023" s="4" t="s">
        <v>265</v>
      </c>
      <c r="CL1023" s="4" t="s">
        <v>266</v>
      </c>
      <c r="CM1023" s="4" t="s">
        <v>241</v>
      </c>
      <c r="CO1023" s="4" t="s">
        <v>841</v>
      </c>
      <c r="CP1023" s="5" t="s">
        <v>268</v>
      </c>
      <c r="CQ1023" s="4" t="s">
        <v>269</v>
      </c>
      <c r="CR1023" s="4" t="s">
        <v>270</v>
      </c>
      <c r="CS1023" s="4" t="s">
        <v>241</v>
      </c>
      <c r="CT1023" s="4" t="s">
        <v>241</v>
      </c>
      <c r="CU1023" s="4">
        <v>0</v>
      </c>
      <c r="CV1023" s="4" t="s">
        <v>271</v>
      </c>
      <c r="CW1023" s="4" t="s">
        <v>1671</v>
      </c>
      <c r="CX1023" s="4" t="s">
        <v>487</v>
      </c>
      <c r="CZ1023" s="6">
        <f>56214400</f>
        <v>56214400</v>
      </c>
      <c r="DA1023" s="6">
        <f>0</f>
        <v>0</v>
      </c>
      <c r="DC1023" s="4" t="s">
        <v>241</v>
      </c>
      <c r="DD1023" s="4" t="s">
        <v>241</v>
      </c>
      <c r="DF1023" s="4" t="s">
        <v>241</v>
      </c>
      <c r="DI1023" s="4" t="s">
        <v>241</v>
      </c>
      <c r="DJ1023" s="4" t="s">
        <v>241</v>
      </c>
      <c r="DK1023" s="4" t="s">
        <v>241</v>
      </c>
      <c r="DL1023" s="4" t="s">
        <v>241</v>
      </c>
      <c r="DM1023" s="4" t="s">
        <v>277</v>
      </c>
      <c r="DN1023" s="4" t="s">
        <v>278</v>
      </c>
      <c r="DO1023" s="6">
        <f>702.68</f>
        <v>702.68</v>
      </c>
      <c r="DP1023" s="4" t="s">
        <v>241</v>
      </c>
      <c r="DQ1023" s="4" t="s">
        <v>241</v>
      </c>
      <c r="DR1023" s="4" t="s">
        <v>241</v>
      </c>
      <c r="DS1023" s="4" t="s">
        <v>241</v>
      </c>
      <c r="DV1023" s="4" t="s">
        <v>1698</v>
      </c>
      <c r="DW1023" s="4" t="s">
        <v>277</v>
      </c>
      <c r="HO1023" s="4" t="s">
        <v>277</v>
      </c>
      <c r="HR1023" s="4" t="s">
        <v>278</v>
      </c>
      <c r="HS1023" s="4" t="s">
        <v>278</v>
      </c>
    </row>
    <row r="1024" spans="1:240" x14ac:dyDescent="0.4">
      <c r="A1024" s="4">
        <v>2</v>
      </c>
      <c r="B1024" s="4" t="s">
        <v>239</v>
      </c>
      <c r="C1024" s="4">
        <v>1309</v>
      </c>
      <c r="D1024" s="4">
        <v>1</v>
      </c>
      <c r="E1024" s="4">
        <v>1</v>
      </c>
      <c r="F1024" s="4" t="s">
        <v>240</v>
      </c>
      <c r="G1024" s="4" t="s">
        <v>241</v>
      </c>
      <c r="H1024" s="4" t="s">
        <v>241</v>
      </c>
      <c r="I1024" s="4" t="s">
        <v>1695</v>
      </c>
      <c r="J1024" s="4" t="s">
        <v>944</v>
      </c>
      <c r="K1024" s="4" t="s">
        <v>256</v>
      </c>
      <c r="L1024" s="4" t="s">
        <v>430</v>
      </c>
      <c r="M1024" s="5" t="s">
        <v>1697</v>
      </c>
      <c r="N1024" s="4" t="s">
        <v>430</v>
      </c>
      <c r="O1024" s="6">
        <f>16.2</f>
        <v>16.2</v>
      </c>
      <c r="P1024" s="4" t="s">
        <v>276</v>
      </c>
      <c r="Q1024" s="6">
        <f>1</f>
        <v>1</v>
      </c>
      <c r="R1024" s="6">
        <f>972000</f>
        <v>972000</v>
      </c>
      <c r="S1024" s="5" t="s">
        <v>1696</v>
      </c>
      <c r="T1024" s="4" t="s">
        <v>348</v>
      </c>
      <c r="U1024" s="4" t="s">
        <v>669</v>
      </c>
      <c r="W1024" s="6">
        <f>971999</f>
        <v>971999</v>
      </c>
      <c r="X1024" s="4" t="s">
        <v>243</v>
      </c>
      <c r="Y1024" s="4" t="s">
        <v>244</v>
      </c>
      <c r="Z1024" s="4" t="s">
        <v>874</v>
      </c>
      <c r="AA1024" s="4" t="s">
        <v>241</v>
      </c>
      <c r="AD1024" s="4" t="s">
        <v>241</v>
      </c>
      <c r="AF1024" s="5" t="s">
        <v>241</v>
      </c>
      <c r="AI1024" s="5" t="s">
        <v>388</v>
      </c>
      <c r="AJ1024" s="4" t="s">
        <v>251</v>
      </c>
      <c r="AK1024" s="4" t="s">
        <v>252</v>
      </c>
      <c r="BA1024" s="4" t="s">
        <v>254</v>
      </c>
      <c r="BB1024" s="4" t="s">
        <v>241</v>
      </c>
      <c r="BC1024" s="4" t="s">
        <v>255</v>
      </c>
      <c r="BD1024" s="4" t="s">
        <v>241</v>
      </c>
      <c r="BE1024" s="4" t="s">
        <v>257</v>
      </c>
      <c r="BF1024" s="4" t="s">
        <v>241</v>
      </c>
      <c r="BJ1024" s="4" t="s">
        <v>377</v>
      </c>
      <c r="BK1024" s="5" t="s">
        <v>388</v>
      </c>
      <c r="BL1024" s="4" t="s">
        <v>261</v>
      </c>
      <c r="BM1024" s="4" t="s">
        <v>262</v>
      </c>
      <c r="BN1024" s="4" t="s">
        <v>241</v>
      </c>
      <c r="BO1024" s="6">
        <f>0</f>
        <v>0</v>
      </c>
      <c r="BP1024" s="6">
        <f>0</f>
        <v>0</v>
      </c>
      <c r="BQ1024" s="4" t="s">
        <v>263</v>
      </c>
      <c r="BR1024" s="4" t="s">
        <v>264</v>
      </c>
      <c r="CF1024" s="4" t="s">
        <v>241</v>
      </c>
      <c r="CG1024" s="4" t="s">
        <v>241</v>
      </c>
      <c r="CK1024" s="4" t="s">
        <v>265</v>
      </c>
      <c r="CL1024" s="4" t="s">
        <v>266</v>
      </c>
      <c r="CM1024" s="4" t="s">
        <v>241</v>
      </c>
      <c r="CO1024" s="4" t="s">
        <v>841</v>
      </c>
      <c r="CP1024" s="5" t="s">
        <v>268</v>
      </c>
      <c r="CQ1024" s="4" t="s">
        <v>269</v>
      </c>
      <c r="CR1024" s="4" t="s">
        <v>270</v>
      </c>
      <c r="CS1024" s="4" t="s">
        <v>241</v>
      </c>
      <c r="CT1024" s="4" t="s">
        <v>241</v>
      </c>
      <c r="CU1024" s="4">
        <v>0</v>
      </c>
      <c r="CV1024" s="4" t="s">
        <v>271</v>
      </c>
      <c r="CW1024" s="4" t="s">
        <v>272</v>
      </c>
      <c r="CX1024" s="4" t="s">
        <v>347</v>
      </c>
      <c r="CZ1024" s="6">
        <f>972000</f>
        <v>972000</v>
      </c>
      <c r="DA1024" s="6">
        <f>0</f>
        <v>0</v>
      </c>
      <c r="DC1024" s="4" t="s">
        <v>241</v>
      </c>
      <c r="DD1024" s="4" t="s">
        <v>241</v>
      </c>
      <c r="DF1024" s="4" t="s">
        <v>241</v>
      </c>
      <c r="DI1024" s="4" t="s">
        <v>241</v>
      </c>
      <c r="DJ1024" s="4" t="s">
        <v>241</v>
      </c>
      <c r="DK1024" s="4" t="s">
        <v>241</v>
      </c>
      <c r="DL1024" s="4" t="s">
        <v>241</v>
      </c>
      <c r="DM1024" s="4" t="s">
        <v>277</v>
      </c>
      <c r="DN1024" s="4" t="s">
        <v>278</v>
      </c>
      <c r="DO1024" s="6">
        <f>16.2</f>
        <v>16.2</v>
      </c>
      <c r="DP1024" s="4" t="s">
        <v>241</v>
      </c>
      <c r="DQ1024" s="4" t="s">
        <v>241</v>
      </c>
      <c r="DR1024" s="4" t="s">
        <v>241</v>
      </c>
      <c r="DS1024" s="4" t="s">
        <v>241</v>
      </c>
      <c r="DV1024" s="4" t="s">
        <v>1698</v>
      </c>
      <c r="DW1024" s="4" t="s">
        <v>323</v>
      </c>
      <c r="HO1024" s="4" t="s">
        <v>277</v>
      </c>
      <c r="HR1024" s="4" t="s">
        <v>278</v>
      </c>
      <c r="HS1024" s="4" t="s">
        <v>278</v>
      </c>
    </row>
    <row r="1025" spans="1:240" x14ac:dyDescent="0.4">
      <c r="A1025" s="4">
        <v>2</v>
      </c>
      <c r="B1025" s="4" t="s">
        <v>239</v>
      </c>
      <c r="C1025" s="4">
        <v>1311</v>
      </c>
      <c r="D1025" s="4">
        <v>1</v>
      </c>
      <c r="E1025" s="4">
        <v>6</v>
      </c>
      <c r="F1025" s="4" t="s">
        <v>240</v>
      </c>
      <c r="G1025" s="4" t="s">
        <v>241</v>
      </c>
      <c r="H1025" s="4" t="s">
        <v>241</v>
      </c>
      <c r="I1025" s="4" t="s">
        <v>873</v>
      </c>
      <c r="J1025" s="4" t="s">
        <v>875</v>
      </c>
      <c r="K1025" s="4" t="s">
        <v>256</v>
      </c>
      <c r="L1025" s="4" t="s">
        <v>897</v>
      </c>
      <c r="M1025" s="5" t="s">
        <v>878</v>
      </c>
      <c r="N1025" s="4" t="s">
        <v>1485</v>
      </c>
      <c r="O1025" s="6">
        <f>64.63</f>
        <v>64.63</v>
      </c>
      <c r="P1025" s="4" t="s">
        <v>276</v>
      </c>
      <c r="Q1025" s="6">
        <f>6456756</f>
        <v>6456756</v>
      </c>
      <c r="R1025" s="6">
        <f>24550383</f>
        <v>24550383</v>
      </c>
      <c r="S1025" s="5" t="s">
        <v>1754</v>
      </c>
      <c r="T1025" s="4" t="s">
        <v>348</v>
      </c>
      <c r="U1025" s="4" t="s">
        <v>427</v>
      </c>
      <c r="V1025" s="6">
        <f>2231853</f>
        <v>2231853</v>
      </c>
      <c r="W1025" s="6">
        <f>18093627</f>
        <v>18093627</v>
      </c>
      <c r="X1025" s="4" t="s">
        <v>243</v>
      </c>
      <c r="Y1025" s="4" t="s">
        <v>244</v>
      </c>
      <c r="Z1025" s="4" t="s">
        <v>874</v>
      </c>
      <c r="AA1025" s="4" t="s">
        <v>241</v>
      </c>
      <c r="AD1025" s="4" t="s">
        <v>241</v>
      </c>
      <c r="AE1025" s="5" t="s">
        <v>241</v>
      </c>
      <c r="AF1025" s="5" t="s">
        <v>241</v>
      </c>
      <c r="AH1025" s="5" t="s">
        <v>241</v>
      </c>
      <c r="AI1025" s="5" t="s">
        <v>388</v>
      </c>
      <c r="AJ1025" s="4" t="s">
        <v>251</v>
      </c>
      <c r="AK1025" s="4" t="s">
        <v>252</v>
      </c>
      <c r="AQ1025" s="4" t="s">
        <v>241</v>
      </c>
      <c r="AR1025" s="4" t="s">
        <v>241</v>
      </c>
      <c r="AS1025" s="4" t="s">
        <v>241</v>
      </c>
      <c r="AT1025" s="5" t="s">
        <v>241</v>
      </c>
      <c r="AU1025" s="5" t="s">
        <v>241</v>
      </c>
      <c r="AV1025" s="5" t="s">
        <v>241</v>
      </c>
      <c r="AY1025" s="4" t="s">
        <v>286</v>
      </c>
      <c r="AZ1025" s="4" t="s">
        <v>286</v>
      </c>
      <c r="BA1025" s="4" t="s">
        <v>254</v>
      </c>
      <c r="BB1025" s="4" t="s">
        <v>287</v>
      </c>
      <c r="BC1025" s="4" t="s">
        <v>255</v>
      </c>
      <c r="BD1025" s="4" t="s">
        <v>241</v>
      </c>
      <c r="BE1025" s="4" t="s">
        <v>257</v>
      </c>
      <c r="BF1025" s="4" t="s">
        <v>241</v>
      </c>
      <c r="BJ1025" s="4" t="s">
        <v>288</v>
      </c>
      <c r="BK1025" s="5" t="s">
        <v>289</v>
      </c>
      <c r="BL1025" s="4" t="s">
        <v>290</v>
      </c>
      <c r="BM1025" s="4" t="s">
        <v>290</v>
      </c>
      <c r="BN1025" s="4" t="s">
        <v>241</v>
      </c>
      <c r="BO1025" s="6">
        <f>0</f>
        <v>0</v>
      </c>
      <c r="BP1025" s="6">
        <f>-1644875</f>
        <v>-1644875</v>
      </c>
      <c r="BQ1025" s="4" t="s">
        <v>263</v>
      </c>
      <c r="BR1025" s="4" t="s">
        <v>264</v>
      </c>
      <c r="BS1025" s="4" t="s">
        <v>241</v>
      </c>
      <c r="BT1025" s="4" t="s">
        <v>241</v>
      </c>
      <c r="BU1025" s="4" t="s">
        <v>241</v>
      </c>
      <c r="BV1025" s="4" t="s">
        <v>241</v>
      </c>
      <c r="CE1025" s="4" t="s">
        <v>264</v>
      </c>
      <c r="CF1025" s="4" t="s">
        <v>241</v>
      </c>
      <c r="CG1025" s="4" t="s">
        <v>241</v>
      </c>
      <c r="CK1025" s="4" t="s">
        <v>291</v>
      </c>
      <c r="CL1025" s="4" t="s">
        <v>266</v>
      </c>
      <c r="CM1025" s="4" t="s">
        <v>241</v>
      </c>
      <c r="CO1025" s="4" t="s">
        <v>1438</v>
      </c>
      <c r="CP1025" s="5" t="s">
        <v>268</v>
      </c>
      <c r="CQ1025" s="4" t="s">
        <v>269</v>
      </c>
      <c r="CR1025" s="4" t="s">
        <v>270</v>
      </c>
      <c r="CS1025" s="4" t="s">
        <v>293</v>
      </c>
      <c r="CT1025" s="4" t="s">
        <v>241</v>
      </c>
      <c r="CU1025" s="4">
        <v>6.7000000000000004E-2</v>
      </c>
      <c r="CV1025" s="4" t="s">
        <v>271</v>
      </c>
      <c r="CW1025" s="4" t="s">
        <v>332</v>
      </c>
      <c r="CX1025" s="4" t="s">
        <v>347</v>
      </c>
      <c r="CY1025" s="6">
        <f>0</f>
        <v>0</v>
      </c>
      <c r="CZ1025" s="6">
        <f>33311250</f>
        <v>33311250</v>
      </c>
      <c r="DA1025" s="6">
        <f>6456756</f>
        <v>6456756</v>
      </c>
      <c r="DC1025" s="4" t="s">
        <v>241</v>
      </c>
      <c r="DD1025" s="4" t="s">
        <v>241</v>
      </c>
      <c r="DF1025" s="4" t="s">
        <v>241</v>
      </c>
      <c r="DG1025" s="6">
        <f>0</f>
        <v>0</v>
      </c>
      <c r="DI1025" s="4" t="s">
        <v>241</v>
      </c>
      <c r="DJ1025" s="4" t="s">
        <v>241</v>
      </c>
      <c r="DK1025" s="4" t="s">
        <v>241</v>
      </c>
      <c r="DL1025" s="4" t="s">
        <v>241</v>
      </c>
      <c r="DM1025" s="4" t="s">
        <v>277</v>
      </c>
      <c r="DN1025" s="4" t="s">
        <v>278</v>
      </c>
      <c r="DO1025" s="6">
        <f>64.63</f>
        <v>64.63</v>
      </c>
      <c r="DP1025" s="4" t="s">
        <v>241</v>
      </c>
      <c r="DQ1025" s="4" t="s">
        <v>241</v>
      </c>
      <c r="DR1025" s="4" t="s">
        <v>241</v>
      </c>
      <c r="DS1025" s="4" t="s">
        <v>241</v>
      </c>
      <c r="DV1025" s="4" t="s">
        <v>879</v>
      </c>
      <c r="DW1025" s="4" t="s">
        <v>323</v>
      </c>
      <c r="GN1025" s="4" t="s">
        <v>1755</v>
      </c>
      <c r="HO1025" s="4" t="s">
        <v>300</v>
      </c>
      <c r="HR1025" s="4" t="s">
        <v>278</v>
      </c>
      <c r="HS1025" s="4" t="s">
        <v>278</v>
      </c>
      <c r="HT1025" s="4" t="s">
        <v>241</v>
      </c>
      <c r="HU1025" s="4" t="s">
        <v>241</v>
      </c>
      <c r="HV1025" s="4" t="s">
        <v>241</v>
      </c>
      <c r="HW1025" s="4" t="s">
        <v>241</v>
      </c>
      <c r="HX1025" s="4" t="s">
        <v>241</v>
      </c>
      <c r="HY1025" s="4" t="s">
        <v>241</v>
      </c>
      <c r="HZ1025" s="4" t="s">
        <v>241</v>
      </c>
      <c r="IA1025" s="4" t="s">
        <v>241</v>
      </c>
      <c r="IB1025" s="4" t="s">
        <v>241</v>
      </c>
      <c r="IC1025" s="4" t="s">
        <v>241</v>
      </c>
      <c r="ID1025" s="4" t="s">
        <v>241</v>
      </c>
      <c r="IE1025" s="4" t="s">
        <v>241</v>
      </c>
      <c r="IF1025" s="4" t="s">
        <v>241</v>
      </c>
    </row>
    <row r="1026" spans="1:240" x14ac:dyDescent="0.4">
      <c r="A1026" s="4">
        <v>2</v>
      </c>
      <c r="B1026" s="4" t="s">
        <v>239</v>
      </c>
      <c r="C1026" s="4">
        <v>1314</v>
      </c>
      <c r="D1026" s="4">
        <v>1</v>
      </c>
      <c r="E1026" s="4">
        <v>6</v>
      </c>
      <c r="F1026" s="4" t="s">
        <v>326</v>
      </c>
      <c r="G1026" s="4" t="s">
        <v>241</v>
      </c>
      <c r="H1026" s="4" t="s">
        <v>241</v>
      </c>
      <c r="I1026" s="4" t="s">
        <v>873</v>
      </c>
      <c r="J1026" s="4" t="s">
        <v>875</v>
      </c>
      <c r="K1026" s="4" t="s">
        <v>256</v>
      </c>
      <c r="L1026" s="4" t="s">
        <v>877</v>
      </c>
      <c r="M1026" s="5" t="s">
        <v>878</v>
      </c>
      <c r="N1026" s="4" t="s">
        <v>872</v>
      </c>
      <c r="O1026" s="6">
        <f>0</f>
        <v>0</v>
      </c>
      <c r="P1026" s="4" t="s">
        <v>276</v>
      </c>
      <c r="Q1026" s="6">
        <f>469925</f>
        <v>469925</v>
      </c>
      <c r="R1026" s="6">
        <f>575888</f>
        <v>575888</v>
      </c>
      <c r="S1026" s="5" t="s">
        <v>876</v>
      </c>
      <c r="T1026" s="4" t="s">
        <v>314</v>
      </c>
      <c r="U1026" s="4" t="s">
        <v>297</v>
      </c>
      <c r="V1026" s="6">
        <f>143972</f>
        <v>143972</v>
      </c>
      <c r="W1026" s="6">
        <f>105963</f>
        <v>105963</v>
      </c>
      <c r="X1026" s="4" t="s">
        <v>243</v>
      </c>
      <c r="Y1026" s="4" t="s">
        <v>244</v>
      </c>
      <c r="Z1026" s="4" t="s">
        <v>874</v>
      </c>
      <c r="AA1026" s="4" t="s">
        <v>241</v>
      </c>
      <c r="AD1026" s="4" t="s">
        <v>241</v>
      </c>
      <c r="AE1026" s="5" t="s">
        <v>241</v>
      </c>
      <c r="AF1026" s="5" t="s">
        <v>241</v>
      </c>
      <c r="AH1026" s="5" t="s">
        <v>241</v>
      </c>
      <c r="AI1026" s="5" t="s">
        <v>249</v>
      </c>
      <c r="AJ1026" s="4" t="s">
        <v>251</v>
      </c>
      <c r="AK1026" s="4" t="s">
        <v>252</v>
      </c>
      <c r="AQ1026" s="4" t="s">
        <v>241</v>
      </c>
      <c r="AR1026" s="4" t="s">
        <v>241</v>
      </c>
      <c r="AS1026" s="4" t="s">
        <v>241</v>
      </c>
      <c r="AT1026" s="5" t="s">
        <v>241</v>
      </c>
      <c r="AU1026" s="5" t="s">
        <v>241</v>
      </c>
      <c r="AV1026" s="5" t="s">
        <v>241</v>
      </c>
      <c r="AY1026" s="4" t="s">
        <v>286</v>
      </c>
      <c r="AZ1026" s="4" t="s">
        <v>286</v>
      </c>
      <c r="BA1026" s="4" t="s">
        <v>254</v>
      </c>
      <c r="BB1026" s="4" t="s">
        <v>287</v>
      </c>
      <c r="BC1026" s="4" t="s">
        <v>255</v>
      </c>
      <c r="BD1026" s="4" t="s">
        <v>241</v>
      </c>
      <c r="BE1026" s="4" t="s">
        <v>257</v>
      </c>
      <c r="BF1026" s="4" t="s">
        <v>241</v>
      </c>
      <c r="BH1026" s="4" t="s">
        <v>500</v>
      </c>
      <c r="BJ1026" s="4" t="s">
        <v>288</v>
      </c>
      <c r="BK1026" s="5" t="s">
        <v>289</v>
      </c>
      <c r="BL1026" s="4" t="s">
        <v>290</v>
      </c>
      <c r="BM1026" s="4" t="s">
        <v>290</v>
      </c>
      <c r="BN1026" s="4" t="s">
        <v>241</v>
      </c>
      <c r="BO1026" s="6">
        <f>0</f>
        <v>0</v>
      </c>
      <c r="BP1026" s="6">
        <f>-26490</f>
        <v>-26490</v>
      </c>
      <c r="BQ1026" s="4" t="s">
        <v>263</v>
      </c>
      <c r="BR1026" s="4" t="s">
        <v>264</v>
      </c>
      <c r="BS1026" s="4" t="s">
        <v>241</v>
      </c>
      <c r="BT1026" s="4" t="s">
        <v>241</v>
      </c>
      <c r="BU1026" s="4" t="s">
        <v>241</v>
      </c>
      <c r="BV1026" s="4" t="s">
        <v>241</v>
      </c>
      <c r="CE1026" s="4" t="s">
        <v>264</v>
      </c>
      <c r="CF1026" s="4" t="s">
        <v>241</v>
      </c>
      <c r="CG1026" s="4" t="s">
        <v>241</v>
      </c>
      <c r="CK1026" s="4" t="s">
        <v>291</v>
      </c>
      <c r="CL1026" s="4" t="s">
        <v>266</v>
      </c>
      <c r="CM1026" s="4" t="s">
        <v>241</v>
      </c>
      <c r="CO1026" s="4" t="s">
        <v>413</v>
      </c>
      <c r="CP1026" s="5" t="s">
        <v>268</v>
      </c>
      <c r="CQ1026" s="4" t="s">
        <v>269</v>
      </c>
      <c r="CR1026" s="4" t="s">
        <v>270</v>
      </c>
      <c r="CS1026" s="4" t="s">
        <v>293</v>
      </c>
      <c r="CT1026" s="4" t="s">
        <v>241</v>
      </c>
      <c r="CU1026" s="4">
        <v>4.5999999999999999E-2</v>
      </c>
      <c r="CV1026" s="4" t="s">
        <v>271</v>
      </c>
      <c r="CW1026" s="4" t="s">
        <v>655</v>
      </c>
      <c r="CX1026" s="4" t="s">
        <v>347</v>
      </c>
      <c r="CY1026" s="6">
        <f>0</f>
        <v>0</v>
      </c>
      <c r="CZ1026" s="6">
        <f>3129840</f>
        <v>3129840</v>
      </c>
      <c r="DA1026" s="6">
        <f>469925</f>
        <v>469925</v>
      </c>
      <c r="DC1026" s="4" t="s">
        <v>241</v>
      </c>
      <c r="DD1026" s="4" t="s">
        <v>241</v>
      </c>
      <c r="DF1026" s="4" t="s">
        <v>241</v>
      </c>
      <c r="DG1026" s="6">
        <f>0</f>
        <v>0</v>
      </c>
      <c r="DI1026" s="4" t="s">
        <v>241</v>
      </c>
      <c r="DJ1026" s="4" t="s">
        <v>241</v>
      </c>
      <c r="DK1026" s="4" t="s">
        <v>241</v>
      </c>
      <c r="DL1026" s="4" t="s">
        <v>241</v>
      </c>
      <c r="DM1026" s="4" t="s">
        <v>278</v>
      </c>
      <c r="DN1026" s="4" t="s">
        <v>278</v>
      </c>
      <c r="DO1026" s="6" t="s">
        <v>241</v>
      </c>
      <c r="DP1026" s="4" t="s">
        <v>241</v>
      </c>
      <c r="DQ1026" s="4" t="s">
        <v>241</v>
      </c>
      <c r="DR1026" s="4" t="s">
        <v>241</v>
      </c>
      <c r="DS1026" s="4" t="s">
        <v>241</v>
      </c>
      <c r="DV1026" s="4" t="s">
        <v>879</v>
      </c>
      <c r="DW1026" s="4" t="s">
        <v>351</v>
      </c>
      <c r="GN1026" s="4" t="s">
        <v>880</v>
      </c>
      <c r="HO1026" s="4" t="s">
        <v>351</v>
      </c>
      <c r="HR1026" s="4" t="s">
        <v>278</v>
      </c>
      <c r="HS1026" s="4" t="s">
        <v>278</v>
      </c>
      <c r="HT1026" s="4" t="s">
        <v>241</v>
      </c>
      <c r="HU1026" s="4" t="s">
        <v>241</v>
      </c>
      <c r="HV1026" s="4" t="s">
        <v>241</v>
      </c>
      <c r="HW1026" s="4" t="s">
        <v>241</v>
      </c>
      <c r="HX1026" s="4" t="s">
        <v>241</v>
      </c>
      <c r="HY1026" s="4" t="s">
        <v>241</v>
      </c>
      <c r="HZ1026" s="4" t="s">
        <v>241</v>
      </c>
      <c r="IA1026" s="4" t="s">
        <v>241</v>
      </c>
      <c r="IB1026" s="4" t="s">
        <v>241</v>
      </c>
      <c r="IC1026" s="4" t="s">
        <v>241</v>
      </c>
      <c r="ID1026" s="4" t="s">
        <v>241</v>
      </c>
      <c r="IE1026" s="4" t="s">
        <v>241</v>
      </c>
      <c r="IF1026" s="4" t="s">
        <v>241</v>
      </c>
    </row>
    <row r="1027" spans="1:240" x14ac:dyDescent="0.4">
      <c r="A1027" s="4">
        <v>2</v>
      </c>
      <c r="B1027" s="4" t="s">
        <v>239</v>
      </c>
      <c r="C1027" s="4">
        <v>1315</v>
      </c>
      <c r="D1027" s="4">
        <v>1</v>
      </c>
      <c r="E1027" s="4">
        <v>6</v>
      </c>
      <c r="F1027" s="4" t="s">
        <v>326</v>
      </c>
      <c r="G1027" s="4" t="s">
        <v>241</v>
      </c>
      <c r="H1027" s="4" t="s">
        <v>241</v>
      </c>
      <c r="I1027" s="4" t="s">
        <v>873</v>
      </c>
      <c r="J1027" s="4" t="s">
        <v>875</v>
      </c>
      <c r="K1027" s="4" t="s">
        <v>256</v>
      </c>
      <c r="L1027" s="4" t="s">
        <v>897</v>
      </c>
      <c r="M1027" s="5" t="s">
        <v>878</v>
      </c>
      <c r="N1027" s="4" t="s">
        <v>895</v>
      </c>
      <c r="O1027" s="6">
        <f>0</f>
        <v>0</v>
      </c>
      <c r="P1027" s="4" t="s">
        <v>276</v>
      </c>
      <c r="Q1027" s="6">
        <f>467925</f>
        <v>467925</v>
      </c>
      <c r="R1027" s="6">
        <f>497792</f>
        <v>497792</v>
      </c>
      <c r="S1027" s="5" t="s">
        <v>896</v>
      </c>
      <c r="T1027" s="4" t="s">
        <v>357</v>
      </c>
      <c r="U1027" s="4" t="s">
        <v>277</v>
      </c>
      <c r="V1027" s="6">
        <f>248896</f>
        <v>248896</v>
      </c>
      <c r="W1027" s="6">
        <f>29867</f>
        <v>29867</v>
      </c>
      <c r="X1027" s="4" t="s">
        <v>243</v>
      </c>
      <c r="Y1027" s="4" t="s">
        <v>244</v>
      </c>
      <c r="Z1027" s="4" t="s">
        <v>874</v>
      </c>
      <c r="AA1027" s="4" t="s">
        <v>241</v>
      </c>
      <c r="AD1027" s="4" t="s">
        <v>241</v>
      </c>
      <c r="AE1027" s="5" t="s">
        <v>241</v>
      </c>
      <c r="AF1027" s="5" t="s">
        <v>241</v>
      </c>
      <c r="AH1027" s="5" t="s">
        <v>241</v>
      </c>
      <c r="AI1027" s="5" t="s">
        <v>249</v>
      </c>
      <c r="AJ1027" s="4" t="s">
        <v>251</v>
      </c>
      <c r="AK1027" s="4" t="s">
        <v>252</v>
      </c>
      <c r="AQ1027" s="4" t="s">
        <v>241</v>
      </c>
      <c r="AR1027" s="4" t="s">
        <v>241</v>
      </c>
      <c r="AS1027" s="4" t="s">
        <v>241</v>
      </c>
      <c r="AT1027" s="5" t="s">
        <v>241</v>
      </c>
      <c r="AU1027" s="5" t="s">
        <v>241</v>
      </c>
      <c r="AV1027" s="5" t="s">
        <v>241</v>
      </c>
      <c r="AY1027" s="4" t="s">
        <v>286</v>
      </c>
      <c r="AZ1027" s="4" t="s">
        <v>286</v>
      </c>
      <c r="BA1027" s="4" t="s">
        <v>254</v>
      </c>
      <c r="BB1027" s="4" t="s">
        <v>287</v>
      </c>
      <c r="BC1027" s="4" t="s">
        <v>255</v>
      </c>
      <c r="BD1027" s="4" t="s">
        <v>241</v>
      </c>
      <c r="BE1027" s="4" t="s">
        <v>257</v>
      </c>
      <c r="BF1027" s="4" t="s">
        <v>241</v>
      </c>
      <c r="BJ1027" s="4" t="s">
        <v>288</v>
      </c>
      <c r="BK1027" s="5" t="s">
        <v>289</v>
      </c>
      <c r="BL1027" s="4" t="s">
        <v>290</v>
      </c>
      <c r="BM1027" s="4" t="s">
        <v>290</v>
      </c>
      <c r="BN1027" s="4" t="s">
        <v>241</v>
      </c>
      <c r="BO1027" s="6">
        <f>0</f>
        <v>0</v>
      </c>
      <c r="BP1027" s="6">
        <f>-14933</f>
        <v>-14933</v>
      </c>
      <c r="BQ1027" s="4" t="s">
        <v>263</v>
      </c>
      <c r="BR1027" s="4" t="s">
        <v>264</v>
      </c>
      <c r="BS1027" s="4" t="s">
        <v>241</v>
      </c>
      <c r="BT1027" s="4" t="s">
        <v>241</v>
      </c>
      <c r="BU1027" s="4" t="s">
        <v>241</v>
      </c>
      <c r="BV1027" s="4" t="s">
        <v>241</v>
      </c>
      <c r="CE1027" s="4" t="s">
        <v>264</v>
      </c>
      <c r="CF1027" s="4" t="s">
        <v>241</v>
      </c>
      <c r="CG1027" s="4" t="s">
        <v>241</v>
      </c>
      <c r="CK1027" s="4" t="s">
        <v>291</v>
      </c>
      <c r="CL1027" s="4" t="s">
        <v>266</v>
      </c>
      <c r="CM1027" s="4" t="s">
        <v>241</v>
      </c>
      <c r="CO1027" s="4" t="s">
        <v>331</v>
      </c>
      <c r="CP1027" s="5" t="s">
        <v>268</v>
      </c>
      <c r="CQ1027" s="4" t="s">
        <v>269</v>
      </c>
      <c r="CR1027" s="4" t="s">
        <v>270</v>
      </c>
      <c r="CS1027" s="4" t="s">
        <v>293</v>
      </c>
      <c r="CT1027" s="4" t="s">
        <v>241</v>
      </c>
      <c r="CU1027" s="4">
        <v>0.03</v>
      </c>
      <c r="CV1027" s="4" t="s">
        <v>271</v>
      </c>
      <c r="CW1027" s="4" t="s">
        <v>655</v>
      </c>
      <c r="CX1027" s="4" t="s">
        <v>487</v>
      </c>
      <c r="CY1027" s="6">
        <f>0</f>
        <v>0</v>
      </c>
      <c r="CZ1027" s="6">
        <f>8296560</f>
        <v>8296560</v>
      </c>
      <c r="DA1027" s="6">
        <f>467925</f>
        <v>467925</v>
      </c>
      <c r="DC1027" s="4" t="s">
        <v>241</v>
      </c>
      <c r="DD1027" s="4" t="s">
        <v>241</v>
      </c>
      <c r="DF1027" s="4" t="s">
        <v>241</v>
      </c>
      <c r="DG1027" s="6">
        <f>0</f>
        <v>0</v>
      </c>
      <c r="DI1027" s="4" t="s">
        <v>241</v>
      </c>
      <c r="DJ1027" s="4" t="s">
        <v>241</v>
      </c>
      <c r="DK1027" s="4" t="s">
        <v>241</v>
      </c>
      <c r="DL1027" s="4" t="s">
        <v>241</v>
      </c>
      <c r="DM1027" s="4" t="s">
        <v>278</v>
      </c>
      <c r="DN1027" s="4" t="s">
        <v>278</v>
      </c>
      <c r="DO1027" s="6" t="s">
        <v>241</v>
      </c>
      <c r="DP1027" s="4" t="s">
        <v>241</v>
      </c>
      <c r="DQ1027" s="4" t="s">
        <v>241</v>
      </c>
      <c r="DR1027" s="4" t="s">
        <v>241</v>
      </c>
      <c r="DS1027" s="4" t="s">
        <v>241</v>
      </c>
      <c r="DV1027" s="4" t="s">
        <v>879</v>
      </c>
      <c r="DW1027" s="4" t="s">
        <v>300</v>
      </c>
      <c r="GN1027" s="4" t="s">
        <v>898</v>
      </c>
      <c r="HO1027" s="4" t="s">
        <v>297</v>
      </c>
      <c r="HR1027" s="4" t="s">
        <v>278</v>
      </c>
      <c r="HS1027" s="4" t="s">
        <v>278</v>
      </c>
      <c r="HT1027" s="4" t="s">
        <v>241</v>
      </c>
      <c r="HU1027" s="4" t="s">
        <v>241</v>
      </c>
      <c r="HV1027" s="4" t="s">
        <v>241</v>
      </c>
      <c r="HW1027" s="4" t="s">
        <v>241</v>
      </c>
      <c r="HX1027" s="4" t="s">
        <v>241</v>
      </c>
      <c r="HY1027" s="4" t="s">
        <v>241</v>
      </c>
      <c r="HZ1027" s="4" t="s">
        <v>241</v>
      </c>
      <c r="IA1027" s="4" t="s">
        <v>241</v>
      </c>
      <c r="IB1027" s="4" t="s">
        <v>241</v>
      </c>
      <c r="IC1027" s="4" t="s">
        <v>241</v>
      </c>
      <c r="ID1027" s="4" t="s">
        <v>241</v>
      </c>
      <c r="IE1027" s="4" t="s">
        <v>241</v>
      </c>
      <c r="IF1027" s="4" t="s">
        <v>241</v>
      </c>
    </row>
    <row r="1028" spans="1:240" x14ac:dyDescent="0.4">
      <c r="A1028" s="4">
        <v>2</v>
      </c>
      <c r="B1028" s="4" t="s">
        <v>239</v>
      </c>
      <c r="C1028" s="4">
        <v>1320</v>
      </c>
      <c r="D1028" s="4">
        <v>1</v>
      </c>
      <c r="E1028" s="4">
        <v>3</v>
      </c>
      <c r="F1028" s="4" t="s">
        <v>240</v>
      </c>
      <c r="G1028" s="4" t="s">
        <v>241</v>
      </c>
      <c r="H1028" s="4" t="s">
        <v>241</v>
      </c>
      <c r="I1028" s="4" t="s">
        <v>1395</v>
      </c>
      <c r="J1028" s="4" t="s">
        <v>1184</v>
      </c>
      <c r="K1028" s="4" t="s">
        <v>256</v>
      </c>
      <c r="L1028" s="4" t="s">
        <v>1401</v>
      </c>
      <c r="M1028" s="5" t="s">
        <v>1397</v>
      </c>
      <c r="N1028" s="4" t="s">
        <v>1331</v>
      </c>
      <c r="O1028" s="6">
        <f>1085.83</f>
        <v>1085.83</v>
      </c>
      <c r="P1028" s="4" t="s">
        <v>276</v>
      </c>
      <c r="Q1028" s="6">
        <f>119262240</f>
        <v>119262240</v>
      </c>
      <c r="R1028" s="6">
        <f>313848000</f>
        <v>313848000</v>
      </c>
      <c r="S1028" s="5" t="s">
        <v>1400</v>
      </c>
      <c r="T1028" s="4" t="s">
        <v>296</v>
      </c>
      <c r="U1028" s="4" t="s">
        <v>408</v>
      </c>
      <c r="V1028" s="6">
        <f>6276960</f>
        <v>6276960</v>
      </c>
      <c r="W1028" s="6">
        <f>194585760</f>
        <v>194585760</v>
      </c>
      <c r="X1028" s="4" t="s">
        <v>243</v>
      </c>
      <c r="Y1028" s="4" t="s">
        <v>244</v>
      </c>
      <c r="Z1028" s="4" t="s">
        <v>874</v>
      </c>
      <c r="AA1028" s="4" t="s">
        <v>241</v>
      </c>
      <c r="AD1028" s="4" t="s">
        <v>241</v>
      </c>
      <c r="AE1028" s="5" t="s">
        <v>241</v>
      </c>
      <c r="AF1028" s="5" t="s">
        <v>241</v>
      </c>
      <c r="AH1028" s="5" t="s">
        <v>241</v>
      </c>
      <c r="AI1028" s="5" t="s">
        <v>249</v>
      </c>
      <c r="AJ1028" s="4" t="s">
        <v>251</v>
      </c>
      <c r="AK1028" s="4" t="s">
        <v>252</v>
      </c>
      <c r="AQ1028" s="4" t="s">
        <v>241</v>
      </c>
      <c r="AR1028" s="4" t="s">
        <v>241</v>
      </c>
      <c r="AS1028" s="4" t="s">
        <v>241</v>
      </c>
      <c r="AT1028" s="5" t="s">
        <v>241</v>
      </c>
      <c r="AU1028" s="5" t="s">
        <v>241</v>
      </c>
      <c r="AV1028" s="5" t="s">
        <v>241</v>
      </c>
      <c r="AY1028" s="4" t="s">
        <v>286</v>
      </c>
      <c r="AZ1028" s="4" t="s">
        <v>286</v>
      </c>
      <c r="BA1028" s="4" t="s">
        <v>254</v>
      </c>
      <c r="BB1028" s="4" t="s">
        <v>287</v>
      </c>
      <c r="BC1028" s="4" t="s">
        <v>255</v>
      </c>
      <c r="BD1028" s="4" t="s">
        <v>241</v>
      </c>
      <c r="BE1028" s="4" t="s">
        <v>257</v>
      </c>
      <c r="BF1028" s="4" t="s">
        <v>241</v>
      </c>
      <c r="BH1028" s="4" t="s">
        <v>500</v>
      </c>
      <c r="BJ1028" s="4" t="s">
        <v>288</v>
      </c>
      <c r="BK1028" s="5" t="s">
        <v>289</v>
      </c>
      <c r="BL1028" s="4" t="s">
        <v>290</v>
      </c>
      <c r="BM1028" s="4" t="s">
        <v>290</v>
      </c>
      <c r="BN1028" s="4" t="s">
        <v>241</v>
      </c>
      <c r="BO1028" s="6">
        <f>0</f>
        <v>0</v>
      </c>
      <c r="BP1028" s="6">
        <f>-6276960</f>
        <v>-6276960</v>
      </c>
      <c r="BQ1028" s="4" t="s">
        <v>263</v>
      </c>
      <c r="BR1028" s="4" t="s">
        <v>264</v>
      </c>
      <c r="BS1028" s="4" t="s">
        <v>241</v>
      </c>
      <c r="BT1028" s="4" t="s">
        <v>241</v>
      </c>
      <c r="BU1028" s="4" t="s">
        <v>241</v>
      </c>
      <c r="BV1028" s="4" t="s">
        <v>241</v>
      </c>
      <c r="CE1028" s="4" t="s">
        <v>264</v>
      </c>
      <c r="CF1028" s="4" t="s">
        <v>241</v>
      </c>
      <c r="CG1028" s="4" t="s">
        <v>241</v>
      </c>
      <c r="CK1028" s="4" t="s">
        <v>291</v>
      </c>
      <c r="CL1028" s="4" t="s">
        <v>266</v>
      </c>
      <c r="CM1028" s="4" t="s">
        <v>241</v>
      </c>
      <c r="CO1028" s="4" t="s">
        <v>468</v>
      </c>
      <c r="CP1028" s="5" t="s">
        <v>268</v>
      </c>
      <c r="CQ1028" s="4" t="s">
        <v>269</v>
      </c>
      <c r="CR1028" s="4" t="s">
        <v>270</v>
      </c>
      <c r="CS1028" s="4" t="s">
        <v>293</v>
      </c>
      <c r="CT1028" s="4" t="s">
        <v>241</v>
      </c>
      <c r="CU1028" s="4">
        <v>0.02</v>
      </c>
      <c r="CV1028" s="4" t="s">
        <v>271</v>
      </c>
      <c r="CW1028" s="4" t="s">
        <v>1329</v>
      </c>
      <c r="CX1028" s="4" t="s">
        <v>295</v>
      </c>
      <c r="CY1028" s="6">
        <f>0</f>
        <v>0</v>
      </c>
      <c r="CZ1028" s="6">
        <f>313848000</f>
        <v>313848000</v>
      </c>
      <c r="DA1028" s="6">
        <f>119262240</f>
        <v>119262240</v>
      </c>
      <c r="DC1028" s="4" t="s">
        <v>241</v>
      </c>
      <c r="DD1028" s="4" t="s">
        <v>241</v>
      </c>
      <c r="DF1028" s="4" t="s">
        <v>241</v>
      </c>
      <c r="DG1028" s="6">
        <f>0</f>
        <v>0</v>
      </c>
      <c r="DI1028" s="4" t="s">
        <v>241</v>
      </c>
      <c r="DJ1028" s="4" t="s">
        <v>241</v>
      </c>
      <c r="DK1028" s="4" t="s">
        <v>241</v>
      </c>
      <c r="DL1028" s="4" t="s">
        <v>241</v>
      </c>
      <c r="DM1028" s="4" t="s">
        <v>277</v>
      </c>
      <c r="DN1028" s="4" t="s">
        <v>278</v>
      </c>
      <c r="DO1028" s="6">
        <f>1085.83</f>
        <v>1085.83</v>
      </c>
      <c r="DP1028" s="4" t="s">
        <v>241</v>
      </c>
      <c r="DQ1028" s="4" t="s">
        <v>241</v>
      </c>
      <c r="DR1028" s="4" t="s">
        <v>241</v>
      </c>
      <c r="DS1028" s="4" t="s">
        <v>241</v>
      </c>
      <c r="DV1028" s="4" t="s">
        <v>1398</v>
      </c>
      <c r="DW1028" s="4" t="s">
        <v>277</v>
      </c>
      <c r="GN1028" s="4" t="s">
        <v>1402</v>
      </c>
      <c r="HO1028" s="4" t="s">
        <v>341</v>
      </c>
      <c r="HR1028" s="4" t="s">
        <v>278</v>
      </c>
      <c r="HS1028" s="4" t="s">
        <v>278</v>
      </c>
      <c r="HT1028" s="4" t="s">
        <v>241</v>
      </c>
      <c r="HU1028" s="4" t="s">
        <v>241</v>
      </c>
      <c r="HV1028" s="4" t="s">
        <v>241</v>
      </c>
      <c r="HW1028" s="4" t="s">
        <v>241</v>
      </c>
      <c r="HX1028" s="4" t="s">
        <v>241</v>
      </c>
      <c r="HY1028" s="4" t="s">
        <v>241</v>
      </c>
      <c r="HZ1028" s="4" t="s">
        <v>241</v>
      </c>
      <c r="IA1028" s="4" t="s">
        <v>241</v>
      </c>
      <c r="IB1028" s="4" t="s">
        <v>241</v>
      </c>
      <c r="IC1028" s="4" t="s">
        <v>241</v>
      </c>
      <c r="ID1028" s="4" t="s">
        <v>241</v>
      </c>
      <c r="IE1028" s="4" t="s">
        <v>241</v>
      </c>
      <c r="IF1028" s="4" t="s">
        <v>241</v>
      </c>
    </row>
    <row r="1029" spans="1:240" x14ac:dyDescent="0.4">
      <c r="A1029" s="4">
        <v>2</v>
      </c>
      <c r="B1029" s="4" t="s">
        <v>239</v>
      </c>
      <c r="C1029" s="4">
        <v>1321</v>
      </c>
      <c r="D1029" s="4">
        <v>1</v>
      </c>
      <c r="E1029" s="4">
        <v>3</v>
      </c>
      <c r="F1029" s="4" t="s">
        <v>240</v>
      </c>
      <c r="G1029" s="4" t="s">
        <v>241</v>
      </c>
      <c r="H1029" s="4" t="s">
        <v>241</v>
      </c>
      <c r="I1029" s="4" t="s">
        <v>1395</v>
      </c>
      <c r="J1029" s="4" t="s">
        <v>1184</v>
      </c>
      <c r="K1029" s="4" t="s">
        <v>256</v>
      </c>
      <c r="L1029" s="4" t="s">
        <v>454</v>
      </c>
      <c r="M1029" s="5" t="s">
        <v>1397</v>
      </c>
      <c r="N1029" s="4" t="s">
        <v>454</v>
      </c>
      <c r="O1029" s="6">
        <f>195.2</f>
        <v>195.2</v>
      </c>
      <c r="P1029" s="4" t="s">
        <v>276</v>
      </c>
      <c r="Q1029" s="6">
        <f>187410</f>
        <v>187410</v>
      </c>
      <c r="R1029" s="6">
        <f>18739200</f>
        <v>18739200</v>
      </c>
      <c r="S1029" s="5" t="s">
        <v>438</v>
      </c>
      <c r="T1029" s="4" t="s">
        <v>441</v>
      </c>
      <c r="U1029" s="4" t="s">
        <v>399</v>
      </c>
      <c r="V1029" s="6">
        <f>618393</f>
        <v>618393</v>
      </c>
      <c r="W1029" s="6">
        <f>18551790</f>
        <v>18551790</v>
      </c>
      <c r="X1029" s="4" t="s">
        <v>243</v>
      </c>
      <c r="Y1029" s="4" t="s">
        <v>244</v>
      </c>
      <c r="Z1029" s="4" t="s">
        <v>874</v>
      </c>
      <c r="AA1029" s="4" t="s">
        <v>241</v>
      </c>
      <c r="AD1029" s="4" t="s">
        <v>241</v>
      </c>
      <c r="AE1029" s="5" t="s">
        <v>241</v>
      </c>
      <c r="AF1029" s="5" t="s">
        <v>241</v>
      </c>
      <c r="AH1029" s="5" t="s">
        <v>241</v>
      </c>
      <c r="AI1029" s="5" t="s">
        <v>249</v>
      </c>
      <c r="AJ1029" s="4" t="s">
        <v>251</v>
      </c>
      <c r="AK1029" s="4" t="s">
        <v>252</v>
      </c>
      <c r="AQ1029" s="4" t="s">
        <v>241</v>
      </c>
      <c r="AR1029" s="4" t="s">
        <v>241</v>
      </c>
      <c r="AS1029" s="4" t="s">
        <v>241</v>
      </c>
      <c r="AT1029" s="5" t="s">
        <v>241</v>
      </c>
      <c r="AU1029" s="5" t="s">
        <v>241</v>
      </c>
      <c r="AV1029" s="5" t="s">
        <v>241</v>
      </c>
      <c r="AY1029" s="4" t="s">
        <v>286</v>
      </c>
      <c r="AZ1029" s="4" t="s">
        <v>286</v>
      </c>
      <c r="BA1029" s="4" t="s">
        <v>254</v>
      </c>
      <c r="BB1029" s="4" t="s">
        <v>287</v>
      </c>
      <c r="BC1029" s="4" t="s">
        <v>255</v>
      </c>
      <c r="BD1029" s="4" t="s">
        <v>241</v>
      </c>
      <c r="BE1029" s="4" t="s">
        <v>257</v>
      </c>
      <c r="BF1029" s="4" t="s">
        <v>241</v>
      </c>
      <c r="BJ1029" s="4" t="s">
        <v>288</v>
      </c>
      <c r="BK1029" s="5" t="s">
        <v>289</v>
      </c>
      <c r="BL1029" s="4" t="s">
        <v>290</v>
      </c>
      <c r="BM1029" s="4" t="s">
        <v>290</v>
      </c>
      <c r="BN1029" s="4" t="s">
        <v>241</v>
      </c>
      <c r="BO1029" s="6">
        <f>0</f>
        <v>0</v>
      </c>
      <c r="BP1029" s="6">
        <f>-618393</f>
        <v>-618393</v>
      </c>
      <c r="BQ1029" s="4" t="s">
        <v>263</v>
      </c>
      <c r="BR1029" s="4" t="s">
        <v>264</v>
      </c>
      <c r="BS1029" s="4" t="s">
        <v>241</v>
      </c>
      <c r="BT1029" s="4" t="s">
        <v>241</v>
      </c>
      <c r="BU1029" s="4" t="s">
        <v>241</v>
      </c>
      <c r="BV1029" s="4" t="s">
        <v>241</v>
      </c>
      <c r="CE1029" s="4" t="s">
        <v>264</v>
      </c>
      <c r="CF1029" s="4" t="s">
        <v>241</v>
      </c>
      <c r="CG1029" s="4" t="s">
        <v>241</v>
      </c>
      <c r="CK1029" s="4" t="s">
        <v>291</v>
      </c>
      <c r="CL1029" s="4" t="s">
        <v>266</v>
      </c>
      <c r="CM1029" s="4" t="s">
        <v>241</v>
      </c>
      <c r="CO1029" s="4" t="s">
        <v>439</v>
      </c>
      <c r="CP1029" s="5" t="s">
        <v>268</v>
      </c>
      <c r="CQ1029" s="4" t="s">
        <v>269</v>
      </c>
      <c r="CR1029" s="4" t="s">
        <v>270</v>
      </c>
      <c r="CS1029" s="4" t="s">
        <v>293</v>
      </c>
      <c r="CT1029" s="4" t="s">
        <v>241</v>
      </c>
      <c r="CU1029" s="4">
        <v>3.3000000000000002E-2</v>
      </c>
      <c r="CV1029" s="4" t="s">
        <v>271</v>
      </c>
      <c r="CW1029" s="4" t="s">
        <v>455</v>
      </c>
      <c r="CX1029" s="4" t="s">
        <v>487</v>
      </c>
      <c r="CY1029" s="6">
        <f>0</f>
        <v>0</v>
      </c>
      <c r="CZ1029" s="6">
        <f>18739200</f>
        <v>18739200</v>
      </c>
      <c r="DA1029" s="6">
        <f>187410</f>
        <v>187410</v>
      </c>
      <c r="DC1029" s="4" t="s">
        <v>241</v>
      </c>
      <c r="DD1029" s="4" t="s">
        <v>241</v>
      </c>
      <c r="DF1029" s="4" t="s">
        <v>241</v>
      </c>
      <c r="DG1029" s="6">
        <f>0</f>
        <v>0</v>
      </c>
      <c r="DI1029" s="4" t="s">
        <v>241</v>
      </c>
      <c r="DJ1029" s="4" t="s">
        <v>241</v>
      </c>
      <c r="DK1029" s="4" t="s">
        <v>241</v>
      </c>
      <c r="DL1029" s="4" t="s">
        <v>241</v>
      </c>
      <c r="DM1029" s="4" t="s">
        <v>277</v>
      </c>
      <c r="DN1029" s="4" t="s">
        <v>278</v>
      </c>
      <c r="DO1029" s="6">
        <f>195.2</f>
        <v>195.2</v>
      </c>
      <c r="DP1029" s="4" t="s">
        <v>241</v>
      </c>
      <c r="DQ1029" s="4" t="s">
        <v>241</v>
      </c>
      <c r="DR1029" s="4" t="s">
        <v>241</v>
      </c>
      <c r="DS1029" s="4" t="s">
        <v>241</v>
      </c>
      <c r="DV1029" s="4" t="s">
        <v>1398</v>
      </c>
      <c r="DW1029" s="4" t="s">
        <v>323</v>
      </c>
      <c r="GN1029" s="4" t="s">
        <v>3863</v>
      </c>
      <c r="HO1029" s="4" t="s">
        <v>300</v>
      </c>
      <c r="HR1029" s="4" t="s">
        <v>278</v>
      </c>
      <c r="HS1029" s="4" t="s">
        <v>278</v>
      </c>
      <c r="HT1029" s="4" t="s">
        <v>241</v>
      </c>
      <c r="HU1029" s="4" t="s">
        <v>241</v>
      </c>
      <c r="HV1029" s="4" t="s">
        <v>241</v>
      </c>
      <c r="HW1029" s="4" t="s">
        <v>241</v>
      </c>
      <c r="HX1029" s="4" t="s">
        <v>241</v>
      </c>
      <c r="HY1029" s="4" t="s">
        <v>241</v>
      </c>
      <c r="HZ1029" s="4" t="s">
        <v>241</v>
      </c>
      <c r="IA1029" s="4" t="s">
        <v>241</v>
      </c>
      <c r="IB1029" s="4" t="s">
        <v>241</v>
      </c>
      <c r="IC1029" s="4" t="s">
        <v>241</v>
      </c>
      <c r="ID1029" s="4" t="s">
        <v>241</v>
      </c>
      <c r="IE1029" s="4" t="s">
        <v>241</v>
      </c>
      <c r="IF1029" s="4" t="s">
        <v>241</v>
      </c>
    </row>
    <row r="1030" spans="1:240" x14ac:dyDescent="0.4">
      <c r="A1030" s="4">
        <v>2</v>
      </c>
      <c r="B1030" s="4" t="s">
        <v>239</v>
      </c>
      <c r="C1030" s="4">
        <v>1322</v>
      </c>
      <c r="D1030" s="4">
        <v>1</v>
      </c>
      <c r="E1030" s="4">
        <v>3</v>
      </c>
      <c r="F1030" s="4" t="s">
        <v>240</v>
      </c>
      <c r="G1030" s="4" t="s">
        <v>241</v>
      </c>
      <c r="H1030" s="4" t="s">
        <v>241</v>
      </c>
      <c r="I1030" s="4" t="s">
        <v>1395</v>
      </c>
      <c r="J1030" s="4" t="s">
        <v>1184</v>
      </c>
      <c r="K1030" s="4" t="s">
        <v>256</v>
      </c>
      <c r="L1030" s="4" t="s">
        <v>1394</v>
      </c>
      <c r="M1030" s="5" t="s">
        <v>1397</v>
      </c>
      <c r="N1030" s="4" t="s">
        <v>1394</v>
      </c>
      <c r="O1030" s="6">
        <f>120.04</f>
        <v>120.04</v>
      </c>
      <c r="P1030" s="4" t="s">
        <v>276</v>
      </c>
      <c r="Q1030" s="6">
        <f>4969660</f>
        <v>4969660</v>
      </c>
      <c r="R1030" s="6">
        <f>10803600</f>
        <v>10803600</v>
      </c>
      <c r="S1030" s="5" t="s">
        <v>1396</v>
      </c>
      <c r="T1030" s="4" t="s">
        <v>333</v>
      </c>
      <c r="U1030" s="4" t="s">
        <v>379</v>
      </c>
      <c r="V1030" s="6">
        <f>291697</f>
        <v>291697</v>
      </c>
      <c r="W1030" s="6">
        <f>5833940</f>
        <v>5833940</v>
      </c>
      <c r="X1030" s="4" t="s">
        <v>243</v>
      </c>
      <c r="Y1030" s="4" t="s">
        <v>244</v>
      </c>
      <c r="Z1030" s="4" t="s">
        <v>874</v>
      </c>
      <c r="AA1030" s="4" t="s">
        <v>241</v>
      </c>
      <c r="AD1030" s="4" t="s">
        <v>241</v>
      </c>
      <c r="AE1030" s="5" t="s">
        <v>241</v>
      </c>
      <c r="AF1030" s="5" t="s">
        <v>241</v>
      </c>
      <c r="AH1030" s="5" t="s">
        <v>241</v>
      </c>
      <c r="AI1030" s="5" t="s">
        <v>249</v>
      </c>
      <c r="AJ1030" s="4" t="s">
        <v>251</v>
      </c>
      <c r="AK1030" s="4" t="s">
        <v>252</v>
      </c>
      <c r="AQ1030" s="4" t="s">
        <v>241</v>
      </c>
      <c r="AR1030" s="4" t="s">
        <v>241</v>
      </c>
      <c r="AS1030" s="4" t="s">
        <v>241</v>
      </c>
      <c r="AT1030" s="5" t="s">
        <v>241</v>
      </c>
      <c r="AU1030" s="5" t="s">
        <v>241</v>
      </c>
      <c r="AV1030" s="5" t="s">
        <v>241</v>
      </c>
      <c r="AY1030" s="4" t="s">
        <v>286</v>
      </c>
      <c r="AZ1030" s="4" t="s">
        <v>286</v>
      </c>
      <c r="BA1030" s="4" t="s">
        <v>254</v>
      </c>
      <c r="BB1030" s="4" t="s">
        <v>287</v>
      </c>
      <c r="BC1030" s="4" t="s">
        <v>255</v>
      </c>
      <c r="BD1030" s="4" t="s">
        <v>241</v>
      </c>
      <c r="BE1030" s="4" t="s">
        <v>257</v>
      </c>
      <c r="BF1030" s="4" t="s">
        <v>241</v>
      </c>
      <c r="BJ1030" s="4" t="s">
        <v>288</v>
      </c>
      <c r="BK1030" s="5" t="s">
        <v>289</v>
      </c>
      <c r="BL1030" s="4" t="s">
        <v>290</v>
      </c>
      <c r="BM1030" s="4" t="s">
        <v>290</v>
      </c>
      <c r="BN1030" s="4" t="s">
        <v>241</v>
      </c>
      <c r="BO1030" s="6">
        <f>0</f>
        <v>0</v>
      </c>
      <c r="BP1030" s="6">
        <f>-291697</f>
        <v>-291697</v>
      </c>
      <c r="BQ1030" s="4" t="s">
        <v>263</v>
      </c>
      <c r="BR1030" s="4" t="s">
        <v>264</v>
      </c>
      <c r="BS1030" s="4" t="s">
        <v>241</v>
      </c>
      <c r="BT1030" s="4" t="s">
        <v>241</v>
      </c>
      <c r="BU1030" s="4" t="s">
        <v>241</v>
      </c>
      <c r="BV1030" s="4" t="s">
        <v>241</v>
      </c>
      <c r="CE1030" s="4" t="s">
        <v>264</v>
      </c>
      <c r="CF1030" s="4" t="s">
        <v>241</v>
      </c>
      <c r="CG1030" s="4" t="s">
        <v>241</v>
      </c>
      <c r="CK1030" s="4" t="s">
        <v>265</v>
      </c>
      <c r="CL1030" s="4" t="s">
        <v>266</v>
      </c>
      <c r="CM1030" s="4" t="s">
        <v>241</v>
      </c>
      <c r="CO1030" s="4" t="s">
        <v>1127</v>
      </c>
      <c r="CP1030" s="5" t="s">
        <v>268</v>
      </c>
      <c r="CQ1030" s="4" t="s">
        <v>269</v>
      </c>
      <c r="CR1030" s="4" t="s">
        <v>270</v>
      </c>
      <c r="CS1030" s="4" t="s">
        <v>293</v>
      </c>
      <c r="CT1030" s="4" t="s">
        <v>241</v>
      </c>
      <c r="CU1030" s="4">
        <v>2.7E-2</v>
      </c>
      <c r="CV1030" s="4" t="s">
        <v>271</v>
      </c>
      <c r="CW1030" s="4" t="s">
        <v>1329</v>
      </c>
      <c r="CX1030" s="4" t="s">
        <v>487</v>
      </c>
      <c r="CY1030" s="6">
        <f>0</f>
        <v>0</v>
      </c>
      <c r="CZ1030" s="6">
        <f>10803600</f>
        <v>10803600</v>
      </c>
      <c r="DA1030" s="6">
        <f>4969660</f>
        <v>4969660</v>
      </c>
      <c r="DC1030" s="4" t="s">
        <v>241</v>
      </c>
      <c r="DD1030" s="4" t="s">
        <v>241</v>
      </c>
      <c r="DF1030" s="4" t="s">
        <v>241</v>
      </c>
      <c r="DG1030" s="6">
        <f>0</f>
        <v>0</v>
      </c>
      <c r="DI1030" s="4" t="s">
        <v>241</v>
      </c>
      <c r="DJ1030" s="4" t="s">
        <v>241</v>
      </c>
      <c r="DK1030" s="4" t="s">
        <v>241</v>
      </c>
      <c r="DL1030" s="4" t="s">
        <v>241</v>
      </c>
      <c r="DM1030" s="4" t="s">
        <v>278</v>
      </c>
      <c r="DN1030" s="4" t="s">
        <v>278</v>
      </c>
      <c r="DO1030" s="6">
        <f>120.04</f>
        <v>120.04</v>
      </c>
      <c r="DP1030" s="4" t="s">
        <v>241</v>
      </c>
      <c r="DQ1030" s="4" t="s">
        <v>241</v>
      </c>
      <c r="DR1030" s="4" t="s">
        <v>241</v>
      </c>
      <c r="DS1030" s="4" t="s">
        <v>241</v>
      </c>
      <c r="DV1030" s="4" t="s">
        <v>1398</v>
      </c>
      <c r="DW1030" s="4" t="s">
        <v>297</v>
      </c>
      <c r="GN1030" s="4" t="s">
        <v>1399</v>
      </c>
      <c r="HO1030" s="4" t="s">
        <v>300</v>
      </c>
      <c r="HR1030" s="4" t="s">
        <v>278</v>
      </c>
      <c r="HS1030" s="4" t="s">
        <v>278</v>
      </c>
      <c r="HT1030" s="4" t="s">
        <v>241</v>
      </c>
      <c r="HU1030" s="4" t="s">
        <v>241</v>
      </c>
      <c r="HV1030" s="4" t="s">
        <v>241</v>
      </c>
      <c r="HW1030" s="4" t="s">
        <v>241</v>
      </c>
      <c r="HX1030" s="4" t="s">
        <v>241</v>
      </c>
      <c r="HY1030" s="4" t="s">
        <v>241</v>
      </c>
      <c r="HZ1030" s="4" t="s">
        <v>241</v>
      </c>
      <c r="IA1030" s="4" t="s">
        <v>241</v>
      </c>
      <c r="IB1030" s="4" t="s">
        <v>241</v>
      </c>
      <c r="IC1030" s="4" t="s">
        <v>241</v>
      </c>
      <c r="ID1030" s="4" t="s">
        <v>241</v>
      </c>
      <c r="IE1030" s="4" t="s">
        <v>241</v>
      </c>
      <c r="IF1030" s="4" t="s">
        <v>241</v>
      </c>
    </row>
    <row r="1031" spans="1:240" x14ac:dyDescent="0.4">
      <c r="A1031" s="4">
        <v>2</v>
      </c>
      <c r="B1031" s="4" t="s">
        <v>239</v>
      </c>
      <c r="C1031" s="4">
        <v>1323</v>
      </c>
      <c r="D1031" s="4">
        <v>1</v>
      </c>
      <c r="E1031" s="4">
        <v>1</v>
      </c>
      <c r="F1031" s="4" t="s">
        <v>240</v>
      </c>
      <c r="G1031" s="4" t="s">
        <v>241</v>
      </c>
      <c r="H1031" s="4" t="s">
        <v>241</v>
      </c>
      <c r="I1031" s="4" t="s">
        <v>1395</v>
      </c>
      <c r="J1031" s="4" t="s">
        <v>1184</v>
      </c>
      <c r="K1031" s="4" t="s">
        <v>256</v>
      </c>
      <c r="L1031" s="4" t="s">
        <v>1846</v>
      </c>
      <c r="M1031" s="5" t="s">
        <v>1397</v>
      </c>
      <c r="N1031" s="4" t="s">
        <v>1846</v>
      </c>
      <c r="O1031" s="6">
        <f>10.36</f>
        <v>10.36</v>
      </c>
      <c r="P1031" s="4" t="s">
        <v>276</v>
      </c>
      <c r="Q1031" s="6">
        <f>1</f>
        <v>1</v>
      </c>
      <c r="R1031" s="6">
        <f>984200</f>
        <v>984200</v>
      </c>
      <c r="S1031" s="5" t="s">
        <v>248</v>
      </c>
      <c r="T1031" s="4" t="s">
        <v>348</v>
      </c>
      <c r="U1031" s="4" t="s">
        <v>275</v>
      </c>
      <c r="W1031" s="6">
        <f>984199</f>
        <v>984199</v>
      </c>
      <c r="X1031" s="4" t="s">
        <v>243</v>
      </c>
      <c r="Y1031" s="4" t="s">
        <v>244</v>
      </c>
      <c r="Z1031" s="4" t="s">
        <v>874</v>
      </c>
      <c r="AA1031" s="4" t="s">
        <v>241</v>
      </c>
      <c r="AD1031" s="4" t="s">
        <v>241</v>
      </c>
      <c r="AF1031" s="5" t="s">
        <v>241</v>
      </c>
      <c r="AI1031" s="5" t="s">
        <v>249</v>
      </c>
      <c r="AJ1031" s="4" t="s">
        <v>251</v>
      </c>
      <c r="AK1031" s="4" t="s">
        <v>252</v>
      </c>
      <c r="BA1031" s="4" t="s">
        <v>254</v>
      </c>
      <c r="BB1031" s="4" t="s">
        <v>241</v>
      </c>
      <c r="BC1031" s="4" t="s">
        <v>255</v>
      </c>
      <c r="BD1031" s="4" t="s">
        <v>241</v>
      </c>
      <c r="BE1031" s="4" t="s">
        <v>257</v>
      </c>
      <c r="BF1031" s="4" t="s">
        <v>241</v>
      </c>
      <c r="BJ1031" s="4" t="s">
        <v>367</v>
      </c>
      <c r="BK1031" s="5" t="s">
        <v>249</v>
      </c>
      <c r="BL1031" s="4" t="s">
        <v>261</v>
      </c>
      <c r="BM1031" s="4" t="s">
        <v>262</v>
      </c>
      <c r="BN1031" s="4" t="s">
        <v>241</v>
      </c>
      <c r="BO1031" s="6">
        <f>0</f>
        <v>0</v>
      </c>
      <c r="BP1031" s="6">
        <f>0</f>
        <v>0</v>
      </c>
      <c r="BQ1031" s="4" t="s">
        <v>263</v>
      </c>
      <c r="BR1031" s="4" t="s">
        <v>264</v>
      </c>
      <c r="CF1031" s="4" t="s">
        <v>241</v>
      </c>
      <c r="CG1031" s="4" t="s">
        <v>241</v>
      </c>
      <c r="CK1031" s="4" t="s">
        <v>265</v>
      </c>
      <c r="CL1031" s="4" t="s">
        <v>266</v>
      </c>
      <c r="CM1031" s="4" t="s">
        <v>241</v>
      </c>
      <c r="CO1031" s="4" t="s">
        <v>267</v>
      </c>
      <c r="CP1031" s="5" t="s">
        <v>268</v>
      </c>
      <c r="CQ1031" s="4" t="s">
        <v>269</v>
      </c>
      <c r="CR1031" s="4" t="s">
        <v>270</v>
      </c>
      <c r="CS1031" s="4" t="s">
        <v>241</v>
      </c>
      <c r="CT1031" s="4" t="s">
        <v>241</v>
      </c>
      <c r="CU1031" s="4">
        <v>0</v>
      </c>
      <c r="CV1031" s="4" t="s">
        <v>271</v>
      </c>
      <c r="CW1031" s="4" t="s">
        <v>1830</v>
      </c>
      <c r="CX1031" s="4" t="s">
        <v>347</v>
      </c>
      <c r="CZ1031" s="6">
        <f>984200</f>
        <v>984200</v>
      </c>
      <c r="DA1031" s="6">
        <f>0</f>
        <v>0</v>
      </c>
      <c r="DC1031" s="4" t="s">
        <v>241</v>
      </c>
      <c r="DD1031" s="4" t="s">
        <v>241</v>
      </c>
      <c r="DF1031" s="4" t="s">
        <v>241</v>
      </c>
      <c r="DI1031" s="4" t="s">
        <v>241</v>
      </c>
      <c r="DJ1031" s="4" t="s">
        <v>241</v>
      </c>
      <c r="DK1031" s="4" t="s">
        <v>241</v>
      </c>
      <c r="DL1031" s="4" t="s">
        <v>241</v>
      </c>
      <c r="DM1031" s="4" t="s">
        <v>277</v>
      </c>
      <c r="DN1031" s="4" t="s">
        <v>278</v>
      </c>
      <c r="DO1031" s="6">
        <f>10.36</f>
        <v>10.36</v>
      </c>
      <c r="DP1031" s="4" t="s">
        <v>241</v>
      </c>
      <c r="DQ1031" s="4" t="s">
        <v>241</v>
      </c>
      <c r="DR1031" s="4" t="s">
        <v>241</v>
      </c>
      <c r="DS1031" s="4" t="s">
        <v>241</v>
      </c>
      <c r="DV1031" s="4" t="s">
        <v>1398</v>
      </c>
      <c r="DW1031" s="4" t="s">
        <v>336</v>
      </c>
      <c r="HO1031" s="4" t="s">
        <v>277</v>
      </c>
      <c r="HR1031" s="4" t="s">
        <v>278</v>
      </c>
      <c r="HS1031" s="4" t="s">
        <v>278</v>
      </c>
    </row>
    <row r="1032" spans="1:240" x14ac:dyDescent="0.4">
      <c r="A1032" s="4">
        <v>2</v>
      </c>
      <c r="B1032" s="4" t="s">
        <v>239</v>
      </c>
      <c r="C1032" s="4">
        <v>1324</v>
      </c>
      <c r="D1032" s="4">
        <v>1</v>
      </c>
      <c r="E1032" s="4">
        <v>3</v>
      </c>
      <c r="F1032" s="4" t="s">
        <v>326</v>
      </c>
      <c r="G1032" s="4" t="s">
        <v>241</v>
      </c>
      <c r="H1032" s="4" t="s">
        <v>241</v>
      </c>
      <c r="I1032" s="4" t="s">
        <v>1395</v>
      </c>
      <c r="J1032" s="4" t="s">
        <v>1184</v>
      </c>
      <c r="K1032" s="4" t="s">
        <v>256</v>
      </c>
      <c r="L1032" s="4" t="s">
        <v>3865</v>
      </c>
      <c r="M1032" s="5" t="s">
        <v>1397</v>
      </c>
      <c r="N1032" s="4" t="s">
        <v>3864</v>
      </c>
      <c r="O1032" s="6">
        <f>0</f>
        <v>0</v>
      </c>
      <c r="P1032" s="4" t="s">
        <v>276</v>
      </c>
      <c r="Q1032" s="6">
        <f>674960</f>
        <v>674960</v>
      </c>
      <c r="R1032" s="6">
        <f>777600</f>
        <v>777600</v>
      </c>
      <c r="S1032" s="5" t="s">
        <v>945</v>
      </c>
      <c r="T1032" s="4" t="s">
        <v>441</v>
      </c>
      <c r="U1032" s="4" t="s">
        <v>297</v>
      </c>
      <c r="V1032" s="6">
        <f>25660</f>
        <v>25660</v>
      </c>
      <c r="W1032" s="6">
        <f>102640</f>
        <v>102640</v>
      </c>
      <c r="X1032" s="4" t="s">
        <v>243</v>
      </c>
      <c r="Y1032" s="4" t="s">
        <v>244</v>
      </c>
      <c r="Z1032" s="4" t="s">
        <v>874</v>
      </c>
      <c r="AA1032" s="4" t="s">
        <v>241</v>
      </c>
      <c r="AD1032" s="4" t="s">
        <v>241</v>
      </c>
      <c r="AE1032" s="5" t="s">
        <v>241</v>
      </c>
      <c r="AF1032" s="5" t="s">
        <v>241</v>
      </c>
      <c r="AH1032" s="5" t="s">
        <v>241</v>
      </c>
      <c r="AI1032" s="5" t="s">
        <v>249</v>
      </c>
      <c r="AJ1032" s="4" t="s">
        <v>251</v>
      </c>
      <c r="AK1032" s="4" t="s">
        <v>252</v>
      </c>
      <c r="AQ1032" s="4" t="s">
        <v>241</v>
      </c>
      <c r="AR1032" s="4" t="s">
        <v>241</v>
      </c>
      <c r="AS1032" s="4" t="s">
        <v>241</v>
      </c>
      <c r="AT1032" s="5" t="s">
        <v>241</v>
      </c>
      <c r="AU1032" s="5" t="s">
        <v>241</v>
      </c>
      <c r="AV1032" s="5" t="s">
        <v>241</v>
      </c>
      <c r="AY1032" s="4" t="s">
        <v>286</v>
      </c>
      <c r="AZ1032" s="4" t="s">
        <v>286</v>
      </c>
      <c r="BA1032" s="4" t="s">
        <v>254</v>
      </c>
      <c r="BB1032" s="4" t="s">
        <v>287</v>
      </c>
      <c r="BC1032" s="4" t="s">
        <v>255</v>
      </c>
      <c r="BD1032" s="4" t="s">
        <v>241</v>
      </c>
      <c r="BE1032" s="4" t="s">
        <v>257</v>
      </c>
      <c r="BF1032" s="4" t="s">
        <v>241</v>
      </c>
      <c r="BJ1032" s="4" t="s">
        <v>288</v>
      </c>
      <c r="BK1032" s="5" t="s">
        <v>289</v>
      </c>
      <c r="BL1032" s="4" t="s">
        <v>290</v>
      </c>
      <c r="BM1032" s="4" t="s">
        <v>290</v>
      </c>
      <c r="BN1032" s="4" t="s">
        <v>241</v>
      </c>
      <c r="BP1032" s="6">
        <f>-25660</f>
        <v>-25660</v>
      </c>
      <c r="BQ1032" s="4" t="s">
        <v>263</v>
      </c>
      <c r="BR1032" s="4" t="s">
        <v>264</v>
      </c>
      <c r="BS1032" s="4" t="s">
        <v>241</v>
      </c>
      <c r="BT1032" s="4" t="s">
        <v>241</v>
      </c>
      <c r="BU1032" s="4" t="s">
        <v>241</v>
      </c>
      <c r="BV1032" s="4" t="s">
        <v>241</v>
      </c>
      <c r="CE1032" s="4" t="s">
        <v>264</v>
      </c>
      <c r="CF1032" s="4" t="s">
        <v>241</v>
      </c>
      <c r="CG1032" s="4" t="s">
        <v>241</v>
      </c>
      <c r="CK1032" s="4" t="s">
        <v>291</v>
      </c>
      <c r="CL1032" s="4" t="s">
        <v>266</v>
      </c>
      <c r="CM1032" s="4" t="s">
        <v>241</v>
      </c>
      <c r="CO1032" s="4" t="s">
        <v>413</v>
      </c>
      <c r="CP1032" s="5" t="s">
        <v>268</v>
      </c>
      <c r="CQ1032" s="4" t="s">
        <v>269</v>
      </c>
      <c r="CR1032" s="4" t="s">
        <v>270</v>
      </c>
      <c r="CS1032" s="4" t="s">
        <v>293</v>
      </c>
      <c r="CT1032" s="4" t="s">
        <v>241</v>
      </c>
      <c r="CU1032" s="4">
        <v>3.3000000000000002E-2</v>
      </c>
      <c r="CV1032" s="4" t="s">
        <v>271</v>
      </c>
      <c r="CW1032" s="4" t="s">
        <v>455</v>
      </c>
      <c r="CX1032" s="4" t="s">
        <v>487</v>
      </c>
      <c r="CY1032" s="6">
        <f>0</f>
        <v>0</v>
      </c>
      <c r="CZ1032" s="6">
        <f>777600</f>
        <v>777600</v>
      </c>
      <c r="DA1032" s="6">
        <f>674960</f>
        <v>674960</v>
      </c>
      <c r="DC1032" s="4" t="s">
        <v>241</v>
      </c>
      <c r="DD1032" s="4" t="s">
        <v>241</v>
      </c>
      <c r="DF1032" s="4" t="s">
        <v>241</v>
      </c>
      <c r="DG1032" s="6">
        <f>0</f>
        <v>0</v>
      </c>
      <c r="DI1032" s="4" t="s">
        <v>241</v>
      </c>
      <c r="DJ1032" s="4" t="s">
        <v>241</v>
      </c>
      <c r="DK1032" s="4" t="s">
        <v>241</v>
      </c>
      <c r="DL1032" s="4" t="s">
        <v>241</v>
      </c>
      <c r="DM1032" s="4" t="s">
        <v>278</v>
      </c>
      <c r="DN1032" s="4" t="s">
        <v>278</v>
      </c>
      <c r="DO1032" s="6" t="s">
        <v>241</v>
      </c>
      <c r="DP1032" s="4" t="s">
        <v>241</v>
      </c>
      <c r="DQ1032" s="4" t="s">
        <v>241</v>
      </c>
      <c r="DR1032" s="4" t="s">
        <v>241</v>
      </c>
      <c r="DS1032" s="4" t="s">
        <v>241</v>
      </c>
      <c r="DV1032" s="4" t="s">
        <v>1398</v>
      </c>
      <c r="DW1032" s="4" t="s">
        <v>351</v>
      </c>
      <c r="GN1032" s="4" t="s">
        <v>3866</v>
      </c>
      <c r="HO1032" s="4" t="s">
        <v>351</v>
      </c>
      <c r="HR1032" s="4" t="s">
        <v>278</v>
      </c>
      <c r="HS1032" s="4" t="s">
        <v>278</v>
      </c>
      <c r="HT1032" s="4" t="s">
        <v>241</v>
      </c>
      <c r="HU1032" s="4" t="s">
        <v>241</v>
      </c>
      <c r="HV1032" s="4" t="s">
        <v>241</v>
      </c>
      <c r="HW1032" s="4" t="s">
        <v>241</v>
      </c>
      <c r="HX1032" s="4" t="s">
        <v>241</v>
      </c>
      <c r="HY1032" s="4" t="s">
        <v>241</v>
      </c>
      <c r="HZ1032" s="4" t="s">
        <v>241</v>
      </c>
      <c r="IA1032" s="4" t="s">
        <v>241</v>
      </c>
      <c r="IB1032" s="4" t="s">
        <v>241</v>
      </c>
      <c r="IC1032" s="4" t="s">
        <v>241</v>
      </c>
      <c r="ID1032" s="4" t="s">
        <v>241</v>
      </c>
      <c r="IE1032" s="4" t="s">
        <v>241</v>
      </c>
      <c r="IF1032" s="4" t="s">
        <v>241</v>
      </c>
    </row>
    <row r="1033" spans="1:240" x14ac:dyDescent="0.4">
      <c r="A1033" s="4">
        <v>2</v>
      </c>
      <c r="B1033" s="4" t="s">
        <v>239</v>
      </c>
      <c r="C1033" s="4">
        <v>1325</v>
      </c>
      <c r="D1033" s="4">
        <v>1</v>
      </c>
      <c r="E1033" s="4">
        <v>3</v>
      </c>
      <c r="F1033" s="4" t="s">
        <v>240</v>
      </c>
      <c r="G1033" s="4" t="s">
        <v>241</v>
      </c>
      <c r="H1033" s="4" t="s">
        <v>241</v>
      </c>
      <c r="I1033" s="4" t="s">
        <v>1421</v>
      </c>
      <c r="J1033" s="4" t="s">
        <v>1184</v>
      </c>
      <c r="K1033" s="4" t="s">
        <v>256</v>
      </c>
      <c r="L1033" s="4" t="s">
        <v>1331</v>
      </c>
      <c r="M1033" s="5" t="s">
        <v>1422</v>
      </c>
      <c r="N1033" s="4" t="s">
        <v>1331</v>
      </c>
      <c r="O1033" s="6">
        <f>153.92</f>
        <v>153.91999999999999</v>
      </c>
      <c r="P1033" s="4" t="s">
        <v>276</v>
      </c>
      <c r="Q1033" s="6">
        <f>10311114</f>
        <v>10311114</v>
      </c>
      <c r="R1033" s="6">
        <f>25396800</f>
        <v>25396800</v>
      </c>
      <c r="S1033" s="5" t="s">
        <v>359</v>
      </c>
      <c r="T1033" s="4" t="s">
        <v>333</v>
      </c>
      <c r="U1033" s="4" t="s">
        <v>361</v>
      </c>
      <c r="V1033" s="6">
        <f>685713</f>
        <v>685713</v>
      </c>
      <c r="W1033" s="6">
        <f>15085686</f>
        <v>15085686</v>
      </c>
      <c r="X1033" s="4" t="s">
        <v>243</v>
      </c>
      <c r="Y1033" s="4" t="s">
        <v>244</v>
      </c>
      <c r="Z1033" s="4" t="s">
        <v>874</v>
      </c>
      <c r="AA1033" s="4" t="s">
        <v>241</v>
      </c>
      <c r="AD1033" s="4" t="s">
        <v>241</v>
      </c>
      <c r="AE1033" s="5" t="s">
        <v>241</v>
      </c>
      <c r="AF1033" s="5" t="s">
        <v>241</v>
      </c>
      <c r="AH1033" s="5" t="s">
        <v>241</v>
      </c>
      <c r="AI1033" s="5" t="s">
        <v>249</v>
      </c>
      <c r="AJ1033" s="4" t="s">
        <v>251</v>
      </c>
      <c r="AK1033" s="4" t="s">
        <v>252</v>
      </c>
      <c r="AQ1033" s="4" t="s">
        <v>241</v>
      </c>
      <c r="AR1033" s="4" t="s">
        <v>241</v>
      </c>
      <c r="AS1033" s="4" t="s">
        <v>241</v>
      </c>
      <c r="AT1033" s="5" t="s">
        <v>241</v>
      </c>
      <c r="AU1033" s="5" t="s">
        <v>241</v>
      </c>
      <c r="AV1033" s="5" t="s">
        <v>241</v>
      </c>
      <c r="AY1033" s="4" t="s">
        <v>286</v>
      </c>
      <c r="AZ1033" s="4" t="s">
        <v>286</v>
      </c>
      <c r="BA1033" s="4" t="s">
        <v>254</v>
      </c>
      <c r="BB1033" s="4" t="s">
        <v>287</v>
      </c>
      <c r="BC1033" s="4" t="s">
        <v>255</v>
      </c>
      <c r="BD1033" s="4" t="s">
        <v>241</v>
      </c>
      <c r="BE1033" s="4" t="s">
        <v>257</v>
      </c>
      <c r="BF1033" s="4" t="s">
        <v>241</v>
      </c>
      <c r="BJ1033" s="4" t="s">
        <v>288</v>
      </c>
      <c r="BK1033" s="5" t="s">
        <v>289</v>
      </c>
      <c r="BL1033" s="4" t="s">
        <v>290</v>
      </c>
      <c r="BM1033" s="4" t="s">
        <v>290</v>
      </c>
      <c r="BN1033" s="4" t="s">
        <v>241</v>
      </c>
      <c r="BO1033" s="6">
        <f>0</f>
        <v>0</v>
      </c>
      <c r="BP1033" s="6">
        <f>-685713</f>
        <v>-685713</v>
      </c>
      <c r="BQ1033" s="4" t="s">
        <v>263</v>
      </c>
      <c r="BR1033" s="4" t="s">
        <v>264</v>
      </c>
      <c r="BS1033" s="4" t="s">
        <v>241</v>
      </c>
      <c r="BT1033" s="4" t="s">
        <v>241</v>
      </c>
      <c r="BU1033" s="4" t="s">
        <v>241</v>
      </c>
      <c r="BV1033" s="4" t="s">
        <v>241</v>
      </c>
      <c r="CE1033" s="4" t="s">
        <v>264</v>
      </c>
      <c r="CF1033" s="4" t="s">
        <v>241</v>
      </c>
      <c r="CG1033" s="4" t="s">
        <v>241</v>
      </c>
      <c r="CK1033" s="4" t="s">
        <v>291</v>
      </c>
      <c r="CL1033" s="4" t="s">
        <v>266</v>
      </c>
      <c r="CM1033" s="4" t="s">
        <v>241</v>
      </c>
      <c r="CO1033" s="4" t="s">
        <v>360</v>
      </c>
      <c r="CP1033" s="5" t="s">
        <v>268</v>
      </c>
      <c r="CQ1033" s="4" t="s">
        <v>269</v>
      </c>
      <c r="CR1033" s="4" t="s">
        <v>270</v>
      </c>
      <c r="CS1033" s="4" t="s">
        <v>293</v>
      </c>
      <c r="CT1033" s="4" t="s">
        <v>241</v>
      </c>
      <c r="CU1033" s="4">
        <v>2.7E-2</v>
      </c>
      <c r="CV1033" s="4" t="s">
        <v>271</v>
      </c>
      <c r="CW1033" s="4" t="s">
        <v>1329</v>
      </c>
      <c r="CX1033" s="4" t="s">
        <v>487</v>
      </c>
      <c r="CY1033" s="6">
        <f>0</f>
        <v>0</v>
      </c>
      <c r="CZ1033" s="6">
        <f>25396800</f>
        <v>25396800</v>
      </c>
      <c r="DA1033" s="6">
        <f>10311114</f>
        <v>10311114</v>
      </c>
      <c r="DC1033" s="4" t="s">
        <v>241</v>
      </c>
      <c r="DD1033" s="4" t="s">
        <v>241</v>
      </c>
      <c r="DF1033" s="4" t="s">
        <v>241</v>
      </c>
      <c r="DG1033" s="6">
        <f>0</f>
        <v>0</v>
      </c>
      <c r="DI1033" s="4" t="s">
        <v>241</v>
      </c>
      <c r="DJ1033" s="4" t="s">
        <v>241</v>
      </c>
      <c r="DK1033" s="4" t="s">
        <v>241</v>
      </c>
      <c r="DL1033" s="4" t="s">
        <v>241</v>
      </c>
      <c r="DM1033" s="4" t="s">
        <v>277</v>
      </c>
      <c r="DN1033" s="4" t="s">
        <v>278</v>
      </c>
      <c r="DO1033" s="6">
        <f>153.92</f>
        <v>153.91999999999999</v>
      </c>
      <c r="DP1033" s="4" t="s">
        <v>241</v>
      </c>
      <c r="DQ1033" s="4" t="s">
        <v>241</v>
      </c>
      <c r="DR1033" s="4" t="s">
        <v>241</v>
      </c>
      <c r="DS1033" s="4" t="s">
        <v>241</v>
      </c>
      <c r="DV1033" s="4" t="s">
        <v>1423</v>
      </c>
      <c r="DW1033" s="4" t="s">
        <v>277</v>
      </c>
      <c r="GN1033" s="4" t="s">
        <v>1518</v>
      </c>
      <c r="HO1033" s="4" t="s">
        <v>300</v>
      </c>
      <c r="HR1033" s="4" t="s">
        <v>278</v>
      </c>
      <c r="HS1033" s="4" t="s">
        <v>278</v>
      </c>
      <c r="HT1033" s="4" t="s">
        <v>241</v>
      </c>
      <c r="HU1033" s="4" t="s">
        <v>241</v>
      </c>
      <c r="HV1033" s="4" t="s">
        <v>241</v>
      </c>
      <c r="HW1033" s="4" t="s">
        <v>241</v>
      </c>
      <c r="HX1033" s="4" t="s">
        <v>241</v>
      </c>
      <c r="HY1033" s="4" t="s">
        <v>241</v>
      </c>
      <c r="HZ1033" s="4" t="s">
        <v>241</v>
      </c>
      <c r="IA1033" s="4" t="s">
        <v>241</v>
      </c>
      <c r="IB1033" s="4" t="s">
        <v>241</v>
      </c>
      <c r="IC1033" s="4" t="s">
        <v>241</v>
      </c>
      <c r="ID1033" s="4" t="s">
        <v>241</v>
      </c>
      <c r="IE1033" s="4" t="s">
        <v>241</v>
      </c>
      <c r="IF1033" s="4" t="s">
        <v>241</v>
      </c>
    </row>
    <row r="1034" spans="1:240" x14ac:dyDescent="0.4">
      <c r="A1034" s="4">
        <v>2</v>
      </c>
      <c r="B1034" s="4" t="s">
        <v>239</v>
      </c>
      <c r="C1034" s="4">
        <v>1326</v>
      </c>
      <c r="D1034" s="4">
        <v>1</v>
      </c>
      <c r="E1034" s="4">
        <v>3</v>
      </c>
      <c r="F1034" s="4" t="s">
        <v>240</v>
      </c>
      <c r="G1034" s="4" t="s">
        <v>241</v>
      </c>
      <c r="H1034" s="4" t="s">
        <v>241</v>
      </c>
      <c r="I1034" s="4" t="s">
        <v>1421</v>
      </c>
      <c r="J1034" s="4" t="s">
        <v>1184</v>
      </c>
      <c r="K1034" s="4" t="s">
        <v>256</v>
      </c>
      <c r="L1034" s="4" t="s">
        <v>1331</v>
      </c>
      <c r="M1034" s="5" t="s">
        <v>1422</v>
      </c>
      <c r="N1034" s="4" t="s">
        <v>1331</v>
      </c>
      <c r="O1034" s="6">
        <f>579.24</f>
        <v>579.24</v>
      </c>
      <c r="P1034" s="4" t="s">
        <v>276</v>
      </c>
      <c r="Q1034" s="6">
        <f>22937904</f>
        <v>22937904</v>
      </c>
      <c r="R1034" s="6">
        <f>104263200</f>
        <v>104263200</v>
      </c>
      <c r="S1034" s="5" t="s">
        <v>905</v>
      </c>
      <c r="T1034" s="4" t="s">
        <v>296</v>
      </c>
      <c r="U1034" s="4" t="s">
        <v>333</v>
      </c>
      <c r="V1034" s="6">
        <f>2085264</f>
        <v>2085264</v>
      </c>
      <c r="W1034" s="6">
        <f>81325296</f>
        <v>81325296</v>
      </c>
      <c r="X1034" s="4" t="s">
        <v>243</v>
      </c>
      <c r="Y1034" s="4" t="s">
        <v>244</v>
      </c>
      <c r="Z1034" s="4" t="s">
        <v>874</v>
      </c>
      <c r="AA1034" s="4" t="s">
        <v>241</v>
      </c>
      <c r="AD1034" s="4" t="s">
        <v>241</v>
      </c>
      <c r="AE1034" s="5" t="s">
        <v>241</v>
      </c>
      <c r="AF1034" s="5" t="s">
        <v>241</v>
      </c>
      <c r="AH1034" s="5" t="s">
        <v>241</v>
      </c>
      <c r="AI1034" s="5" t="s">
        <v>249</v>
      </c>
      <c r="AJ1034" s="4" t="s">
        <v>251</v>
      </c>
      <c r="AK1034" s="4" t="s">
        <v>252</v>
      </c>
      <c r="AQ1034" s="4" t="s">
        <v>241</v>
      </c>
      <c r="AR1034" s="4" t="s">
        <v>241</v>
      </c>
      <c r="AS1034" s="4" t="s">
        <v>241</v>
      </c>
      <c r="AT1034" s="5" t="s">
        <v>241</v>
      </c>
      <c r="AU1034" s="5" t="s">
        <v>241</v>
      </c>
      <c r="AV1034" s="5" t="s">
        <v>241</v>
      </c>
      <c r="AY1034" s="4" t="s">
        <v>286</v>
      </c>
      <c r="AZ1034" s="4" t="s">
        <v>286</v>
      </c>
      <c r="BA1034" s="4" t="s">
        <v>254</v>
      </c>
      <c r="BB1034" s="4" t="s">
        <v>287</v>
      </c>
      <c r="BC1034" s="4" t="s">
        <v>255</v>
      </c>
      <c r="BD1034" s="4" t="s">
        <v>241</v>
      </c>
      <c r="BE1034" s="4" t="s">
        <v>257</v>
      </c>
      <c r="BF1034" s="4" t="s">
        <v>241</v>
      </c>
      <c r="BJ1034" s="4" t="s">
        <v>288</v>
      </c>
      <c r="BK1034" s="5" t="s">
        <v>289</v>
      </c>
      <c r="BL1034" s="4" t="s">
        <v>290</v>
      </c>
      <c r="BM1034" s="4" t="s">
        <v>290</v>
      </c>
      <c r="BN1034" s="4" t="s">
        <v>241</v>
      </c>
      <c r="BO1034" s="6">
        <f>0</f>
        <v>0</v>
      </c>
      <c r="BP1034" s="6">
        <f>-2085264</f>
        <v>-2085264</v>
      </c>
      <c r="BQ1034" s="4" t="s">
        <v>263</v>
      </c>
      <c r="BR1034" s="4" t="s">
        <v>264</v>
      </c>
      <c r="BS1034" s="4" t="s">
        <v>241</v>
      </c>
      <c r="BT1034" s="4" t="s">
        <v>241</v>
      </c>
      <c r="BU1034" s="4" t="s">
        <v>241</v>
      </c>
      <c r="BV1034" s="4" t="s">
        <v>241</v>
      </c>
      <c r="CE1034" s="4" t="s">
        <v>264</v>
      </c>
      <c r="CF1034" s="4" t="s">
        <v>241</v>
      </c>
      <c r="CG1034" s="4" t="s">
        <v>241</v>
      </c>
      <c r="CK1034" s="4" t="s">
        <v>265</v>
      </c>
      <c r="CL1034" s="4" t="s">
        <v>266</v>
      </c>
      <c r="CM1034" s="4" t="s">
        <v>241</v>
      </c>
      <c r="CO1034" s="4" t="s">
        <v>710</v>
      </c>
      <c r="CP1034" s="5" t="s">
        <v>268</v>
      </c>
      <c r="CQ1034" s="4" t="s">
        <v>269</v>
      </c>
      <c r="CR1034" s="4" t="s">
        <v>270</v>
      </c>
      <c r="CS1034" s="4" t="s">
        <v>293</v>
      </c>
      <c r="CT1034" s="4" t="s">
        <v>241</v>
      </c>
      <c r="CU1034" s="4">
        <v>0.02</v>
      </c>
      <c r="CV1034" s="4" t="s">
        <v>271</v>
      </c>
      <c r="CW1034" s="4" t="s">
        <v>1329</v>
      </c>
      <c r="CX1034" s="4" t="s">
        <v>295</v>
      </c>
      <c r="CY1034" s="6">
        <f>0</f>
        <v>0</v>
      </c>
      <c r="CZ1034" s="6">
        <f>104263200</f>
        <v>104263200</v>
      </c>
      <c r="DA1034" s="6">
        <f>22937904</f>
        <v>22937904</v>
      </c>
      <c r="DC1034" s="4" t="s">
        <v>241</v>
      </c>
      <c r="DD1034" s="4" t="s">
        <v>241</v>
      </c>
      <c r="DF1034" s="4" t="s">
        <v>241</v>
      </c>
      <c r="DG1034" s="6">
        <f>0</f>
        <v>0</v>
      </c>
      <c r="DI1034" s="4" t="s">
        <v>241</v>
      </c>
      <c r="DJ1034" s="4" t="s">
        <v>241</v>
      </c>
      <c r="DK1034" s="4" t="s">
        <v>241</v>
      </c>
      <c r="DL1034" s="4" t="s">
        <v>241</v>
      </c>
      <c r="DM1034" s="4" t="s">
        <v>277</v>
      </c>
      <c r="DN1034" s="4" t="s">
        <v>278</v>
      </c>
      <c r="DO1034" s="6">
        <f>579.24</f>
        <v>579.24</v>
      </c>
      <c r="DP1034" s="4" t="s">
        <v>241</v>
      </c>
      <c r="DQ1034" s="4" t="s">
        <v>241</v>
      </c>
      <c r="DR1034" s="4" t="s">
        <v>241</v>
      </c>
      <c r="DS1034" s="4" t="s">
        <v>241</v>
      </c>
      <c r="DV1034" s="4" t="s">
        <v>1423</v>
      </c>
      <c r="DW1034" s="4" t="s">
        <v>323</v>
      </c>
      <c r="GN1034" s="4" t="s">
        <v>1424</v>
      </c>
      <c r="HO1034" s="4" t="s">
        <v>300</v>
      </c>
      <c r="HR1034" s="4" t="s">
        <v>278</v>
      </c>
      <c r="HS1034" s="4" t="s">
        <v>278</v>
      </c>
      <c r="HT1034" s="4" t="s">
        <v>241</v>
      </c>
      <c r="HU1034" s="4" t="s">
        <v>241</v>
      </c>
      <c r="HV1034" s="4" t="s">
        <v>241</v>
      </c>
      <c r="HW1034" s="4" t="s">
        <v>241</v>
      </c>
      <c r="HX1034" s="4" t="s">
        <v>241</v>
      </c>
      <c r="HY1034" s="4" t="s">
        <v>241</v>
      </c>
      <c r="HZ1034" s="4" t="s">
        <v>241</v>
      </c>
      <c r="IA1034" s="4" t="s">
        <v>241</v>
      </c>
      <c r="IB1034" s="4" t="s">
        <v>241</v>
      </c>
      <c r="IC1034" s="4" t="s">
        <v>241</v>
      </c>
      <c r="ID1034" s="4" t="s">
        <v>241</v>
      </c>
      <c r="IE1034" s="4" t="s">
        <v>241</v>
      </c>
      <c r="IF1034" s="4" t="s">
        <v>241</v>
      </c>
    </row>
    <row r="1035" spans="1:240" x14ac:dyDescent="0.4">
      <c r="A1035" s="4">
        <v>2</v>
      </c>
      <c r="B1035" s="4" t="s">
        <v>239</v>
      </c>
      <c r="C1035" s="4">
        <v>1327</v>
      </c>
      <c r="D1035" s="4">
        <v>1</v>
      </c>
      <c r="E1035" s="4">
        <v>3</v>
      </c>
      <c r="F1035" s="4" t="s">
        <v>240</v>
      </c>
      <c r="G1035" s="4" t="s">
        <v>241</v>
      </c>
      <c r="H1035" s="4" t="s">
        <v>241</v>
      </c>
      <c r="I1035" s="4" t="s">
        <v>1429</v>
      </c>
      <c r="J1035" s="4" t="s">
        <v>1184</v>
      </c>
      <c r="K1035" s="4" t="s">
        <v>256</v>
      </c>
      <c r="L1035" s="4" t="s">
        <v>1331</v>
      </c>
      <c r="M1035" s="5" t="s">
        <v>419</v>
      </c>
      <c r="N1035" s="4" t="s">
        <v>1331</v>
      </c>
      <c r="O1035" s="6">
        <f>1349.36</f>
        <v>1349.36</v>
      </c>
      <c r="P1035" s="4" t="s">
        <v>276</v>
      </c>
      <c r="Q1035" s="6">
        <f>53434656</f>
        <v>53434656</v>
      </c>
      <c r="R1035" s="6">
        <f>242884800</f>
        <v>242884800</v>
      </c>
      <c r="S1035" s="5" t="s">
        <v>1430</v>
      </c>
      <c r="T1035" s="4" t="s">
        <v>296</v>
      </c>
      <c r="U1035" s="4" t="s">
        <v>333</v>
      </c>
      <c r="V1035" s="6">
        <f>4857696</f>
        <v>4857696</v>
      </c>
      <c r="W1035" s="6">
        <f>189450144</f>
        <v>189450144</v>
      </c>
      <c r="X1035" s="4" t="s">
        <v>243</v>
      </c>
      <c r="Y1035" s="4" t="s">
        <v>244</v>
      </c>
      <c r="Z1035" s="4" t="s">
        <v>874</v>
      </c>
      <c r="AA1035" s="4" t="s">
        <v>241</v>
      </c>
      <c r="AD1035" s="4" t="s">
        <v>241</v>
      </c>
      <c r="AE1035" s="5" t="s">
        <v>241</v>
      </c>
      <c r="AF1035" s="5" t="s">
        <v>241</v>
      </c>
      <c r="AH1035" s="5" t="s">
        <v>241</v>
      </c>
      <c r="AI1035" s="5" t="s">
        <v>249</v>
      </c>
      <c r="AJ1035" s="4" t="s">
        <v>251</v>
      </c>
      <c r="AK1035" s="4" t="s">
        <v>252</v>
      </c>
      <c r="AQ1035" s="4" t="s">
        <v>241</v>
      </c>
      <c r="AR1035" s="4" t="s">
        <v>241</v>
      </c>
      <c r="AS1035" s="4" t="s">
        <v>241</v>
      </c>
      <c r="AT1035" s="5" t="s">
        <v>241</v>
      </c>
      <c r="AU1035" s="5" t="s">
        <v>241</v>
      </c>
      <c r="AV1035" s="5" t="s">
        <v>241</v>
      </c>
      <c r="AY1035" s="4" t="s">
        <v>286</v>
      </c>
      <c r="AZ1035" s="4" t="s">
        <v>286</v>
      </c>
      <c r="BA1035" s="4" t="s">
        <v>254</v>
      </c>
      <c r="BB1035" s="4" t="s">
        <v>287</v>
      </c>
      <c r="BC1035" s="4" t="s">
        <v>255</v>
      </c>
      <c r="BD1035" s="4" t="s">
        <v>241</v>
      </c>
      <c r="BE1035" s="4" t="s">
        <v>257</v>
      </c>
      <c r="BF1035" s="4" t="s">
        <v>241</v>
      </c>
      <c r="BJ1035" s="4" t="s">
        <v>288</v>
      </c>
      <c r="BK1035" s="5" t="s">
        <v>289</v>
      </c>
      <c r="BL1035" s="4" t="s">
        <v>290</v>
      </c>
      <c r="BM1035" s="4" t="s">
        <v>290</v>
      </c>
      <c r="BN1035" s="4" t="s">
        <v>241</v>
      </c>
      <c r="BO1035" s="6">
        <f>0</f>
        <v>0</v>
      </c>
      <c r="BP1035" s="6">
        <f>-4857696</f>
        <v>-4857696</v>
      </c>
      <c r="BQ1035" s="4" t="s">
        <v>263</v>
      </c>
      <c r="BR1035" s="4" t="s">
        <v>264</v>
      </c>
      <c r="BS1035" s="4" t="s">
        <v>241</v>
      </c>
      <c r="BT1035" s="4" t="s">
        <v>241</v>
      </c>
      <c r="BU1035" s="4" t="s">
        <v>241</v>
      </c>
      <c r="BV1035" s="4" t="s">
        <v>241</v>
      </c>
      <c r="CE1035" s="4" t="s">
        <v>264</v>
      </c>
      <c r="CF1035" s="4" t="s">
        <v>241</v>
      </c>
      <c r="CG1035" s="4" t="s">
        <v>241</v>
      </c>
      <c r="CK1035" s="4" t="s">
        <v>265</v>
      </c>
      <c r="CL1035" s="4" t="s">
        <v>266</v>
      </c>
      <c r="CM1035" s="4" t="s">
        <v>241</v>
      </c>
      <c r="CO1035" s="4" t="s">
        <v>710</v>
      </c>
      <c r="CP1035" s="5" t="s">
        <v>268</v>
      </c>
      <c r="CQ1035" s="4" t="s">
        <v>269</v>
      </c>
      <c r="CR1035" s="4" t="s">
        <v>270</v>
      </c>
      <c r="CS1035" s="4" t="s">
        <v>293</v>
      </c>
      <c r="CT1035" s="4" t="s">
        <v>241</v>
      </c>
      <c r="CU1035" s="4">
        <v>0.02</v>
      </c>
      <c r="CV1035" s="4" t="s">
        <v>271</v>
      </c>
      <c r="CW1035" s="4" t="s">
        <v>1329</v>
      </c>
      <c r="CX1035" s="4" t="s">
        <v>295</v>
      </c>
      <c r="CY1035" s="6">
        <f>0</f>
        <v>0</v>
      </c>
      <c r="CZ1035" s="6">
        <f>242884800</f>
        <v>242884800</v>
      </c>
      <c r="DA1035" s="6">
        <f>53434656</f>
        <v>53434656</v>
      </c>
      <c r="DC1035" s="4" t="s">
        <v>241</v>
      </c>
      <c r="DD1035" s="4" t="s">
        <v>241</v>
      </c>
      <c r="DF1035" s="4" t="s">
        <v>241</v>
      </c>
      <c r="DG1035" s="6">
        <f>0</f>
        <v>0</v>
      </c>
      <c r="DI1035" s="4" t="s">
        <v>241</v>
      </c>
      <c r="DJ1035" s="4" t="s">
        <v>241</v>
      </c>
      <c r="DK1035" s="4" t="s">
        <v>241</v>
      </c>
      <c r="DL1035" s="4" t="s">
        <v>241</v>
      </c>
      <c r="DM1035" s="4" t="s">
        <v>323</v>
      </c>
      <c r="DN1035" s="4" t="s">
        <v>278</v>
      </c>
      <c r="DO1035" s="6">
        <f>1349.36</f>
        <v>1349.36</v>
      </c>
      <c r="DP1035" s="4" t="s">
        <v>241</v>
      </c>
      <c r="DQ1035" s="4" t="s">
        <v>241</v>
      </c>
      <c r="DR1035" s="4" t="s">
        <v>241</v>
      </c>
      <c r="DS1035" s="4" t="s">
        <v>241</v>
      </c>
      <c r="DV1035" s="4" t="s">
        <v>1431</v>
      </c>
      <c r="DW1035" s="4" t="s">
        <v>277</v>
      </c>
      <c r="GN1035" s="4" t="s">
        <v>1432</v>
      </c>
      <c r="HO1035" s="4" t="s">
        <v>300</v>
      </c>
      <c r="HR1035" s="4" t="s">
        <v>278</v>
      </c>
      <c r="HS1035" s="4" t="s">
        <v>278</v>
      </c>
      <c r="HT1035" s="4" t="s">
        <v>241</v>
      </c>
      <c r="HU1035" s="4" t="s">
        <v>241</v>
      </c>
      <c r="HV1035" s="4" t="s">
        <v>241</v>
      </c>
      <c r="HW1035" s="4" t="s">
        <v>241</v>
      </c>
      <c r="HX1035" s="4" t="s">
        <v>241</v>
      </c>
      <c r="HY1035" s="4" t="s">
        <v>241</v>
      </c>
      <c r="HZ1035" s="4" t="s">
        <v>241</v>
      </c>
      <c r="IA1035" s="4" t="s">
        <v>241</v>
      </c>
      <c r="IB1035" s="4" t="s">
        <v>241</v>
      </c>
      <c r="IC1035" s="4" t="s">
        <v>241</v>
      </c>
      <c r="ID1035" s="4" t="s">
        <v>241</v>
      </c>
      <c r="IE1035" s="4" t="s">
        <v>241</v>
      </c>
      <c r="IF1035" s="4" t="s">
        <v>241</v>
      </c>
    </row>
    <row r="1036" spans="1:240" x14ac:dyDescent="0.4">
      <c r="A1036" s="4">
        <v>2</v>
      </c>
      <c r="B1036" s="4" t="s">
        <v>239</v>
      </c>
      <c r="C1036" s="4">
        <v>1328</v>
      </c>
      <c r="D1036" s="4">
        <v>1</v>
      </c>
      <c r="E1036" s="4">
        <v>3</v>
      </c>
      <c r="F1036" s="4" t="s">
        <v>326</v>
      </c>
      <c r="G1036" s="4" t="s">
        <v>241</v>
      </c>
      <c r="H1036" s="4" t="s">
        <v>241</v>
      </c>
      <c r="I1036" s="4" t="s">
        <v>1429</v>
      </c>
      <c r="J1036" s="4" t="s">
        <v>1184</v>
      </c>
      <c r="K1036" s="4" t="s">
        <v>256</v>
      </c>
      <c r="L1036" s="4" t="s">
        <v>2699</v>
      </c>
      <c r="M1036" s="5" t="s">
        <v>419</v>
      </c>
      <c r="N1036" s="4" t="s">
        <v>2697</v>
      </c>
      <c r="O1036" s="6">
        <f>0</f>
        <v>0</v>
      </c>
      <c r="P1036" s="4" t="s">
        <v>276</v>
      </c>
      <c r="Q1036" s="6">
        <f>88020</f>
        <v>88020</v>
      </c>
      <c r="R1036" s="6">
        <f>176040</f>
        <v>176040</v>
      </c>
      <c r="S1036" s="5" t="s">
        <v>2698</v>
      </c>
      <c r="T1036" s="4" t="s">
        <v>343</v>
      </c>
      <c r="U1036" s="4" t="s">
        <v>297</v>
      </c>
      <c r="V1036" s="6">
        <f>22005</f>
        <v>22005</v>
      </c>
      <c r="W1036" s="6">
        <f>88020</f>
        <v>88020</v>
      </c>
      <c r="X1036" s="4" t="s">
        <v>243</v>
      </c>
      <c r="Y1036" s="4" t="s">
        <v>244</v>
      </c>
      <c r="Z1036" s="4" t="s">
        <v>874</v>
      </c>
      <c r="AA1036" s="4" t="s">
        <v>241</v>
      </c>
      <c r="AD1036" s="4" t="s">
        <v>241</v>
      </c>
      <c r="AE1036" s="5" t="s">
        <v>241</v>
      </c>
      <c r="AF1036" s="5" t="s">
        <v>241</v>
      </c>
      <c r="AH1036" s="5" t="s">
        <v>241</v>
      </c>
      <c r="AI1036" s="5" t="s">
        <v>249</v>
      </c>
      <c r="AJ1036" s="4" t="s">
        <v>251</v>
      </c>
      <c r="AK1036" s="4" t="s">
        <v>252</v>
      </c>
      <c r="AQ1036" s="4" t="s">
        <v>241</v>
      </c>
      <c r="AR1036" s="4" t="s">
        <v>241</v>
      </c>
      <c r="AS1036" s="4" t="s">
        <v>241</v>
      </c>
      <c r="AT1036" s="5" t="s">
        <v>241</v>
      </c>
      <c r="AU1036" s="5" t="s">
        <v>241</v>
      </c>
      <c r="AV1036" s="5" t="s">
        <v>241</v>
      </c>
      <c r="AY1036" s="4" t="s">
        <v>286</v>
      </c>
      <c r="AZ1036" s="4" t="s">
        <v>286</v>
      </c>
      <c r="BA1036" s="4" t="s">
        <v>254</v>
      </c>
      <c r="BB1036" s="4" t="s">
        <v>287</v>
      </c>
      <c r="BC1036" s="4" t="s">
        <v>255</v>
      </c>
      <c r="BD1036" s="4" t="s">
        <v>241</v>
      </c>
      <c r="BE1036" s="4" t="s">
        <v>257</v>
      </c>
      <c r="BF1036" s="4" t="s">
        <v>241</v>
      </c>
      <c r="BJ1036" s="4" t="s">
        <v>288</v>
      </c>
      <c r="BK1036" s="5" t="s">
        <v>289</v>
      </c>
      <c r="BL1036" s="4" t="s">
        <v>290</v>
      </c>
      <c r="BM1036" s="4" t="s">
        <v>290</v>
      </c>
      <c r="BN1036" s="4" t="s">
        <v>241</v>
      </c>
      <c r="BP1036" s="6">
        <f>-22005</f>
        <v>-22005</v>
      </c>
      <c r="BQ1036" s="4" t="s">
        <v>263</v>
      </c>
      <c r="BR1036" s="4" t="s">
        <v>264</v>
      </c>
      <c r="BS1036" s="4" t="s">
        <v>241</v>
      </c>
      <c r="BT1036" s="4" t="s">
        <v>241</v>
      </c>
      <c r="BU1036" s="4" t="s">
        <v>241</v>
      </c>
      <c r="BV1036" s="4" t="s">
        <v>241</v>
      </c>
      <c r="CE1036" s="4" t="s">
        <v>264</v>
      </c>
      <c r="CF1036" s="4" t="s">
        <v>241</v>
      </c>
      <c r="CG1036" s="4" t="s">
        <v>241</v>
      </c>
      <c r="CK1036" s="4" t="s">
        <v>291</v>
      </c>
      <c r="CL1036" s="4" t="s">
        <v>266</v>
      </c>
      <c r="CM1036" s="4" t="s">
        <v>241</v>
      </c>
      <c r="CO1036" s="4" t="s">
        <v>413</v>
      </c>
      <c r="CP1036" s="5" t="s">
        <v>268</v>
      </c>
      <c r="CQ1036" s="4" t="s">
        <v>269</v>
      </c>
      <c r="CR1036" s="4" t="s">
        <v>270</v>
      </c>
      <c r="CS1036" s="4" t="s">
        <v>293</v>
      </c>
      <c r="CT1036" s="4" t="s">
        <v>241</v>
      </c>
      <c r="CU1036" s="4">
        <v>0.125</v>
      </c>
      <c r="CV1036" s="4" t="s">
        <v>271</v>
      </c>
      <c r="CW1036" s="4" t="s">
        <v>415</v>
      </c>
      <c r="CX1036" s="4" t="s">
        <v>2643</v>
      </c>
      <c r="CY1036" s="6">
        <f>0</f>
        <v>0</v>
      </c>
      <c r="CZ1036" s="6">
        <f>176040</f>
        <v>176040</v>
      </c>
      <c r="DA1036" s="6">
        <f>88020</f>
        <v>88020</v>
      </c>
      <c r="DC1036" s="4" t="s">
        <v>241</v>
      </c>
      <c r="DD1036" s="4" t="s">
        <v>241</v>
      </c>
      <c r="DF1036" s="4" t="s">
        <v>241</v>
      </c>
      <c r="DG1036" s="6">
        <f>0</f>
        <v>0</v>
      </c>
      <c r="DI1036" s="4" t="s">
        <v>241</v>
      </c>
      <c r="DJ1036" s="4" t="s">
        <v>241</v>
      </c>
      <c r="DK1036" s="4" t="s">
        <v>241</v>
      </c>
      <c r="DL1036" s="4" t="s">
        <v>241</v>
      </c>
      <c r="DM1036" s="4" t="s">
        <v>278</v>
      </c>
      <c r="DN1036" s="4" t="s">
        <v>278</v>
      </c>
      <c r="DO1036" s="6" t="s">
        <v>241</v>
      </c>
      <c r="DP1036" s="4" t="s">
        <v>241</v>
      </c>
      <c r="DQ1036" s="4" t="s">
        <v>241</v>
      </c>
      <c r="DR1036" s="4" t="s">
        <v>241</v>
      </c>
      <c r="DS1036" s="4" t="s">
        <v>241</v>
      </c>
      <c r="DV1036" s="4" t="s">
        <v>1431</v>
      </c>
      <c r="DW1036" s="4" t="s">
        <v>323</v>
      </c>
      <c r="GN1036" s="4" t="s">
        <v>2700</v>
      </c>
      <c r="HO1036" s="4" t="s">
        <v>351</v>
      </c>
      <c r="HR1036" s="4" t="s">
        <v>278</v>
      </c>
      <c r="HS1036" s="4" t="s">
        <v>278</v>
      </c>
      <c r="HT1036" s="4" t="s">
        <v>241</v>
      </c>
      <c r="HU1036" s="4" t="s">
        <v>241</v>
      </c>
      <c r="HV1036" s="4" t="s">
        <v>241</v>
      </c>
      <c r="HW1036" s="4" t="s">
        <v>241</v>
      </c>
      <c r="HX1036" s="4" t="s">
        <v>241</v>
      </c>
      <c r="HY1036" s="4" t="s">
        <v>241</v>
      </c>
      <c r="HZ1036" s="4" t="s">
        <v>241</v>
      </c>
      <c r="IA1036" s="4" t="s">
        <v>241</v>
      </c>
      <c r="IB1036" s="4" t="s">
        <v>241</v>
      </c>
      <c r="IC1036" s="4" t="s">
        <v>241</v>
      </c>
      <c r="ID1036" s="4" t="s">
        <v>241</v>
      </c>
      <c r="IE1036" s="4" t="s">
        <v>241</v>
      </c>
      <c r="IF1036" s="4" t="s">
        <v>241</v>
      </c>
    </row>
    <row r="1037" spans="1:240" x14ac:dyDescent="0.4">
      <c r="A1037" s="4">
        <v>2</v>
      </c>
      <c r="B1037" s="4" t="s">
        <v>239</v>
      </c>
      <c r="C1037" s="4">
        <v>1331</v>
      </c>
      <c r="D1037" s="4">
        <v>1</v>
      </c>
      <c r="E1037" s="4">
        <v>3</v>
      </c>
      <c r="F1037" s="4" t="s">
        <v>240</v>
      </c>
      <c r="G1037" s="4" t="s">
        <v>241</v>
      </c>
      <c r="H1037" s="4" t="s">
        <v>241</v>
      </c>
      <c r="I1037" s="4" t="s">
        <v>1462</v>
      </c>
      <c r="J1037" s="4" t="s">
        <v>1184</v>
      </c>
      <c r="K1037" s="4" t="s">
        <v>256</v>
      </c>
      <c r="L1037" s="4" t="s">
        <v>1331</v>
      </c>
      <c r="M1037" s="5" t="s">
        <v>1464</v>
      </c>
      <c r="N1037" s="4" t="s">
        <v>1331</v>
      </c>
      <c r="O1037" s="6">
        <f>947.62</f>
        <v>947.62</v>
      </c>
      <c r="P1037" s="4" t="s">
        <v>276</v>
      </c>
      <c r="Q1037" s="6">
        <f>14332770</f>
        <v>14332770</v>
      </c>
      <c r="R1037" s="6">
        <f>260595500</f>
        <v>260595500</v>
      </c>
      <c r="S1037" s="5" t="s">
        <v>1463</v>
      </c>
      <c r="T1037" s="4" t="s">
        <v>333</v>
      </c>
      <c r="U1037" s="4" t="s">
        <v>357</v>
      </c>
      <c r="V1037" s="6">
        <f>7036078</f>
        <v>7036078</v>
      </c>
      <c r="W1037" s="6">
        <f>246262730</f>
        <v>246262730</v>
      </c>
      <c r="X1037" s="4" t="s">
        <v>243</v>
      </c>
      <c r="Y1037" s="4" t="s">
        <v>244</v>
      </c>
      <c r="Z1037" s="4" t="s">
        <v>874</v>
      </c>
      <c r="AA1037" s="4" t="s">
        <v>241</v>
      </c>
      <c r="AD1037" s="4" t="s">
        <v>241</v>
      </c>
      <c r="AE1037" s="5" t="s">
        <v>241</v>
      </c>
      <c r="AF1037" s="5" t="s">
        <v>241</v>
      </c>
      <c r="AH1037" s="5" t="s">
        <v>241</v>
      </c>
      <c r="AI1037" s="5" t="s">
        <v>249</v>
      </c>
      <c r="AJ1037" s="4" t="s">
        <v>251</v>
      </c>
      <c r="AK1037" s="4" t="s">
        <v>252</v>
      </c>
      <c r="AQ1037" s="4" t="s">
        <v>241</v>
      </c>
      <c r="AR1037" s="4" t="s">
        <v>241</v>
      </c>
      <c r="AS1037" s="4" t="s">
        <v>241</v>
      </c>
      <c r="AT1037" s="5" t="s">
        <v>241</v>
      </c>
      <c r="AU1037" s="5" t="s">
        <v>241</v>
      </c>
      <c r="AV1037" s="5" t="s">
        <v>241</v>
      </c>
      <c r="AY1037" s="4" t="s">
        <v>286</v>
      </c>
      <c r="AZ1037" s="4" t="s">
        <v>286</v>
      </c>
      <c r="BA1037" s="4" t="s">
        <v>254</v>
      </c>
      <c r="BB1037" s="4" t="s">
        <v>287</v>
      </c>
      <c r="BC1037" s="4" t="s">
        <v>255</v>
      </c>
      <c r="BD1037" s="4" t="s">
        <v>241</v>
      </c>
      <c r="BE1037" s="4" t="s">
        <v>257</v>
      </c>
      <c r="BF1037" s="4" t="s">
        <v>241</v>
      </c>
      <c r="BJ1037" s="4" t="s">
        <v>288</v>
      </c>
      <c r="BK1037" s="5" t="s">
        <v>289</v>
      </c>
      <c r="BL1037" s="4" t="s">
        <v>290</v>
      </c>
      <c r="BM1037" s="4" t="s">
        <v>290</v>
      </c>
      <c r="BN1037" s="4" t="s">
        <v>241</v>
      </c>
      <c r="BO1037" s="6">
        <f>0</f>
        <v>0</v>
      </c>
      <c r="BP1037" s="6">
        <f>-7036078</f>
        <v>-7036078</v>
      </c>
      <c r="BQ1037" s="4" t="s">
        <v>263</v>
      </c>
      <c r="BR1037" s="4" t="s">
        <v>264</v>
      </c>
      <c r="BS1037" s="4" t="s">
        <v>241</v>
      </c>
      <c r="BT1037" s="4" t="s">
        <v>241</v>
      </c>
      <c r="BU1037" s="4" t="s">
        <v>241</v>
      </c>
      <c r="BV1037" s="4" t="s">
        <v>241</v>
      </c>
      <c r="CE1037" s="4" t="s">
        <v>264</v>
      </c>
      <c r="CF1037" s="4" t="s">
        <v>241</v>
      </c>
      <c r="CG1037" s="4" t="s">
        <v>241</v>
      </c>
      <c r="CK1037" s="4" t="s">
        <v>291</v>
      </c>
      <c r="CL1037" s="4" t="s">
        <v>266</v>
      </c>
      <c r="CM1037" s="4" t="s">
        <v>241</v>
      </c>
      <c r="CO1037" s="4" t="s">
        <v>398</v>
      </c>
      <c r="CP1037" s="5" t="s">
        <v>268</v>
      </c>
      <c r="CQ1037" s="4" t="s">
        <v>269</v>
      </c>
      <c r="CR1037" s="4" t="s">
        <v>270</v>
      </c>
      <c r="CS1037" s="4" t="s">
        <v>293</v>
      </c>
      <c r="CT1037" s="4" t="s">
        <v>241</v>
      </c>
      <c r="CU1037" s="4">
        <v>2.7E-2</v>
      </c>
      <c r="CV1037" s="4" t="s">
        <v>271</v>
      </c>
      <c r="CW1037" s="4" t="s">
        <v>1329</v>
      </c>
      <c r="CX1037" s="4" t="s">
        <v>487</v>
      </c>
      <c r="CY1037" s="6">
        <f>0</f>
        <v>0</v>
      </c>
      <c r="CZ1037" s="6">
        <f>260595500</f>
        <v>260595500</v>
      </c>
      <c r="DA1037" s="6">
        <f>14332770</f>
        <v>14332770</v>
      </c>
      <c r="DC1037" s="4" t="s">
        <v>241</v>
      </c>
      <c r="DD1037" s="4" t="s">
        <v>241</v>
      </c>
      <c r="DF1037" s="4" t="s">
        <v>241</v>
      </c>
      <c r="DG1037" s="6">
        <f>0</f>
        <v>0</v>
      </c>
      <c r="DI1037" s="4" t="s">
        <v>241</v>
      </c>
      <c r="DJ1037" s="4" t="s">
        <v>241</v>
      </c>
      <c r="DK1037" s="4" t="s">
        <v>241</v>
      </c>
      <c r="DL1037" s="4" t="s">
        <v>241</v>
      </c>
      <c r="DM1037" s="4" t="s">
        <v>277</v>
      </c>
      <c r="DN1037" s="4" t="s">
        <v>278</v>
      </c>
      <c r="DO1037" s="6">
        <f>947.62</f>
        <v>947.62</v>
      </c>
      <c r="DP1037" s="4" t="s">
        <v>241</v>
      </c>
      <c r="DQ1037" s="4" t="s">
        <v>241</v>
      </c>
      <c r="DR1037" s="4" t="s">
        <v>241</v>
      </c>
      <c r="DS1037" s="4" t="s">
        <v>241</v>
      </c>
      <c r="DV1037" s="4" t="s">
        <v>1465</v>
      </c>
      <c r="DW1037" s="4" t="s">
        <v>277</v>
      </c>
      <c r="GN1037" s="4" t="s">
        <v>1466</v>
      </c>
      <c r="HO1037" s="4" t="s">
        <v>300</v>
      </c>
      <c r="HR1037" s="4" t="s">
        <v>278</v>
      </c>
      <c r="HS1037" s="4" t="s">
        <v>278</v>
      </c>
      <c r="HT1037" s="4" t="s">
        <v>241</v>
      </c>
      <c r="HU1037" s="4" t="s">
        <v>241</v>
      </c>
      <c r="HV1037" s="4" t="s">
        <v>241</v>
      </c>
      <c r="HW1037" s="4" t="s">
        <v>241</v>
      </c>
      <c r="HX1037" s="4" t="s">
        <v>241</v>
      </c>
      <c r="HY1037" s="4" t="s">
        <v>241</v>
      </c>
      <c r="HZ1037" s="4" t="s">
        <v>241</v>
      </c>
      <c r="IA1037" s="4" t="s">
        <v>241</v>
      </c>
      <c r="IB1037" s="4" t="s">
        <v>241</v>
      </c>
      <c r="IC1037" s="4" t="s">
        <v>241</v>
      </c>
      <c r="ID1037" s="4" t="s">
        <v>241</v>
      </c>
      <c r="IE1037" s="4" t="s">
        <v>241</v>
      </c>
      <c r="IF1037" s="4" t="s">
        <v>241</v>
      </c>
    </row>
    <row r="1038" spans="1:240" x14ac:dyDescent="0.4">
      <c r="A1038" s="4">
        <v>2</v>
      </c>
      <c r="B1038" s="4" t="s">
        <v>239</v>
      </c>
      <c r="C1038" s="4">
        <v>1332</v>
      </c>
      <c r="D1038" s="4">
        <v>1</v>
      </c>
      <c r="E1038" s="4">
        <v>3</v>
      </c>
      <c r="F1038" s="4" t="s">
        <v>240</v>
      </c>
      <c r="G1038" s="4" t="s">
        <v>241</v>
      </c>
      <c r="H1038" s="4" t="s">
        <v>241</v>
      </c>
      <c r="I1038" s="4" t="s">
        <v>1486</v>
      </c>
      <c r="J1038" s="4" t="s">
        <v>1184</v>
      </c>
      <c r="K1038" s="4" t="s">
        <v>256</v>
      </c>
      <c r="L1038" s="4" t="s">
        <v>1485</v>
      </c>
      <c r="M1038" s="5" t="s">
        <v>285</v>
      </c>
      <c r="N1038" s="4" t="s">
        <v>1485</v>
      </c>
      <c r="O1038" s="6">
        <f>1124.47</f>
        <v>1124.47</v>
      </c>
      <c r="P1038" s="4" t="s">
        <v>276</v>
      </c>
      <c r="Q1038" s="6">
        <f>71807557</f>
        <v>71807557</v>
      </c>
      <c r="R1038" s="6">
        <f>377934367</f>
        <v>377934367</v>
      </c>
      <c r="S1038" s="5" t="s">
        <v>438</v>
      </c>
      <c r="T1038" s="4" t="s">
        <v>333</v>
      </c>
      <c r="U1038" s="4" t="s">
        <v>399</v>
      </c>
      <c r="V1038" s="6">
        <f>10204227</f>
        <v>10204227</v>
      </c>
      <c r="W1038" s="6">
        <f>306126810</f>
        <v>306126810</v>
      </c>
      <c r="X1038" s="4" t="s">
        <v>243</v>
      </c>
      <c r="Y1038" s="4" t="s">
        <v>244</v>
      </c>
      <c r="Z1038" s="4" t="s">
        <v>874</v>
      </c>
      <c r="AA1038" s="4" t="s">
        <v>241</v>
      </c>
      <c r="AD1038" s="4" t="s">
        <v>241</v>
      </c>
      <c r="AE1038" s="5" t="s">
        <v>241</v>
      </c>
      <c r="AF1038" s="5" t="s">
        <v>241</v>
      </c>
      <c r="AH1038" s="5" t="s">
        <v>241</v>
      </c>
      <c r="AI1038" s="5" t="s">
        <v>249</v>
      </c>
      <c r="AJ1038" s="4" t="s">
        <v>251</v>
      </c>
      <c r="AK1038" s="4" t="s">
        <v>252</v>
      </c>
      <c r="AQ1038" s="4" t="s">
        <v>241</v>
      </c>
      <c r="AR1038" s="4" t="s">
        <v>241</v>
      </c>
      <c r="AS1038" s="4" t="s">
        <v>241</v>
      </c>
      <c r="AT1038" s="5" t="s">
        <v>241</v>
      </c>
      <c r="AU1038" s="5" t="s">
        <v>241</v>
      </c>
      <c r="AV1038" s="5" t="s">
        <v>241</v>
      </c>
      <c r="AY1038" s="4" t="s">
        <v>286</v>
      </c>
      <c r="AZ1038" s="4" t="s">
        <v>286</v>
      </c>
      <c r="BA1038" s="4" t="s">
        <v>254</v>
      </c>
      <c r="BB1038" s="4" t="s">
        <v>287</v>
      </c>
      <c r="BC1038" s="4" t="s">
        <v>255</v>
      </c>
      <c r="BD1038" s="4" t="s">
        <v>241</v>
      </c>
      <c r="BE1038" s="4" t="s">
        <v>257</v>
      </c>
      <c r="BF1038" s="4" t="s">
        <v>241</v>
      </c>
      <c r="BH1038" s="4" t="s">
        <v>500</v>
      </c>
      <c r="BJ1038" s="4" t="s">
        <v>288</v>
      </c>
      <c r="BK1038" s="5" t="s">
        <v>289</v>
      </c>
      <c r="BL1038" s="4" t="s">
        <v>290</v>
      </c>
      <c r="BM1038" s="4" t="s">
        <v>290</v>
      </c>
      <c r="BN1038" s="4" t="s">
        <v>241</v>
      </c>
      <c r="BO1038" s="6">
        <f>0</f>
        <v>0</v>
      </c>
      <c r="BP1038" s="6">
        <f>-10204227</f>
        <v>-10204227</v>
      </c>
      <c r="BQ1038" s="4" t="s">
        <v>263</v>
      </c>
      <c r="BR1038" s="4" t="s">
        <v>264</v>
      </c>
      <c r="BS1038" s="4" t="s">
        <v>241</v>
      </c>
      <c r="BT1038" s="4" t="s">
        <v>241</v>
      </c>
      <c r="BU1038" s="4" t="s">
        <v>241</v>
      </c>
      <c r="BV1038" s="4" t="s">
        <v>241</v>
      </c>
      <c r="CE1038" s="4" t="s">
        <v>264</v>
      </c>
      <c r="CF1038" s="4" t="s">
        <v>241</v>
      </c>
      <c r="CG1038" s="4" t="s">
        <v>241</v>
      </c>
      <c r="CK1038" s="4" t="s">
        <v>291</v>
      </c>
      <c r="CL1038" s="4" t="s">
        <v>266</v>
      </c>
      <c r="CM1038" s="4" t="s">
        <v>241</v>
      </c>
      <c r="CO1038" s="4" t="s">
        <v>439</v>
      </c>
      <c r="CP1038" s="5" t="s">
        <v>268</v>
      </c>
      <c r="CQ1038" s="4" t="s">
        <v>269</v>
      </c>
      <c r="CR1038" s="4" t="s">
        <v>270</v>
      </c>
      <c r="CS1038" s="4" t="s">
        <v>293</v>
      </c>
      <c r="CT1038" s="4" t="s">
        <v>241</v>
      </c>
      <c r="CU1038" s="4">
        <v>2.7E-2</v>
      </c>
      <c r="CV1038" s="4" t="s">
        <v>271</v>
      </c>
      <c r="CW1038" s="4" t="s">
        <v>1329</v>
      </c>
      <c r="CX1038" s="4" t="s">
        <v>487</v>
      </c>
      <c r="CY1038" s="6">
        <f>0</f>
        <v>0</v>
      </c>
      <c r="CZ1038" s="6">
        <f>377934367</f>
        <v>377934367</v>
      </c>
      <c r="DA1038" s="6">
        <f>71807557</f>
        <v>71807557</v>
      </c>
      <c r="DC1038" s="4" t="s">
        <v>241</v>
      </c>
      <c r="DD1038" s="4" t="s">
        <v>241</v>
      </c>
      <c r="DF1038" s="4" t="s">
        <v>241</v>
      </c>
      <c r="DG1038" s="6">
        <f>0</f>
        <v>0</v>
      </c>
      <c r="DI1038" s="4" t="s">
        <v>241</v>
      </c>
      <c r="DJ1038" s="4" t="s">
        <v>241</v>
      </c>
      <c r="DK1038" s="4" t="s">
        <v>241</v>
      </c>
      <c r="DL1038" s="4" t="s">
        <v>241</v>
      </c>
      <c r="DM1038" s="4" t="s">
        <v>277</v>
      </c>
      <c r="DN1038" s="4" t="s">
        <v>278</v>
      </c>
      <c r="DO1038" s="6">
        <f>1124.47</f>
        <v>1124.47</v>
      </c>
      <c r="DP1038" s="4" t="s">
        <v>241</v>
      </c>
      <c r="DQ1038" s="4" t="s">
        <v>241</v>
      </c>
      <c r="DR1038" s="4" t="s">
        <v>241</v>
      </c>
      <c r="DS1038" s="4" t="s">
        <v>241</v>
      </c>
      <c r="DV1038" s="4" t="s">
        <v>1487</v>
      </c>
      <c r="DW1038" s="4" t="s">
        <v>277</v>
      </c>
      <c r="GN1038" s="4" t="s">
        <v>1488</v>
      </c>
      <c r="HO1038" s="4" t="s">
        <v>300</v>
      </c>
      <c r="HR1038" s="4" t="s">
        <v>278</v>
      </c>
      <c r="HS1038" s="4" t="s">
        <v>278</v>
      </c>
      <c r="HT1038" s="4" t="s">
        <v>241</v>
      </c>
      <c r="HU1038" s="4" t="s">
        <v>241</v>
      </c>
      <c r="HV1038" s="4" t="s">
        <v>241</v>
      </c>
      <c r="HW1038" s="4" t="s">
        <v>241</v>
      </c>
      <c r="HX1038" s="4" t="s">
        <v>241</v>
      </c>
      <c r="HY1038" s="4" t="s">
        <v>241</v>
      </c>
      <c r="HZ1038" s="4" t="s">
        <v>241</v>
      </c>
      <c r="IA1038" s="4" t="s">
        <v>241</v>
      </c>
      <c r="IB1038" s="4" t="s">
        <v>241</v>
      </c>
      <c r="IC1038" s="4" t="s">
        <v>241</v>
      </c>
      <c r="ID1038" s="4" t="s">
        <v>241</v>
      </c>
      <c r="IE1038" s="4" t="s">
        <v>241</v>
      </c>
      <c r="IF1038" s="4" t="s">
        <v>241</v>
      </c>
    </row>
    <row r="1039" spans="1:240" x14ac:dyDescent="0.4">
      <c r="A1039" s="4">
        <v>2</v>
      </c>
      <c r="B1039" s="4" t="s">
        <v>239</v>
      </c>
      <c r="C1039" s="4">
        <v>1333</v>
      </c>
      <c r="D1039" s="4">
        <v>1</v>
      </c>
      <c r="E1039" s="4">
        <v>3</v>
      </c>
      <c r="F1039" s="4" t="s">
        <v>326</v>
      </c>
      <c r="G1039" s="4" t="s">
        <v>241</v>
      </c>
      <c r="H1039" s="4" t="s">
        <v>241</v>
      </c>
      <c r="I1039" s="4" t="s">
        <v>1486</v>
      </c>
      <c r="J1039" s="4" t="s">
        <v>1184</v>
      </c>
      <c r="K1039" s="4" t="s">
        <v>256</v>
      </c>
      <c r="L1039" s="4" t="s">
        <v>2535</v>
      </c>
      <c r="M1039" s="5" t="s">
        <v>285</v>
      </c>
      <c r="N1039" s="4" t="s">
        <v>2694</v>
      </c>
      <c r="O1039" s="6">
        <f>0</f>
        <v>0</v>
      </c>
      <c r="P1039" s="4" t="s">
        <v>276</v>
      </c>
      <c r="Q1039" s="6">
        <f>2245192</f>
        <v>2245192</v>
      </c>
      <c r="R1039" s="6">
        <f>3067200</f>
        <v>3067200</v>
      </c>
      <c r="S1039" s="5" t="s">
        <v>2695</v>
      </c>
      <c r="T1039" s="4" t="s">
        <v>348</v>
      </c>
      <c r="U1039" s="4" t="s">
        <v>297</v>
      </c>
      <c r="V1039" s="6">
        <f>205502</f>
        <v>205502</v>
      </c>
      <c r="W1039" s="6">
        <f>822008</f>
        <v>822008</v>
      </c>
      <c r="X1039" s="4" t="s">
        <v>243</v>
      </c>
      <c r="Y1039" s="4" t="s">
        <v>244</v>
      </c>
      <c r="Z1039" s="4" t="s">
        <v>874</v>
      </c>
      <c r="AA1039" s="4" t="s">
        <v>241</v>
      </c>
      <c r="AD1039" s="4" t="s">
        <v>241</v>
      </c>
      <c r="AE1039" s="5" t="s">
        <v>241</v>
      </c>
      <c r="AF1039" s="5" t="s">
        <v>241</v>
      </c>
      <c r="AH1039" s="5" t="s">
        <v>241</v>
      </c>
      <c r="AI1039" s="5" t="s">
        <v>249</v>
      </c>
      <c r="AJ1039" s="4" t="s">
        <v>251</v>
      </c>
      <c r="AK1039" s="4" t="s">
        <v>252</v>
      </c>
      <c r="AQ1039" s="4" t="s">
        <v>241</v>
      </c>
      <c r="AR1039" s="4" t="s">
        <v>241</v>
      </c>
      <c r="AS1039" s="4" t="s">
        <v>241</v>
      </c>
      <c r="AT1039" s="5" t="s">
        <v>241</v>
      </c>
      <c r="AU1039" s="5" t="s">
        <v>241</v>
      </c>
      <c r="AV1039" s="5" t="s">
        <v>241</v>
      </c>
      <c r="AY1039" s="4" t="s">
        <v>286</v>
      </c>
      <c r="AZ1039" s="4" t="s">
        <v>286</v>
      </c>
      <c r="BA1039" s="4" t="s">
        <v>254</v>
      </c>
      <c r="BB1039" s="4" t="s">
        <v>287</v>
      </c>
      <c r="BC1039" s="4" t="s">
        <v>255</v>
      </c>
      <c r="BD1039" s="4" t="s">
        <v>241</v>
      </c>
      <c r="BE1039" s="4" t="s">
        <v>257</v>
      </c>
      <c r="BF1039" s="4" t="s">
        <v>241</v>
      </c>
      <c r="BJ1039" s="4" t="s">
        <v>288</v>
      </c>
      <c r="BK1039" s="5" t="s">
        <v>289</v>
      </c>
      <c r="BL1039" s="4" t="s">
        <v>290</v>
      </c>
      <c r="BM1039" s="4" t="s">
        <v>290</v>
      </c>
      <c r="BN1039" s="4" t="s">
        <v>241</v>
      </c>
      <c r="BP1039" s="6">
        <f>-205502</f>
        <v>-205502</v>
      </c>
      <c r="BQ1039" s="4" t="s">
        <v>263</v>
      </c>
      <c r="BR1039" s="4" t="s">
        <v>264</v>
      </c>
      <c r="BS1039" s="4" t="s">
        <v>241</v>
      </c>
      <c r="BT1039" s="4" t="s">
        <v>241</v>
      </c>
      <c r="BU1039" s="4" t="s">
        <v>241</v>
      </c>
      <c r="BV1039" s="4" t="s">
        <v>241</v>
      </c>
      <c r="CE1039" s="4" t="s">
        <v>264</v>
      </c>
      <c r="CF1039" s="4" t="s">
        <v>241</v>
      </c>
      <c r="CG1039" s="4" t="s">
        <v>241</v>
      </c>
      <c r="CK1039" s="4" t="s">
        <v>291</v>
      </c>
      <c r="CL1039" s="4" t="s">
        <v>266</v>
      </c>
      <c r="CM1039" s="4" t="s">
        <v>241</v>
      </c>
      <c r="CO1039" s="4" t="s">
        <v>413</v>
      </c>
      <c r="CP1039" s="5" t="s">
        <v>268</v>
      </c>
      <c r="CQ1039" s="4" t="s">
        <v>269</v>
      </c>
      <c r="CR1039" s="4" t="s">
        <v>270</v>
      </c>
      <c r="CS1039" s="4" t="s">
        <v>293</v>
      </c>
      <c r="CT1039" s="4" t="s">
        <v>241</v>
      </c>
      <c r="CU1039" s="4">
        <v>6.7000000000000004E-2</v>
      </c>
      <c r="CV1039" s="4" t="s">
        <v>271</v>
      </c>
      <c r="CW1039" s="4" t="s">
        <v>415</v>
      </c>
      <c r="CX1039" s="4" t="s">
        <v>422</v>
      </c>
      <c r="CY1039" s="6">
        <f>0</f>
        <v>0</v>
      </c>
      <c r="CZ1039" s="6">
        <f>3067200</f>
        <v>3067200</v>
      </c>
      <c r="DA1039" s="6">
        <f>2245192</f>
        <v>2245192</v>
      </c>
      <c r="DC1039" s="4" t="s">
        <v>241</v>
      </c>
      <c r="DD1039" s="4" t="s">
        <v>241</v>
      </c>
      <c r="DF1039" s="4" t="s">
        <v>241</v>
      </c>
      <c r="DG1039" s="6">
        <f>0</f>
        <v>0</v>
      </c>
      <c r="DI1039" s="4" t="s">
        <v>241</v>
      </c>
      <c r="DJ1039" s="4" t="s">
        <v>241</v>
      </c>
      <c r="DK1039" s="4" t="s">
        <v>241</v>
      </c>
      <c r="DL1039" s="4" t="s">
        <v>241</v>
      </c>
      <c r="DM1039" s="4" t="s">
        <v>278</v>
      </c>
      <c r="DN1039" s="4" t="s">
        <v>278</v>
      </c>
      <c r="DO1039" s="6" t="s">
        <v>241</v>
      </c>
      <c r="DP1039" s="4" t="s">
        <v>241</v>
      </c>
      <c r="DQ1039" s="4" t="s">
        <v>241</v>
      </c>
      <c r="DR1039" s="4" t="s">
        <v>241</v>
      </c>
      <c r="DS1039" s="4" t="s">
        <v>241</v>
      </c>
      <c r="DV1039" s="4" t="s">
        <v>1487</v>
      </c>
      <c r="DW1039" s="4" t="s">
        <v>323</v>
      </c>
      <c r="GN1039" s="4" t="s">
        <v>2696</v>
      </c>
      <c r="HO1039" s="4" t="s">
        <v>351</v>
      </c>
      <c r="HR1039" s="4" t="s">
        <v>278</v>
      </c>
      <c r="HS1039" s="4" t="s">
        <v>278</v>
      </c>
      <c r="HT1039" s="4" t="s">
        <v>241</v>
      </c>
      <c r="HU1039" s="4" t="s">
        <v>241</v>
      </c>
      <c r="HV1039" s="4" t="s">
        <v>241</v>
      </c>
      <c r="HW1039" s="4" t="s">
        <v>241</v>
      </c>
      <c r="HX1039" s="4" t="s">
        <v>241</v>
      </c>
      <c r="HY1039" s="4" t="s">
        <v>241</v>
      </c>
      <c r="HZ1039" s="4" t="s">
        <v>241</v>
      </c>
      <c r="IA1039" s="4" t="s">
        <v>241</v>
      </c>
      <c r="IB1039" s="4" t="s">
        <v>241</v>
      </c>
      <c r="IC1039" s="4" t="s">
        <v>241</v>
      </c>
      <c r="ID1039" s="4" t="s">
        <v>241</v>
      </c>
      <c r="IE1039" s="4" t="s">
        <v>241</v>
      </c>
      <c r="IF1039" s="4" t="s">
        <v>241</v>
      </c>
    </row>
    <row r="1040" spans="1:240" x14ac:dyDescent="0.4">
      <c r="A1040" s="4">
        <v>2</v>
      </c>
      <c r="B1040" s="4" t="s">
        <v>239</v>
      </c>
      <c r="C1040" s="4">
        <v>1334</v>
      </c>
      <c r="D1040" s="4">
        <v>1</v>
      </c>
      <c r="E1040" s="4">
        <v>3</v>
      </c>
      <c r="F1040" s="4" t="s">
        <v>240</v>
      </c>
      <c r="G1040" s="4" t="s">
        <v>241</v>
      </c>
      <c r="H1040" s="4" t="s">
        <v>241</v>
      </c>
      <c r="I1040" s="4" t="s">
        <v>1519</v>
      </c>
      <c r="J1040" s="4" t="s">
        <v>1184</v>
      </c>
      <c r="K1040" s="4" t="s">
        <v>256</v>
      </c>
      <c r="L1040" s="4" t="s">
        <v>1485</v>
      </c>
      <c r="M1040" s="5" t="s">
        <v>1469</v>
      </c>
      <c r="N1040" s="4" t="s">
        <v>1485</v>
      </c>
      <c r="O1040" s="6">
        <f>680.58</f>
        <v>680.58</v>
      </c>
      <c r="P1040" s="4" t="s">
        <v>276</v>
      </c>
      <c r="Q1040" s="6">
        <f>135789330</f>
        <v>135789330</v>
      </c>
      <c r="R1040" s="6">
        <f>234119520</f>
        <v>234119520</v>
      </c>
      <c r="S1040" s="5" t="s">
        <v>447</v>
      </c>
      <c r="T1040" s="4" t="s">
        <v>296</v>
      </c>
      <c r="U1040" s="4" t="s">
        <v>335</v>
      </c>
      <c r="V1040" s="6">
        <f>4682390</f>
        <v>4682390</v>
      </c>
      <c r="W1040" s="6">
        <f>98330190</f>
        <v>98330190</v>
      </c>
      <c r="X1040" s="4" t="s">
        <v>243</v>
      </c>
      <c r="Y1040" s="4" t="s">
        <v>244</v>
      </c>
      <c r="Z1040" s="4" t="s">
        <v>874</v>
      </c>
      <c r="AA1040" s="4" t="s">
        <v>241</v>
      </c>
      <c r="AD1040" s="4" t="s">
        <v>241</v>
      </c>
      <c r="AE1040" s="5" t="s">
        <v>241</v>
      </c>
      <c r="AF1040" s="5" t="s">
        <v>241</v>
      </c>
      <c r="AH1040" s="5" t="s">
        <v>241</v>
      </c>
      <c r="AI1040" s="5" t="s">
        <v>249</v>
      </c>
      <c r="AJ1040" s="4" t="s">
        <v>251</v>
      </c>
      <c r="AK1040" s="4" t="s">
        <v>252</v>
      </c>
      <c r="AQ1040" s="4" t="s">
        <v>241</v>
      </c>
      <c r="AR1040" s="4" t="s">
        <v>241</v>
      </c>
      <c r="AS1040" s="4" t="s">
        <v>241</v>
      </c>
      <c r="AT1040" s="5" t="s">
        <v>241</v>
      </c>
      <c r="AU1040" s="5" t="s">
        <v>241</v>
      </c>
      <c r="AV1040" s="5" t="s">
        <v>241</v>
      </c>
      <c r="AY1040" s="4" t="s">
        <v>286</v>
      </c>
      <c r="AZ1040" s="4" t="s">
        <v>286</v>
      </c>
      <c r="BA1040" s="4" t="s">
        <v>254</v>
      </c>
      <c r="BB1040" s="4" t="s">
        <v>287</v>
      </c>
      <c r="BC1040" s="4" t="s">
        <v>255</v>
      </c>
      <c r="BD1040" s="4" t="s">
        <v>241</v>
      </c>
      <c r="BE1040" s="4" t="s">
        <v>257</v>
      </c>
      <c r="BF1040" s="4" t="s">
        <v>241</v>
      </c>
      <c r="BJ1040" s="4" t="s">
        <v>288</v>
      </c>
      <c r="BK1040" s="5" t="s">
        <v>289</v>
      </c>
      <c r="BL1040" s="4" t="s">
        <v>290</v>
      </c>
      <c r="BM1040" s="4" t="s">
        <v>290</v>
      </c>
      <c r="BN1040" s="4" t="s">
        <v>241</v>
      </c>
      <c r="BO1040" s="6">
        <f>0</f>
        <v>0</v>
      </c>
      <c r="BP1040" s="6">
        <f>-4682390</f>
        <v>-4682390</v>
      </c>
      <c r="BQ1040" s="4" t="s">
        <v>263</v>
      </c>
      <c r="BR1040" s="4" t="s">
        <v>264</v>
      </c>
      <c r="BS1040" s="4" t="s">
        <v>241</v>
      </c>
      <c r="BT1040" s="4" t="s">
        <v>241</v>
      </c>
      <c r="BU1040" s="4" t="s">
        <v>241</v>
      </c>
      <c r="BV1040" s="4" t="s">
        <v>241</v>
      </c>
      <c r="CE1040" s="4" t="s">
        <v>264</v>
      </c>
      <c r="CF1040" s="4" t="s">
        <v>241</v>
      </c>
      <c r="CG1040" s="4" t="s">
        <v>241</v>
      </c>
      <c r="CK1040" s="4" t="s">
        <v>291</v>
      </c>
      <c r="CL1040" s="4" t="s">
        <v>266</v>
      </c>
      <c r="CM1040" s="4" t="s">
        <v>241</v>
      </c>
      <c r="CO1040" s="4" t="s">
        <v>449</v>
      </c>
      <c r="CP1040" s="5" t="s">
        <v>268</v>
      </c>
      <c r="CQ1040" s="4" t="s">
        <v>269</v>
      </c>
      <c r="CR1040" s="4" t="s">
        <v>270</v>
      </c>
      <c r="CS1040" s="4" t="s">
        <v>293</v>
      </c>
      <c r="CT1040" s="4" t="s">
        <v>241</v>
      </c>
      <c r="CU1040" s="4">
        <v>0.02</v>
      </c>
      <c r="CV1040" s="4" t="s">
        <v>271</v>
      </c>
      <c r="CW1040" s="4" t="s">
        <v>1329</v>
      </c>
      <c r="CX1040" s="4" t="s">
        <v>295</v>
      </c>
      <c r="CY1040" s="6">
        <f>0</f>
        <v>0</v>
      </c>
      <c r="CZ1040" s="6">
        <f>234119520</f>
        <v>234119520</v>
      </c>
      <c r="DA1040" s="6">
        <f>135789330</f>
        <v>135789330</v>
      </c>
      <c r="DC1040" s="4" t="s">
        <v>241</v>
      </c>
      <c r="DD1040" s="4" t="s">
        <v>241</v>
      </c>
      <c r="DF1040" s="4" t="s">
        <v>241</v>
      </c>
      <c r="DG1040" s="6">
        <f>0</f>
        <v>0</v>
      </c>
      <c r="DI1040" s="4" t="s">
        <v>241</v>
      </c>
      <c r="DJ1040" s="4" t="s">
        <v>241</v>
      </c>
      <c r="DK1040" s="4" t="s">
        <v>241</v>
      </c>
      <c r="DL1040" s="4" t="s">
        <v>241</v>
      </c>
      <c r="DM1040" s="4" t="s">
        <v>277</v>
      </c>
      <c r="DN1040" s="4" t="s">
        <v>278</v>
      </c>
      <c r="DO1040" s="6">
        <f>680.58</f>
        <v>680.58</v>
      </c>
      <c r="DP1040" s="4" t="s">
        <v>241</v>
      </c>
      <c r="DQ1040" s="4" t="s">
        <v>241</v>
      </c>
      <c r="DR1040" s="4" t="s">
        <v>241</v>
      </c>
      <c r="DS1040" s="4" t="s">
        <v>241</v>
      </c>
      <c r="DV1040" s="4" t="s">
        <v>1520</v>
      </c>
      <c r="DW1040" s="4" t="s">
        <v>277</v>
      </c>
      <c r="GN1040" s="4" t="s">
        <v>1521</v>
      </c>
      <c r="HO1040" s="4" t="s">
        <v>300</v>
      </c>
      <c r="HR1040" s="4" t="s">
        <v>278</v>
      </c>
      <c r="HS1040" s="4" t="s">
        <v>278</v>
      </c>
      <c r="HT1040" s="4" t="s">
        <v>241</v>
      </c>
      <c r="HU1040" s="4" t="s">
        <v>241</v>
      </c>
      <c r="HV1040" s="4" t="s">
        <v>241</v>
      </c>
      <c r="HW1040" s="4" t="s">
        <v>241</v>
      </c>
      <c r="HX1040" s="4" t="s">
        <v>241</v>
      </c>
      <c r="HY1040" s="4" t="s">
        <v>241</v>
      </c>
      <c r="HZ1040" s="4" t="s">
        <v>241</v>
      </c>
      <c r="IA1040" s="4" t="s">
        <v>241</v>
      </c>
      <c r="IB1040" s="4" t="s">
        <v>241</v>
      </c>
      <c r="IC1040" s="4" t="s">
        <v>241</v>
      </c>
      <c r="ID1040" s="4" t="s">
        <v>241</v>
      </c>
      <c r="IE1040" s="4" t="s">
        <v>241</v>
      </c>
      <c r="IF1040" s="4" t="s">
        <v>241</v>
      </c>
    </row>
    <row r="1041" spans="1:240" x14ac:dyDescent="0.4">
      <c r="A1041" s="4">
        <v>2</v>
      </c>
      <c r="B1041" s="4" t="s">
        <v>239</v>
      </c>
      <c r="C1041" s="4">
        <v>1337</v>
      </c>
      <c r="D1041" s="4">
        <v>1</v>
      </c>
      <c r="E1041" s="4">
        <v>1</v>
      </c>
      <c r="F1041" s="4" t="s">
        <v>240</v>
      </c>
      <c r="G1041" s="4" t="s">
        <v>241</v>
      </c>
      <c r="H1041" s="4" t="s">
        <v>241</v>
      </c>
      <c r="I1041" s="4" t="s">
        <v>1332</v>
      </c>
      <c r="J1041" s="4" t="s">
        <v>424</v>
      </c>
      <c r="K1041" s="4" t="s">
        <v>256</v>
      </c>
      <c r="L1041" s="4" t="s">
        <v>1864</v>
      </c>
      <c r="M1041" s="5" t="s">
        <v>1334</v>
      </c>
      <c r="N1041" s="4" t="s">
        <v>1846</v>
      </c>
      <c r="O1041" s="6">
        <f>48.75</f>
        <v>48.75</v>
      </c>
      <c r="P1041" s="4" t="s">
        <v>276</v>
      </c>
      <c r="Q1041" s="6">
        <f>1</f>
        <v>1</v>
      </c>
      <c r="R1041" s="6">
        <f>10481250</f>
        <v>10481250</v>
      </c>
      <c r="S1041" s="5" t="s">
        <v>1863</v>
      </c>
      <c r="T1041" s="4" t="s">
        <v>348</v>
      </c>
      <c r="U1041" s="4" t="s">
        <v>348</v>
      </c>
      <c r="W1041" s="6">
        <f>10481249</f>
        <v>10481249</v>
      </c>
      <c r="X1041" s="4" t="s">
        <v>243</v>
      </c>
      <c r="Y1041" s="4" t="s">
        <v>244</v>
      </c>
      <c r="Z1041" s="4" t="s">
        <v>874</v>
      </c>
      <c r="AA1041" s="4" t="s">
        <v>241</v>
      </c>
      <c r="AD1041" s="4" t="s">
        <v>241</v>
      </c>
      <c r="AF1041" s="5" t="s">
        <v>241</v>
      </c>
      <c r="AI1041" s="5" t="s">
        <v>249</v>
      </c>
      <c r="AJ1041" s="4" t="s">
        <v>251</v>
      </c>
      <c r="AK1041" s="4" t="s">
        <v>252</v>
      </c>
      <c r="BA1041" s="4" t="s">
        <v>254</v>
      </c>
      <c r="BB1041" s="4" t="s">
        <v>241</v>
      </c>
      <c r="BC1041" s="4" t="s">
        <v>255</v>
      </c>
      <c r="BD1041" s="4" t="s">
        <v>241</v>
      </c>
      <c r="BE1041" s="4" t="s">
        <v>257</v>
      </c>
      <c r="BF1041" s="4" t="s">
        <v>241</v>
      </c>
      <c r="BJ1041" s="4" t="s">
        <v>367</v>
      </c>
      <c r="BK1041" s="5" t="s">
        <v>249</v>
      </c>
      <c r="BL1041" s="4" t="s">
        <v>261</v>
      </c>
      <c r="BM1041" s="4" t="s">
        <v>290</v>
      </c>
      <c r="BN1041" s="4" t="s">
        <v>241</v>
      </c>
      <c r="BO1041" s="6">
        <f>0</f>
        <v>0</v>
      </c>
      <c r="BP1041" s="6">
        <f>0</f>
        <v>0</v>
      </c>
      <c r="BQ1041" s="4" t="s">
        <v>263</v>
      </c>
      <c r="BR1041" s="4" t="s">
        <v>264</v>
      </c>
      <c r="CF1041" s="4" t="s">
        <v>241</v>
      </c>
      <c r="CG1041" s="4" t="s">
        <v>241</v>
      </c>
      <c r="CK1041" s="4" t="s">
        <v>291</v>
      </c>
      <c r="CL1041" s="4" t="s">
        <v>266</v>
      </c>
      <c r="CM1041" s="4" t="s">
        <v>241</v>
      </c>
      <c r="CO1041" s="4" t="s">
        <v>364</v>
      </c>
      <c r="CP1041" s="5" t="s">
        <v>268</v>
      </c>
      <c r="CQ1041" s="4" t="s">
        <v>269</v>
      </c>
      <c r="CR1041" s="4" t="s">
        <v>270</v>
      </c>
      <c r="CS1041" s="4" t="s">
        <v>241</v>
      </c>
      <c r="CT1041" s="4" t="s">
        <v>241</v>
      </c>
      <c r="CU1041" s="4">
        <v>0</v>
      </c>
      <c r="CV1041" s="4" t="s">
        <v>271</v>
      </c>
      <c r="CW1041" s="4" t="s">
        <v>1830</v>
      </c>
      <c r="CX1041" s="4" t="s">
        <v>347</v>
      </c>
      <c r="CZ1041" s="6">
        <f>10481250</f>
        <v>10481250</v>
      </c>
      <c r="DA1041" s="6">
        <f>0</f>
        <v>0</v>
      </c>
      <c r="DC1041" s="4" t="s">
        <v>241</v>
      </c>
      <c r="DD1041" s="4" t="s">
        <v>241</v>
      </c>
      <c r="DF1041" s="4" t="s">
        <v>241</v>
      </c>
      <c r="DI1041" s="4" t="s">
        <v>241</v>
      </c>
      <c r="DJ1041" s="4" t="s">
        <v>241</v>
      </c>
      <c r="DK1041" s="4" t="s">
        <v>241</v>
      </c>
      <c r="DL1041" s="4" t="s">
        <v>241</v>
      </c>
      <c r="DM1041" s="4" t="s">
        <v>277</v>
      </c>
      <c r="DN1041" s="4" t="s">
        <v>278</v>
      </c>
      <c r="DO1041" s="6">
        <f>48.75</f>
        <v>48.75</v>
      </c>
      <c r="DP1041" s="4" t="s">
        <v>241</v>
      </c>
      <c r="DQ1041" s="4" t="s">
        <v>241</v>
      </c>
      <c r="DR1041" s="4" t="s">
        <v>241</v>
      </c>
      <c r="DS1041" s="4" t="s">
        <v>241</v>
      </c>
      <c r="DV1041" s="4" t="s">
        <v>1335</v>
      </c>
      <c r="DW1041" s="4" t="s">
        <v>297</v>
      </c>
      <c r="HO1041" s="4" t="s">
        <v>300</v>
      </c>
      <c r="HR1041" s="4" t="s">
        <v>278</v>
      </c>
      <c r="HS1041" s="4" t="s">
        <v>278</v>
      </c>
    </row>
    <row r="1042" spans="1:240" x14ac:dyDescent="0.4">
      <c r="A1042" s="4">
        <v>2</v>
      </c>
      <c r="B1042" s="4" t="s">
        <v>239</v>
      </c>
      <c r="C1042" s="4">
        <v>1338</v>
      </c>
      <c r="D1042" s="4">
        <v>1</v>
      </c>
      <c r="E1042" s="4">
        <v>1</v>
      </c>
      <c r="F1042" s="4" t="s">
        <v>240</v>
      </c>
      <c r="G1042" s="4" t="s">
        <v>241</v>
      </c>
      <c r="H1042" s="4" t="s">
        <v>241</v>
      </c>
      <c r="I1042" s="4" t="s">
        <v>1332</v>
      </c>
      <c r="J1042" s="4" t="s">
        <v>424</v>
      </c>
      <c r="K1042" s="4" t="s">
        <v>256</v>
      </c>
      <c r="L1042" s="4" t="s">
        <v>1333</v>
      </c>
      <c r="M1042" s="5" t="s">
        <v>1334</v>
      </c>
      <c r="N1042" s="4" t="s">
        <v>1331</v>
      </c>
      <c r="O1042" s="6">
        <f>610.21</f>
        <v>610.21</v>
      </c>
      <c r="P1042" s="4" t="s">
        <v>276</v>
      </c>
      <c r="Q1042" s="6">
        <f>1</f>
        <v>1</v>
      </c>
      <c r="R1042" s="6">
        <f>54918900</f>
        <v>54918900</v>
      </c>
      <c r="S1042" s="5" t="s">
        <v>954</v>
      </c>
      <c r="T1042" s="4" t="s">
        <v>333</v>
      </c>
      <c r="U1042" s="4" t="s">
        <v>333</v>
      </c>
      <c r="W1042" s="6">
        <f>54918899</f>
        <v>54918899</v>
      </c>
      <c r="X1042" s="4" t="s">
        <v>243</v>
      </c>
      <c r="Y1042" s="4" t="s">
        <v>244</v>
      </c>
      <c r="Z1042" s="4" t="s">
        <v>874</v>
      </c>
      <c r="AA1042" s="4" t="s">
        <v>241</v>
      </c>
      <c r="AD1042" s="4" t="s">
        <v>241</v>
      </c>
      <c r="AF1042" s="5" t="s">
        <v>241</v>
      </c>
      <c r="AI1042" s="5" t="s">
        <v>249</v>
      </c>
      <c r="AJ1042" s="4" t="s">
        <v>251</v>
      </c>
      <c r="AK1042" s="4" t="s">
        <v>252</v>
      </c>
      <c r="BA1042" s="4" t="s">
        <v>254</v>
      </c>
      <c r="BB1042" s="4" t="s">
        <v>241</v>
      </c>
      <c r="BC1042" s="4" t="s">
        <v>255</v>
      </c>
      <c r="BD1042" s="4" t="s">
        <v>241</v>
      </c>
      <c r="BE1042" s="4" t="s">
        <v>257</v>
      </c>
      <c r="BF1042" s="4" t="s">
        <v>241</v>
      </c>
      <c r="BJ1042" s="4" t="s">
        <v>367</v>
      </c>
      <c r="BK1042" s="5" t="s">
        <v>249</v>
      </c>
      <c r="BL1042" s="4" t="s">
        <v>261</v>
      </c>
      <c r="BM1042" s="4" t="s">
        <v>290</v>
      </c>
      <c r="BN1042" s="4" t="s">
        <v>241</v>
      </c>
      <c r="BO1042" s="6">
        <f>0</f>
        <v>0</v>
      </c>
      <c r="BP1042" s="6">
        <f>0</f>
        <v>0</v>
      </c>
      <c r="BQ1042" s="4" t="s">
        <v>263</v>
      </c>
      <c r="BR1042" s="4" t="s">
        <v>264</v>
      </c>
      <c r="CF1042" s="4" t="s">
        <v>241</v>
      </c>
      <c r="CG1042" s="4" t="s">
        <v>241</v>
      </c>
      <c r="CK1042" s="4" t="s">
        <v>265</v>
      </c>
      <c r="CL1042" s="4" t="s">
        <v>266</v>
      </c>
      <c r="CM1042" s="4" t="s">
        <v>241</v>
      </c>
      <c r="CO1042" s="4" t="s">
        <v>956</v>
      </c>
      <c r="CP1042" s="5" t="s">
        <v>268</v>
      </c>
      <c r="CQ1042" s="4" t="s">
        <v>269</v>
      </c>
      <c r="CR1042" s="4" t="s">
        <v>270</v>
      </c>
      <c r="CS1042" s="4" t="s">
        <v>241</v>
      </c>
      <c r="CT1042" s="4" t="s">
        <v>241</v>
      </c>
      <c r="CU1042" s="4">
        <v>0</v>
      </c>
      <c r="CV1042" s="4" t="s">
        <v>271</v>
      </c>
      <c r="CW1042" s="4" t="s">
        <v>1329</v>
      </c>
      <c r="CX1042" s="4" t="s">
        <v>487</v>
      </c>
      <c r="CZ1042" s="6">
        <f>54918900</f>
        <v>54918900</v>
      </c>
      <c r="DA1042" s="6">
        <f>0</f>
        <v>0</v>
      </c>
      <c r="DC1042" s="4" t="s">
        <v>241</v>
      </c>
      <c r="DD1042" s="4" t="s">
        <v>241</v>
      </c>
      <c r="DF1042" s="4" t="s">
        <v>241</v>
      </c>
      <c r="DI1042" s="4" t="s">
        <v>241</v>
      </c>
      <c r="DJ1042" s="4" t="s">
        <v>241</v>
      </c>
      <c r="DK1042" s="4" t="s">
        <v>241</v>
      </c>
      <c r="DL1042" s="4" t="s">
        <v>241</v>
      </c>
      <c r="DM1042" s="4" t="s">
        <v>277</v>
      </c>
      <c r="DN1042" s="4" t="s">
        <v>278</v>
      </c>
      <c r="DO1042" s="6">
        <f>610.21</f>
        <v>610.21</v>
      </c>
      <c r="DP1042" s="4" t="s">
        <v>241</v>
      </c>
      <c r="DQ1042" s="4" t="s">
        <v>241</v>
      </c>
      <c r="DR1042" s="4" t="s">
        <v>241</v>
      </c>
      <c r="DS1042" s="4" t="s">
        <v>241</v>
      </c>
      <c r="DV1042" s="4" t="s">
        <v>1335</v>
      </c>
      <c r="DW1042" s="4" t="s">
        <v>336</v>
      </c>
      <c r="HO1042" s="4" t="s">
        <v>351</v>
      </c>
      <c r="HR1042" s="4" t="s">
        <v>278</v>
      </c>
      <c r="HS1042" s="4" t="s">
        <v>278</v>
      </c>
    </row>
    <row r="1043" spans="1:240" x14ac:dyDescent="0.4">
      <c r="A1043" s="4">
        <v>2</v>
      </c>
      <c r="B1043" s="4" t="s">
        <v>239</v>
      </c>
      <c r="C1043" s="4">
        <v>1339</v>
      </c>
      <c r="D1043" s="4">
        <v>1</v>
      </c>
      <c r="E1043" s="4">
        <v>3</v>
      </c>
      <c r="F1043" s="4" t="s">
        <v>326</v>
      </c>
      <c r="G1043" s="4" t="s">
        <v>241</v>
      </c>
      <c r="H1043" s="4" t="s">
        <v>241</v>
      </c>
      <c r="I1043" s="4" t="s">
        <v>1332</v>
      </c>
      <c r="J1043" s="4" t="s">
        <v>424</v>
      </c>
      <c r="K1043" s="4" t="s">
        <v>256</v>
      </c>
      <c r="L1043" s="4" t="s">
        <v>241</v>
      </c>
      <c r="M1043" s="5" t="s">
        <v>1334</v>
      </c>
      <c r="N1043" s="4" t="s">
        <v>2692</v>
      </c>
      <c r="O1043" s="6">
        <f>0</f>
        <v>0</v>
      </c>
      <c r="P1043" s="4" t="s">
        <v>276</v>
      </c>
      <c r="Q1043" s="6">
        <f>174632</f>
        <v>174632</v>
      </c>
      <c r="R1043" s="6">
        <f>189200</f>
        <v>189200</v>
      </c>
      <c r="S1043" s="5" t="s">
        <v>2649</v>
      </c>
      <c r="T1043" s="4" t="s">
        <v>322</v>
      </c>
      <c r="U1043" s="4" t="s">
        <v>278</v>
      </c>
      <c r="V1043" s="6">
        <f>189199</f>
        <v>189199</v>
      </c>
      <c r="W1043" s="6">
        <f>14568</f>
        <v>14568</v>
      </c>
      <c r="X1043" s="4" t="s">
        <v>243</v>
      </c>
      <c r="Y1043" s="4" t="s">
        <v>244</v>
      </c>
      <c r="Z1043" s="4" t="s">
        <v>241</v>
      </c>
      <c r="AA1043" s="4" t="s">
        <v>241</v>
      </c>
      <c r="AD1043" s="4" t="s">
        <v>241</v>
      </c>
      <c r="AE1043" s="5" t="s">
        <v>241</v>
      </c>
      <c r="AF1043" s="5" t="s">
        <v>241</v>
      </c>
      <c r="AH1043" s="5" t="s">
        <v>241</v>
      </c>
      <c r="AI1043" s="5" t="s">
        <v>249</v>
      </c>
      <c r="AJ1043" s="4" t="s">
        <v>251</v>
      </c>
      <c r="AK1043" s="4" t="s">
        <v>252</v>
      </c>
      <c r="AQ1043" s="4" t="s">
        <v>241</v>
      </c>
      <c r="AR1043" s="4" t="s">
        <v>241</v>
      </c>
      <c r="AS1043" s="4" t="s">
        <v>241</v>
      </c>
      <c r="AT1043" s="5" t="s">
        <v>241</v>
      </c>
      <c r="AU1043" s="5" t="s">
        <v>241</v>
      </c>
      <c r="AV1043" s="5" t="s">
        <v>241</v>
      </c>
      <c r="AY1043" s="4" t="s">
        <v>286</v>
      </c>
      <c r="AZ1043" s="4" t="s">
        <v>286</v>
      </c>
      <c r="BA1043" s="4" t="s">
        <v>254</v>
      </c>
      <c r="BB1043" s="4" t="s">
        <v>287</v>
      </c>
      <c r="BC1043" s="4" t="s">
        <v>255</v>
      </c>
      <c r="BD1043" s="4" t="s">
        <v>241</v>
      </c>
      <c r="BE1043" s="4" t="s">
        <v>257</v>
      </c>
      <c r="BF1043" s="4" t="s">
        <v>241</v>
      </c>
      <c r="BJ1043" s="4" t="s">
        <v>288</v>
      </c>
      <c r="BK1043" s="5" t="s">
        <v>289</v>
      </c>
      <c r="BL1043" s="4" t="s">
        <v>290</v>
      </c>
      <c r="BM1043" s="4" t="s">
        <v>290</v>
      </c>
      <c r="BN1043" s="4" t="s">
        <v>241</v>
      </c>
      <c r="BP1043" s="6">
        <f>-14568</f>
        <v>-14568</v>
      </c>
      <c r="BQ1043" s="4" t="s">
        <v>263</v>
      </c>
      <c r="BR1043" s="4" t="s">
        <v>264</v>
      </c>
      <c r="BS1043" s="4" t="s">
        <v>241</v>
      </c>
      <c r="BT1043" s="4" t="s">
        <v>241</v>
      </c>
      <c r="BU1043" s="4" t="s">
        <v>241</v>
      </c>
      <c r="BV1043" s="4" t="s">
        <v>241</v>
      </c>
      <c r="CE1043" s="4" t="s">
        <v>264</v>
      </c>
      <c r="CF1043" s="4" t="s">
        <v>241</v>
      </c>
      <c r="CG1043" s="4" t="s">
        <v>241</v>
      </c>
      <c r="CK1043" s="4" t="s">
        <v>291</v>
      </c>
      <c r="CL1043" s="4" t="s">
        <v>266</v>
      </c>
      <c r="CM1043" s="4" t="s">
        <v>241</v>
      </c>
      <c r="CO1043" s="4" t="s">
        <v>426</v>
      </c>
      <c r="CP1043" s="5" t="s">
        <v>268</v>
      </c>
      <c r="CQ1043" s="4" t="s">
        <v>269</v>
      </c>
      <c r="CR1043" s="4" t="s">
        <v>270</v>
      </c>
      <c r="CS1043" s="4" t="s">
        <v>293</v>
      </c>
      <c r="CT1043" s="4" t="s">
        <v>241</v>
      </c>
      <c r="CU1043" s="4">
        <v>7.6999999999999999E-2</v>
      </c>
      <c r="CV1043" s="4" t="s">
        <v>271</v>
      </c>
      <c r="CW1043" s="4" t="s">
        <v>415</v>
      </c>
      <c r="CX1043" s="4" t="s">
        <v>428</v>
      </c>
      <c r="CY1043" s="6">
        <f>0</f>
        <v>0</v>
      </c>
      <c r="CZ1043" s="6">
        <f>189200</f>
        <v>189200</v>
      </c>
      <c r="DA1043" s="6">
        <f>1</f>
        <v>1</v>
      </c>
      <c r="DC1043" s="4" t="s">
        <v>241</v>
      </c>
      <c r="DD1043" s="4" t="s">
        <v>241</v>
      </c>
      <c r="DF1043" s="4" t="s">
        <v>241</v>
      </c>
      <c r="DG1043" s="6">
        <f>0</f>
        <v>0</v>
      </c>
      <c r="DI1043" s="4" t="s">
        <v>241</v>
      </c>
      <c r="DJ1043" s="4" t="s">
        <v>241</v>
      </c>
      <c r="DK1043" s="4" t="s">
        <v>241</v>
      </c>
      <c r="DL1043" s="4" t="s">
        <v>241</v>
      </c>
      <c r="DM1043" s="4" t="s">
        <v>278</v>
      </c>
      <c r="DN1043" s="4" t="s">
        <v>278</v>
      </c>
      <c r="DO1043" s="6" t="s">
        <v>241</v>
      </c>
      <c r="DP1043" s="4" t="s">
        <v>241</v>
      </c>
      <c r="DQ1043" s="4" t="s">
        <v>241</v>
      </c>
      <c r="DR1043" s="4" t="s">
        <v>241</v>
      </c>
      <c r="DS1043" s="4" t="s">
        <v>241</v>
      </c>
      <c r="DV1043" s="4" t="s">
        <v>1335</v>
      </c>
      <c r="DW1043" s="4" t="s">
        <v>351</v>
      </c>
      <c r="GN1043" s="4" t="s">
        <v>2693</v>
      </c>
      <c r="HO1043" s="4" t="s">
        <v>323</v>
      </c>
      <c r="HR1043" s="4" t="s">
        <v>278</v>
      </c>
      <c r="HS1043" s="4" t="s">
        <v>278</v>
      </c>
      <c r="HT1043" s="4" t="s">
        <v>241</v>
      </c>
      <c r="HU1043" s="4" t="s">
        <v>241</v>
      </c>
      <c r="HV1043" s="4" t="s">
        <v>241</v>
      </c>
      <c r="HW1043" s="4" t="s">
        <v>241</v>
      </c>
      <c r="HX1043" s="4" t="s">
        <v>241</v>
      </c>
      <c r="HY1043" s="4" t="s">
        <v>241</v>
      </c>
      <c r="HZ1043" s="4" t="s">
        <v>241</v>
      </c>
      <c r="IA1043" s="4" t="s">
        <v>241</v>
      </c>
      <c r="IB1043" s="4" t="s">
        <v>241</v>
      </c>
      <c r="IC1043" s="4" t="s">
        <v>241</v>
      </c>
      <c r="ID1043" s="4" t="s">
        <v>241</v>
      </c>
      <c r="IE1043" s="4" t="s">
        <v>241</v>
      </c>
      <c r="IF1043" s="4" t="s">
        <v>241</v>
      </c>
    </row>
    <row r="1044" spans="1:240" x14ac:dyDescent="0.4">
      <c r="A1044" s="4">
        <v>2</v>
      </c>
      <c r="B1044" s="4" t="s">
        <v>239</v>
      </c>
      <c r="C1044" s="4">
        <v>1341</v>
      </c>
      <c r="D1044" s="4">
        <v>1</v>
      </c>
      <c r="E1044" s="4">
        <v>3</v>
      </c>
      <c r="F1044" s="4" t="s">
        <v>326</v>
      </c>
      <c r="G1044" s="4" t="s">
        <v>241</v>
      </c>
      <c r="H1044" s="4" t="s">
        <v>241</v>
      </c>
      <c r="I1044" s="4" t="s">
        <v>1532</v>
      </c>
      <c r="J1044" s="4" t="s">
        <v>944</v>
      </c>
      <c r="K1044" s="4" t="s">
        <v>256</v>
      </c>
      <c r="L1044" s="4" t="s">
        <v>241</v>
      </c>
      <c r="M1044" s="5" t="s">
        <v>825</v>
      </c>
      <c r="N1044" s="4" t="s">
        <v>1531</v>
      </c>
      <c r="O1044" s="6">
        <f>1350</f>
        <v>1350</v>
      </c>
      <c r="P1044" s="4" t="s">
        <v>276</v>
      </c>
      <c r="Q1044" s="6">
        <f>395986713</f>
        <v>395986713</v>
      </c>
      <c r="R1044" s="6">
        <f>453074040</f>
        <v>453074040</v>
      </c>
      <c r="S1044" s="5" t="s">
        <v>1533</v>
      </c>
      <c r="T1044" s="4" t="s">
        <v>274</v>
      </c>
      <c r="U1044" s="4" t="s">
        <v>323</v>
      </c>
      <c r="V1044" s="6">
        <f>19029109</f>
        <v>19029109</v>
      </c>
      <c r="W1044" s="6">
        <f>57087327</f>
        <v>57087327</v>
      </c>
      <c r="X1044" s="4" t="s">
        <v>243</v>
      </c>
      <c r="Y1044" s="4" t="s">
        <v>244</v>
      </c>
      <c r="Z1044" s="4" t="s">
        <v>241</v>
      </c>
      <c r="AA1044" s="4" t="s">
        <v>241</v>
      </c>
      <c r="AD1044" s="4" t="s">
        <v>241</v>
      </c>
      <c r="AE1044" s="5" t="s">
        <v>241</v>
      </c>
      <c r="AF1044" s="5" t="s">
        <v>241</v>
      </c>
      <c r="AH1044" s="5" t="s">
        <v>241</v>
      </c>
      <c r="AI1044" s="5" t="s">
        <v>249</v>
      </c>
      <c r="AJ1044" s="4" t="s">
        <v>251</v>
      </c>
      <c r="AK1044" s="4" t="s">
        <v>252</v>
      </c>
      <c r="AQ1044" s="4" t="s">
        <v>241</v>
      </c>
      <c r="AR1044" s="4" t="s">
        <v>241</v>
      </c>
      <c r="AS1044" s="4" t="s">
        <v>241</v>
      </c>
      <c r="AT1044" s="5" t="s">
        <v>241</v>
      </c>
      <c r="AU1044" s="5" t="s">
        <v>241</v>
      </c>
      <c r="AV1044" s="5" t="s">
        <v>241</v>
      </c>
      <c r="AY1044" s="4" t="s">
        <v>286</v>
      </c>
      <c r="AZ1044" s="4" t="s">
        <v>286</v>
      </c>
      <c r="BA1044" s="4" t="s">
        <v>254</v>
      </c>
      <c r="BB1044" s="4" t="s">
        <v>287</v>
      </c>
      <c r="BC1044" s="4" t="s">
        <v>255</v>
      </c>
      <c r="BD1044" s="4" t="s">
        <v>241</v>
      </c>
      <c r="BE1044" s="4" t="s">
        <v>257</v>
      </c>
      <c r="BF1044" s="4" t="s">
        <v>241</v>
      </c>
      <c r="BJ1044" s="4" t="s">
        <v>288</v>
      </c>
      <c r="BK1044" s="5" t="s">
        <v>289</v>
      </c>
      <c r="BL1044" s="4" t="s">
        <v>290</v>
      </c>
      <c r="BM1044" s="4" t="s">
        <v>290</v>
      </c>
      <c r="BN1044" s="4" t="s">
        <v>241</v>
      </c>
      <c r="BO1044" s="6">
        <f>0</f>
        <v>0</v>
      </c>
      <c r="BP1044" s="6">
        <f>-19029109</f>
        <v>-19029109</v>
      </c>
      <c r="BQ1044" s="4" t="s">
        <v>263</v>
      </c>
      <c r="BR1044" s="4" t="s">
        <v>264</v>
      </c>
      <c r="BS1044" s="4" t="s">
        <v>241</v>
      </c>
      <c r="BT1044" s="4" t="s">
        <v>241</v>
      </c>
      <c r="BU1044" s="4" t="s">
        <v>241</v>
      </c>
      <c r="BV1044" s="4" t="s">
        <v>241</v>
      </c>
      <c r="CE1044" s="4" t="s">
        <v>264</v>
      </c>
      <c r="CF1044" s="4" t="s">
        <v>241</v>
      </c>
      <c r="CG1044" s="4" t="s">
        <v>241</v>
      </c>
      <c r="CK1044" s="4" t="s">
        <v>291</v>
      </c>
      <c r="CL1044" s="4" t="s">
        <v>266</v>
      </c>
      <c r="CM1044" s="4" t="s">
        <v>241</v>
      </c>
      <c r="CO1044" s="4" t="s">
        <v>421</v>
      </c>
      <c r="CP1044" s="5" t="s">
        <v>268</v>
      </c>
      <c r="CQ1044" s="4" t="s">
        <v>269</v>
      </c>
      <c r="CR1044" s="4" t="s">
        <v>270</v>
      </c>
      <c r="CS1044" s="4" t="s">
        <v>293</v>
      </c>
      <c r="CT1044" s="4" t="s">
        <v>241</v>
      </c>
      <c r="CU1044" s="4">
        <v>4.2000000000000003E-2</v>
      </c>
      <c r="CV1044" s="4" t="s">
        <v>271</v>
      </c>
      <c r="CW1044" s="4" t="s">
        <v>1329</v>
      </c>
      <c r="CX1044" s="4" t="s">
        <v>347</v>
      </c>
      <c r="CY1044" s="6">
        <f>0</f>
        <v>0</v>
      </c>
      <c r="CZ1044" s="6">
        <f>453074040</f>
        <v>453074040</v>
      </c>
      <c r="DA1044" s="6">
        <f>395986713</f>
        <v>395986713</v>
      </c>
      <c r="DC1044" s="4" t="s">
        <v>241</v>
      </c>
      <c r="DD1044" s="4" t="s">
        <v>241</v>
      </c>
      <c r="DF1044" s="4" t="s">
        <v>241</v>
      </c>
      <c r="DG1044" s="6">
        <f>0</f>
        <v>0</v>
      </c>
      <c r="DI1044" s="4" t="s">
        <v>241</v>
      </c>
      <c r="DJ1044" s="4" t="s">
        <v>241</v>
      </c>
      <c r="DK1044" s="4" t="s">
        <v>241</v>
      </c>
      <c r="DL1044" s="4" t="s">
        <v>241</v>
      </c>
      <c r="DM1044" s="4" t="s">
        <v>277</v>
      </c>
      <c r="DN1044" s="4" t="s">
        <v>278</v>
      </c>
      <c r="DO1044" s="6">
        <f>1350</f>
        <v>1350</v>
      </c>
      <c r="DP1044" s="4" t="s">
        <v>241</v>
      </c>
      <c r="DQ1044" s="4" t="s">
        <v>241</v>
      </c>
      <c r="DR1044" s="4" t="s">
        <v>241</v>
      </c>
      <c r="DS1044" s="4" t="s">
        <v>241</v>
      </c>
      <c r="DV1044" s="4" t="s">
        <v>1534</v>
      </c>
      <c r="DW1044" s="4" t="s">
        <v>323</v>
      </c>
      <c r="GN1044" s="4" t="s">
        <v>1535</v>
      </c>
      <c r="HO1044" s="4" t="s">
        <v>336</v>
      </c>
      <c r="HR1044" s="4" t="s">
        <v>278</v>
      </c>
      <c r="HS1044" s="4" t="s">
        <v>278</v>
      </c>
      <c r="HT1044" s="4" t="s">
        <v>241</v>
      </c>
      <c r="HU1044" s="4" t="s">
        <v>241</v>
      </c>
      <c r="HV1044" s="4" t="s">
        <v>241</v>
      </c>
      <c r="HW1044" s="4" t="s">
        <v>241</v>
      </c>
      <c r="HX1044" s="4" t="s">
        <v>241</v>
      </c>
      <c r="HY1044" s="4" t="s">
        <v>241</v>
      </c>
      <c r="HZ1044" s="4" t="s">
        <v>241</v>
      </c>
      <c r="IA1044" s="4" t="s">
        <v>241</v>
      </c>
      <c r="IB1044" s="4" t="s">
        <v>241</v>
      </c>
      <c r="IC1044" s="4" t="s">
        <v>241</v>
      </c>
      <c r="ID1044" s="4" t="s">
        <v>241</v>
      </c>
      <c r="IE1044" s="4" t="s">
        <v>241</v>
      </c>
      <c r="IF1044" s="4" t="s">
        <v>241</v>
      </c>
    </row>
    <row r="1045" spans="1:240" x14ac:dyDescent="0.4">
      <c r="A1045" s="4">
        <v>2</v>
      </c>
      <c r="B1045" s="4" t="s">
        <v>239</v>
      </c>
      <c r="C1045" s="4">
        <v>1342</v>
      </c>
      <c r="D1045" s="4">
        <v>1</v>
      </c>
      <c r="E1045" s="4">
        <v>3</v>
      </c>
      <c r="F1045" s="4" t="s">
        <v>240</v>
      </c>
      <c r="G1045" s="4" t="s">
        <v>241</v>
      </c>
      <c r="H1045" s="4" t="s">
        <v>241</v>
      </c>
      <c r="I1045" s="4" t="s">
        <v>1733</v>
      </c>
      <c r="J1045" s="4" t="s">
        <v>944</v>
      </c>
      <c r="K1045" s="4" t="s">
        <v>256</v>
      </c>
      <c r="L1045" s="4" t="s">
        <v>1683</v>
      </c>
      <c r="M1045" s="5" t="s">
        <v>1099</v>
      </c>
      <c r="N1045" s="4" t="s">
        <v>1683</v>
      </c>
      <c r="O1045" s="6">
        <f>365.4</f>
        <v>365.4</v>
      </c>
      <c r="P1045" s="4" t="s">
        <v>276</v>
      </c>
      <c r="Q1045" s="6">
        <f>31649058</f>
        <v>31649058</v>
      </c>
      <c r="R1045" s="6">
        <f>78729000</f>
        <v>78729000</v>
      </c>
      <c r="S1045" s="5" t="s">
        <v>1734</v>
      </c>
      <c r="T1045" s="4" t="s">
        <v>314</v>
      </c>
      <c r="U1045" s="4" t="s">
        <v>409</v>
      </c>
      <c r="V1045" s="6">
        <f>3621534</f>
        <v>3621534</v>
      </c>
      <c r="W1045" s="6">
        <f>47079942</f>
        <v>47079942</v>
      </c>
      <c r="X1045" s="4" t="s">
        <v>243</v>
      </c>
      <c r="Y1045" s="4" t="s">
        <v>244</v>
      </c>
      <c r="Z1045" s="4" t="s">
        <v>874</v>
      </c>
      <c r="AA1045" s="4" t="s">
        <v>241</v>
      </c>
      <c r="AD1045" s="4" t="s">
        <v>241</v>
      </c>
      <c r="AE1045" s="5" t="s">
        <v>241</v>
      </c>
      <c r="AF1045" s="5" t="s">
        <v>241</v>
      </c>
      <c r="AH1045" s="5" t="s">
        <v>241</v>
      </c>
      <c r="AI1045" s="5" t="s">
        <v>249</v>
      </c>
      <c r="AJ1045" s="4" t="s">
        <v>251</v>
      </c>
      <c r="AK1045" s="4" t="s">
        <v>252</v>
      </c>
      <c r="AQ1045" s="4" t="s">
        <v>241</v>
      </c>
      <c r="AR1045" s="4" t="s">
        <v>241</v>
      </c>
      <c r="AS1045" s="4" t="s">
        <v>241</v>
      </c>
      <c r="AT1045" s="5" t="s">
        <v>241</v>
      </c>
      <c r="AU1045" s="5" t="s">
        <v>241</v>
      </c>
      <c r="AV1045" s="5" t="s">
        <v>241</v>
      </c>
      <c r="AY1045" s="4" t="s">
        <v>286</v>
      </c>
      <c r="AZ1045" s="4" t="s">
        <v>286</v>
      </c>
      <c r="BA1045" s="4" t="s">
        <v>254</v>
      </c>
      <c r="BB1045" s="4" t="s">
        <v>287</v>
      </c>
      <c r="BC1045" s="4" t="s">
        <v>255</v>
      </c>
      <c r="BD1045" s="4" t="s">
        <v>241</v>
      </c>
      <c r="BE1045" s="4" t="s">
        <v>257</v>
      </c>
      <c r="BF1045" s="4" t="s">
        <v>241</v>
      </c>
      <c r="BJ1045" s="4" t="s">
        <v>288</v>
      </c>
      <c r="BK1045" s="5" t="s">
        <v>289</v>
      </c>
      <c r="BL1045" s="4" t="s">
        <v>290</v>
      </c>
      <c r="BM1045" s="4" t="s">
        <v>290</v>
      </c>
      <c r="BN1045" s="4" t="s">
        <v>241</v>
      </c>
      <c r="BO1045" s="6">
        <f>0</f>
        <v>0</v>
      </c>
      <c r="BP1045" s="6">
        <f>-3621534</f>
        <v>-3621534</v>
      </c>
      <c r="BQ1045" s="4" t="s">
        <v>263</v>
      </c>
      <c r="BR1045" s="4" t="s">
        <v>264</v>
      </c>
      <c r="BS1045" s="4" t="s">
        <v>241</v>
      </c>
      <c r="BT1045" s="4" t="s">
        <v>241</v>
      </c>
      <c r="BU1045" s="4" t="s">
        <v>241</v>
      </c>
      <c r="BV1045" s="4" t="s">
        <v>241</v>
      </c>
      <c r="CE1045" s="4" t="s">
        <v>264</v>
      </c>
      <c r="CF1045" s="4" t="s">
        <v>241</v>
      </c>
      <c r="CG1045" s="4" t="s">
        <v>241</v>
      </c>
      <c r="CK1045" s="4" t="s">
        <v>291</v>
      </c>
      <c r="CL1045" s="4" t="s">
        <v>266</v>
      </c>
      <c r="CM1045" s="4" t="s">
        <v>241</v>
      </c>
      <c r="CO1045" s="4" t="s">
        <v>567</v>
      </c>
      <c r="CP1045" s="5" t="s">
        <v>268</v>
      </c>
      <c r="CQ1045" s="4" t="s">
        <v>269</v>
      </c>
      <c r="CR1045" s="4" t="s">
        <v>270</v>
      </c>
      <c r="CS1045" s="4" t="s">
        <v>293</v>
      </c>
      <c r="CT1045" s="4" t="s">
        <v>241</v>
      </c>
      <c r="CU1045" s="4">
        <v>4.5999999999999999E-2</v>
      </c>
      <c r="CV1045" s="4" t="s">
        <v>271</v>
      </c>
      <c r="CW1045" s="4" t="s">
        <v>1671</v>
      </c>
      <c r="CX1045" s="4" t="s">
        <v>347</v>
      </c>
      <c r="CY1045" s="6">
        <f>0</f>
        <v>0</v>
      </c>
      <c r="CZ1045" s="6">
        <f>78729000</f>
        <v>78729000</v>
      </c>
      <c r="DA1045" s="6">
        <f>31649058</f>
        <v>31649058</v>
      </c>
      <c r="DC1045" s="4" t="s">
        <v>241</v>
      </c>
      <c r="DD1045" s="4" t="s">
        <v>241</v>
      </c>
      <c r="DF1045" s="4" t="s">
        <v>241</v>
      </c>
      <c r="DG1045" s="6">
        <f>0</f>
        <v>0</v>
      </c>
      <c r="DI1045" s="4" t="s">
        <v>241</v>
      </c>
      <c r="DJ1045" s="4" t="s">
        <v>241</v>
      </c>
      <c r="DK1045" s="4" t="s">
        <v>241</v>
      </c>
      <c r="DL1045" s="4" t="s">
        <v>241</v>
      </c>
      <c r="DM1045" s="4" t="s">
        <v>278</v>
      </c>
      <c r="DN1045" s="4" t="s">
        <v>278</v>
      </c>
      <c r="DO1045" s="6">
        <f>365.4</f>
        <v>365.4</v>
      </c>
      <c r="DP1045" s="4" t="s">
        <v>241</v>
      </c>
      <c r="DQ1045" s="4" t="s">
        <v>241</v>
      </c>
      <c r="DR1045" s="4" t="s">
        <v>241</v>
      </c>
      <c r="DS1045" s="4" t="s">
        <v>241</v>
      </c>
      <c r="DV1045" s="4" t="s">
        <v>1735</v>
      </c>
      <c r="DW1045" s="4" t="s">
        <v>277</v>
      </c>
      <c r="GN1045" s="4" t="s">
        <v>1736</v>
      </c>
      <c r="HO1045" s="4" t="s">
        <v>300</v>
      </c>
      <c r="HR1045" s="4" t="s">
        <v>278</v>
      </c>
      <c r="HS1045" s="4" t="s">
        <v>278</v>
      </c>
      <c r="HT1045" s="4" t="s">
        <v>241</v>
      </c>
      <c r="HU1045" s="4" t="s">
        <v>241</v>
      </c>
      <c r="HV1045" s="4" t="s">
        <v>241</v>
      </c>
      <c r="HW1045" s="4" t="s">
        <v>241</v>
      </c>
      <c r="HX1045" s="4" t="s">
        <v>241</v>
      </c>
      <c r="HY1045" s="4" t="s">
        <v>241</v>
      </c>
      <c r="HZ1045" s="4" t="s">
        <v>241</v>
      </c>
      <c r="IA1045" s="4" t="s">
        <v>241</v>
      </c>
      <c r="IB1045" s="4" t="s">
        <v>241</v>
      </c>
      <c r="IC1045" s="4" t="s">
        <v>241</v>
      </c>
      <c r="ID1045" s="4" t="s">
        <v>241</v>
      </c>
      <c r="IE1045" s="4" t="s">
        <v>241</v>
      </c>
      <c r="IF1045" s="4" t="s">
        <v>241</v>
      </c>
    </row>
    <row r="1046" spans="1:240" x14ac:dyDescent="0.4">
      <c r="A1046" s="4">
        <v>2</v>
      </c>
      <c r="B1046" s="4" t="s">
        <v>239</v>
      </c>
      <c r="C1046" s="4">
        <v>1343</v>
      </c>
      <c r="D1046" s="4">
        <v>1</v>
      </c>
      <c r="E1046" s="4">
        <v>3</v>
      </c>
      <c r="F1046" s="4" t="s">
        <v>326</v>
      </c>
      <c r="G1046" s="4" t="s">
        <v>241</v>
      </c>
      <c r="H1046" s="4" t="s">
        <v>241</v>
      </c>
      <c r="I1046" s="4" t="s">
        <v>1733</v>
      </c>
      <c r="J1046" s="4" t="s">
        <v>944</v>
      </c>
      <c r="K1046" s="4" t="s">
        <v>256</v>
      </c>
      <c r="L1046" s="4" t="s">
        <v>241</v>
      </c>
      <c r="M1046" s="5" t="s">
        <v>1099</v>
      </c>
      <c r="N1046" s="4" t="s">
        <v>2690</v>
      </c>
      <c r="O1046" s="6">
        <f>0</f>
        <v>0</v>
      </c>
      <c r="P1046" s="4" t="s">
        <v>276</v>
      </c>
      <c r="Q1046" s="6">
        <f>4096545</f>
        <v>4096545</v>
      </c>
      <c r="R1046" s="6">
        <f>5327106</f>
        <v>5327106</v>
      </c>
      <c r="S1046" s="5" t="s">
        <v>1823</v>
      </c>
      <c r="T1046" s="4" t="s">
        <v>322</v>
      </c>
      <c r="U1046" s="4" t="s">
        <v>323</v>
      </c>
      <c r="V1046" s="6">
        <f>410187</f>
        <v>410187</v>
      </c>
      <c r="W1046" s="6">
        <f>1230561</f>
        <v>1230561</v>
      </c>
      <c r="X1046" s="4" t="s">
        <v>243</v>
      </c>
      <c r="Y1046" s="4" t="s">
        <v>244</v>
      </c>
      <c r="Z1046" s="4" t="s">
        <v>241</v>
      </c>
      <c r="AA1046" s="4" t="s">
        <v>241</v>
      </c>
      <c r="AD1046" s="4" t="s">
        <v>241</v>
      </c>
      <c r="AE1046" s="5" t="s">
        <v>241</v>
      </c>
      <c r="AF1046" s="5" t="s">
        <v>241</v>
      </c>
      <c r="AH1046" s="5" t="s">
        <v>241</v>
      </c>
      <c r="AI1046" s="5" t="s">
        <v>249</v>
      </c>
      <c r="AJ1046" s="4" t="s">
        <v>251</v>
      </c>
      <c r="AK1046" s="4" t="s">
        <v>252</v>
      </c>
      <c r="AQ1046" s="4" t="s">
        <v>241</v>
      </c>
      <c r="AR1046" s="4" t="s">
        <v>241</v>
      </c>
      <c r="AS1046" s="4" t="s">
        <v>241</v>
      </c>
      <c r="AT1046" s="5" t="s">
        <v>241</v>
      </c>
      <c r="AU1046" s="5" t="s">
        <v>241</v>
      </c>
      <c r="AV1046" s="5" t="s">
        <v>241</v>
      </c>
      <c r="AY1046" s="4" t="s">
        <v>286</v>
      </c>
      <c r="AZ1046" s="4" t="s">
        <v>286</v>
      </c>
      <c r="BA1046" s="4" t="s">
        <v>254</v>
      </c>
      <c r="BB1046" s="4" t="s">
        <v>287</v>
      </c>
      <c r="BC1046" s="4" t="s">
        <v>255</v>
      </c>
      <c r="BD1046" s="4" t="s">
        <v>241</v>
      </c>
      <c r="BE1046" s="4" t="s">
        <v>257</v>
      </c>
      <c r="BF1046" s="4" t="s">
        <v>241</v>
      </c>
      <c r="BJ1046" s="4" t="s">
        <v>288</v>
      </c>
      <c r="BK1046" s="5" t="s">
        <v>289</v>
      </c>
      <c r="BL1046" s="4" t="s">
        <v>290</v>
      </c>
      <c r="BM1046" s="4" t="s">
        <v>290</v>
      </c>
      <c r="BN1046" s="4" t="s">
        <v>241</v>
      </c>
      <c r="BP1046" s="6">
        <f>-410187</f>
        <v>-410187</v>
      </c>
      <c r="BQ1046" s="4" t="s">
        <v>263</v>
      </c>
      <c r="BR1046" s="4" t="s">
        <v>264</v>
      </c>
      <c r="BS1046" s="4" t="s">
        <v>241</v>
      </c>
      <c r="BT1046" s="4" t="s">
        <v>241</v>
      </c>
      <c r="BU1046" s="4" t="s">
        <v>241</v>
      </c>
      <c r="BV1046" s="4" t="s">
        <v>241</v>
      </c>
      <c r="CE1046" s="4" t="s">
        <v>264</v>
      </c>
      <c r="CF1046" s="4" t="s">
        <v>241</v>
      </c>
      <c r="CG1046" s="4" t="s">
        <v>241</v>
      </c>
      <c r="CK1046" s="4" t="s">
        <v>265</v>
      </c>
      <c r="CL1046" s="4" t="s">
        <v>266</v>
      </c>
      <c r="CM1046" s="4" t="s">
        <v>241</v>
      </c>
      <c r="CO1046" s="4" t="s">
        <v>421</v>
      </c>
      <c r="CP1046" s="5" t="s">
        <v>268</v>
      </c>
      <c r="CQ1046" s="4" t="s">
        <v>269</v>
      </c>
      <c r="CR1046" s="4" t="s">
        <v>270</v>
      </c>
      <c r="CS1046" s="4" t="s">
        <v>293</v>
      </c>
      <c r="CT1046" s="4" t="s">
        <v>241</v>
      </c>
      <c r="CU1046" s="4">
        <v>7.6999999999999999E-2</v>
      </c>
      <c r="CV1046" s="4" t="s">
        <v>271</v>
      </c>
      <c r="CW1046" s="4" t="s">
        <v>415</v>
      </c>
      <c r="CX1046" s="4" t="s">
        <v>428</v>
      </c>
      <c r="CY1046" s="6">
        <f>0</f>
        <v>0</v>
      </c>
      <c r="CZ1046" s="6">
        <f>5327106</f>
        <v>5327106</v>
      </c>
      <c r="DA1046" s="6">
        <f>4096545</f>
        <v>4096545</v>
      </c>
      <c r="DC1046" s="4" t="s">
        <v>241</v>
      </c>
      <c r="DD1046" s="4" t="s">
        <v>241</v>
      </c>
      <c r="DF1046" s="4" t="s">
        <v>241</v>
      </c>
      <c r="DG1046" s="6">
        <f>0</f>
        <v>0</v>
      </c>
      <c r="DI1046" s="4" t="s">
        <v>241</v>
      </c>
      <c r="DJ1046" s="4" t="s">
        <v>241</v>
      </c>
      <c r="DK1046" s="4" t="s">
        <v>241</v>
      </c>
      <c r="DL1046" s="4" t="s">
        <v>241</v>
      </c>
      <c r="DM1046" s="4" t="s">
        <v>278</v>
      </c>
      <c r="DN1046" s="4" t="s">
        <v>278</v>
      </c>
      <c r="DO1046" s="6" t="s">
        <v>241</v>
      </c>
      <c r="DP1046" s="4" t="s">
        <v>241</v>
      </c>
      <c r="DQ1046" s="4" t="s">
        <v>241</v>
      </c>
      <c r="DR1046" s="4" t="s">
        <v>241</v>
      </c>
      <c r="DS1046" s="4" t="s">
        <v>241</v>
      </c>
      <c r="DV1046" s="4" t="s">
        <v>1735</v>
      </c>
      <c r="DW1046" s="4" t="s">
        <v>323</v>
      </c>
      <c r="GN1046" s="4" t="s">
        <v>2691</v>
      </c>
      <c r="HO1046" s="4" t="s">
        <v>336</v>
      </c>
      <c r="HR1046" s="4" t="s">
        <v>278</v>
      </c>
      <c r="HS1046" s="4" t="s">
        <v>278</v>
      </c>
      <c r="HT1046" s="4" t="s">
        <v>241</v>
      </c>
      <c r="HU1046" s="4" t="s">
        <v>241</v>
      </c>
      <c r="HV1046" s="4" t="s">
        <v>241</v>
      </c>
      <c r="HW1046" s="4" t="s">
        <v>241</v>
      </c>
      <c r="HX1046" s="4" t="s">
        <v>241</v>
      </c>
      <c r="HY1046" s="4" t="s">
        <v>241</v>
      </c>
      <c r="HZ1046" s="4" t="s">
        <v>241</v>
      </c>
      <c r="IA1046" s="4" t="s">
        <v>241</v>
      </c>
      <c r="IB1046" s="4" t="s">
        <v>241</v>
      </c>
      <c r="IC1046" s="4" t="s">
        <v>241</v>
      </c>
      <c r="ID1046" s="4" t="s">
        <v>241</v>
      </c>
      <c r="IE1046" s="4" t="s">
        <v>241</v>
      </c>
      <c r="IF1046" s="4" t="s">
        <v>241</v>
      </c>
    </row>
    <row r="1047" spans="1:240" x14ac:dyDescent="0.4">
      <c r="A1047" s="4">
        <v>2</v>
      </c>
      <c r="B1047" s="4" t="s">
        <v>239</v>
      </c>
      <c r="C1047" s="4">
        <v>1344</v>
      </c>
      <c r="D1047" s="4">
        <v>1</v>
      </c>
      <c r="E1047" s="4">
        <v>3</v>
      </c>
      <c r="F1047" s="4" t="s">
        <v>240</v>
      </c>
      <c r="G1047" s="4" t="s">
        <v>241</v>
      </c>
      <c r="H1047" s="4" t="s">
        <v>241</v>
      </c>
      <c r="I1047" s="4" t="s">
        <v>943</v>
      </c>
      <c r="J1047" s="4" t="s">
        <v>944</v>
      </c>
      <c r="K1047" s="4" t="s">
        <v>256</v>
      </c>
      <c r="L1047" s="4" t="s">
        <v>1683</v>
      </c>
      <c r="M1047" s="5" t="s">
        <v>948</v>
      </c>
      <c r="N1047" s="4" t="s">
        <v>1683</v>
      </c>
      <c r="O1047" s="6">
        <f>408.15</f>
        <v>408.15</v>
      </c>
      <c r="P1047" s="4" t="s">
        <v>276</v>
      </c>
      <c r="Q1047" s="6">
        <f>9334111</f>
        <v>9334111</v>
      </c>
      <c r="R1047" s="6">
        <f>74080240</f>
        <v>74080240</v>
      </c>
      <c r="S1047" s="5" t="s">
        <v>1127</v>
      </c>
      <c r="T1047" s="4" t="s">
        <v>314</v>
      </c>
      <c r="U1047" s="4" t="s">
        <v>365</v>
      </c>
      <c r="V1047" s="6">
        <f>3407691</f>
        <v>3407691</v>
      </c>
      <c r="W1047" s="6">
        <f>64746129</f>
        <v>64746129</v>
      </c>
      <c r="X1047" s="4" t="s">
        <v>243</v>
      </c>
      <c r="Y1047" s="4" t="s">
        <v>244</v>
      </c>
      <c r="Z1047" s="4" t="s">
        <v>874</v>
      </c>
      <c r="AA1047" s="4" t="s">
        <v>241</v>
      </c>
      <c r="AD1047" s="4" t="s">
        <v>241</v>
      </c>
      <c r="AE1047" s="5" t="s">
        <v>241</v>
      </c>
      <c r="AF1047" s="5" t="s">
        <v>241</v>
      </c>
      <c r="AH1047" s="5" t="s">
        <v>241</v>
      </c>
      <c r="AI1047" s="5" t="s">
        <v>249</v>
      </c>
      <c r="AJ1047" s="4" t="s">
        <v>251</v>
      </c>
      <c r="AK1047" s="4" t="s">
        <v>252</v>
      </c>
      <c r="AQ1047" s="4" t="s">
        <v>241</v>
      </c>
      <c r="AR1047" s="4" t="s">
        <v>241</v>
      </c>
      <c r="AS1047" s="4" t="s">
        <v>241</v>
      </c>
      <c r="AT1047" s="5" t="s">
        <v>241</v>
      </c>
      <c r="AU1047" s="5" t="s">
        <v>241</v>
      </c>
      <c r="AV1047" s="5" t="s">
        <v>241</v>
      </c>
      <c r="AY1047" s="4" t="s">
        <v>286</v>
      </c>
      <c r="AZ1047" s="4" t="s">
        <v>286</v>
      </c>
      <c r="BA1047" s="4" t="s">
        <v>254</v>
      </c>
      <c r="BB1047" s="4" t="s">
        <v>287</v>
      </c>
      <c r="BC1047" s="4" t="s">
        <v>255</v>
      </c>
      <c r="BD1047" s="4" t="s">
        <v>241</v>
      </c>
      <c r="BE1047" s="4" t="s">
        <v>257</v>
      </c>
      <c r="BF1047" s="4" t="s">
        <v>241</v>
      </c>
      <c r="BJ1047" s="4" t="s">
        <v>288</v>
      </c>
      <c r="BK1047" s="5" t="s">
        <v>289</v>
      </c>
      <c r="BL1047" s="4" t="s">
        <v>290</v>
      </c>
      <c r="BM1047" s="4" t="s">
        <v>290</v>
      </c>
      <c r="BN1047" s="4" t="s">
        <v>241</v>
      </c>
      <c r="BO1047" s="6">
        <f>0</f>
        <v>0</v>
      </c>
      <c r="BP1047" s="6">
        <f>-3407691</f>
        <v>-3407691</v>
      </c>
      <c r="BQ1047" s="4" t="s">
        <v>263</v>
      </c>
      <c r="BR1047" s="4" t="s">
        <v>264</v>
      </c>
      <c r="BS1047" s="4" t="s">
        <v>241</v>
      </c>
      <c r="BT1047" s="4" t="s">
        <v>241</v>
      </c>
      <c r="BU1047" s="4" t="s">
        <v>241</v>
      </c>
      <c r="BV1047" s="4" t="s">
        <v>241</v>
      </c>
      <c r="CE1047" s="4" t="s">
        <v>264</v>
      </c>
      <c r="CF1047" s="4" t="s">
        <v>241</v>
      </c>
      <c r="CG1047" s="4" t="s">
        <v>241</v>
      </c>
      <c r="CK1047" s="4" t="s">
        <v>291</v>
      </c>
      <c r="CL1047" s="4" t="s">
        <v>266</v>
      </c>
      <c r="CM1047" s="4" t="s">
        <v>241</v>
      </c>
      <c r="CO1047" s="4" t="s">
        <v>364</v>
      </c>
      <c r="CP1047" s="5" t="s">
        <v>268</v>
      </c>
      <c r="CQ1047" s="4" t="s">
        <v>269</v>
      </c>
      <c r="CR1047" s="4" t="s">
        <v>270</v>
      </c>
      <c r="CS1047" s="4" t="s">
        <v>293</v>
      </c>
      <c r="CT1047" s="4" t="s">
        <v>241</v>
      </c>
      <c r="CU1047" s="4">
        <v>4.5999999999999999E-2</v>
      </c>
      <c r="CV1047" s="4" t="s">
        <v>271</v>
      </c>
      <c r="CW1047" s="4" t="s">
        <v>1671</v>
      </c>
      <c r="CX1047" s="4" t="s">
        <v>347</v>
      </c>
      <c r="CY1047" s="6">
        <f>0</f>
        <v>0</v>
      </c>
      <c r="CZ1047" s="6">
        <f>74080240</f>
        <v>74080240</v>
      </c>
      <c r="DA1047" s="6">
        <f>9334111</f>
        <v>9334111</v>
      </c>
      <c r="DC1047" s="4" t="s">
        <v>241</v>
      </c>
      <c r="DD1047" s="4" t="s">
        <v>241</v>
      </c>
      <c r="DF1047" s="4" t="s">
        <v>241</v>
      </c>
      <c r="DG1047" s="6">
        <f>0</f>
        <v>0</v>
      </c>
      <c r="DI1047" s="4" t="s">
        <v>241</v>
      </c>
      <c r="DJ1047" s="4" t="s">
        <v>241</v>
      </c>
      <c r="DK1047" s="4" t="s">
        <v>241</v>
      </c>
      <c r="DL1047" s="4" t="s">
        <v>241</v>
      </c>
      <c r="DM1047" s="4" t="s">
        <v>277</v>
      </c>
      <c r="DN1047" s="4" t="s">
        <v>278</v>
      </c>
      <c r="DO1047" s="6">
        <f>408.15</f>
        <v>408.15</v>
      </c>
      <c r="DP1047" s="4" t="s">
        <v>241</v>
      </c>
      <c r="DQ1047" s="4" t="s">
        <v>241</v>
      </c>
      <c r="DR1047" s="4" t="s">
        <v>241</v>
      </c>
      <c r="DS1047" s="4" t="s">
        <v>241</v>
      </c>
      <c r="DV1047" s="4" t="s">
        <v>949</v>
      </c>
      <c r="DW1047" s="4" t="s">
        <v>277</v>
      </c>
      <c r="GN1047" s="4" t="s">
        <v>1706</v>
      </c>
      <c r="HO1047" s="4" t="s">
        <v>300</v>
      </c>
      <c r="HR1047" s="4" t="s">
        <v>278</v>
      </c>
      <c r="HS1047" s="4" t="s">
        <v>278</v>
      </c>
      <c r="HT1047" s="4" t="s">
        <v>241</v>
      </c>
      <c r="HU1047" s="4" t="s">
        <v>241</v>
      </c>
      <c r="HV1047" s="4" t="s">
        <v>241</v>
      </c>
      <c r="HW1047" s="4" t="s">
        <v>241</v>
      </c>
      <c r="HX1047" s="4" t="s">
        <v>241</v>
      </c>
      <c r="HY1047" s="4" t="s">
        <v>241</v>
      </c>
      <c r="HZ1047" s="4" t="s">
        <v>241</v>
      </c>
      <c r="IA1047" s="4" t="s">
        <v>241</v>
      </c>
      <c r="IB1047" s="4" t="s">
        <v>241</v>
      </c>
      <c r="IC1047" s="4" t="s">
        <v>241</v>
      </c>
      <c r="ID1047" s="4" t="s">
        <v>241</v>
      </c>
      <c r="IE1047" s="4" t="s">
        <v>241</v>
      </c>
      <c r="IF1047" s="4" t="s">
        <v>241</v>
      </c>
    </row>
    <row r="1048" spans="1:240" x14ac:dyDescent="0.4">
      <c r="A1048" s="4">
        <v>2</v>
      </c>
      <c r="B1048" s="4" t="s">
        <v>239</v>
      </c>
      <c r="C1048" s="4">
        <v>1345</v>
      </c>
      <c r="D1048" s="4">
        <v>1</v>
      </c>
      <c r="E1048" s="4">
        <v>3</v>
      </c>
      <c r="F1048" s="4" t="s">
        <v>240</v>
      </c>
      <c r="G1048" s="4" t="s">
        <v>241</v>
      </c>
      <c r="H1048" s="4" t="s">
        <v>241</v>
      </c>
      <c r="I1048" s="4" t="s">
        <v>943</v>
      </c>
      <c r="J1048" s="4" t="s">
        <v>944</v>
      </c>
      <c r="K1048" s="4" t="s">
        <v>256</v>
      </c>
      <c r="L1048" s="4" t="s">
        <v>1683</v>
      </c>
      <c r="M1048" s="5" t="s">
        <v>948</v>
      </c>
      <c r="N1048" s="4" t="s">
        <v>1683</v>
      </c>
      <c r="O1048" s="6">
        <f>203</f>
        <v>203</v>
      </c>
      <c r="P1048" s="4" t="s">
        <v>276</v>
      </c>
      <c r="Q1048" s="6">
        <f>38963076</f>
        <v>38963076</v>
      </c>
      <c r="R1048" s="6">
        <f>53816400</f>
        <v>53816400</v>
      </c>
      <c r="S1048" s="5" t="s">
        <v>1691</v>
      </c>
      <c r="T1048" s="4" t="s">
        <v>314</v>
      </c>
      <c r="U1048" s="4" t="s">
        <v>351</v>
      </c>
      <c r="V1048" s="6">
        <f>2475554</f>
        <v>2475554</v>
      </c>
      <c r="W1048" s="6">
        <f>14853324</f>
        <v>14853324</v>
      </c>
      <c r="X1048" s="4" t="s">
        <v>243</v>
      </c>
      <c r="Y1048" s="4" t="s">
        <v>244</v>
      </c>
      <c r="Z1048" s="4" t="s">
        <v>874</v>
      </c>
      <c r="AA1048" s="4" t="s">
        <v>241</v>
      </c>
      <c r="AD1048" s="4" t="s">
        <v>241</v>
      </c>
      <c r="AE1048" s="5" t="s">
        <v>241</v>
      </c>
      <c r="AF1048" s="5" t="s">
        <v>241</v>
      </c>
      <c r="AH1048" s="5" t="s">
        <v>241</v>
      </c>
      <c r="AI1048" s="5" t="s">
        <v>249</v>
      </c>
      <c r="AJ1048" s="4" t="s">
        <v>251</v>
      </c>
      <c r="AK1048" s="4" t="s">
        <v>252</v>
      </c>
      <c r="AQ1048" s="4" t="s">
        <v>241</v>
      </c>
      <c r="AR1048" s="4" t="s">
        <v>241</v>
      </c>
      <c r="AS1048" s="4" t="s">
        <v>241</v>
      </c>
      <c r="AT1048" s="5" t="s">
        <v>241</v>
      </c>
      <c r="AU1048" s="5" t="s">
        <v>241</v>
      </c>
      <c r="AV1048" s="5" t="s">
        <v>241</v>
      </c>
      <c r="AY1048" s="4" t="s">
        <v>286</v>
      </c>
      <c r="AZ1048" s="4" t="s">
        <v>286</v>
      </c>
      <c r="BA1048" s="4" t="s">
        <v>254</v>
      </c>
      <c r="BB1048" s="4" t="s">
        <v>287</v>
      </c>
      <c r="BC1048" s="4" t="s">
        <v>255</v>
      </c>
      <c r="BD1048" s="4" t="s">
        <v>241</v>
      </c>
      <c r="BE1048" s="4" t="s">
        <v>257</v>
      </c>
      <c r="BF1048" s="4" t="s">
        <v>241</v>
      </c>
      <c r="BJ1048" s="4" t="s">
        <v>288</v>
      </c>
      <c r="BK1048" s="5" t="s">
        <v>289</v>
      </c>
      <c r="BL1048" s="4" t="s">
        <v>290</v>
      </c>
      <c r="BM1048" s="4" t="s">
        <v>290</v>
      </c>
      <c r="BN1048" s="4" t="s">
        <v>241</v>
      </c>
      <c r="BO1048" s="6">
        <f>0</f>
        <v>0</v>
      </c>
      <c r="BP1048" s="6">
        <f>-2475554</f>
        <v>-2475554</v>
      </c>
      <c r="BQ1048" s="4" t="s">
        <v>263</v>
      </c>
      <c r="BR1048" s="4" t="s">
        <v>264</v>
      </c>
      <c r="BS1048" s="4" t="s">
        <v>241</v>
      </c>
      <c r="BT1048" s="4" t="s">
        <v>241</v>
      </c>
      <c r="BU1048" s="4" t="s">
        <v>241</v>
      </c>
      <c r="BV1048" s="4" t="s">
        <v>241</v>
      </c>
      <c r="CE1048" s="4" t="s">
        <v>264</v>
      </c>
      <c r="CF1048" s="4" t="s">
        <v>241</v>
      </c>
      <c r="CG1048" s="4" t="s">
        <v>241</v>
      </c>
      <c r="CK1048" s="4" t="s">
        <v>291</v>
      </c>
      <c r="CL1048" s="4" t="s">
        <v>266</v>
      </c>
      <c r="CM1048" s="4" t="s">
        <v>241</v>
      </c>
      <c r="CO1048" s="4" t="s">
        <v>350</v>
      </c>
      <c r="CP1048" s="5" t="s">
        <v>268</v>
      </c>
      <c r="CQ1048" s="4" t="s">
        <v>269</v>
      </c>
      <c r="CR1048" s="4" t="s">
        <v>270</v>
      </c>
      <c r="CS1048" s="4" t="s">
        <v>293</v>
      </c>
      <c r="CT1048" s="4" t="s">
        <v>241</v>
      </c>
      <c r="CU1048" s="4">
        <v>4.5999999999999999E-2</v>
      </c>
      <c r="CV1048" s="4" t="s">
        <v>271</v>
      </c>
      <c r="CW1048" s="4" t="s">
        <v>1671</v>
      </c>
      <c r="CX1048" s="4" t="s">
        <v>347</v>
      </c>
      <c r="CY1048" s="6">
        <f>0</f>
        <v>0</v>
      </c>
      <c r="CZ1048" s="6">
        <f>53816400</f>
        <v>53816400</v>
      </c>
      <c r="DA1048" s="6">
        <f>38963076</f>
        <v>38963076</v>
      </c>
      <c r="DC1048" s="4" t="s">
        <v>241</v>
      </c>
      <c r="DD1048" s="4" t="s">
        <v>241</v>
      </c>
      <c r="DF1048" s="4" t="s">
        <v>241</v>
      </c>
      <c r="DG1048" s="6">
        <f>0</f>
        <v>0</v>
      </c>
      <c r="DI1048" s="4" t="s">
        <v>241</v>
      </c>
      <c r="DJ1048" s="4" t="s">
        <v>241</v>
      </c>
      <c r="DK1048" s="4" t="s">
        <v>241</v>
      </c>
      <c r="DL1048" s="4" t="s">
        <v>241</v>
      </c>
      <c r="DM1048" s="4" t="s">
        <v>277</v>
      </c>
      <c r="DN1048" s="4" t="s">
        <v>278</v>
      </c>
      <c r="DO1048" s="6">
        <f>203</f>
        <v>203</v>
      </c>
      <c r="DP1048" s="4" t="s">
        <v>241</v>
      </c>
      <c r="DQ1048" s="4" t="s">
        <v>241</v>
      </c>
      <c r="DR1048" s="4" t="s">
        <v>241</v>
      </c>
      <c r="DS1048" s="4" t="s">
        <v>241</v>
      </c>
      <c r="DV1048" s="4" t="s">
        <v>949</v>
      </c>
      <c r="DW1048" s="4" t="s">
        <v>323</v>
      </c>
      <c r="GN1048" s="4" t="s">
        <v>1692</v>
      </c>
      <c r="HO1048" s="4" t="s">
        <v>300</v>
      </c>
      <c r="HR1048" s="4" t="s">
        <v>278</v>
      </c>
      <c r="HS1048" s="4" t="s">
        <v>278</v>
      </c>
      <c r="HT1048" s="4" t="s">
        <v>241</v>
      </c>
      <c r="HU1048" s="4" t="s">
        <v>241</v>
      </c>
      <c r="HV1048" s="4" t="s">
        <v>241</v>
      </c>
      <c r="HW1048" s="4" t="s">
        <v>241</v>
      </c>
      <c r="HX1048" s="4" t="s">
        <v>241</v>
      </c>
      <c r="HY1048" s="4" t="s">
        <v>241</v>
      </c>
      <c r="HZ1048" s="4" t="s">
        <v>241</v>
      </c>
      <c r="IA1048" s="4" t="s">
        <v>241</v>
      </c>
      <c r="IB1048" s="4" t="s">
        <v>241</v>
      </c>
      <c r="IC1048" s="4" t="s">
        <v>241</v>
      </c>
      <c r="ID1048" s="4" t="s">
        <v>241</v>
      </c>
      <c r="IE1048" s="4" t="s">
        <v>241</v>
      </c>
      <c r="IF1048" s="4" t="s">
        <v>241</v>
      </c>
    </row>
    <row r="1049" spans="1:240" x14ac:dyDescent="0.4">
      <c r="A1049" s="4">
        <v>2</v>
      </c>
      <c r="B1049" s="4" t="s">
        <v>239</v>
      </c>
      <c r="C1049" s="4">
        <v>1346</v>
      </c>
      <c r="D1049" s="4">
        <v>1</v>
      </c>
      <c r="E1049" s="4">
        <v>3</v>
      </c>
      <c r="F1049" s="4" t="s">
        <v>326</v>
      </c>
      <c r="G1049" s="4" t="s">
        <v>241</v>
      </c>
      <c r="H1049" s="4" t="s">
        <v>241</v>
      </c>
      <c r="I1049" s="4" t="s">
        <v>943</v>
      </c>
      <c r="J1049" s="4" t="s">
        <v>944</v>
      </c>
      <c r="K1049" s="4" t="s">
        <v>256</v>
      </c>
      <c r="L1049" s="4" t="s">
        <v>947</v>
      </c>
      <c r="M1049" s="5" t="s">
        <v>948</v>
      </c>
      <c r="N1049" s="4" t="s">
        <v>942</v>
      </c>
      <c r="O1049" s="6">
        <f>14</f>
        <v>14</v>
      </c>
      <c r="P1049" s="4" t="s">
        <v>276</v>
      </c>
      <c r="Q1049" s="6">
        <f>3906144</f>
        <v>3906144</v>
      </c>
      <c r="R1049" s="6">
        <f>4438800</f>
        <v>4438800</v>
      </c>
      <c r="S1049" s="5" t="s">
        <v>945</v>
      </c>
      <c r="T1049" s="4" t="s">
        <v>357</v>
      </c>
      <c r="U1049" s="4" t="s">
        <v>297</v>
      </c>
      <c r="V1049" s="6">
        <f>133164</f>
        <v>133164</v>
      </c>
      <c r="W1049" s="6">
        <f>532656</f>
        <v>532656</v>
      </c>
      <c r="X1049" s="4" t="s">
        <v>243</v>
      </c>
      <c r="Y1049" s="4" t="s">
        <v>244</v>
      </c>
      <c r="Z1049" s="4" t="s">
        <v>874</v>
      </c>
      <c r="AA1049" s="4" t="s">
        <v>241</v>
      </c>
      <c r="AD1049" s="4" t="s">
        <v>241</v>
      </c>
      <c r="AE1049" s="5" t="s">
        <v>241</v>
      </c>
      <c r="AF1049" s="5" t="s">
        <v>241</v>
      </c>
      <c r="AH1049" s="5" t="s">
        <v>241</v>
      </c>
      <c r="AI1049" s="5" t="s">
        <v>946</v>
      </c>
      <c r="AJ1049" s="4" t="s">
        <v>251</v>
      </c>
      <c r="AK1049" s="4" t="s">
        <v>252</v>
      </c>
      <c r="AQ1049" s="4" t="s">
        <v>241</v>
      </c>
      <c r="AR1049" s="4" t="s">
        <v>241</v>
      </c>
      <c r="AS1049" s="4" t="s">
        <v>241</v>
      </c>
      <c r="AT1049" s="5" t="s">
        <v>241</v>
      </c>
      <c r="AU1049" s="5" t="s">
        <v>241</v>
      </c>
      <c r="AV1049" s="5" t="s">
        <v>241</v>
      </c>
      <c r="AY1049" s="4" t="s">
        <v>286</v>
      </c>
      <c r="AZ1049" s="4" t="s">
        <v>286</v>
      </c>
      <c r="BA1049" s="4" t="s">
        <v>254</v>
      </c>
      <c r="BB1049" s="4" t="s">
        <v>287</v>
      </c>
      <c r="BC1049" s="4" t="s">
        <v>255</v>
      </c>
      <c r="BD1049" s="4" t="s">
        <v>241</v>
      </c>
      <c r="BE1049" s="4" t="s">
        <v>257</v>
      </c>
      <c r="BF1049" s="4" t="s">
        <v>241</v>
      </c>
      <c r="BJ1049" s="4" t="s">
        <v>288</v>
      </c>
      <c r="BK1049" s="5" t="s">
        <v>289</v>
      </c>
      <c r="BL1049" s="4" t="s">
        <v>290</v>
      </c>
      <c r="BM1049" s="4" t="s">
        <v>290</v>
      </c>
      <c r="BN1049" s="4" t="s">
        <v>241</v>
      </c>
      <c r="BO1049" s="6">
        <f>0</f>
        <v>0</v>
      </c>
      <c r="BP1049" s="6">
        <f>-133164</f>
        <v>-133164</v>
      </c>
      <c r="BQ1049" s="4" t="s">
        <v>263</v>
      </c>
      <c r="BR1049" s="4" t="s">
        <v>264</v>
      </c>
      <c r="BS1049" s="4" t="s">
        <v>241</v>
      </c>
      <c r="BT1049" s="4" t="s">
        <v>241</v>
      </c>
      <c r="BU1049" s="4" t="s">
        <v>241</v>
      </c>
      <c r="BV1049" s="4" t="s">
        <v>241</v>
      </c>
      <c r="CE1049" s="4" t="s">
        <v>264</v>
      </c>
      <c r="CF1049" s="4" t="s">
        <v>241</v>
      </c>
      <c r="CG1049" s="4" t="s">
        <v>241</v>
      </c>
      <c r="CK1049" s="4" t="s">
        <v>291</v>
      </c>
      <c r="CL1049" s="4" t="s">
        <v>266</v>
      </c>
      <c r="CM1049" s="4" t="s">
        <v>241</v>
      </c>
      <c r="CO1049" s="4" t="s">
        <v>413</v>
      </c>
      <c r="CP1049" s="5" t="s">
        <v>268</v>
      </c>
      <c r="CQ1049" s="4" t="s">
        <v>269</v>
      </c>
      <c r="CR1049" s="4" t="s">
        <v>270</v>
      </c>
      <c r="CS1049" s="4" t="s">
        <v>293</v>
      </c>
      <c r="CT1049" s="4" t="s">
        <v>241</v>
      </c>
      <c r="CU1049" s="4">
        <v>0.03</v>
      </c>
      <c r="CV1049" s="4" t="s">
        <v>271</v>
      </c>
      <c r="CW1049" s="4" t="s">
        <v>655</v>
      </c>
      <c r="CX1049" s="4" t="s">
        <v>487</v>
      </c>
      <c r="CY1049" s="6">
        <f>0</f>
        <v>0</v>
      </c>
      <c r="CZ1049" s="6">
        <f>4438800</f>
        <v>4438800</v>
      </c>
      <c r="DA1049" s="6">
        <f>3906144</f>
        <v>3906144</v>
      </c>
      <c r="DC1049" s="4" t="s">
        <v>241</v>
      </c>
      <c r="DD1049" s="4" t="s">
        <v>241</v>
      </c>
      <c r="DF1049" s="4" t="s">
        <v>241</v>
      </c>
      <c r="DG1049" s="6">
        <f>0</f>
        <v>0</v>
      </c>
      <c r="DI1049" s="4" t="s">
        <v>241</v>
      </c>
      <c r="DJ1049" s="4" t="s">
        <v>241</v>
      </c>
      <c r="DK1049" s="4" t="s">
        <v>241</v>
      </c>
      <c r="DL1049" s="4" t="s">
        <v>241</v>
      </c>
      <c r="DM1049" s="4" t="s">
        <v>278</v>
      </c>
      <c r="DN1049" s="4" t="s">
        <v>278</v>
      </c>
      <c r="DO1049" s="6">
        <f>14</f>
        <v>14</v>
      </c>
      <c r="DP1049" s="4" t="s">
        <v>241</v>
      </c>
      <c r="DQ1049" s="4" t="s">
        <v>241</v>
      </c>
      <c r="DR1049" s="4" t="s">
        <v>241</v>
      </c>
      <c r="DS1049" s="4" t="s">
        <v>241</v>
      </c>
      <c r="DV1049" s="4" t="s">
        <v>949</v>
      </c>
      <c r="DW1049" s="4" t="s">
        <v>297</v>
      </c>
      <c r="GN1049" s="4" t="s">
        <v>950</v>
      </c>
      <c r="HO1049" s="4" t="s">
        <v>351</v>
      </c>
      <c r="HR1049" s="4" t="s">
        <v>278</v>
      </c>
      <c r="HS1049" s="4" t="s">
        <v>278</v>
      </c>
      <c r="HT1049" s="4" t="s">
        <v>241</v>
      </c>
      <c r="HU1049" s="4" t="s">
        <v>241</v>
      </c>
      <c r="HV1049" s="4" t="s">
        <v>241</v>
      </c>
      <c r="HW1049" s="4" t="s">
        <v>241</v>
      </c>
      <c r="HX1049" s="4" t="s">
        <v>241</v>
      </c>
      <c r="HY1049" s="4" t="s">
        <v>241</v>
      </c>
      <c r="HZ1049" s="4" t="s">
        <v>241</v>
      </c>
      <c r="IA1049" s="4" t="s">
        <v>241</v>
      </c>
      <c r="IB1049" s="4" t="s">
        <v>241</v>
      </c>
      <c r="IC1049" s="4" t="s">
        <v>241</v>
      </c>
      <c r="ID1049" s="4" t="s">
        <v>241</v>
      </c>
      <c r="IE1049" s="4" t="s">
        <v>241</v>
      </c>
      <c r="IF1049" s="4" t="s">
        <v>241</v>
      </c>
    </row>
    <row r="1050" spans="1:240" x14ac:dyDescent="0.4">
      <c r="A1050" s="4">
        <v>2</v>
      </c>
      <c r="B1050" s="4" t="s">
        <v>239</v>
      </c>
      <c r="C1050" s="4">
        <v>1347</v>
      </c>
      <c r="D1050" s="4">
        <v>1</v>
      </c>
      <c r="E1050" s="4">
        <v>1</v>
      </c>
      <c r="F1050" s="4" t="s">
        <v>240</v>
      </c>
      <c r="G1050" s="4" t="s">
        <v>241</v>
      </c>
      <c r="H1050" s="4" t="s">
        <v>241</v>
      </c>
      <c r="I1050" s="4" t="s">
        <v>1730</v>
      </c>
      <c r="J1050" s="4" t="s">
        <v>944</v>
      </c>
      <c r="K1050" s="4" t="s">
        <v>256</v>
      </c>
      <c r="L1050" s="4" t="s">
        <v>430</v>
      </c>
      <c r="M1050" s="5" t="s">
        <v>1731</v>
      </c>
      <c r="N1050" s="4" t="s">
        <v>430</v>
      </c>
      <c r="O1050" s="6">
        <f>32.4</f>
        <v>32.4</v>
      </c>
      <c r="P1050" s="4" t="s">
        <v>276</v>
      </c>
      <c r="Q1050" s="6">
        <f>1</f>
        <v>1</v>
      </c>
      <c r="R1050" s="6">
        <f>1944000</f>
        <v>1944000</v>
      </c>
      <c r="S1050" s="5" t="s">
        <v>1650</v>
      </c>
      <c r="T1050" s="4" t="s">
        <v>348</v>
      </c>
      <c r="U1050" s="4" t="s">
        <v>777</v>
      </c>
      <c r="W1050" s="6">
        <f>1943999</f>
        <v>1943999</v>
      </c>
      <c r="X1050" s="4" t="s">
        <v>243</v>
      </c>
      <c r="Y1050" s="4" t="s">
        <v>244</v>
      </c>
      <c r="Z1050" s="4" t="s">
        <v>874</v>
      </c>
      <c r="AA1050" s="4" t="s">
        <v>241</v>
      </c>
      <c r="AD1050" s="4" t="s">
        <v>241</v>
      </c>
      <c r="AF1050" s="5" t="s">
        <v>241</v>
      </c>
      <c r="AI1050" s="5" t="s">
        <v>249</v>
      </c>
      <c r="AJ1050" s="4" t="s">
        <v>251</v>
      </c>
      <c r="AK1050" s="4" t="s">
        <v>252</v>
      </c>
      <c r="BA1050" s="4" t="s">
        <v>254</v>
      </c>
      <c r="BB1050" s="4" t="s">
        <v>241</v>
      </c>
      <c r="BC1050" s="4" t="s">
        <v>255</v>
      </c>
      <c r="BD1050" s="4" t="s">
        <v>241</v>
      </c>
      <c r="BE1050" s="4" t="s">
        <v>257</v>
      </c>
      <c r="BF1050" s="4" t="s">
        <v>241</v>
      </c>
      <c r="BJ1050" s="4" t="s">
        <v>367</v>
      </c>
      <c r="BK1050" s="5" t="s">
        <v>249</v>
      </c>
      <c r="BL1050" s="4" t="s">
        <v>261</v>
      </c>
      <c r="BM1050" s="4" t="s">
        <v>262</v>
      </c>
      <c r="BN1050" s="4" t="s">
        <v>241</v>
      </c>
      <c r="BO1050" s="6">
        <f>0</f>
        <v>0</v>
      </c>
      <c r="BP1050" s="6">
        <f>0</f>
        <v>0</v>
      </c>
      <c r="BQ1050" s="4" t="s">
        <v>263</v>
      </c>
      <c r="BR1050" s="4" t="s">
        <v>264</v>
      </c>
      <c r="CF1050" s="4" t="s">
        <v>241</v>
      </c>
      <c r="CG1050" s="4" t="s">
        <v>241</v>
      </c>
      <c r="CK1050" s="4" t="s">
        <v>265</v>
      </c>
      <c r="CL1050" s="4" t="s">
        <v>266</v>
      </c>
      <c r="CM1050" s="4" t="s">
        <v>241</v>
      </c>
      <c r="CO1050" s="4" t="s">
        <v>956</v>
      </c>
      <c r="CP1050" s="5" t="s">
        <v>268</v>
      </c>
      <c r="CQ1050" s="4" t="s">
        <v>269</v>
      </c>
      <c r="CR1050" s="4" t="s">
        <v>270</v>
      </c>
      <c r="CS1050" s="4" t="s">
        <v>241</v>
      </c>
      <c r="CT1050" s="4" t="s">
        <v>241</v>
      </c>
      <c r="CU1050" s="4">
        <v>0</v>
      </c>
      <c r="CV1050" s="4" t="s">
        <v>271</v>
      </c>
      <c r="CW1050" s="4" t="s">
        <v>272</v>
      </c>
      <c r="CX1050" s="4" t="s">
        <v>347</v>
      </c>
      <c r="CZ1050" s="6">
        <f>1944000</f>
        <v>1944000</v>
      </c>
      <c r="DA1050" s="6">
        <f>0</f>
        <v>0</v>
      </c>
      <c r="DC1050" s="4" t="s">
        <v>241</v>
      </c>
      <c r="DD1050" s="4" t="s">
        <v>241</v>
      </c>
      <c r="DF1050" s="4" t="s">
        <v>241</v>
      </c>
      <c r="DI1050" s="4" t="s">
        <v>241</v>
      </c>
      <c r="DJ1050" s="4" t="s">
        <v>241</v>
      </c>
      <c r="DK1050" s="4" t="s">
        <v>241</v>
      </c>
      <c r="DL1050" s="4" t="s">
        <v>241</v>
      </c>
      <c r="DM1050" s="4" t="s">
        <v>277</v>
      </c>
      <c r="DN1050" s="4" t="s">
        <v>278</v>
      </c>
      <c r="DO1050" s="6">
        <f>32.4</f>
        <v>32.4</v>
      </c>
      <c r="DP1050" s="4" t="s">
        <v>241</v>
      </c>
      <c r="DQ1050" s="4" t="s">
        <v>241</v>
      </c>
      <c r="DR1050" s="4" t="s">
        <v>241</v>
      </c>
      <c r="DS1050" s="4" t="s">
        <v>241</v>
      </c>
      <c r="DV1050" s="4" t="s">
        <v>1732</v>
      </c>
      <c r="DW1050" s="4" t="s">
        <v>277</v>
      </c>
      <c r="HO1050" s="4" t="s">
        <v>277</v>
      </c>
      <c r="HR1050" s="4" t="s">
        <v>278</v>
      </c>
      <c r="HS1050" s="4" t="s">
        <v>278</v>
      </c>
    </row>
    <row r="1051" spans="1:240" x14ac:dyDescent="0.4">
      <c r="A1051" s="4">
        <v>2</v>
      </c>
      <c r="B1051" s="4" t="s">
        <v>239</v>
      </c>
      <c r="C1051" s="4">
        <v>1348</v>
      </c>
      <c r="D1051" s="4">
        <v>1</v>
      </c>
      <c r="E1051" s="4">
        <v>1</v>
      </c>
      <c r="F1051" s="4" t="s">
        <v>240</v>
      </c>
      <c r="G1051" s="4" t="s">
        <v>241</v>
      </c>
      <c r="H1051" s="4" t="s">
        <v>241</v>
      </c>
      <c r="I1051" s="4" t="s">
        <v>1730</v>
      </c>
      <c r="J1051" s="4" t="s">
        <v>944</v>
      </c>
      <c r="K1051" s="4" t="s">
        <v>256</v>
      </c>
      <c r="L1051" s="4" t="s">
        <v>1683</v>
      </c>
      <c r="M1051" s="5" t="s">
        <v>1731</v>
      </c>
      <c r="N1051" s="4" t="s">
        <v>1683</v>
      </c>
      <c r="O1051" s="6">
        <f>520.12</f>
        <v>520.12</v>
      </c>
      <c r="P1051" s="4" t="s">
        <v>276</v>
      </c>
      <c r="Q1051" s="6">
        <f>1</f>
        <v>1</v>
      </c>
      <c r="R1051" s="6">
        <f>41609600</f>
        <v>41609600</v>
      </c>
      <c r="S1051" s="5" t="s">
        <v>1650</v>
      </c>
      <c r="T1051" s="4" t="s">
        <v>357</v>
      </c>
      <c r="U1051" s="4" t="s">
        <v>777</v>
      </c>
      <c r="W1051" s="6">
        <f>41609599</f>
        <v>41609599</v>
      </c>
      <c r="X1051" s="4" t="s">
        <v>243</v>
      </c>
      <c r="Y1051" s="4" t="s">
        <v>244</v>
      </c>
      <c r="Z1051" s="4" t="s">
        <v>874</v>
      </c>
      <c r="AA1051" s="4" t="s">
        <v>241</v>
      </c>
      <c r="AD1051" s="4" t="s">
        <v>241</v>
      </c>
      <c r="AF1051" s="5" t="s">
        <v>241</v>
      </c>
      <c r="AI1051" s="5" t="s">
        <v>249</v>
      </c>
      <c r="AJ1051" s="4" t="s">
        <v>251</v>
      </c>
      <c r="AK1051" s="4" t="s">
        <v>252</v>
      </c>
      <c r="BA1051" s="4" t="s">
        <v>254</v>
      </c>
      <c r="BB1051" s="4" t="s">
        <v>241</v>
      </c>
      <c r="BC1051" s="4" t="s">
        <v>255</v>
      </c>
      <c r="BD1051" s="4" t="s">
        <v>241</v>
      </c>
      <c r="BE1051" s="4" t="s">
        <v>257</v>
      </c>
      <c r="BF1051" s="4" t="s">
        <v>241</v>
      </c>
      <c r="BJ1051" s="4" t="s">
        <v>367</v>
      </c>
      <c r="BK1051" s="5" t="s">
        <v>249</v>
      </c>
      <c r="BL1051" s="4" t="s">
        <v>261</v>
      </c>
      <c r="BM1051" s="4" t="s">
        <v>262</v>
      </c>
      <c r="BN1051" s="4" t="s">
        <v>241</v>
      </c>
      <c r="BO1051" s="6">
        <f>0</f>
        <v>0</v>
      </c>
      <c r="BP1051" s="6">
        <f>0</f>
        <v>0</v>
      </c>
      <c r="BQ1051" s="4" t="s">
        <v>263</v>
      </c>
      <c r="BR1051" s="4" t="s">
        <v>264</v>
      </c>
      <c r="CF1051" s="4" t="s">
        <v>241</v>
      </c>
      <c r="CG1051" s="4" t="s">
        <v>241</v>
      </c>
      <c r="CK1051" s="4" t="s">
        <v>265</v>
      </c>
      <c r="CL1051" s="4" t="s">
        <v>266</v>
      </c>
      <c r="CM1051" s="4" t="s">
        <v>241</v>
      </c>
      <c r="CO1051" s="4" t="s">
        <v>956</v>
      </c>
      <c r="CP1051" s="5" t="s">
        <v>268</v>
      </c>
      <c r="CQ1051" s="4" t="s">
        <v>269</v>
      </c>
      <c r="CR1051" s="4" t="s">
        <v>270</v>
      </c>
      <c r="CS1051" s="4" t="s">
        <v>241</v>
      </c>
      <c r="CT1051" s="4" t="s">
        <v>241</v>
      </c>
      <c r="CU1051" s="4">
        <v>0</v>
      </c>
      <c r="CV1051" s="4" t="s">
        <v>271</v>
      </c>
      <c r="CW1051" s="4" t="s">
        <v>1671</v>
      </c>
      <c r="CX1051" s="4" t="s">
        <v>487</v>
      </c>
      <c r="CZ1051" s="6">
        <f>41609600</f>
        <v>41609600</v>
      </c>
      <c r="DA1051" s="6">
        <f>0</f>
        <v>0</v>
      </c>
      <c r="DC1051" s="4" t="s">
        <v>241</v>
      </c>
      <c r="DD1051" s="4" t="s">
        <v>241</v>
      </c>
      <c r="DF1051" s="4" t="s">
        <v>241</v>
      </c>
      <c r="DI1051" s="4" t="s">
        <v>241</v>
      </c>
      <c r="DJ1051" s="4" t="s">
        <v>241</v>
      </c>
      <c r="DK1051" s="4" t="s">
        <v>241</v>
      </c>
      <c r="DL1051" s="4" t="s">
        <v>241</v>
      </c>
      <c r="DM1051" s="4" t="s">
        <v>277</v>
      </c>
      <c r="DN1051" s="4" t="s">
        <v>278</v>
      </c>
      <c r="DO1051" s="6">
        <f>520.12</f>
        <v>520.12</v>
      </c>
      <c r="DP1051" s="4" t="s">
        <v>241</v>
      </c>
      <c r="DQ1051" s="4" t="s">
        <v>241</v>
      </c>
      <c r="DR1051" s="4" t="s">
        <v>241</v>
      </c>
      <c r="DS1051" s="4" t="s">
        <v>241</v>
      </c>
      <c r="DV1051" s="4" t="s">
        <v>1732</v>
      </c>
      <c r="DW1051" s="4" t="s">
        <v>323</v>
      </c>
      <c r="HO1051" s="4" t="s">
        <v>277</v>
      </c>
      <c r="HR1051" s="4" t="s">
        <v>278</v>
      </c>
      <c r="HS1051" s="4" t="s">
        <v>278</v>
      </c>
    </row>
    <row r="1052" spans="1:240" x14ac:dyDescent="0.4">
      <c r="A1052" s="4">
        <v>2</v>
      </c>
      <c r="B1052" s="4" t="s">
        <v>239</v>
      </c>
      <c r="C1052" s="4">
        <v>1349</v>
      </c>
      <c r="D1052" s="4">
        <v>1</v>
      </c>
      <c r="E1052" s="4">
        <v>3</v>
      </c>
      <c r="F1052" s="4" t="s">
        <v>326</v>
      </c>
      <c r="G1052" s="4" t="s">
        <v>241</v>
      </c>
      <c r="H1052" s="4" t="s">
        <v>241</v>
      </c>
      <c r="I1052" s="4" t="s">
        <v>1730</v>
      </c>
      <c r="J1052" s="4" t="s">
        <v>944</v>
      </c>
      <c r="K1052" s="4" t="s">
        <v>256</v>
      </c>
      <c r="L1052" s="4" t="s">
        <v>337</v>
      </c>
      <c r="M1052" s="5" t="s">
        <v>1731</v>
      </c>
      <c r="N1052" s="4" t="s">
        <v>1825</v>
      </c>
      <c r="O1052" s="6">
        <f>0</f>
        <v>0</v>
      </c>
      <c r="P1052" s="4" t="s">
        <v>276</v>
      </c>
      <c r="Q1052" s="6">
        <f>3710388</f>
        <v>3710388</v>
      </c>
      <c r="R1052" s="6">
        <f>4274640</f>
        <v>4274640</v>
      </c>
      <c r="S1052" s="5" t="s">
        <v>1826</v>
      </c>
      <c r="T1052" s="4" t="s">
        <v>441</v>
      </c>
      <c r="U1052" s="4" t="s">
        <v>297</v>
      </c>
      <c r="V1052" s="6">
        <f>141063</f>
        <v>141063</v>
      </c>
      <c r="W1052" s="6">
        <f>564252</f>
        <v>564252</v>
      </c>
      <c r="X1052" s="4" t="s">
        <v>243</v>
      </c>
      <c r="Y1052" s="4" t="s">
        <v>244</v>
      </c>
      <c r="Z1052" s="4" t="s">
        <v>874</v>
      </c>
      <c r="AA1052" s="4" t="s">
        <v>241</v>
      </c>
      <c r="AD1052" s="4" t="s">
        <v>241</v>
      </c>
      <c r="AE1052" s="5" t="s">
        <v>241</v>
      </c>
      <c r="AF1052" s="5" t="s">
        <v>241</v>
      </c>
      <c r="AH1052" s="5" t="s">
        <v>241</v>
      </c>
      <c r="AI1052" s="5" t="s">
        <v>249</v>
      </c>
      <c r="AJ1052" s="4" t="s">
        <v>251</v>
      </c>
      <c r="AK1052" s="4" t="s">
        <v>252</v>
      </c>
      <c r="AQ1052" s="4" t="s">
        <v>241</v>
      </c>
      <c r="AR1052" s="4" t="s">
        <v>241</v>
      </c>
      <c r="AS1052" s="4" t="s">
        <v>241</v>
      </c>
      <c r="AT1052" s="5" t="s">
        <v>241</v>
      </c>
      <c r="AU1052" s="5" t="s">
        <v>241</v>
      </c>
      <c r="AV1052" s="5" t="s">
        <v>241</v>
      </c>
      <c r="AY1052" s="4" t="s">
        <v>286</v>
      </c>
      <c r="AZ1052" s="4" t="s">
        <v>286</v>
      </c>
      <c r="BA1052" s="4" t="s">
        <v>254</v>
      </c>
      <c r="BB1052" s="4" t="s">
        <v>287</v>
      </c>
      <c r="BC1052" s="4" t="s">
        <v>255</v>
      </c>
      <c r="BD1052" s="4" t="s">
        <v>241</v>
      </c>
      <c r="BE1052" s="4" t="s">
        <v>257</v>
      </c>
      <c r="BF1052" s="4" t="s">
        <v>241</v>
      </c>
      <c r="BJ1052" s="4" t="s">
        <v>288</v>
      </c>
      <c r="BK1052" s="5" t="s">
        <v>289</v>
      </c>
      <c r="BL1052" s="4" t="s">
        <v>290</v>
      </c>
      <c r="BM1052" s="4" t="s">
        <v>290</v>
      </c>
      <c r="BN1052" s="4" t="s">
        <v>241</v>
      </c>
      <c r="BP1052" s="6">
        <f>-141063</f>
        <v>-141063</v>
      </c>
      <c r="BQ1052" s="4" t="s">
        <v>263</v>
      </c>
      <c r="BR1052" s="4" t="s">
        <v>264</v>
      </c>
      <c r="BS1052" s="4" t="s">
        <v>241</v>
      </c>
      <c r="BT1052" s="4" t="s">
        <v>241</v>
      </c>
      <c r="BU1052" s="4" t="s">
        <v>241</v>
      </c>
      <c r="BV1052" s="4" t="s">
        <v>241</v>
      </c>
      <c r="CE1052" s="4" t="s">
        <v>264</v>
      </c>
      <c r="CF1052" s="4" t="s">
        <v>241</v>
      </c>
      <c r="CG1052" s="4" t="s">
        <v>241</v>
      </c>
      <c r="CK1052" s="4" t="s">
        <v>291</v>
      </c>
      <c r="CL1052" s="4" t="s">
        <v>266</v>
      </c>
      <c r="CM1052" s="4" t="s">
        <v>241</v>
      </c>
      <c r="CO1052" s="4" t="s">
        <v>413</v>
      </c>
      <c r="CP1052" s="5" t="s">
        <v>268</v>
      </c>
      <c r="CQ1052" s="4" t="s">
        <v>269</v>
      </c>
      <c r="CR1052" s="4" t="s">
        <v>270</v>
      </c>
      <c r="CS1052" s="4" t="s">
        <v>293</v>
      </c>
      <c r="CT1052" s="4" t="s">
        <v>241</v>
      </c>
      <c r="CU1052" s="4">
        <v>3.3000000000000002E-2</v>
      </c>
      <c r="CV1052" s="4" t="s">
        <v>271</v>
      </c>
      <c r="CW1052" s="4" t="s">
        <v>332</v>
      </c>
      <c r="CX1052" s="4" t="s">
        <v>487</v>
      </c>
      <c r="CY1052" s="6">
        <f>0</f>
        <v>0</v>
      </c>
      <c r="CZ1052" s="6">
        <f>4274640</f>
        <v>4274640</v>
      </c>
      <c r="DA1052" s="6">
        <f>3710388</f>
        <v>3710388</v>
      </c>
      <c r="DC1052" s="4" t="s">
        <v>241</v>
      </c>
      <c r="DD1052" s="4" t="s">
        <v>241</v>
      </c>
      <c r="DF1052" s="4" t="s">
        <v>241</v>
      </c>
      <c r="DG1052" s="6">
        <f>0</f>
        <v>0</v>
      </c>
      <c r="DI1052" s="4" t="s">
        <v>241</v>
      </c>
      <c r="DJ1052" s="4" t="s">
        <v>241</v>
      </c>
      <c r="DK1052" s="4" t="s">
        <v>241</v>
      </c>
      <c r="DL1052" s="4" t="s">
        <v>241</v>
      </c>
      <c r="DM1052" s="4" t="s">
        <v>278</v>
      </c>
      <c r="DN1052" s="4" t="s">
        <v>278</v>
      </c>
      <c r="DO1052" s="6" t="s">
        <v>241</v>
      </c>
      <c r="DP1052" s="4" t="s">
        <v>241</v>
      </c>
      <c r="DQ1052" s="4" t="s">
        <v>241</v>
      </c>
      <c r="DR1052" s="4" t="s">
        <v>241</v>
      </c>
      <c r="DS1052" s="4" t="s">
        <v>241</v>
      </c>
      <c r="DV1052" s="4" t="s">
        <v>1732</v>
      </c>
      <c r="DW1052" s="4" t="s">
        <v>297</v>
      </c>
      <c r="GN1052" s="4" t="s">
        <v>1827</v>
      </c>
      <c r="HO1052" s="4" t="s">
        <v>351</v>
      </c>
      <c r="HR1052" s="4" t="s">
        <v>278</v>
      </c>
      <c r="HS1052" s="4" t="s">
        <v>278</v>
      </c>
      <c r="HT1052" s="4" t="s">
        <v>241</v>
      </c>
      <c r="HU1052" s="4" t="s">
        <v>241</v>
      </c>
      <c r="HV1052" s="4" t="s">
        <v>241</v>
      </c>
      <c r="HW1052" s="4" t="s">
        <v>241</v>
      </c>
      <c r="HX1052" s="4" t="s">
        <v>241</v>
      </c>
      <c r="HY1052" s="4" t="s">
        <v>241</v>
      </c>
      <c r="HZ1052" s="4" t="s">
        <v>241</v>
      </c>
      <c r="IA1052" s="4" t="s">
        <v>241</v>
      </c>
      <c r="IB1052" s="4" t="s">
        <v>241</v>
      </c>
      <c r="IC1052" s="4" t="s">
        <v>241</v>
      </c>
      <c r="ID1052" s="4" t="s">
        <v>241</v>
      </c>
      <c r="IE1052" s="4" t="s">
        <v>241</v>
      </c>
      <c r="IF1052" s="4" t="s">
        <v>241</v>
      </c>
    </row>
    <row r="1053" spans="1:240" x14ac:dyDescent="0.4">
      <c r="A1053" s="4">
        <v>2</v>
      </c>
      <c r="B1053" s="4" t="s">
        <v>239</v>
      </c>
      <c r="C1053" s="4">
        <v>1350</v>
      </c>
      <c r="D1053" s="4">
        <v>1</v>
      </c>
      <c r="E1053" s="4">
        <v>3</v>
      </c>
      <c r="F1053" s="4" t="s">
        <v>240</v>
      </c>
      <c r="G1053" s="4" t="s">
        <v>241</v>
      </c>
      <c r="H1053" s="4" t="s">
        <v>241</v>
      </c>
      <c r="I1053" s="4" t="s">
        <v>1684</v>
      </c>
      <c r="J1053" s="4" t="s">
        <v>944</v>
      </c>
      <c r="K1053" s="4" t="s">
        <v>256</v>
      </c>
      <c r="L1053" s="4" t="s">
        <v>1683</v>
      </c>
      <c r="M1053" s="5" t="s">
        <v>1310</v>
      </c>
      <c r="N1053" s="4" t="s">
        <v>1683</v>
      </c>
      <c r="O1053" s="6">
        <f>169.21</f>
        <v>169.21</v>
      </c>
      <c r="P1053" s="4" t="s">
        <v>276</v>
      </c>
      <c r="Q1053" s="6">
        <f>15059690</f>
        <v>15059690</v>
      </c>
      <c r="R1053" s="6">
        <f>42302500</f>
        <v>42302500</v>
      </c>
      <c r="S1053" s="5" t="s">
        <v>1685</v>
      </c>
      <c r="T1053" s="4" t="s">
        <v>314</v>
      </c>
      <c r="U1053" s="4" t="s">
        <v>322</v>
      </c>
      <c r="V1053" s="6">
        <f>1945915</f>
        <v>1945915</v>
      </c>
      <c r="W1053" s="6">
        <f>27242810</f>
        <v>27242810</v>
      </c>
      <c r="X1053" s="4" t="s">
        <v>243</v>
      </c>
      <c r="Y1053" s="4" t="s">
        <v>244</v>
      </c>
      <c r="Z1053" s="4" t="s">
        <v>874</v>
      </c>
      <c r="AA1053" s="4" t="s">
        <v>241</v>
      </c>
      <c r="AD1053" s="4" t="s">
        <v>241</v>
      </c>
      <c r="AE1053" s="5" t="s">
        <v>241</v>
      </c>
      <c r="AF1053" s="5" t="s">
        <v>241</v>
      </c>
      <c r="AH1053" s="5" t="s">
        <v>241</v>
      </c>
      <c r="AI1053" s="5" t="s">
        <v>249</v>
      </c>
      <c r="AJ1053" s="4" t="s">
        <v>251</v>
      </c>
      <c r="AK1053" s="4" t="s">
        <v>252</v>
      </c>
      <c r="AQ1053" s="4" t="s">
        <v>241</v>
      </c>
      <c r="AR1053" s="4" t="s">
        <v>241</v>
      </c>
      <c r="AS1053" s="4" t="s">
        <v>241</v>
      </c>
      <c r="AT1053" s="5" t="s">
        <v>241</v>
      </c>
      <c r="AU1053" s="5" t="s">
        <v>241</v>
      </c>
      <c r="AV1053" s="5" t="s">
        <v>241</v>
      </c>
      <c r="AY1053" s="4" t="s">
        <v>286</v>
      </c>
      <c r="AZ1053" s="4" t="s">
        <v>286</v>
      </c>
      <c r="BA1053" s="4" t="s">
        <v>254</v>
      </c>
      <c r="BB1053" s="4" t="s">
        <v>287</v>
      </c>
      <c r="BC1053" s="4" t="s">
        <v>255</v>
      </c>
      <c r="BD1053" s="4" t="s">
        <v>241</v>
      </c>
      <c r="BE1053" s="4" t="s">
        <v>257</v>
      </c>
      <c r="BF1053" s="4" t="s">
        <v>241</v>
      </c>
      <c r="BH1053" s="4" t="s">
        <v>500</v>
      </c>
      <c r="BJ1053" s="4" t="s">
        <v>288</v>
      </c>
      <c r="BK1053" s="5" t="s">
        <v>289</v>
      </c>
      <c r="BL1053" s="4" t="s">
        <v>290</v>
      </c>
      <c r="BM1053" s="4" t="s">
        <v>290</v>
      </c>
      <c r="BN1053" s="4" t="s">
        <v>241</v>
      </c>
      <c r="BO1053" s="6">
        <f>0</f>
        <v>0</v>
      </c>
      <c r="BP1053" s="6">
        <f>-1945915</f>
        <v>-1945915</v>
      </c>
      <c r="BQ1053" s="4" t="s">
        <v>263</v>
      </c>
      <c r="BR1053" s="4" t="s">
        <v>264</v>
      </c>
      <c r="BS1053" s="4" t="s">
        <v>241</v>
      </c>
      <c r="BT1053" s="4" t="s">
        <v>241</v>
      </c>
      <c r="BU1053" s="4" t="s">
        <v>241</v>
      </c>
      <c r="BV1053" s="4" t="s">
        <v>241</v>
      </c>
      <c r="CE1053" s="4" t="s">
        <v>264</v>
      </c>
      <c r="CF1053" s="4" t="s">
        <v>241</v>
      </c>
      <c r="CG1053" s="4" t="s">
        <v>241</v>
      </c>
      <c r="CK1053" s="4" t="s">
        <v>291</v>
      </c>
      <c r="CL1053" s="4" t="s">
        <v>266</v>
      </c>
      <c r="CM1053" s="4" t="s">
        <v>241</v>
      </c>
      <c r="CO1053" s="4" t="s">
        <v>321</v>
      </c>
      <c r="CP1053" s="5" t="s">
        <v>268</v>
      </c>
      <c r="CQ1053" s="4" t="s">
        <v>269</v>
      </c>
      <c r="CR1053" s="4" t="s">
        <v>270</v>
      </c>
      <c r="CS1053" s="4" t="s">
        <v>293</v>
      </c>
      <c r="CT1053" s="4" t="s">
        <v>241</v>
      </c>
      <c r="CU1053" s="4">
        <v>4.5999999999999999E-2</v>
      </c>
      <c r="CV1053" s="4" t="s">
        <v>271</v>
      </c>
      <c r="CW1053" s="4" t="s">
        <v>1671</v>
      </c>
      <c r="CX1053" s="4" t="s">
        <v>347</v>
      </c>
      <c r="CY1053" s="6">
        <f>0</f>
        <v>0</v>
      </c>
      <c r="CZ1053" s="6">
        <f>42302500</f>
        <v>42302500</v>
      </c>
      <c r="DA1053" s="6">
        <f>15059690</f>
        <v>15059690</v>
      </c>
      <c r="DC1053" s="4" t="s">
        <v>241</v>
      </c>
      <c r="DD1053" s="4" t="s">
        <v>241</v>
      </c>
      <c r="DF1053" s="4" t="s">
        <v>241</v>
      </c>
      <c r="DG1053" s="6">
        <f>0</f>
        <v>0</v>
      </c>
      <c r="DI1053" s="4" t="s">
        <v>241</v>
      </c>
      <c r="DJ1053" s="4" t="s">
        <v>241</v>
      </c>
      <c r="DK1053" s="4" t="s">
        <v>241</v>
      </c>
      <c r="DL1053" s="4" t="s">
        <v>241</v>
      </c>
      <c r="DM1053" s="4" t="s">
        <v>277</v>
      </c>
      <c r="DN1053" s="4" t="s">
        <v>278</v>
      </c>
      <c r="DO1053" s="6">
        <f>169.21</f>
        <v>169.21</v>
      </c>
      <c r="DP1053" s="4" t="s">
        <v>241</v>
      </c>
      <c r="DQ1053" s="4" t="s">
        <v>241</v>
      </c>
      <c r="DR1053" s="4" t="s">
        <v>241</v>
      </c>
      <c r="DS1053" s="4" t="s">
        <v>241</v>
      </c>
      <c r="DV1053" s="4" t="s">
        <v>1686</v>
      </c>
      <c r="DW1053" s="4" t="s">
        <v>277</v>
      </c>
      <c r="GN1053" s="4" t="s">
        <v>1687</v>
      </c>
      <c r="HO1053" s="4" t="s">
        <v>300</v>
      </c>
      <c r="HR1053" s="4" t="s">
        <v>278</v>
      </c>
      <c r="HS1053" s="4" t="s">
        <v>278</v>
      </c>
      <c r="HT1053" s="4" t="s">
        <v>241</v>
      </c>
      <c r="HU1053" s="4" t="s">
        <v>241</v>
      </c>
      <c r="HV1053" s="4" t="s">
        <v>241</v>
      </c>
      <c r="HW1053" s="4" t="s">
        <v>241</v>
      </c>
      <c r="HX1053" s="4" t="s">
        <v>241</v>
      </c>
      <c r="HY1053" s="4" t="s">
        <v>241</v>
      </c>
      <c r="HZ1053" s="4" t="s">
        <v>241</v>
      </c>
      <c r="IA1053" s="4" t="s">
        <v>241</v>
      </c>
      <c r="IB1053" s="4" t="s">
        <v>241</v>
      </c>
      <c r="IC1053" s="4" t="s">
        <v>241</v>
      </c>
      <c r="ID1053" s="4" t="s">
        <v>241</v>
      </c>
      <c r="IE1053" s="4" t="s">
        <v>241</v>
      </c>
      <c r="IF1053" s="4" t="s">
        <v>241</v>
      </c>
    </row>
    <row r="1054" spans="1:240" x14ac:dyDescent="0.4">
      <c r="A1054" s="4">
        <v>2</v>
      </c>
      <c r="B1054" s="4" t="s">
        <v>239</v>
      </c>
      <c r="C1054" s="4">
        <v>1351</v>
      </c>
      <c r="D1054" s="4">
        <v>1</v>
      </c>
      <c r="E1054" s="4">
        <v>1</v>
      </c>
      <c r="F1054" s="4" t="s">
        <v>240</v>
      </c>
      <c r="G1054" s="4" t="s">
        <v>241</v>
      </c>
      <c r="H1054" s="4" t="s">
        <v>241</v>
      </c>
      <c r="I1054" s="4" t="s">
        <v>1712</v>
      </c>
      <c r="J1054" s="4" t="s">
        <v>944</v>
      </c>
      <c r="K1054" s="4" t="s">
        <v>256</v>
      </c>
      <c r="L1054" s="4" t="s">
        <v>1683</v>
      </c>
      <c r="M1054" s="5" t="s">
        <v>749</v>
      </c>
      <c r="N1054" s="4" t="s">
        <v>1683</v>
      </c>
      <c r="O1054" s="6">
        <f>343.4</f>
        <v>343.4</v>
      </c>
      <c r="P1054" s="4" t="s">
        <v>276</v>
      </c>
      <c r="Q1054" s="6">
        <f>1</f>
        <v>1</v>
      </c>
      <c r="R1054" s="6">
        <f>27472000</f>
        <v>27472000</v>
      </c>
      <c r="S1054" s="5" t="s">
        <v>1713</v>
      </c>
      <c r="T1054" s="4" t="s">
        <v>357</v>
      </c>
      <c r="U1054" s="4" t="s">
        <v>1042</v>
      </c>
      <c r="W1054" s="6">
        <f>27471999</f>
        <v>27471999</v>
      </c>
      <c r="X1054" s="4" t="s">
        <v>243</v>
      </c>
      <c r="Y1054" s="4" t="s">
        <v>244</v>
      </c>
      <c r="Z1054" s="4" t="s">
        <v>874</v>
      </c>
      <c r="AA1054" s="4" t="s">
        <v>241</v>
      </c>
      <c r="AD1054" s="4" t="s">
        <v>241</v>
      </c>
      <c r="AF1054" s="5" t="s">
        <v>241</v>
      </c>
      <c r="AI1054" s="5" t="s">
        <v>249</v>
      </c>
      <c r="AJ1054" s="4" t="s">
        <v>251</v>
      </c>
      <c r="AK1054" s="4" t="s">
        <v>252</v>
      </c>
      <c r="BA1054" s="4" t="s">
        <v>254</v>
      </c>
      <c r="BB1054" s="4" t="s">
        <v>241</v>
      </c>
      <c r="BC1054" s="4" t="s">
        <v>255</v>
      </c>
      <c r="BD1054" s="4" t="s">
        <v>241</v>
      </c>
      <c r="BE1054" s="4" t="s">
        <v>257</v>
      </c>
      <c r="BF1054" s="4" t="s">
        <v>241</v>
      </c>
      <c r="BJ1054" s="4" t="s">
        <v>367</v>
      </c>
      <c r="BK1054" s="5" t="s">
        <v>249</v>
      </c>
      <c r="BL1054" s="4" t="s">
        <v>261</v>
      </c>
      <c r="BM1054" s="4" t="s">
        <v>262</v>
      </c>
      <c r="BN1054" s="4" t="s">
        <v>241</v>
      </c>
      <c r="BO1054" s="6">
        <f>0</f>
        <v>0</v>
      </c>
      <c r="BP1054" s="6">
        <f>0</f>
        <v>0</v>
      </c>
      <c r="BQ1054" s="4" t="s">
        <v>263</v>
      </c>
      <c r="BR1054" s="4" t="s">
        <v>264</v>
      </c>
      <c r="CF1054" s="4" t="s">
        <v>241</v>
      </c>
      <c r="CG1054" s="4" t="s">
        <v>241</v>
      </c>
      <c r="CK1054" s="4" t="s">
        <v>265</v>
      </c>
      <c r="CL1054" s="4" t="s">
        <v>266</v>
      </c>
      <c r="CM1054" s="4" t="s">
        <v>241</v>
      </c>
      <c r="CO1054" s="4" t="s">
        <v>914</v>
      </c>
      <c r="CP1054" s="5" t="s">
        <v>268</v>
      </c>
      <c r="CQ1054" s="4" t="s">
        <v>269</v>
      </c>
      <c r="CR1054" s="4" t="s">
        <v>270</v>
      </c>
      <c r="CS1054" s="4" t="s">
        <v>241</v>
      </c>
      <c r="CT1054" s="4" t="s">
        <v>241</v>
      </c>
      <c r="CU1054" s="4">
        <v>0</v>
      </c>
      <c r="CV1054" s="4" t="s">
        <v>271</v>
      </c>
      <c r="CW1054" s="4" t="s">
        <v>1671</v>
      </c>
      <c r="CX1054" s="4" t="s">
        <v>487</v>
      </c>
      <c r="CZ1054" s="6">
        <f>27472000</f>
        <v>27472000</v>
      </c>
      <c r="DA1054" s="6">
        <f>0</f>
        <v>0</v>
      </c>
      <c r="DC1054" s="4" t="s">
        <v>241</v>
      </c>
      <c r="DD1054" s="4" t="s">
        <v>241</v>
      </c>
      <c r="DF1054" s="4" t="s">
        <v>241</v>
      </c>
      <c r="DI1054" s="4" t="s">
        <v>241</v>
      </c>
      <c r="DJ1054" s="4" t="s">
        <v>241</v>
      </c>
      <c r="DK1054" s="4" t="s">
        <v>241</v>
      </c>
      <c r="DL1054" s="4" t="s">
        <v>241</v>
      </c>
      <c r="DM1054" s="4" t="s">
        <v>277</v>
      </c>
      <c r="DN1054" s="4" t="s">
        <v>278</v>
      </c>
      <c r="DO1054" s="6">
        <f>343.4</f>
        <v>343.4</v>
      </c>
      <c r="DP1054" s="4" t="s">
        <v>241</v>
      </c>
      <c r="DQ1054" s="4" t="s">
        <v>241</v>
      </c>
      <c r="DR1054" s="4" t="s">
        <v>241</v>
      </c>
      <c r="DS1054" s="4" t="s">
        <v>241</v>
      </c>
      <c r="DV1054" s="4" t="s">
        <v>1714</v>
      </c>
      <c r="DW1054" s="4" t="s">
        <v>277</v>
      </c>
      <c r="HO1054" s="4" t="s">
        <v>277</v>
      </c>
      <c r="HR1054" s="4" t="s">
        <v>278</v>
      </c>
      <c r="HS1054" s="4" t="s">
        <v>278</v>
      </c>
    </row>
    <row r="1055" spans="1:240" x14ac:dyDescent="0.4">
      <c r="A1055" s="4">
        <v>2</v>
      </c>
      <c r="B1055" s="4" t="s">
        <v>239</v>
      </c>
      <c r="C1055" s="4">
        <v>1352</v>
      </c>
      <c r="D1055" s="4">
        <v>1</v>
      </c>
      <c r="E1055" s="4">
        <v>3</v>
      </c>
      <c r="F1055" s="4" t="s">
        <v>326</v>
      </c>
      <c r="G1055" s="4" t="s">
        <v>241</v>
      </c>
      <c r="H1055" s="4" t="s">
        <v>241</v>
      </c>
      <c r="I1055" s="4" t="s">
        <v>1712</v>
      </c>
      <c r="J1055" s="4" t="s">
        <v>944</v>
      </c>
      <c r="K1055" s="4" t="s">
        <v>256</v>
      </c>
      <c r="L1055" s="4" t="s">
        <v>241</v>
      </c>
      <c r="M1055" s="5" t="s">
        <v>749</v>
      </c>
      <c r="N1055" s="4" t="s">
        <v>1802</v>
      </c>
      <c r="O1055" s="6">
        <f>0</f>
        <v>0</v>
      </c>
      <c r="P1055" s="4" t="s">
        <v>276</v>
      </c>
      <c r="Q1055" s="6">
        <f>559088</f>
        <v>559088</v>
      </c>
      <c r="R1055" s="6">
        <f>620519</f>
        <v>620519</v>
      </c>
      <c r="S1055" s="5" t="s">
        <v>1823</v>
      </c>
      <c r="T1055" s="4" t="s">
        <v>441</v>
      </c>
      <c r="U1055" s="4" t="s">
        <v>323</v>
      </c>
      <c r="V1055" s="6">
        <f>20477</f>
        <v>20477</v>
      </c>
      <c r="W1055" s="6">
        <f>61431</f>
        <v>61431</v>
      </c>
      <c r="X1055" s="4" t="s">
        <v>243</v>
      </c>
      <c r="Y1055" s="4" t="s">
        <v>244</v>
      </c>
      <c r="Z1055" s="4" t="s">
        <v>241</v>
      </c>
      <c r="AA1055" s="4" t="s">
        <v>241</v>
      </c>
      <c r="AD1055" s="4" t="s">
        <v>241</v>
      </c>
      <c r="AE1055" s="5" t="s">
        <v>241</v>
      </c>
      <c r="AF1055" s="5" t="s">
        <v>241</v>
      </c>
      <c r="AH1055" s="5" t="s">
        <v>241</v>
      </c>
      <c r="AI1055" s="5" t="s">
        <v>249</v>
      </c>
      <c r="AJ1055" s="4" t="s">
        <v>251</v>
      </c>
      <c r="AK1055" s="4" t="s">
        <v>252</v>
      </c>
      <c r="AQ1055" s="4" t="s">
        <v>241</v>
      </c>
      <c r="AR1055" s="4" t="s">
        <v>241</v>
      </c>
      <c r="AS1055" s="4" t="s">
        <v>241</v>
      </c>
      <c r="AT1055" s="5" t="s">
        <v>241</v>
      </c>
      <c r="AU1055" s="5" t="s">
        <v>241</v>
      </c>
      <c r="AV1055" s="5" t="s">
        <v>241</v>
      </c>
      <c r="AY1055" s="4" t="s">
        <v>286</v>
      </c>
      <c r="AZ1055" s="4" t="s">
        <v>286</v>
      </c>
      <c r="BA1055" s="4" t="s">
        <v>254</v>
      </c>
      <c r="BB1055" s="4" t="s">
        <v>287</v>
      </c>
      <c r="BC1055" s="4" t="s">
        <v>255</v>
      </c>
      <c r="BD1055" s="4" t="s">
        <v>241</v>
      </c>
      <c r="BE1055" s="4" t="s">
        <v>257</v>
      </c>
      <c r="BF1055" s="4" t="s">
        <v>241</v>
      </c>
      <c r="BJ1055" s="4" t="s">
        <v>288</v>
      </c>
      <c r="BK1055" s="5" t="s">
        <v>289</v>
      </c>
      <c r="BL1055" s="4" t="s">
        <v>290</v>
      </c>
      <c r="BM1055" s="4" t="s">
        <v>290</v>
      </c>
      <c r="BN1055" s="4" t="s">
        <v>241</v>
      </c>
      <c r="BP1055" s="6">
        <f>-20477</f>
        <v>-20477</v>
      </c>
      <c r="BQ1055" s="4" t="s">
        <v>263</v>
      </c>
      <c r="BR1055" s="4" t="s">
        <v>264</v>
      </c>
      <c r="BS1055" s="4" t="s">
        <v>241</v>
      </c>
      <c r="BT1055" s="4" t="s">
        <v>241</v>
      </c>
      <c r="BU1055" s="4" t="s">
        <v>241</v>
      </c>
      <c r="BV1055" s="4" t="s">
        <v>241</v>
      </c>
      <c r="CE1055" s="4" t="s">
        <v>264</v>
      </c>
      <c r="CF1055" s="4" t="s">
        <v>241</v>
      </c>
      <c r="CG1055" s="4" t="s">
        <v>241</v>
      </c>
      <c r="CK1055" s="4" t="s">
        <v>265</v>
      </c>
      <c r="CL1055" s="4" t="s">
        <v>266</v>
      </c>
      <c r="CM1055" s="4" t="s">
        <v>241</v>
      </c>
      <c r="CO1055" s="4" t="s">
        <v>421</v>
      </c>
      <c r="CP1055" s="5" t="s">
        <v>268</v>
      </c>
      <c r="CQ1055" s="4" t="s">
        <v>269</v>
      </c>
      <c r="CR1055" s="4" t="s">
        <v>270</v>
      </c>
      <c r="CS1055" s="4" t="s">
        <v>293</v>
      </c>
      <c r="CT1055" s="4" t="s">
        <v>241</v>
      </c>
      <c r="CU1055" s="4">
        <v>3.3000000000000002E-2</v>
      </c>
      <c r="CV1055" s="4" t="s">
        <v>271</v>
      </c>
      <c r="CW1055" s="4" t="s">
        <v>332</v>
      </c>
      <c r="CX1055" s="4" t="s">
        <v>487</v>
      </c>
      <c r="CY1055" s="6">
        <f>0</f>
        <v>0</v>
      </c>
      <c r="CZ1055" s="6">
        <f>620519</f>
        <v>620519</v>
      </c>
      <c r="DA1055" s="6">
        <f>559088</f>
        <v>559088</v>
      </c>
      <c r="DC1055" s="4" t="s">
        <v>241</v>
      </c>
      <c r="DD1055" s="4" t="s">
        <v>241</v>
      </c>
      <c r="DF1055" s="4" t="s">
        <v>241</v>
      </c>
      <c r="DG1055" s="6">
        <f>0</f>
        <v>0</v>
      </c>
      <c r="DI1055" s="4" t="s">
        <v>241</v>
      </c>
      <c r="DJ1055" s="4" t="s">
        <v>241</v>
      </c>
      <c r="DK1055" s="4" t="s">
        <v>241</v>
      </c>
      <c r="DL1055" s="4" t="s">
        <v>241</v>
      </c>
      <c r="DM1055" s="4" t="s">
        <v>278</v>
      </c>
      <c r="DN1055" s="4" t="s">
        <v>278</v>
      </c>
      <c r="DO1055" s="6" t="s">
        <v>241</v>
      </c>
      <c r="DP1055" s="4" t="s">
        <v>241</v>
      </c>
      <c r="DQ1055" s="4" t="s">
        <v>241</v>
      </c>
      <c r="DR1055" s="4" t="s">
        <v>241</v>
      </c>
      <c r="DS1055" s="4" t="s">
        <v>241</v>
      </c>
      <c r="DV1055" s="4" t="s">
        <v>1714</v>
      </c>
      <c r="DW1055" s="4" t="s">
        <v>323</v>
      </c>
      <c r="GN1055" s="4" t="s">
        <v>1824</v>
      </c>
      <c r="HO1055" s="4" t="s">
        <v>336</v>
      </c>
      <c r="HR1055" s="4" t="s">
        <v>278</v>
      </c>
      <c r="HS1055" s="4" t="s">
        <v>278</v>
      </c>
      <c r="HT1055" s="4" t="s">
        <v>241</v>
      </c>
      <c r="HU1055" s="4" t="s">
        <v>241</v>
      </c>
      <c r="HV1055" s="4" t="s">
        <v>241</v>
      </c>
      <c r="HW1055" s="4" t="s">
        <v>241</v>
      </c>
      <c r="HX1055" s="4" t="s">
        <v>241</v>
      </c>
      <c r="HY1055" s="4" t="s">
        <v>241</v>
      </c>
      <c r="HZ1055" s="4" t="s">
        <v>241</v>
      </c>
      <c r="IA1055" s="4" t="s">
        <v>241</v>
      </c>
      <c r="IB1055" s="4" t="s">
        <v>241</v>
      </c>
      <c r="IC1055" s="4" t="s">
        <v>241</v>
      </c>
      <c r="ID1055" s="4" t="s">
        <v>241</v>
      </c>
      <c r="IE1055" s="4" t="s">
        <v>241</v>
      </c>
      <c r="IF1055" s="4" t="s">
        <v>241</v>
      </c>
    </row>
    <row r="1056" spans="1:240" x14ac:dyDescent="0.4">
      <c r="A1056" s="4">
        <v>2</v>
      </c>
      <c r="B1056" s="4" t="s">
        <v>239</v>
      </c>
      <c r="C1056" s="4">
        <v>1353</v>
      </c>
      <c r="D1056" s="4">
        <v>1</v>
      </c>
      <c r="E1056" s="4">
        <v>3</v>
      </c>
      <c r="F1056" s="4" t="s">
        <v>326</v>
      </c>
      <c r="G1056" s="4" t="s">
        <v>241</v>
      </c>
      <c r="H1056" s="4" t="s">
        <v>241</v>
      </c>
      <c r="I1056" s="4" t="s">
        <v>1712</v>
      </c>
      <c r="J1056" s="4" t="s">
        <v>944</v>
      </c>
      <c r="K1056" s="4" t="s">
        <v>256</v>
      </c>
      <c r="L1056" s="4" t="s">
        <v>241</v>
      </c>
      <c r="M1056" s="5" t="s">
        <v>749</v>
      </c>
      <c r="N1056" s="4" t="s">
        <v>2688</v>
      </c>
      <c r="O1056" s="6">
        <f>0</f>
        <v>0</v>
      </c>
      <c r="P1056" s="4" t="s">
        <v>276</v>
      </c>
      <c r="Q1056" s="6">
        <f>729148</f>
        <v>729148</v>
      </c>
      <c r="R1056" s="6">
        <f>948175</f>
        <v>948175</v>
      </c>
      <c r="S1056" s="5" t="s">
        <v>1823</v>
      </c>
      <c r="T1056" s="4" t="s">
        <v>322</v>
      </c>
      <c r="U1056" s="4" t="s">
        <v>323</v>
      </c>
      <c r="V1056" s="6">
        <f>73009</f>
        <v>73009</v>
      </c>
      <c r="W1056" s="6">
        <f>219027</f>
        <v>219027</v>
      </c>
      <c r="X1056" s="4" t="s">
        <v>243</v>
      </c>
      <c r="Y1056" s="4" t="s">
        <v>244</v>
      </c>
      <c r="Z1056" s="4" t="s">
        <v>241</v>
      </c>
      <c r="AA1056" s="4" t="s">
        <v>241</v>
      </c>
      <c r="AD1056" s="4" t="s">
        <v>241</v>
      </c>
      <c r="AE1056" s="5" t="s">
        <v>241</v>
      </c>
      <c r="AF1056" s="5" t="s">
        <v>241</v>
      </c>
      <c r="AH1056" s="5" t="s">
        <v>241</v>
      </c>
      <c r="AI1056" s="5" t="s">
        <v>249</v>
      </c>
      <c r="AJ1056" s="4" t="s">
        <v>251</v>
      </c>
      <c r="AK1056" s="4" t="s">
        <v>252</v>
      </c>
      <c r="AQ1056" s="4" t="s">
        <v>241</v>
      </c>
      <c r="AR1056" s="4" t="s">
        <v>241</v>
      </c>
      <c r="AS1056" s="4" t="s">
        <v>241</v>
      </c>
      <c r="AT1056" s="5" t="s">
        <v>241</v>
      </c>
      <c r="AU1056" s="5" t="s">
        <v>241</v>
      </c>
      <c r="AV1056" s="5" t="s">
        <v>241</v>
      </c>
      <c r="AY1056" s="4" t="s">
        <v>286</v>
      </c>
      <c r="AZ1056" s="4" t="s">
        <v>286</v>
      </c>
      <c r="BA1056" s="4" t="s">
        <v>254</v>
      </c>
      <c r="BB1056" s="4" t="s">
        <v>287</v>
      </c>
      <c r="BC1056" s="4" t="s">
        <v>255</v>
      </c>
      <c r="BD1056" s="4" t="s">
        <v>241</v>
      </c>
      <c r="BE1056" s="4" t="s">
        <v>257</v>
      </c>
      <c r="BF1056" s="4" t="s">
        <v>241</v>
      </c>
      <c r="BJ1056" s="4" t="s">
        <v>288</v>
      </c>
      <c r="BK1056" s="5" t="s">
        <v>289</v>
      </c>
      <c r="BL1056" s="4" t="s">
        <v>290</v>
      </c>
      <c r="BM1056" s="4" t="s">
        <v>290</v>
      </c>
      <c r="BN1056" s="4" t="s">
        <v>241</v>
      </c>
      <c r="BP1056" s="6">
        <f>-73009</f>
        <v>-73009</v>
      </c>
      <c r="BQ1056" s="4" t="s">
        <v>263</v>
      </c>
      <c r="BR1056" s="4" t="s">
        <v>264</v>
      </c>
      <c r="BS1056" s="4" t="s">
        <v>241</v>
      </c>
      <c r="BT1056" s="4" t="s">
        <v>241</v>
      </c>
      <c r="BU1056" s="4" t="s">
        <v>241</v>
      </c>
      <c r="BV1056" s="4" t="s">
        <v>241</v>
      </c>
      <c r="CE1056" s="4" t="s">
        <v>264</v>
      </c>
      <c r="CF1056" s="4" t="s">
        <v>241</v>
      </c>
      <c r="CG1056" s="4" t="s">
        <v>241</v>
      </c>
      <c r="CK1056" s="4" t="s">
        <v>265</v>
      </c>
      <c r="CL1056" s="4" t="s">
        <v>266</v>
      </c>
      <c r="CM1056" s="4" t="s">
        <v>241</v>
      </c>
      <c r="CO1056" s="4" t="s">
        <v>421</v>
      </c>
      <c r="CP1056" s="5" t="s">
        <v>268</v>
      </c>
      <c r="CQ1056" s="4" t="s">
        <v>269</v>
      </c>
      <c r="CR1056" s="4" t="s">
        <v>270</v>
      </c>
      <c r="CS1056" s="4" t="s">
        <v>293</v>
      </c>
      <c r="CT1056" s="4" t="s">
        <v>241</v>
      </c>
      <c r="CU1056" s="4">
        <v>7.6999999999999999E-2</v>
      </c>
      <c r="CV1056" s="4" t="s">
        <v>271</v>
      </c>
      <c r="CW1056" s="4" t="s">
        <v>415</v>
      </c>
      <c r="CX1056" s="4" t="s">
        <v>428</v>
      </c>
      <c r="CY1056" s="6">
        <f>0</f>
        <v>0</v>
      </c>
      <c r="CZ1056" s="6">
        <f>948175</f>
        <v>948175</v>
      </c>
      <c r="DA1056" s="6">
        <f>729148</f>
        <v>729148</v>
      </c>
      <c r="DC1056" s="4" t="s">
        <v>241</v>
      </c>
      <c r="DD1056" s="4" t="s">
        <v>241</v>
      </c>
      <c r="DF1056" s="4" t="s">
        <v>241</v>
      </c>
      <c r="DG1056" s="6">
        <f>0</f>
        <v>0</v>
      </c>
      <c r="DI1056" s="4" t="s">
        <v>241</v>
      </c>
      <c r="DJ1056" s="4" t="s">
        <v>241</v>
      </c>
      <c r="DK1056" s="4" t="s">
        <v>241</v>
      </c>
      <c r="DL1056" s="4" t="s">
        <v>241</v>
      </c>
      <c r="DM1056" s="4" t="s">
        <v>278</v>
      </c>
      <c r="DN1056" s="4" t="s">
        <v>278</v>
      </c>
      <c r="DO1056" s="6" t="s">
        <v>241</v>
      </c>
      <c r="DP1056" s="4" t="s">
        <v>241</v>
      </c>
      <c r="DQ1056" s="4" t="s">
        <v>241</v>
      </c>
      <c r="DR1056" s="4" t="s">
        <v>241</v>
      </c>
      <c r="DS1056" s="4" t="s">
        <v>241</v>
      </c>
      <c r="DV1056" s="4" t="s">
        <v>1714</v>
      </c>
      <c r="DW1056" s="4" t="s">
        <v>297</v>
      </c>
      <c r="GN1056" s="4" t="s">
        <v>2689</v>
      </c>
      <c r="HO1056" s="4" t="s">
        <v>336</v>
      </c>
      <c r="HR1056" s="4" t="s">
        <v>278</v>
      </c>
      <c r="HS1056" s="4" t="s">
        <v>278</v>
      </c>
      <c r="HT1056" s="4" t="s">
        <v>241</v>
      </c>
      <c r="HU1056" s="4" t="s">
        <v>241</v>
      </c>
      <c r="HV1056" s="4" t="s">
        <v>241</v>
      </c>
      <c r="HW1056" s="4" t="s">
        <v>241</v>
      </c>
      <c r="HX1056" s="4" t="s">
        <v>241</v>
      </c>
      <c r="HY1056" s="4" t="s">
        <v>241</v>
      </c>
      <c r="HZ1056" s="4" t="s">
        <v>241</v>
      </c>
      <c r="IA1056" s="4" t="s">
        <v>241</v>
      </c>
      <c r="IB1056" s="4" t="s">
        <v>241</v>
      </c>
      <c r="IC1056" s="4" t="s">
        <v>241</v>
      </c>
      <c r="ID1056" s="4" t="s">
        <v>241</v>
      </c>
      <c r="IE1056" s="4" t="s">
        <v>241</v>
      </c>
      <c r="IF1056" s="4" t="s">
        <v>241</v>
      </c>
    </row>
    <row r="1057" spans="1:240" x14ac:dyDescent="0.4">
      <c r="A1057" s="4">
        <v>2</v>
      </c>
      <c r="B1057" s="4" t="s">
        <v>239</v>
      </c>
      <c r="C1057" s="4">
        <v>1354</v>
      </c>
      <c r="D1057" s="4">
        <v>1</v>
      </c>
      <c r="E1057" s="4">
        <v>3</v>
      </c>
      <c r="F1057" s="4" t="s">
        <v>240</v>
      </c>
      <c r="G1057" s="4" t="s">
        <v>241</v>
      </c>
      <c r="H1057" s="4" t="s">
        <v>241</v>
      </c>
      <c r="I1057" s="4" t="s">
        <v>464</v>
      </c>
      <c r="J1057" s="4" t="s">
        <v>424</v>
      </c>
      <c r="K1057" s="4" t="s">
        <v>256</v>
      </c>
      <c r="L1057" s="4" t="s">
        <v>463</v>
      </c>
      <c r="M1057" s="5" t="s">
        <v>467</v>
      </c>
      <c r="N1057" s="4" t="s">
        <v>463</v>
      </c>
      <c r="O1057" s="6">
        <f>682.81</f>
        <v>682.81</v>
      </c>
      <c r="P1057" s="4" t="s">
        <v>276</v>
      </c>
      <c r="Q1057" s="6">
        <f>30660254</f>
        <v>30660254</v>
      </c>
      <c r="R1057" s="6">
        <f>80684830</f>
        <v>80684830</v>
      </c>
      <c r="S1057" s="5" t="s">
        <v>466</v>
      </c>
      <c r="T1057" s="4" t="s">
        <v>296</v>
      </c>
      <c r="U1057" s="4" t="s">
        <v>408</v>
      </c>
      <c r="V1057" s="6">
        <f>1613696</f>
        <v>1613696</v>
      </c>
      <c r="W1057" s="6">
        <f>50024576</f>
        <v>50024576</v>
      </c>
      <c r="X1057" s="4" t="s">
        <v>243</v>
      </c>
      <c r="Y1057" s="4" t="s">
        <v>244</v>
      </c>
      <c r="Z1057" s="4" t="s">
        <v>465</v>
      </c>
      <c r="AA1057" s="4" t="s">
        <v>241</v>
      </c>
      <c r="AD1057" s="4" t="s">
        <v>241</v>
      </c>
      <c r="AE1057" s="5" t="s">
        <v>241</v>
      </c>
      <c r="AF1057" s="5" t="s">
        <v>241</v>
      </c>
      <c r="AH1057" s="5" t="s">
        <v>241</v>
      </c>
      <c r="AI1057" s="5" t="s">
        <v>249</v>
      </c>
      <c r="AJ1057" s="4" t="s">
        <v>251</v>
      </c>
      <c r="AK1057" s="4" t="s">
        <v>252</v>
      </c>
      <c r="AQ1057" s="4" t="s">
        <v>241</v>
      </c>
      <c r="AR1057" s="4" t="s">
        <v>241</v>
      </c>
      <c r="AS1057" s="4" t="s">
        <v>241</v>
      </c>
      <c r="AT1057" s="5" t="s">
        <v>241</v>
      </c>
      <c r="AU1057" s="5" t="s">
        <v>241</v>
      </c>
      <c r="AV1057" s="5" t="s">
        <v>241</v>
      </c>
      <c r="AY1057" s="4" t="s">
        <v>286</v>
      </c>
      <c r="AZ1057" s="4" t="s">
        <v>286</v>
      </c>
      <c r="BA1057" s="4" t="s">
        <v>254</v>
      </c>
      <c r="BB1057" s="4" t="s">
        <v>287</v>
      </c>
      <c r="BC1057" s="4" t="s">
        <v>255</v>
      </c>
      <c r="BD1057" s="4" t="s">
        <v>241</v>
      </c>
      <c r="BE1057" s="4" t="s">
        <v>257</v>
      </c>
      <c r="BF1057" s="4" t="s">
        <v>241</v>
      </c>
      <c r="BJ1057" s="4" t="s">
        <v>288</v>
      </c>
      <c r="BK1057" s="5" t="s">
        <v>289</v>
      </c>
      <c r="BL1057" s="4" t="s">
        <v>290</v>
      </c>
      <c r="BM1057" s="4" t="s">
        <v>290</v>
      </c>
      <c r="BN1057" s="4" t="s">
        <v>241</v>
      </c>
      <c r="BO1057" s="6">
        <f>0</f>
        <v>0</v>
      </c>
      <c r="BP1057" s="6">
        <f>-1613696</f>
        <v>-1613696</v>
      </c>
      <c r="BQ1057" s="4" t="s">
        <v>263</v>
      </c>
      <c r="BR1057" s="4" t="s">
        <v>264</v>
      </c>
      <c r="BS1057" s="4" t="s">
        <v>241</v>
      </c>
      <c r="BT1057" s="4" t="s">
        <v>241</v>
      </c>
      <c r="BU1057" s="4" t="s">
        <v>241</v>
      </c>
      <c r="BV1057" s="4" t="s">
        <v>241</v>
      </c>
      <c r="CE1057" s="4" t="s">
        <v>264</v>
      </c>
      <c r="CF1057" s="4" t="s">
        <v>241</v>
      </c>
      <c r="CG1057" s="4" t="s">
        <v>241</v>
      </c>
      <c r="CK1057" s="4" t="s">
        <v>291</v>
      </c>
      <c r="CL1057" s="4" t="s">
        <v>266</v>
      </c>
      <c r="CM1057" s="4" t="s">
        <v>241</v>
      </c>
      <c r="CO1057" s="4" t="s">
        <v>468</v>
      </c>
      <c r="CP1057" s="5" t="s">
        <v>268</v>
      </c>
      <c r="CQ1057" s="4" t="s">
        <v>269</v>
      </c>
      <c r="CR1057" s="4" t="s">
        <v>270</v>
      </c>
      <c r="CS1057" s="4" t="s">
        <v>293</v>
      </c>
      <c r="CT1057" s="4" t="s">
        <v>241</v>
      </c>
      <c r="CU1057" s="4">
        <v>0.02</v>
      </c>
      <c r="CV1057" s="4" t="s">
        <v>271</v>
      </c>
      <c r="CW1057" s="4" t="s">
        <v>294</v>
      </c>
      <c r="CX1057" s="4" t="s">
        <v>295</v>
      </c>
      <c r="CY1057" s="6">
        <f>0</f>
        <v>0</v>
      </c>
      <c r="CZ1057" s="6">
        <f>80684830</f>
        <v>80684830</v>
      </c>
      <c r="DA1057" s="6">
        <f>30660254</f>
        <v>30660254</v>
      </c>
      <c r="DC1057" s="4" t="s">
        <v>241</v>
      </c>
      <c r="DD1057" s="4" t="s">
        <v>241</v>
      </c>
      <c r="DF1057" s="4" t="s">
        <v>241</v>
      </c>
      <c r="DG1057" s="6">
        <f>0</f>
        <v>0</v>
      </c>
      <c r="DI1057" s="4" t="s">
        <v>241</v>
      </c>
      <c r="DJ1057" s="4" t="s">
        <v>241</v>
      </c>
      <c r="DK1057" s="4" t="s">
        <v>241</v>
      </c>
      <c r="DL1057" s="4" t="s">
        <v>241</v>
      </c>
      <c r="DM1057" s="4" t="s">
        <v>277</v>
      </c>
      <c r="DN1057" s="4" t="s">
        <v>278</v>
      </c>
      <c r="DO1057" s="6">
        <f>682.81</f>
        <v>682.81</v>
      </c>
      <c r="DP1057" s="4" t="s">
        <v>241</v>
      </c>
      <c r="DQ1057" s="4" t="s">
        <v>241</v>
      </c>
      <c r="DR1057" s="4" t="s">
        <v>241</v>
      </c>
      <c r="DS1057" s="4" t="s">
        <v>241</v>
      </c>
      <c r="DV1057" s="4" t="s">
        <v>469</v>
      </c>
      <c r="DW1057" s="4" t="s">
        <v>277</v>
      </c>
      <c r="GN1057" s="4" t="s">
        <v>470</v>
      </c>
      <c r="HO1057" s="4" t="s">
        <v>300</v>
      </c>
      <c r="HR1057" s="4" t="s">
        <v>278</v>
      </c>
      <c r="HS1057" s="4" t="s">
        <v>278</v>
      </c>
      <c r="HT1057" s="4" t="s">
        <v>241</v>
      </c>
      <c r="HU1057" s="4" t="s">
        <v>241</v>
      </c>
      <c r="HV1057" s="4" t="s">
        <v>241</v>
      </c>
      <c r="HW1057" s="4" t="s">
        <v>241</v>
      </c>
      <c r="HX1057" s="4" t="s">
        <v>241</v>
      </c>
      <c r="HY1057" s="4" t="s">
        <v>241</v>
      </c>
      <c r="HZ1057" s="4" t="s">
        <v>241</v>
      </c>
      <c r="IA1057" s="4" t="s">
        <v>241</v>
      </c>
      <c r="IB1057" s="4" t="s">
        <v>241</v>
      </c>
      <c r="IC1057" s="4" t="s">
        <v>241</v>
      </c>
      <c r="ID1057" s="4" t="s">
        <v>241</v>
      </c>
      <c r="IE1057" s="4" t="s">
        <v>241</v>
      </c>
      <c r="IF1057" s="4" t="s">
        <v>241</v>
      </c>
    </row>
    <row r="1058" spans="1:240" x14ac:dyDescent="0.4">
      <c r="A1058" s="4">
        <v>2</v>
      </c>
      <c r="B1058" s="4" t="s">
        <v>239</v>
      </c>
      <c r="C1058" s="4">
        <v>1355</v>
      </c>
      <c r="D1058" s="4">
        <v>1</v>
      </c>
      <c r="E1058" s="4">
        <v>3</v>
      </c>
      <c r="F1058" s="4" t="s">
        <v>240</v>
      </c>
      <c r="G1058" s="4" t="s">
        <v>241</v>
      </c>
      <c r="H1058" s="4" t="s">
        <v>241</v>
      </c>
      <c r="I1058" s="4" t="s">
        <v>464</v>
      </c>
      <c r="J1058" s="4" t="s">
        <v>424</v>
      </c>
      <c r="K1058" s="4" t="s">
        <v>256</v>
      </c>
      <c r="L1058" s="4" t="s">
        <v>340</v>
      </c>
      <c r="M1058" s="5" t="s">
        <v>467</v>
      </c>
      <c r="N1058" s="4" t="s">
        <v>340</v>
      </c>
      <c r="O1058" s="6">
        <f>37.1</f>
        <v>37.1</v>
      </c>
      <c r="P1058" s="4" t="s">
        <v>276</v>
      </c>
      <c r="Q1058" s="6">
        <f>1</f>
        <v>1</v>
      </c>
      <c r="R1058" s="6">
        <f>14543200</f>
        <v>14543200</v>
      </c>
      <c r="S1058" s="5" t="s">
        <v>466</v>
      </c>
      <c r="T1058" s="4" t="s">
        <v>441</v>
      </c>
      <c r="U1058" s="4" t="s">
        <v>408</v>
      </c>
      <c r="V1058" s="6">
        <f>145449</f>
        <v>145449</v>
      </c>
      <c r="W1058" s="6">
        <f>14543199</f>
        <v>14543199</v>
      </c>
      <c r="X1058" s="4" t="s">
        <v>243</v>
      </c>
      <c r="Y1058" s="4" t="s">
        <v>244</v>
      </c>
      <c r="Z1058" s="4" t="s">
        <v>465</v>
      </c>
      <c r="AA1058" s="4" t="s">
        <v>241</v>
      </c>
      <c r="AD1058" s="4" t="s">
        <v>241</v>
      </c>
      <c r="AE1058" s="5" t="s">
        <v>241</v>
      </c>
      <c r="AF1058" s="5" t="s">
        <v>241</v>
      </c>
      <c r="AH1058" s="5" t="s">
        <v>241</v>
      </c>
      <c r="AI1058" s="5" t="s">
        <v>249</v>
      </c>
      <c r="AJ1058" s="4" t="s">
        <v>251</v>
      </c>
      <c r="AK1058" s="4" t="s">
        <v>252</v>
      </c>
      <c r="AQ1058" s="4" t="s">
        <v>241</v>
      </c>
      <c r="AR1058" s="4" t="s">
        <v>241</v>
      </c>
      <c r="AS1058" s="4" t="s">
        <v>241</v>
      </c>
      <c r="AT1058" s="5" t="s">
        <v>241</v>
      </c>
      <c r="AU1058" s="5" t="s">
        <v>241</v>
      </c>
      <c r="AV1058" s="5" t="s">
        <v>241</v>
      </c>
      <c r="AY1058" s="4" t="s">
        <v>286</v>
      </c>
      <c r="AZ1058" s="4" t="s">
        <v>286</v>
      </c>
      <c r="BA1058" s="4" t="s">
        <v>254</v>
      </c>
      <c r="BB1058" s="4" t="s">
        <v>287</v>
      </c>
      <c r="BC1058" s="4" t="s">
        <v>255</v>
      </c>
      <c r="BD1058" s="4" t="s">
        <v>241</v>
      </c>
      <c r="BE1058" s="4" t="s">
        <v>257</v>
      </c>
      <c r="BF1058" s="4" t="s">
        <v>241</v>
      </c>
      <c r="BJ1058" s="4" t="s">
        <v>288</v>
      </c>
      <c r="BK1058" s="5" t="s">
        <v>289</v>
      </c>
      <c r="BL1058" s="4" t="s">
        <v>290</v>
      </c>
      <c r="BM1058" s="4" t="s">
        <v>290</v>
      </c>
      <c r="BN1058" s="4" t="s">
        <v>241</v>
      </c>
      <c r="BO1058" s="6">
        <f>0</f>
        <v>0</v>
      </c>
      <c r="BP1058" s="6">
        <f>-145449</f>
        <v>-145449</v>
      </c>
      <c r="BQ1058" s="4" t="s">
        <v>263</v>
      </c>
      <c r="BR1058" s="4" t="s">
        <v>264</v>
      </c>
      <c r="BS1058" s="4" t="s">
        <v>241</v>
      </c>
      <c r="BT1058" s="4" t="s">
        <v>241</v>
      </c>
      <c r="BU1058" s="4" t="s">
        <v>241</v>
      </c>
      <c r="BV1058" s="4" t="s">
        <v>241</v>
      </c>
      <c r="CE1058" s="4" t="s">
        <v>264</v>
      </c>
      <c r="CF1058" s="4" t="s">
        <v>241</v>
      </c>
      <c r="CG1058" s="4" t="s">
        <v>241</v>
      </c>
      <c r="CK1058" s="4" t="s">
        <v>291</v>
      </c>
      <c r="CL1058" s="4" t="s">
        <v>266</v>
      </c>
      <c r="CM1058" s="4" t="s">
        <v>241</v>
      </c>
      <c r="CO1058" s="4" t="s">
        <v>468</v>
      </c>
      <c r="CP1058" s="5" t="s">
        <v>268</v>
      </c>
      <c r="CQ1058" s="4" t="s">
        <v>269</v>
      </c>
      <c r="CR1058" s="4" t="s">
        <v>270</v>
      </c>
      <c r="CS1058" s="4" t="s">
        <v>293</v>
      </c>
      <c r="CT1058" s="4" t="s">
        <v>241</v>
      </c>
      <c r="CU1058" s="4">
        <v>3.3000000000000002E-2</v>
      </c>
      <c r="CV1058" s="4" t="s">
        <v>271</v>
      </c>
      <c r="CW1058" s="4" t="s">
        <v>332</v>
      </c>
      <c r="CX1058" s="4" t="s">
        <v>487</v>
      </c>
      <c r="CY1058" s="6">
        <f>0</f>
        <v>0</v>
      </c>
      <c r="CZ1058" s="6">
        <f>14543200</f>
        <v>14543200</v>
      </c>
      <c r="DA1058" s="6">
        <f>1</f>
        <v>1</v>
      </c>
      <c r="DC1058" s="4" t="s">
        <v>241</v>
      </c>
      <c r="DD1058" s="4" t="s">
        <v>241</v>
      </c>
      <c r="DF1058" s="4" t="s">
        <v>241</v>
      </c>
      <c r="DG1058" s="6">
        <f>0</f>
        <v>0</v>
      </c>
      <c r="DI1058" s="4" t="s">
        <v>241</v>
      </c>
      <c r="DJ1058" s="4" t="s">
        <v>241</v>
      </c>
      <c r="DK1058" s="4" t="s">
        <v>241</v>
      </c>
      <c r="DL1058" s="4" t="s">
        <v>241</v>
      </c>
      <c r="DM1058" s="4" t="s">
        <v>277</v>
      </c>
      <c r="DN1058" s="4" t="s">
        <v>278</v>
      </c>
      <c r="DO1058" s="6">
        <f>37.1</f>
        <v>37.1</v>
      </c>
      <c r="DP1058" s="4" t="s">
        <v>241</v>
      </c>
      <c r="DQ1058" s="4" t="s">
        <v>241</v>
      </c>
      <c r="DR1058" s="4" t="s">
        <v>241</v>
      </c>
      <c r="DS1058" s="4" t="s">
        <v>241</v>
      </c>
      <c r="DV1058" s="4" t="s">
        <v>469</v>
      </c>
      <c r="DW1058" s="4" t="s">
        <v>323</v>
      </c>
      <c r="GN1058" s="4" t="s">
        <v>1822</v>
      </c>
      <c r="HO1058" s="4" t="s">
        <v>300</v>
      </c>
      <c r="HR1058" s="4" t="s">
        <v>278</v>
      </c>
      <c r="HS1058" s="4" t="s">
        <v>278</v>
      </c>
      <c r="HT1058" s="4" t="s">
        <v>241</v>
      </c>
      <c r="HU1058" s="4" t="s">
        <v>241</v>
      </c>
      <c r="HV1058" s="4" t="s">
        <v>241</v>
      </c>
      <c r="HW1058" s="4" t="s">
        <v>241</v>
      </c>
      <c r="HX1058" s="4" t="s">
        <v>241</v>
      </c>
      <c r="HY1058" s="4" t="s">
        <v>241</v>
      </c>
      <c r="HZ1058" s="4" t="s">
        <v>241</v>
      </c>
      <c r="IA1058" s="4" t="s">
        <v>241</v>
      </c>
      <c r="IB1058" s="4" t="s">
        <v>241</v>
      </c>
      <c r="IC1058" s="4" t="s">
        <v>241</v>
      </c>
      <c r="ID1058" s="4" t="s">
        <v>241</v>
      </c>
      <c r="IE1058" s="4" t="s">
        <v>241</v>
      </c>
      <c r="IF1058" s="4" t="s">
        <v>241</v>
      </c>
    </row>
    <row r="1059" spans="1:240" x14ac:dyDescent="0.4">
      <c r="A1059" s="4">
        <v>2</v>
      </c>
      <c r="B1059" s="4" t="s">
        <v>239</v>
      </c>
      <c r="C1059" s="4">
        <v>1356</v>
      </c>
      <c r="D1059" s="4">
        <v>1</v>
      </c>
      <c r="E1059" s="4">
        <v>3</v>
      </c>
      <c r="F1059" s="4" t="s">
        <v>240</v>
      </c>
      <c r="G1059" s="4" t="s">
        <v>241</v>
      </c>
      <c r="H1059" s="4" t="s">
        <v>241</v>
      </c>
      <c r="I1059" s="4" t="s">
        <v>1545</v>
      </c>
      <c r="J1059" s="4" t="s">
        <v>424</v>
      </c>
      <c r="K1059" s="4" t="s">
        <v>256</v>
      </c>
      <c r="L1059" s="4" t="s">
        <v>1196</v>
      </c>
      <c r="M1059" s="5" t="s">
        <v>460</v>
      </c>
      <c r="N1059" s="4" t="s">
        <v>1196</v>
      </c>
      <c r="O1059" s="6">
        <f>1646.99</f>
        <v>1646.99</v>
      </c>
      <c r="P1059" s="4" t="s">
        <v>276</v>
      </c>
      <c r="Q1059" s="6">
        <f>48915603</f>
        <v>48915603</v>
      </c>
      <c r="R1059" s="6">
        <f>222343650</f>
        <v>222343650</v>
      </c>
      <c r="S1059" s="5" t="s">
        <v>905</v>
      </c>
      <c r="T1059" s="4" t="s">
        <v>296</v>
      </c>
      <c r="U1059" s="4" t="s">
        <v>333</v>
      </c>
      <c r="V1059" s="6">
        <f>4446873</f>
        <v>4446873</v>
      </c>
      <c r="W1059" s="6">
        <f>173428047</f>
        <v>173428047</v>
      </c>
      <c r="X1059" s="4" t="s">
        <v>243</v>
      </c>
      <c r="Y1059" s="4" t="s">
        <v>244</v>
      </c>
      <c r="Z1059" s="4" t="s">
        <v>465</v>
      </c>
      <c r="AA1059" s="4" t="s">
        <v>241</v>
      </c>
      <c r="AD1059" s="4" t="s">
        <v>241</v>
      </c>
      <c r="AE1059" s="5" t="s">
        <v>241</v>
      </c>
      <c r="AF1059" s="5" t="s">
        <v>241</v>
      </c>
      <c r="AH1059" s="5" t="s">
        <v>241</v>
      </c>
      <c r="AI1059" s="5" t="s">
        <v>249</v>
      </c>
      <c r="AJ1059" s="4" t="s">
        <v>251</v>
      </c>
      <c r="AK1059" s="4" t="s">
        <v>252</v>
      </c>
      <c r="AQ1059" s="4" t="s">
        <v>241</v>
      </c>
      <c r="AR1059" s="4" t="s">
        <v>241</v>
      </c>
      <c r="AS1059" s="4" t="s">
        <v>241</v>
      </c>
      <c r="AT1059" s="5" t="s">
        <v>241</v>
      </c>
      <c r="AU1059" s="5" t="s">
        <v>241</v>
      </c>
      <c r="AV1059" s="5" t="s">
        <v>241</v>
      </c>
      <c r="AY1059" s="4" t="s">
        <v>286</v>
      </c>
      <c r="AZ1059" s="4" t="s">
        <v>286</v>
      </c>
      <c r="BA1059" s="4" t="s">
        <v>254</v>
      </c>
      <c r="BB1059" s="4" t="s">
        <v>287</v>
      </c>
      <c r="BC1059" s="4" t="s">
        <v>255</v>
      </c>
      <c r="BD1059" s="4" t="s">
        <v>241</v>
      </c>
      <c r="BE1059" s="4" t="s">
        <v>257</v>
      </c>
      <c r="BF1059" s="4" t="s">
        <v>241</v>
      </c>
      <c r="BJ1059" s="4" t="s">
        <v>288</v>
      </c>
      <c r="BK1059" s="5" t="s">
        <v>289</v>
      </c>
      <c r="BL1059" s="4" t="s">
        <v>290</v>
      </c>
      <c r="BM1059" s="4" t="s">
        <v>290</v>
      </c>
      <c r="BN1059" s="4" t="s">
        <v>241</v>
      </c>
      <c r="BO1059" s="6">
        <f>0</f>
        <v>0</v>
      </c>
      <c r="BP1059" s="6">
        <f>-4446873</f>
        <v>-4446873</v>
      </c>
      <c r="BQ1059" s="4" t="s">
        <v>263</v>
      </c>
      <c r="BR1059" s="4" t="s">
        <v>264</v>
      </c>
      <c r="BS1059" s="4" t="s">
        <v>241</v>
      </c>
      <c r="BT1059" s="4" t="s">
        <v>241</v>
      </c>
      <c r="BU1059" s="4" t="s">
        <v>241</v>
      </c>
      <c r="BV1059" s="4" t="s">
        <v>241</v>
      </c>
      <c r="CE1059" s="4" t="s">
        <v>264</v>
      </c>
      <c r="CF1059" s="4" t="s">
        <v>241</v>
      </c>
      <c r="CG1059" s="4" t="s">
        <v>241</v>
      </c>
      <c r="CK1059" s="4" t="s">
        <v>265</v>
      </c>
      <c r="CL1059" s="4" t="s">
        <v>266</v>
      </c>
      <c r="CM1059" s="4" t="s">
        <v>241</v>
      </c>
      <c r="CO1059" s="4" t="s">
        <v>710</v>
      </c>
      <c r="CP1059" s="5" t="s">
        <v>268</v>
      </c>
      <c r="CQ1059" s="4" t="s">
        <v>269</v>
      </c>
      <c r="CR1059" s="4" t="s">
        <v>270</v>
      </c>
      <c r="CS1059" s="4" t="s">
        <v>293</v>
      </c>
      <c r="CT1059" s="4" t="s">
        <v>241</v>
      </c>
      <c r="CU1059" s="4">
        <v>0.02</v>
      </c>
      <c r="CV1059" s="4" t="s">
        <v>271</v>
      </c>
      <c r="CW1059" s="4" t="s">
        <v>1546</v>
      </c>
      <c r="CX1059" s="4" t="s">
        <v>295</v>
      </c>
      <c r="CY1059" s="6">
        <f>0</f>
        <v>0</v>
      </c>
      <c r="CZ1059" s="6">
        <f>222343650</f>
        <v>222343650</v>
      </c>
      <c r="DA1059" s="6">
        <f>48915603</f>
        <v>48915603</v>
      </c>
      <c r="DC1059" s="4" t="s">
        <v>241</v>
      </c>
      <c r="DD1059" s="4" t="s">
        <v>241</v>
      </c>
      <c r="DF1059" s="4" t="s">
        <v>241</v>
      </c>
      <c r="DG1059" s="6">
        <f>0</f>
        <v>0</v>
      </c>
      <c r="DI1059" s="4" t="s">
        <v>241</v>
      </c>
      <c r="DJ1059" s="4" t="s">
        <v>241</v>
      </c>
      <c r="DK1059" s="4" t="s">
        <v>241</v>
      </c>
      <c r="DL1059" s="4" t="s">
        <v>241</v>
      </c>
      <c r="DM1059" s="4" t="s">
        <v>323</v>
      </c>
      <c r="DN1059" s="4" t="s">
        <v>278</v>
      </c>
      <c r="DO1059" s="6">
        <f>1646.99</f>
        <v>1646.99</v>
      </c>
      <c r="DP1059" s="4" t="s">
        <v>241</v>
      </c>
      <c r="DQ1059" s="4" t="s">
        <v>241</v>
      </c>
      <c r="DR1059" s="4" t="s">
        <v>241</v>
      </c>
      <c r="DS1059" s="4" t="s">
        <v>241</v>
      </c>
      <c r="DV1059" s="4" t="s">
        <v>1547</v>
      </c>
      <c r="DW1059" s="4" t="s">
        <v>277</v>
      </c>
      <c r="GN1059" s="4" t="s">
        <v>1548</v>
      </c>
      <c r="HO1059" s="4" t="s">
        <v>300</v>
      </c>
      <c r="HR1059" s="4" t="s">
        <v>278</v>
      </c>
      <c r="HS1059" s="4" t="s">
        <v>278</v>
      </c>
      <c r="HT1059" s="4" t="s">
        <v>241</v>
      </c>
      <c r="HU1059" s="4" t="s">
        <v>241</v>
      </c>
      <c r="HV1059" s="4" t="s">
        <v>241</v>
      </c>
      <c r="HW1059" s="4" t="s">
        <v>241</v>
      </c>
      <c r="HX1059" s="4" t="s">
        <v>241</v>
      </c>
      <c r="HY1059" s="4" t="s">
        <v>241</v>
      </c>
      <c r="HZ1059" s="4" t="s">
        <v>241</v>
      </c>
      <c r="IA1059" s="4" t="s">
        <v>241</v>
      </c>
      <c r="IB1059" s="4" t="s">
        <v>241</v>
      </c>
      <c r="IC1059" s="4" t="s">
        <v>241</v>
      </c>
      <c r="ID1059" s="4" t="s">
        <v>241</v>
      </c>
      <c r="IE1059" s="4" t="s">
        <v>241</v>
      </c>
      <c r="IF1059" s="4" t="s">
        <v>241</v>
      </c>
    </row>
    <row r="1060" spans="1:240" x14ac:dyDescent="0.4">
      <c r="A1060" s="4">
        <v>2</v>
      </c>
      <c r="B1060" s="4" t="s">
        <v>239</v>
      </c>
      <c r="C1060" s="4">
        <v>1357</v>
      </c>
      <c r="D1060" s="4">
        <v>1</v>
      </c>
      <c r="E1060" s="4">
        <v>3</v>
      </c>
      <c r="F1060" s="4" t="s">
        <v>326</v>
      </c>
      <c r="G1060" s="4" t="s">
        <v>241</v>
      </c>
      <c r="H1060" s="4" t="s">
        <v>241</v>
      </c>
      <c r="I1060" s="4" t="s">
        <v>1545</v>
      </c>
      <c r="J1060" s="4" t="s">
        <v>424</v>
      </c>
      <c r="K1060" s="4" t="s">
        <v>256</v>
      </c>
      <c r="L1060" s="4" t="s">
        <v>2620</v>
      </c>
      <c r="M1060" s="5" t="s">
        <v>460</v>
      </c>
      <c r="N1060" s="4" t="s">
        <v>2648</v>
      </c>
      <c r="O1060" s="6">
        <f>0</f>
        <v>0</v>
      </c>
      <c r="P1060" s="4" t="s">
        <v>276</v>
      </c>
      <c r="Q1060" s="6">
        <f>324896</f>
        <v>324896</v>
      </c>
      <c r="R1060" s="6">
        <f>352000</f>
        <v>352000</v>
      </c>
      <c r="S1060" s="5" t="s">
        <v>2649</v>
      </c>
      <c r="T1060" s="4" t="s">
        <v>322</v>
      </c>
      <c r="U1060" s="4" t="s">
        <v>278</v>
      </c>
      <c r="V1060" s="6">
        <f>351999</f>
        <v>351999</v>
      </c>
      <c r="W1060" s="6">
        <f>27104</f>
        <v>27104</v>
      </c>
      <c r="X1060" s="4" t="s">
        <v>243</v>
      </c>
      <c r="Y1060" s="4" t="s">
        <v>244</v>
      </c>
      <c r="Z1060" s="4" t="s">
        <v>241</v>
      </c>
      <c r="AA1060" s="4" t="s">
        <v>241</v>
      </c>
      <c r="AD1060" s="4" t="s">
        <v>241</v>
      </c>
      <c r="AE1060" s="5" t="s">
        <v>241</v>
      </c>
      <c r="AF1060" s="5" t="s">
        <v>241</v>
      </c>
      <c r="AH1060" s="5" t="s">
        <v>241</v>
      </c>
      <c r="AI1060" s="5" t="s">
        <v>249</v>
      </c>
      <c r="AJ1060" s="4" t="s">
        <v>251</v>
      </c>
      <c r="AK1060" s="4" t="s">
        <v>252</v>
      </c>
      <c r="AQ1060" s="4" t="s">
        <v>241</v>
      </c>
      <c r="AR1060" s="4" t="s">
        <v>241</v>
      </c>
      <c r="AS1060" s="4" t="s">
        <v>241</v>
      </c>
      <c r="AT1060" s="5" t="s">
        <v>241</v>
      </c>
      <c r="AU1060" s="5" t="s">
        <v>241</v>
      </c>
      <c r="AV1060" s="5" t="s">
        <v>241</v>
      </c>
      <c r="AY1060" s="4" t="s">
        <v>286</v>
      </c>
      <c r="AZ1060" s="4" t="s">
        <v>286</v>
      </c>
      <c r="BA1060" s="4" t="s">
        <v>254</v>
      </c>
      <c r="BB1060" s="4" t="s">
        <v>287</v>
      </c>
      <c r="BC1060" s="4" t="s">
        <v>255</v>
      </c>
      <c r="BD1060" s="4" t="s">
        <v>241</v>
      </c>
      <c r="BE1060" s="4" t="s">
        <v>257</v>
      </c>
      <c r="BF1060" s="4" t="s">
        <v>241</v>
      </c>
      <c r="BJ1060" s="4" t="s">
        <v>288</v>
      </c>
      <c r="BK1060" s="5" t="s">
        <v>289</v>
      </c>
      <c r="BL1060" s="4" t="s">
        <v>290</v>
      </c>
      <c r="BM1060" s="4" t="s">
        <v>290</v>
      </c>
      <c r="BN1060" s="4" t="s">
        <v>241</v>
      </c>
      <c r="BP1060" s="6">
        <f>-27104</f>
        <v>-27104</v>
      </c>
      <c r="BQ1060" s="4" t="s">
        <v>263</v>
      </c>
      <c r="BR1060" s="4" t="s">
        <v>264</v>
      </c>
      <c r="BS1060" s="4" t="s">
        <v>241</v>
      </c>
      <c r="BT1060" s="4" t="s">
        <v>241</v>
      </c>
      <c r="BU1060" s="4" t="s">
        <v>241</v>
      </c>
      <c r="BV1060" s="4" t="s">
        <v>241</v>
      </c>
      <c r="CE1060" s="4" t="s">
        <v>264</v>
      </c>
      <c r="CF1060" s="4" t="s">
        <v>241</v>
      </c>
      <c r="CG1060" s="4" t="s">
        <v>241</v>
      </c>
      <c r="CK1060" s="4" t="s">
        <v>291</v>
      </c>
      <c r="CL1060" s="4" t="s">
        <v>266</v>
      </c>
      <c r="CM1060" s="4" t="s">
        <v>241</v>
      </c>
      <c r="CO1060" s="4" t="s">
        <v>426</v>
      </c>
      <c r="CP1060" s="5" t="s">
        <v>268</v>
      </c>
      <c r="CQ1060" s="4" t="s">
        <v>269</v>
      </c>
      <c r="CR1060" s="4" t="s">
        <v>270</v>
      </c>
      <c r="CS1060" s="4" t="s">
        <v>293</v>
      </c>
      <c r="CT1060" s="4" t="s">
        <v>241</v>
      </c>
      <c r="CU1060" s="4">
        <v>7.6999999999999999E-2</v>
      </c>
      <c r="CV1060" s="4" t="s">
        <v>271</v>
      </c>
      <c r="CW1060" s="4" t="s">
        <v>415</v>
      </c>
      <c r="CX1060" s="4" t="s">
        <v>428</v>
      </c>
      <c r="CY1060" s="6">
        <f>0</f>
        <v>0</v>
      </c>
      <c r="CZ1060" s="6">
        <f>352000</f>
        <v>352000</v>
      </c>
      <c r="DA1060" s="6">
        <f>1</f>
        <v>1</v>
      </c>
      <c r="DC1060" s="4" t="s">
        <v>241</v>
      </c>
      <c r="DD1060" s="4" t="s">
        <v>241</v>
      </c>
      <c r="DF1060" s="4" t="s">
        <v>241</v>
      </c>
      <c r="DG1060" s="6">
        <f>0</f>
        <v>0</v>
      </c>
      <c r="DI1060" s="4" t="s">
        <v>241</v>
      </c>
      <c r="DJ1060" s="4" t="s">
        <v>241</v>
      </c>
      <c r="DK1060" s="4" t="s">
        <v>241</v>
      </c>
      <c r="DL1060" s="4" t="s">
        <v>241</v>
      </c>
      <c r="DM1060" s="4" t="s">
        <v>278</v>
      </c>
      <c r="DN1060" s="4" t="s">
        <v>278</v>
      </c>
      <c r="DO1060" s="6" t="s">
        <v>241</v>
      </c>
      <c r="DP1060" s="4" t="s">
        <v>241</v>
      </c>
      <c r="DQ1060" s="4" t="s">
        <v>241</v>
      </c>
      <c r="DR1060" s="4" t="s">
        <v>241</v>
      </c>
      <c r="DS1060" s="4" t="s">
        <v>241</v>
      </c>
      <c r="DV1060" s="4" t="s">
        <v>1547</v>
      </c>
      <c r="DW1060" s="4" t="s">
        <v>323</v>
      </c>
      <c r="GN1060" s="4" t="s">
        <v>2687</v>
      </c>
      <c r="HO1060" s="4" t="s">
        <v>323</v>
      </c>
      <c r="HR1060" s="4" t="s">
        <v>278</v>
      </c>
      <c r="HS1060" s="4" t="s">
        <v>278</v>
      </c>
      <c r="HT1060" s="4" t="s">
        <v>241</v>
      </c>
      <c r="HU1060" s="4" t="s">
        <v>241</v>
      </c>
      <c r="HV1060" s="4" t="s">
        <v>241</v>
      </c>
      <c r="HW1060" s="4" t="s">
        <v>241</v>
      </c>
      <c r="HX1060" s="4" t="s">
        <v>241</v>
      </c>
      <c r="HY1060" s="4" t="s">
        <v>241</v>
      </c>
      <c r="HZ1060" s="4" t="s">
        <v>241</v>
      </c>
      <c r="IA1060" s="4" t="s">
        <v>241</v>
      </c>
      <c r="IB1060" s="4" t="s">
        <v>241</v>
      </c>
      <c r="IC1060" s="4" t="s">
        <v>241</v>
      </c>
      <c r="ID1060" s="4" t="s">
        <v>241</v>
      </c>
      <c r="IE1060" s="4" t="s">
        <v>241</v>
      </c>
      <c r="IF1060" s="4" t="s">
        <v>241</v>
      </c>
    </row>
    <row r="1061" spans="1:240" x14ac:dyDescent="0.4">
      <c r="A1061" s="4">
        <v>2</v>
      </c>
      <c r="B1061" s="4" t="s">
        <v>239</v>
      </c>
      <c r="C1061" s="4">
        <v>1358</v>
      </c>
      <c r="D1061" s="4">
        <v>1</v>
      </c>
      <c r="E1061" s="4">
        <v>3</v>
      </c>
      <c r="F1061" s="4" t="s">
        <v>240</v>
      </c>
      <c r="G1061" s="4" t="s">
        <v>241</v>
      </c>
      <c r="H1061" s="4" t="s">
        <v>241</v>
      </c>
      <c r="I1061" s="4" t="s">
        <v>1549</v>
      </c>
      <c r="J1061" s="4" t="s">
        <v>424</v>
      </c>
      <c r="K1061" s="4" t="s">
        <v>256</v>
      </c>
      <c r="L1061" s="4" t="s">
        <v>1196</v>
      </c>
      <c r="M1061" s="5" t="s">
        <v>758</v>
      </c>
      <c r="N1061" s="4" t="s">
        <v>1196</v>
      </c>
      <c r="O1061" s="6">
        <f>1303.77</f>
        <v>1303.77</v>
      </c>
      <c r="P1061" s="4" t="s">
        <v>276</v>
      </c>
      <c r="Q1061" s="6">
        <f>42242148</f>
        <v>42242148</v>
      </c>
      <c r="R1061" s="6">
        <f>176008950</f>
        <v>176008950</v>
      </c>
      <c r="S1061" s="5" t="s">
        <v>1550</v>
      </c>
      <c r="T1061" s="4" t="s">
        <v>296</v>
      </c>
      <c r="U1061" s="4" t="s">
        <v>777</v>
      </c>
      <c r="V1061" s="6">
        <f>3520179</f>
        <v>3520179</v>
      </c>
      <c r="W1061" s="6">
        <f>133766802</f>
        <v>133766802</v>
      </c>
      <c r="X1061" s="4" t="s">
        <v>243</v>
      </c>
      <c r="Y1061" s="4" t="s">
        <v>244</v>
      </c>
      <c r="Z1061" s="4" t="s">
        <v>465</v>
      </c>
      <c r="AA1061" s="4" t="s">
        <v>241</v>
      </c>
      <c r="AD1061" s="4" t="s">
        <v>241</v>
      </c>
      <c r="AE1061" s="5" t="s">
        <v>241</v>
      </c>
      <c r="AF1061" s="5" t="s">
        <v>241</v>
      </c>
      <c r="AH1061" s="5" t="s">
        <v>241</v>
      </c>
      <c r="AI1061" s="5" t="s">
        <v>249</v>
      </c>
      <c r="AJ1061" s="4" t="s">
        <v>251</v>
      </c>
      <c r="AK1061" s="4" t="s">
        <v>252</v>
      </c>
      <c r="AQ1061" s="4" t="s">
        <v>241</v>
      </c>
      <c r="AR1061" s="4" t="s">
        <v>241</v>
      </c>
      <c r="AS1061" s="4" t="s">
        <v>241</v>
      </c>
      <c r="AT1061" s="5" t="s">
        <v>241</v>
      </c>
      <c r="AU1061" s="5" t="s">
        <v>241</v>
      </c>
      <c r="AV1061" s="5" t="s">
        <v>241</v>
      </c>
      <c r="AY1061" s="4" t="s">
        <v>286</v>
      </c>
      <c r="AZ1061" s="4" t="s">
        <v>286</v>
      </c>
      <c r="BA1061" s="4" t="s">
        <v>254</v>
      </c>
      <c r="BB1061" s="4" t="s">
        <v>287</v>
      </c>
      <c r="BC1061" s="4" t="s">
        <v>255</v>
      </c>
      <c r="BD1061" s="4" t="s">
        <v>241</v>
      </c>
      <c r="BE1061" s="4" t="s">
        <v>257</v>
      </c>
      <c r="BF1061" s="4" t="s">
        <v>241</v>
      </c>
      <c r="BJ1061" s="4" t="s">
        <v>288</v>
      </c>
      <c r="BK1061" s="5" t="s">
        <v>289</v>
      </c>
      <c r="BL1061" s="4" t="s">
        <v>290</v>
      </c>
      <c r="BM1061" s="4" t="s">
        <v>290</v>
      </c>
      <c r="BN1061" s="4" t="s">
        <v>241</v>
      </c>
      <c r="BO1061" s="6">
        <f>0</f>
        <v>0</v>
      </c>
      <c r="BP1061" s="6">
        <f>-3520179</f>
        <v>-3520179</v>
      </c>
      <c r="BQ1061" s="4" t="s">
        <v>263</v>
      </c>
      <c r="BR1061" s="4" t="s">
        <v>264</v>
      </c>
      <c r="BS1061" s="4" t="s">
        <v>241</v>
      </c>
      <c r="BT1061" s="4" t="s">
        <v>241</v>
      </c>
      <c r="BU1061" s="4" t="s">
        <v>241</v>
      </c>
      <c r="BV1061" s="4" t="s">
        <v>241</v>
      </c>
      <c r="CE1061" s="4" t="s">
        <v>264</v>
      </c>
      <c r="CF1061" s="4" t="s">
        <v>241</v>
      </c>
      <c r="CG1061" s="4" t="s">
        <v>241</v>
      </c>
      <c r="CK1061" s="4" t="s">
        <v>265</v>
      </c>
      <c r="CL1061" s="4" t="s">
        <v>266</v>
      </c>
      <c r="CM1061" s="4" t="s">
        <v>241</v>
      </c>
      <c r="CO1061" s="4" t="s">
        <v>662</v>
      </c>
      <c r="CP1061" s="5" t="s">
        <v>268</v>
      </c>
      <c r="CQ1061" s="4" t="s">
        <v>269</v>
      </c>
      <c r="CR1061" s="4" t="s">
        <v>270</v>
      </c>
      <c r="CS1061" s="4" t="s">
        <v>293</v>
      </c>
      <c r="CT1061" s="4" t="s">
        <v>241</v>
      </c>
      <c r="CU1061" s="4">
        <v>0.02</v>
      </c>
      <c r="CV1061" s="4" t="s">
        <v>271</v>
      </c>
      <c r="CW1061" s="4" t="s">
        <v>1546</v>
      </c>
      <c r="CX1061" s="4" t="s">
        <v>295</v>
      </c>
      <c r="CY1061" s="6">
        <f>0</f>
        <v>0</v>
      </c>
      <c r="CZ1061" s="6">
        <f>176008950</f>
        <v>176008950</v>
      </c>
      <c r="DA1061" s="6">
        <f>42242148</f>
        <v>42242148</v>
      </c>
      <c r="DC1061" s="4" t="s">
        <v>241</v>
      </c>
      <c r="DD1061" s="4" t="s">
        <v>241</v>
      </c>
      <c r="DF1061" s="4" t="s">
        <v>241</v>
      </c>
      <c r="DG1061" s="6">
        <f>0</f>
        <v>0</v>
      </c>
      <c r="DI1061" s="4" t="s">
        <v>241</v>
      </c>
      <c r="DJ1061" s="4" t="s">
        <v>241</v>
      </c>
      <c r="DK1061" s="4" t="s">
        <v>241</v>
      </c>
      <c r="DL1061" s="4" t="s">
        <v>241</v>
      </c>
      <c r="DM1061" s="4" t="s">
        <v>277</v>
      </c>
      <c r="DN1061" s="4" t="s">
        <v>278</v>
      </c>
      <c r="DO1061" s="6">
        <f>1303.77</f>
        <v>1303.77</v>
      </c>
      <c r="DP1061" s="4" t="s">
        <v>241</v>
      </c>
      <c r="DQ1061" s="4" t="s">
        <v>241</v>
      </c>
      <c r="DR1061" s="4" t="s">
        <v>241</v>
      </c>
      <c r="DS1061" s="4" t="s">
        <v>241</v>
      </c>
      <c r="DV1061" s="4" t="s">
        <v>1551</v>
      </c>
      <c r="DW1061" s="4" t="s">
        <v>277</v>
      </c>
      <c r="GN1061" s="4" t="s">
        <v>1552</v>
      </c>
      <c r="HO1061" s="4" t="s">
        <v>300</v>
      </c>
      <c r="HR1061" s="4" t="s">
        <v>278</v>
      </c>
      <c r="HS1061" s="4" t="s">
        <v>278</v>
      </c>
      <c r="HT1061" s="4" t="s">
        <v>241</v>
      </c>
      <c r="HU1061" s="4" t="s">
        <v>241</v>
      </c>
      <c r="HV1061" s="4" t="s">
        <v>241</v>
      </c>
      <c r="HW1061" s="4" t="s">
        <v>241</v>
      </c>
      <c r="HX1061" s="4" t="s">
        <v>241</v>
      </c>
      <c r="HY1061" s="4" t="s">
        <v>241</v>
      </c>
      <c r="HZ1061" s="4" t="s">
        <v>241</v>
      </c>
      <c r="IA1061" s="4" t="s">
        <v>241</v>
      </c>
      <c r="IB1061" s="4" t="s">
        <v>241</v>
      </c>
      <c r="IC1061" s="4" t="s">
        <v>241</v>
      </c>
      <c r="ID1061" s="4" t="s">
        <v>241</v>
      </c>
      <c r="IE1061" s="4" t="s">
        <v>241</v>
      </c>
      <c r="IF1061" s="4" t="s">
        <v>241</v>
      </c>
    </row>
    <row r="1062" spans="1:240" x14ac:dyDescent="0.4">
      <c r="A1062" s="4">
        <v>2</v>
      </c>
      <c r="B1062" s="4" t="s">
        <v>239</v>
      </c>
      <c r="C1062" s="4">
        <v>1359</v>
      </c>
      <c r="D1062" s="4">
        <v>1</v>
      </c>
      <c r="E1062" s="4">
        <v>3</v>
      </c>
      <c r="F1062" s="4" t="s">
        <v>240</v>
      </c>
      <c r="G1062" s="4" t="s">
        <v>241</v>
      </c>
      <c r="H1062" s="4" t="s">
        <v>241</v>
      </c>
      <c r="I1062" s="4" t="s">
        <v>1553</v>
      </c>
      <c r="J1062" s="4" t="s">
        <v>424</v>
      </c>
      <c r="K1062" s="4" t="s">
        <v>256</v>
      </c>
      <c r="L1062" s="4" t="s">
        <v>1196</v>
      </c>
      <c r="M1062" s="5" t="s">
        <v>1555</v>
      </c>
      <c r="N1062" s="4" t="s">
        <v>1196</v>
      </c>
      <c r="O1062" s="6">
        <f>1139.31</f>
        <v>1139.31</v>
      </c>
      <c r="P1062" s="4" t="s">
        <v>276</v>
      </c>
      <c r="Q1062" s="6">
        <f>15380685</f>
        <v>15380685</v>
      </c>
      <c r="R1062" s="6">
        <f>153806850</f>
        <v>153806850</v>
      </c>
      <c r="S1062" s="5" t="s">
        <v>1554</v>
      </c>
      <c r="T1062" s="4" t="s">
        <v>296</v>
      </c>
      <c r="U1062" s="4" t="s">
        <v>683</v>
      </c>
      <c r="V1062" s="6">
        <f>3076137</f>
        <v>3076137</v>
      </c>
      <c r="W1062" s="6">
        <f>138426165</f>
        <v>138426165</v>
      </c>
      <c r="X1062" s="4" t="s">
        <v>243</v>
      </c>
      <c r="Y1062" s="4" t="s">
        <v>244</v>
      </c>
      <c r="Z1062" s="4" t="s">
        <v>465</v>
      </c>
      <c r="AA1062" s="4" t="s">
        <v>241</v>
      </c>
      <c r="AD1062" s="4" t="s">
        <v>241</v>
      </c>
      <c r="AE1062" s="5" t="s">
        <v>241</v>
      </c>
      <c r="AF1062" s="5" t="s">
        <v>241</v>
      </c>
      <c r="AH1062" s="5" t="s">
        <v>241</v>
      </c>
      <c r="AI1062" s="5" t="s">
        <v>249</v>
      </c>
      <c r="AJ1062" s="4" t="s">
        <v>251</v>
      </c>
      <c r="AK1062" s="4" t="s">
        <v>252</v>
      </c>
      <c r="AQ1062" s="4" t="s">
        <v>241</v>
      </c>
      <c r="AR1062" s="4" t="s">
        <v>241</v>
      </c>
      <c r="AS1062" s="4" t="s">
        <v>241</v>
      </c>
      <c r="AT1062" s="5" t="s">
        <v>241</v>
      </c>
      <c r="AU1062" s="5" t="s">
        <v>241</v>
      </c>
      <c r="AV1062" s="5" t="s">
        <v>241</v>
      </c>
      <c r="AY1062" s="4" t="s">
        <v>286</v>
      </c>
      <c r="AZ1062" s="4" t="s">
        <v>286</v>
      </c>
      <c r="BA1062" s="4" t="s">
        <v>254</v>
      </c>
      <c r="BB1062" s="4" t="s">
        <v>287</v>
      </c>
      <c r="BC1062" s="4" t="s">
        <v>255</v>
      </c>
      <c r="BD1062" s="4" t="s">
        <v>241</v>
      </c>
      <c r="BE1062" s="4" t="s">
        <v>257</v>
      </c>
      <c r="BF1062" s="4" t="s">
        <v>241</v>
      </c>
      <c r="BJ1062" s="4" t="s">
        <v>288</v>
      </c>
      <c r="BK1062" s="5" t="s">
        <v>289</v>
      </c>
      <c r="BL1062" s="4" t="s">
        <v>290</v>
      </c>
      <c r="BM1062" s="4" t="s">
        <v>290</v>
      </c>
      <c r="BN1062" s="4" t="s">
        <v>241</v>
      </c>
      <c r="BO1062" s="6">
        <f>0</f>
        <v>0</v>
      </c>
      <c r="BP1062" s="6">
        <f>-3076137</f>
        <v>-3076137</v>
      </c>
      <c r="BQ1062" s="4" t="s">
        <v>263</v>
      </c>
      <c r="BR1062" s="4" t="s">
        <v>264</v>
      </c>
      <c r="BS1062" s="4" t="s">
        <v>241</v>
      </c>
      <c r="BT1062" s="4" t="s">
        <v>241</v>
      </c>
      <c r="BU1062" s="4" t="s">
        <v>241</v>
      </c>
      <c r="BV1062" s="4" t="s">
        <v>241</v>
      </c>
      <c r="CE1062" s="4" t="s">
        <v>264</v>
      </c>
      <c r="CF1062" s="4" t="s">
        <v>241</v>
      </c>
      <c r="CG1062" s="4" t="s">
        <v>241</v>
      </c>
      <c r="CK1062" s="4" t="s">
        <v>265</v>
      </c>
      <c r="CL1062" s="4" t="s">
        <v>266</v>
      </c>
      <c r="CM1062" s="4" t="s">
        <v>241</v>
      </c>
      <c r="CO1062" s="4" t="s">
        <v>392</v>
      </c>
      <c r="CP1062" s="5" t="s">
        <v>268</v>
      </c>
      <c r="CQ1062" s="4" t="s">
        <v>269</v>
      </c>
      <c r="CR1062" s="4" t="s">
        <v>270</v>
      </c>
      <c r="CS1062" s="4" t="s">
        <v>293</v>
      </c>
      <c r="CT1062" s="4" t="s">
        <v>241</v>
      </c>
      <c r="CU1062" s="4">
        <v>0.02</v>
      </c>
      <c r="CV1062" s="4" t="s">
        <v>271</v>
      </c>
      <c r="CW1062" s="4" t="s">
        <v>1546</v>
      </c>
      <c r="CX1062" s="4" t="s">
        <v>295</v>
      </c>
      <c r="CY1062" s="6">
        <f>0</f>
        <v>0</v>
      </c>
      <c r="CZ1062" s="6">
        <f>153806850</f>
        <v>153806850</v>
      </c>
      <c r="DA1062" s="6">
        <f>15380685</f>
        <v>15380685</v>
      </c>
      <c r="DC1062" s="4" t="s">
        <v>241</v>
      </c>
      <c r="DD1062" s="4" t="s">
        <v>241</v>
      </c>
      <c r="DF1062" s="4" t="s">
        <v>241</v>
      </c>
      <c r="DG1062" s="6">
        <f>0</f>
        <v>0</v>
      </c>
      <c r="DI1062" s="4" t="s">
        <v>241</v>
      </c>
      <c r="DJ1062" s="4" t="s">
        <v>241</v>
      </c>
      <c r="DK1062" s="4" t="s">
        <v>241</v>
      </c>
      <c r="DL1062" s="4" t="s">
        <v>241</v>
      </c>
      <c r="DM1062" s="4" t="s">
        <v>277</v>
      </c>
      <c r="DN1062" s="4" t="s">
        <v>278</v>
      </c>
      <c r="DO1062" s="6">
        <f>1139.31</f>
        <v>1139.31</v>
      </c>
      <c r="DP1062" s="4" t="s">
        <v>241</v>
      </c>
      <c r="DQ1062" s="4" t="s">
        <v>241</v>
      </c>
      <c r="DR1062" s="4" t="s">
        <v>241</v>
      </c>
      <c r="DS1062" s="4" t="s">
        <v>241</v>
      </c>
      <c r="DV1062" s="4" t="s">
        <v>1556</v>
      </c>
      <c r="DW1062" s="4" t="s">
        <v>277</v>
      </c>
      <c r="GN1062" s="4" t="s">
        <v>1557</v>
      </c>
      <c r="HO1062" s="4" t="s">
        <v>300</v>
      </c>
      <c r="HR1062" s="4" t="s">
        <v>278</v>
      </c>
      <c r="HS1062" s="4" t="s">
        <v>278</v>
      </c>
      <c r="HT1062" s="4" t="s">
        <v>241</v>
      </c>
      <c r="HU1062" s="4" t="s">
        <v>241</v>
      </c>
      <c r="HV1062" s="4" t="s">
        <v>241</v>
      </c>
      <c r="HW1062" s="4" t="s">
        <v>241</v>
      </c>
      <c r="HX1062" s="4" t="s">
        <v>241</v>
      </c>
      <c r="HY1062" s="4" t="s">
        <v>241</v>
      </c>
      <c r="HZ1062" s="4" t="s">
        <v>241</v>
      </c>
      <c r="IA1062" s="4" t="s">
        <v>241</v>
      </c>
      <c r="IB1062" s="4" t="s">
        <v>241</v>
      </c>
      <c r="IC1062" s="4" t="s">
        <v>241</v>
      </c>
      <c r="ID1062" s="4" t="s">
        <v>241</v>
      </c>
      <c r="IE1062" s="4" t="s">
        <v>241</v>
      </c>
      <c r="IF1062" s="4" t="s">
        <v>241</v>
      </c>
    </row>
    <row r="1063" spans="1:240" x14ac:dyDescent="0.4">
      <c r="A1063" s="4">
        <v>2</v>
      </c>
      <c r="B1063" s="4" t="s">
        <v>239</v>
      </c>
      <c r="C1063" s="4">
        <v>1360</v>
      </c>
      <c r="D1063" s="4">
        <v>1</v>
      </c>
      <c r="E1063" s="4">
        <v>3</v>
      </c>
      <c r="F1063" s="4" t="s">
        <v>326</v>
      </c>
      <c r="G1063" s="4" t="s">
        <v>241</v>
      </c>
      <c r="H1063" s="4" t="s">
        <v>241</v>
      </c>
      <c r="I1063" s="4" t="s">
        <v>1553</v>
      </c>
      <c r="J1063" s="4" t="s">
        <v>424</v>
      </c>
      <c r="K1063" s="4" t="s">
        <v>256</v>
      </c>
      <c r="L1063" s="4" t="s">
        <v>2682</v>
      </c>
      <c r="M1063" s="5" t="s">
        <v>1555</v>
      </c>
      <c r="N1063" s="4" t="s">
        <v>2648</v>
      </c>
      <c r="O1063" s="6">
        <f>0</f>
        <v>0</v>
      </c>
      <c r="P1063" s="4" t="s">
        <v>276</v>
      </c>
      <c r="Q1063" s="6">
        <f>968597</f>
        <v>968597</v>
      </c>
      <c r="R1063" s="6">
        <f>1049400</f>
        <v>1049400</v>
      </c>
      <c r="S1063" s="5" t="s">
        <v>2649</v>
      </c>
      <c r="T1063" s="4" t="s">
        <v>322</v>
      </c>
      <c r="U1063" s="4" t="s">
        <v>278</v>
      </c>
      <c r="V1063" s="6">
        <f>1049399</f>
        <v>1049399</v>
      </c>
      <c r="W1063" s="6">
        <f>80803</f>
        <v>80803</v>
      </c>
      <c r="X1063" s="4" t="s">
        <v>243</v>
      </c>
      <c r="Y1063" s="4" t="s">
        <v>244</v>
      </c>
      <c r="Z1063" s="4" t="s">
        <v>241</v>
      </c>
      <c r="AA1063" s="4" t="s">
        <v>241</v>
      </c>
      <c r="AD1063" s="4" t="s">
        <v>241</v>
      </c>
      <c r="AE1063" s="5" t="s">
        <v>241</v>
      </c>
      <c r="AF1063" s="5" t="s">
        <v>241</v>
      </c>
      <c r="AH1063" s="5" t="s">
        <v>241</v>
      </c>
      <c r="AI1063" s="5" t="s">
        <v>249</v>
      </c>
      <c r="AJ1063" s="4" t="s">
        <v>251</v>
      </c>
      <c r="AK1063" s="4" t="s">
        <v>252</v>
      </c>
      <c r="AQ1063" s="4" t="s">
        <v>241</v>
      </c>
      <c r="AR1063" s="4" t="s">
        <v>241</v>
      </c>
      <c r="AS1063" s="4" t="s">
        <v>241</v>
      </c>
      <c r="AT1063" s="5" t="s">
        <v>241</v>
      </c>
      <c r="AU1063" s="5" t="s">
        <v>241</v>
      </c>
      <c r="AV1063" s="5" t="s">
        <v>241</v>
      </c>
      <c r="AY1063" s="4" t="s">
        <v>286</v>
      </c>
      <c r="AZ1063" s="4" t="s">
        <v>286</v>
      </c>
      <c r="BA1063" s="4" t="s">
        <v>254</v>
      </c>
      <c r="BB1063" s="4" t="s">
        <v>287</v>
      </c>
      <c r="BC1063" s="4" t="s">
        <v>255</v>
      </c>
      <c r="BD1063" s="4" t="s">
        <v>241</v>
      </c>
      <c r="BE1063" s="4" t="s">
        <v>257</v>
      </c>
      <c r="BF1063" s="4" t="s">
        <v>241</v>
      </c>
      <c r="BJ1063" s="4" t="s">
        <v>288</v>
      </c>
      <c r="BK1063" s="5" t="s">
        <v>289</v>
      </c>
      <c r="BL1063" s="4" t="s">
        <v>290</v>
      </c>
      <c r="BM1063" s="4" t="s">
        <v>290</v>
      </c>
      <c r="BN1063" s="4" t="s">
        <v>241</v>
      </c>
      <c r="BP1063" s="6">
        <f>-80803</f>
        <v>-80803</v>
      </c>
      <c r="BQ1063" s="4" t="s">
        <v>263</v>
      </c>
      <c r="BR1063" s="4" t="s">
        <v>264</v>
      </c>
      <c r="BS1063" s="4" t="s">
        <v>241</v>
      </c>
      <c r="BT1063" s="4" t="s">
        <v>241</v>
      </c>
      <c r="BU1063" s="4" t="s">
        <v>241</v>
      </c>
      <c r="BV1063" s="4" t="s">
        <v>241</v>
      </c>
      <c r="CE1063" s="4" t="s">
        <v>264</v>
      </c>
      <c r="CF1063" s="4" t="s">
        <v>241</v>
      </c>
      <c r="CG1063" s="4" t="s">
        <v>241</v>
      </c>
      <c r="CK1063" s="4" t="s">
        <v>291</v>
      </c>
      <c r="CL1063" s="4" t="s">
        <v>266</v>
      </c>
      <c r="CM1063" s="4" t="s">
        <v>241</v>
      </c>
      <c r="CO1063" s="4" t="s">
        <v>426</v>
      </c>
      <c r="CP1063" s="5" t="s">
        <v>268</v>
      </c>
      <c r="CQ1063" s="4" t="s">
        <v>269</v>
      </c>
      <c r="CR1063" s="4" t="s">
        <v>270</v>
      </c>
      <c r="CS1063" s="4" t="s">
        <v>293</v>
      </c>
      <c r="CT1063" s="4" t="s">
        <v>241</v>
      </c>
      <c r="CU1063" s="4">
        <v>7.6999999999999999E-2</v>
      </c>
      <c r="CV1063" s="4" t="s">
        <v>271</v>
      </c>
      <c r="CW1063" s="4" t="s">
        <v>415</v>
      </c>
      <c r="CX1063" s="4" t="s">
        <v>428</v>
      </c>
      <c r="CY1063" s="6">
        <f>0</f>
        <v>0</v>
      </c>
      <c r="CZ1063" s="6">
        <f>1049400</f>
        <v>1049400</v>
      </c>
      <c r="DA1063" s="6">
        <f>1</f>
        <v>1</v>
      </c>
      <c r="DC1063" s="4" t="s">
        <v>241</v>
      </c>
      <c r="DD1063" s="4" t="s">
        <v>241</v>
      </c>
      <c r="DF1063" s="4" t="s">
        <v>241</v>
      </c>
      <c r="DG1063" s="6">
        <f>0</f>
        <v>0</v>
      </c>
      <c r="DI1063" s="4" t="s">
        <v>241</v>
      </c>
      <c r="DJ1063" s="4" t="s">
        <v>241</v>
      </c>
      <c r="DK1063" s="4" t="s">
        <v>241</v>
      </c>
      <c r="DL1063" s="4" t="s">
        <v>241</v>
      </c>
      <c r="DM1063" s="4" t="s">
        <v>278</v>
      </c>
      <c r="DN1063" s="4" t="s">
        <v>278</v>
      </c>
      <c r="DO1063" s="6" t="s">
        <v>241</v>
      </c>
      <c r="DP1063" s="4" t="s">
        <v>241</v>
      </c>
      <c r="DQ1063" s="4" t="s">
        <v>241</v>
      </c>
      <c r="DR1063" s="4" t="s">
        <v>241</v>
      </c>
      <c r="DS1063" s="4" t="s">
        <v>241</v>
      </c>
      <c r="DV1063" s="4" t="s">
        <v>1556</v>
      </c>
      <c r="DW1063" s="4" t="s">
        <v>323</v>
      </c>
      <c r="GN1063" s="4" t="s">
        <v>2686</v>
      </c>
      <c r="HO1063" s="4" t="s">
        <v>323</v>
      </c>
      <c r="HR1063" s="4" t="s">
        <v>278</v>
      </c>
      <c r="HS1063" s="4" t="s">
        <v>278</v>
      </c>
      <c r="HT1063" s="4" t="s">
        <v>241</v>
      </c>
      <c r="HU1063" s="4" t="s">
        <v>241</v>
      </c>
      <c r="HV1063" s="4" t="s">
        <v>241</v>
      </c>
      <c r="HW1063" s="4" t="s">
        <v>241</v>
      </c>
      <c r="HX1063" s="4" t="s">
        <v>241</v>
      </c>
      <c r="HY1063" s="4" t="s">
        <v>241</v>
      </c>
      <c r="HZ1063" s="4" t="s">
        <v>241</v>
      </c>
      <c r="IA1063" s="4" t="s">
        <v>241</v>
      </c>
      <c r="IB1063" s="4" t="s">
        <v>241</v>
      </c>
      <c r="IC1063" s="4" t="s">
        <v>241</v>
      </c>
      <c r="ID1063" s="4" t="s">
        <v>241</v>
      </c>
      <c r="IE1063" s="4" t="s">
        <v>241</v>
      </c>
      <c r="IF1063" s="4" t="s">
        <v>241</v>
      </c>
    </row>
    <row r="1064" spans="1:240" x14ac:dyDescent="0.4">
      <c r="A1064" s="4">
        <v>2</v>
      </c>
      <c r="B1064" s="4" t="s">
        <v>239</v>
      </c>
      <c r="C1064" s="4">
        <v>1361</v>
      </c>
      <c r="D1064" s="4">
        <v>1</v>
      </c>
      <c r="E1064" s="4">
        <v>3</v>
      </c>
      <c r="F1064" s="4" t="s">
        <v>240</v>
      </c>
      <c r="G1064" s="4" t="s">
        <v>241</v>
      </c>
      <c r="H1064" s="4" t="s">
        <v>241</v>
      </c>
      <c r="I1064" s="4" t="s">
        <v>1612</v>
      </c>
      <c r="J1064" s="4" t="s">
        <v>424</v>
      </c>
      <c r="K1064" s="4" t="s">
        <v>256</v>
      </c>
      <c r="L1064" s="4" t="s">
        <v>1196</v>
      </c>
      <c r="M1064" s="5" t="s">
        <v>1099</v>
      </c>
      <c r="N1064" s="4" t="s">
        <v>1196</v>
      </c>
      <c r="O1064" s="6">
        <f>2266.62</f>
        <v>2266.62</v>
      </c>
      <c r="P1064" s="4" t="s">
        <v>276</v>
      </c>
      <c r="Q1064" s="6">
        <f>6402915</f>
        <v>6402915</v>
      </c>
      <c r="R1064" s="6">
        <f>320145750</f>
        <v>320145750</v>
      </c>
      <c r="S1064" s="5" t="s">
        <v>1613</v>
      </c>
      <c r="T1064" s="4" t="s">
        <v>296</v>
      </c>
      <c r="U1064" s="4" t="s">
        <v>514</v>
      </c>
      <c r="V1064" s="6">
        <f>6402915</f>
        <v>6402915</v>
      </c>
      <c r="W1064" s="6">
        <f>313742835</f>
        <v>313742835</v>
      </c>
      <c r="X1064" s="4" t="s">
        <v>243</v>
      </c>
      <c r="Y1064" s="4" t="s">
        <v>244</v>
      </c>
      <c r="Z1064" s="4" t="s">
        <v>465</v>
      </c>
      <c r="AA1064" s="4" t="s">
        <v>241</v>
      </c>
      <c r="AD1064" s="4" t="s">
        <v>241</v>
      </c>
      <c r="AE1064" s="5" t="s">
        <v>241</v>
      </c>
      <c r="AF1064" s="5" t="s">
        <v>241</v>
      </c>
      <c r="AH1064" s="5" t="s">
        <v>241</v>
      </c>
      <c r="AI1064" s="5" t="s">
        <v>249</v>
      </c>
      <c r="AJ1064" s="4" t="s">
        <v>251</v>
      </c>
      <c r="AK1064" s="4" t="s">
        <v>252</v>
      </c>
      <c r="AQ1064" s="4" t="s">
        <v>241</v>
      </c>
      <c r="AR1064" s="4" t="s">
        <v>241</v>
      </c>
      <c r="AS1064" s="4" t="s">
        <v>241</v>
      </c>
      <c r="AT1064" s="5" t="s">
        <v>241</v>
      </c>
      <c r="AU1064" s="5" t="s">
        <v>241</v>
      </c>
      <c r="AV1064" s="5" t="s">
        <v>241</v>
      </c>
      <c r="AY1064" s="4" t="s">
        <v>286</v>
      </c>
      <c r="AZ1064" s="4" t="s">
        <v>286</v>
      </c>
      <c r="BA1064" s="4" t="s">
        <v>254</v>
      </c>
      <c r="BB1064" s="4" t="s">
        <v>287</v>
      </c>
      <c r="BC1064" s="4" t="s">
        <v>255</v>
      </c>
      <c r="BD1064" s="4" t="s">
        <v>241</v>
      </c>
      <c r="BE1064" s="4" t="s">
        <v>257</v>
      </c>
      <c r="BF1064" s="4" t="s">
        <v>241</v>
      </c>
      <c r="BJ1064" s="4" t="s">
        <v>288</v>
      </c>
      <c r="BK1064" s="5" t="s">
        <v>289</v>
      </c>
      <c r="BL1064" s="4" t="s">
        <v>290</v>
      </c>
      <c r="BM1064" s="4" t="s">
        <v>290</v>
      </c>
      <c r="BN1064" s="4" t="s">
        <v>241</v>
      </c>
      <c r="BO1064" s="6">
        <f>0</f>
        <v>0</v>
      </c>
      <c r="BP1064" s="6">
        <f>-6402915</f>
        <v>-6402915</v>
      </c>
      <c r="BQ1064" s="4" t="s">
        <v>263</v>
      </c>
      <c r="BR1064" s="4" t="s">
        <v>264</v>
      </c>
      <c r="BS1064" s="4" t="s">
        <v>241</v>
      </c>
      <c r="BT1064" s="4" t="s">
        <v>241</v>
      </c>
      <c r="BU1064" s="4" t="s">
        <v>241</v>
      </c>
      <c r="BV1064" s="4" t="s">
        <v>241</v>
      </c>
      <c r="CE1064" s="4" t="s">
        <v>264</v>
      </c>
      <c r="CF1064" s="4" t="s">
        <v>241</v>
      </c>
      <c r="CG1064" s="4" t="s">
        <v>241</v>
      </c>
      <c r="CK1064" s="4" t="s">
        <v>265</v>
      </c>
      <c r="CL1064" s="4" t="s">
        <v>266</v>
      </c>
      <c r="CM1064" s="4" t="s">
        <v>241</v>
      </c>
      <c r="CO1064" s="4" t="s">
        <v>513</v>
      </c>
      <c r="CP1064" s="5" t="s">
        <v>268</v>
      </c>
      <c r="CQ1064" s="4" t="s">
        <v>269</v>
      </c>
      <c r="CR1064" s="4" t="s">
        <v>270</v>
      </c>
      <c r="CS1064" s="4" t="s">
        <v>293</v>
      </c>
      <c r="CT1064" s="4" t="s">
        <v>241</v>
      </c>
      <c r="CU1064" s="4">
        <v>0.02</v>
      </c>
      <c r="CV1064" s="4" t="s">
        <v>271</v>
      </c>
      <c r="CW1064" s="4" t="s">
        <v>1546</v>
      </c>
      <c r="CX1064" s="4" t="s">
        <v>295</v>
      </c>
      <c r="CY1064" s="6">
        <f>0</f>
        <v>0</v>
      </c>
      <c r="CZ1064" s="6">
        <f>320145750</f>
        <v>320145750</v>
      </c>
      <c r="DA1064" s="6">
        <f>6402915</f>
        <v>6402915</v>
      </c>
      <c r="DC1064" s="4" t="s">
        <v>241</v>
      </c>
      <c r="DD1064" s="4" t="s">
        <v>241</v>
      </c>
      <c r="DF1064" s="4" t="s">
        <v>241</v>
      </c>
      <c r="DG1064" s="6">
        <f>0</f>
        <v>0</v>
      </c>
      <c r="DI1064" s="4" t="s">
        <v>241</v>
      </c>
      <c r="DJ1064" s="4" t="s">
        <v>241</v>
      </c>
      <c r="DK1064" s="4" t="s">
        <v>241</v>
      </c>
      <c r="DL1064" s="4" t="s">
        <v>241</v>
      </c>
      <c r="DM1064" s="4" t="s">
        <v>323</v>
      </c>
      <c r="DN1064" s="4" t="s">
        <v>278</v>
      </c>
      <c r="DO1064" s="6">
        <f>2266.62</f>
        <v>2266.62</v>
      </c>
      <c r="DP1064" s="4" t="s">
        <v>241</v>
      </c>
      <c r="DQ1064" s="4" t="s">
        <v>241</v>
      </c>
      <c r="DR1064" s="4" t="s">
        <v>241</v>
      </c>
      <c r="DS1064" s="4" t="s">
        <v>241</v>
      </c>
      <c r="DV1064" s="4" t="s">
        <v>1614</v>
      </c>
      <c r="DW1064" s="4" t="s">
        <v>277</v>
      </c>
      <c r="GN1064" s="4" t="s">
        <v>1615</v>
      </c>
      <c r="HO1064" s="4" t="s">
        <v>341</v>
      </c>
      <c r="HR1064" s="4" t="s">
        <v>278</v>
      </c>
      <c r="HS1064" s="4" t="s">
        <v>278</v>
      </c>
      <c r="HT1064" s="4" t="s">
        <v>241</v>
      </c>
      <c r="HU1064" s="4" t="s">
        <v>241</v>
      </c>
      <c r="HV1064" s="4" t="s">
        <v>241</v>
      </c>
      <c r="HW1064" s="4" t="s">
        <v>241</v>
      </c>
      <c r="HX1064" s="4" t="s">
        <v>241</v>
      </c>
      <c r="HY1064" s="4" t="s">
        <v>241</v>
      </c>
      <c r="HZ1064" s="4" t="s">
        <v>241</v>
      </c>
      <c r="IA1064" s="4" t="s">
        <v>241</v>
      </c>
      <c r="IB1064" s="4" t="s">
        <v>241</v>
      </c>
      <c r="IC1064" s="4" t="s">
        <v>241</v>
      </c>
      <c r="ID1064" s="4" t="s">
        <v>241</v>
      </c>
      <c r="IE1064" s="4" t="s">
        <v>241</v>
      </c>
      <c r="IF1064" s="4" t="s">
        <v>241</v>
      </c>
    </row>
    <row r="1065" spans="1:240" x14ac:dyDescent="0.4">
      <c r="A1065" s="4">
        <v>2</v>
      </c>
      <c r="B1065" s="4" t="s">
        <v>239</v>
      </c>
      <c r="C1065" s="4">
        <v>1362</v>
      </c>
      <c r="D1065" s="4">
        <v>1</v>
      </c>
      <c r="E1065" s="4">
        <v>3</v>
      </c>
      <c r="F1065" s="4" t="s">
        <v>240</v>
      </c>
      <c r="G1065" s="4" t="s">
        <v>241</v>
      </c>
      <c r="H1065" s="4" t="s">
        <v>241</v>
      </c>
      <c r="I1065" s="4" t="s">
        <v>1612</v>
      </c>
      <c r="J1065" s="4" t="s">
        <v>424</v>
      </c>
      <c r="K1065" s="4" t="s">
        <v>256</v>
      </c>
      <c r="L1065" s="4" t="s">
        <v>429</v>
      </c>
      <c r="M1065" s="5" t="s">
        <v>1099</v>
      </c>
      <c r="N1065" s="4" t="s">
        <v>429</v>
      </c>
      <c r="O1065" s="6">
        <f>54.37</f>
        <v>54.37</v>
      </c>
      <c r="P1065" s="4" t="s">
        <v>276</v>
      </c>
      <c r="Q1065" s="6">
        <f>1543744</f>
        <v>1543744</v>
      </c>
      <c r="R1065" s="6">
        <f>3400300</f>
        <v>3400300</v>
      </c>
      <c r="S1065" s="5" t="s">
        <v>3739</v>
      </c>
      <c r="T1065" s="4" t="s">
        <v>274</v>
      </c>
      <c r="U1065" s="4" t="s">
        <v>409</v>
      </c>
      <c r="V1065" s="6">
        <f>142812</f>
        <v>142812</v>
      </c>
      <c r="W1065" s="6">
        <f>1856556</f>
        <v>1856556</v>
      </c>
      <c r="X1065" s="4" t="s">
        <v>243</v>
      </c>
      <c r="Y1065" s="4" t="s">
        <v>244</v>
      </c>
      <c r="Z1065" s="4" t="s">
        <v>465</v>
      </c>
      <c r="AA1065" s="4" t="s">
        <v>241</v>
      </c>
      <c r="AD1065" s="4" t="s">
        <v>241</v>
      </c>
      <c r="AE1065" s="5" t="s">
        <v>241</v>
      </c>
      <c r="AF1065" s="5" t="s">
        <v>241</v>
      </c>
      <c r="AH1065" s="5" t="s">
        <v>241</v>
      </c>
      <c r="AI1065" s="5" t="s">
        <v>249</v>
      </c>
      <c r="AJ1065" s="4" t="s">
        <v>251</v>
      </c>
      <c r="AK1065" s="4" t="s">
        <v>252</v>
      </c>
      <c r="AQ1065" s="4" t="s">
        <v>241</v>
      </c>
      <c r="AR1065" s="4" t="s">
        <v>241</v>
      </c>
      <c r="AS1065" s="4" t="s">
        <v>241</v>
      </c>
      <c r="AT1065" s="5" t="s">
        <v>241</v>
      </c>
      <c r="AU1065" s="5" t="s">
        <v>241</v>
      </c>
      <c r="AV1065" s="5" t="s">
        <v>241</v>
      </c>
      <c r="AY1065" s="4" t="s">
        <v>286</v>
      </c>
      <c r="AZ1065" s="4" t="s">
        <v>286</v>
      </c>
      <c r="BA1065" s="4" t="s">
        <v>254</v>
      </c>
      <c r="BB1065" s="4" t="s">
        <v>287</v>
      </c>
      <c r="BC1065" s="4" t="s">
        <v>255</v>
      </c>
      <c r="BD1065" s="4" t="s">
        <v>241</v>
      </c>
      <c r="BE1065" s="4" t="s">
        <v>257</v>
      </c>
      <c r="BF1065" s="4" t="s">
        <v>241</v>
      </c>
      <c r="BJ1065" s="4" t="s">
        <v>288</v>
      </c>
      <c r="BK1065" s="5" t="s">
        <v>289</v>
      </c>
      <c r="BL1065" s="4" t="s">
        <v>290</v>
      </c>
      <c r="BM1065" s="4" t="s">
        <v>290</v>
      </c>
      <c r="BN1065" s="4" t="s">
        <v>241</v>
      </c>
      <c r="BO1065" s="6">
        <f>0</f>
        <v>0</v>
      </c>
      <c r="BP1065" s="6">
        <f>-142812</f>
        <v>-142812</v>
      </c>
      <c r="BQ1065" s="4" t="s">
        <v>263</v>
      </c>
      <c r="BR1065" s="4" t="s">
        <v>264</v>
      </c>
      <c r="BS1065" s="4" t="s">
        <v>241</v>
      </c>
      <c r="BT1065" s="4" t="s">
        <v>241</v>
      </c>
      <c r="BU1065" s="4" t="s">
        <v>241</v>
      </c>
      <c r="BV1065" s="4" t="s">
        <v>241</v>
      </c>
      <c r="CE1065" s="4" t="s">
        <v>264</v>
      </c>
      <c r="CF1065" s="4" t="s">
        <v>241</v>
      </c>
      <c r="CG1065" s="4" t="s">
        <v>241</v>
      </c>
      <c r="CK1065" s="4" t="s">
        <v>291</v>
      </c>
      <c r="CL1065" s="4" t="s">
        <v>266</v>
      </c>
      <c r="CM1065" s="4" t="s">
        <v>241</v>
      </c>
      <c r="CO1065" s="4" t="s">
        <v>567</v>
      </c>
      <c r="CP1065" s="5" t="s">
        <v>268</v>
      </c>
      <c r="CQ1065" s="4" t="s">
        <v>269</v>
      </c>
      <c r="CR1065" s="4" t="s">
        <v>270</v>
      </c>
      <c r="CS1065" s="4" t="s">
        <v>293</v>
      </c>
      <c r="CT1065" s="4" t="s">
        <v>241</v>
      </c>
      <c r="CU1065" s="4">
        <v>4.2000000000000003E-2</v>
      </c>
      <c r="CV1065" s="4" t="s">
        <v>271</v>
      </c>
      <c r="CW1065" s="4" t="s">
        <v>272</v>
      </c>
      <c r="CX1065" s="4" t="s">
        <v>273</v>
      </c>
      <c r="CY1065" s="6">
        <f>0</f>
        <v>0</v>
      </c>
      <c r="CZ1065" s="6">
        <f>3400300</f>
        <v>3400300</v>
      </c>
      <c r="DA1065" s="6">
        <f>1543744</f>
        <v>1543744</v>
      </c>
      <c r="DC1065" s="4" t="s">
        <v>241</v>
      </c>
      <c r="DD1065" s="4" t="s">
        <v>241</v>
      </c>
      <c r="DF1065" s="4" t="s">
        <v>241</v>
      </c>
      <c r="DG1065" s="6">
        <f>0</f>
        <v>0</v>
      </c>
      <c r="DI1065" s="4" t="s">
        <v>241</v>
      </c>
      <c r="DJ1065" s="4" t="s">
        <v>241</v>
      </c>
      <c r="DK1065" s="4" t="s">
        <v>241</v>
      </c>
      <c r="DL1065" s="4" t="s">
        <v>241</v>
      </c>
      <c r="DM1065" s="4" t="s">
        <v>277</v>
      </c>
      <c r="DN1065" s="4" t="s">
        <v>278</v>
      </c>
      <c r="DO1065" s="6">
        <f>54.37</f>
        <v>54.37</v>
      </c>
      <c r="DP1065" s="4" t="s">
        <v>241</v>
      </c>
      <c r="DQ1065" s="4" t="s">
        <v>241</v>
      </c>
      <c r="DR1065" s="4" t="s">
        <v>241</v>
      </c>
      <c r="DS1065" s="4" t="s">
        <v>241</v>
      </c>
      <c r="DV1065" s="4" t="s">
        <v>1614</v>
      </c>
      <c r="DW1065" s="4" t="s">
        <v>323</v>
      </c>
      <c r="GN1065" s="4" t="s">
        <v>3740</v>
      </c>
      <c r="HO1065" s="4" t="s">
        <v>300</v>
      </c>
      <c r="HR1065" s="4" t="s">
        <v>278</v>
      </c>
      <c r="HS1065" s="4" t="s">
        <v>278</v>
      </c>
      <c r="HT1065" s="4" t="s">
        <v>241</v>
      </c>
      <c r="HU1065" s="4" t="s">
        <v>241</v>
      </c>
      <c r="HV1065" s="4" t="s">
        <v>241</v>
      </c>
      <c r="HW1065" s="4" t="s">
        <v>241</v>
      </c>
      <c r="HX1065" s="4" t="s">
        <v>241</v>
      </c>
      <c r="HY1065" s="4" t="s">
        <v>241</v>
      </c>
      <c r="HZ1065" s="4" t="s">
        <v>241</v>
      </c>
      <c r="IA1065" s="4" t="s">
        <v>241</v>
      </c>
      <c r="IB1065" s="4" t="s">
        <v>241</v>
      </c>
      <c r="IC1065" s="4" t="s">
        <v>241</v>
      </c>
      <c r="ID1065" s="4" t="s">
        <v>241</v>
      </c>
      <c r="IE1065" s="4" t="s">
        <v>241</v>
      </c>
      <c r="IF1065" s="4" t="s">
        <v>241</v>
      </c>
    </row>
    <row r="1066" spans="1:240" x14ac:dyDescent="0.4">
      <c r="A1066" s="4">
        <v>2</v>
      </c>
      <c r="B1066" s="4" t="s">
        <v>239</v>
      </c>
      <c r="C1066" s="4">
        <v>1363</v>
      </c>
      <c r="D1066" s="4">
        <v>1</v>
      </c>
      <c r="E1066" s="4">
        <v>3</v>
      </c>
      <c r="F1066" s="4" t="s">
        <v>326</v>
      </c>
      <c r="G1066" s="4" t="s">
        <v>241</v>
      </c>
      <c r="H1066" s="4" t="s">
        <v>241</v>
      </c>
      <c r="I1066" s="4" t="s">
        <v>1612</v>
      </c>
      <c r="J1066" s="4" t="s">
        <v>424</v>
      </c>
      <c r="K1066" s="4" t="s">
        <v>256</v>
      </c>
      <c r="L1066" s="4" t="s">
        <v>2620</v>
      </c>
      <c r="M1066" s="5" t="s">
        <v>1099</v>
      </c>
      <c r="N1066" s="4" t="s">
        <v>2648</v>
      </c>
      <c r="O1066" s="6">
        <f>0</f>
        <v>0</v>
      </c>
      <c r="P1066" s="4" t="s">
        <v>276</v>
      </c>
      <c r="Q1066" s="6">
        <f>774674</f>
        <v>774674</v>
      </c>
      <c r="R1066" s="6">
        <f>839300</f>
        <v>839300</v>
      </c>
      <c r="S1066" s="5" t="s">
        <v>2684</v>
      </c>
      <c r="T1066" s="4" t="s">
        <v>322</v>
      </c>
      <c r="U1066" s="4" t="s">
        <v>278</v>
      </c>
      <c r="V1066" s="6">
        <f>839299</f>
        <v>839299</v>
      </c>
      <c r="W1066" s="6">
        <f>64626</f>
        <v>64626</v>
      </c>
      <c r="X1066" s="4" t="s">
        <v>243</v>
      </c>
      <c r="Y1066" s="4" t="s">
        <v>244</v>
      </c>
      <c r="Z1066" s="4" t="s">
        <v>241</v>
      </c>
      <c r="AA1066" s="4" t="s">
        <v>241</v>
      </c>
      <c r="AD1066" s="4" t="s">
        <v>241</v>
      </c>
      <c r="AE1066" s="5" t="s">
        <v>241</v>
      </c>
      <c r="AF1066" s="5" t="s">
        <v>241</v>
      </c>
      <c r="AH1066" s="5" t="s">
        <v>241</v>
      </c>
      <c r="AI1066" s="5" t="s">
        <v>249</v>
      </c>
      <c r="AJ1066" s="4" t="s">
        <v>251</v>
      </c>
      <c r="AK1066" s="4" t="s">
        <v>252</v>
      </c>
      <c r="AQ1066" s="4" t="s">
        <v>241</v>
      </c>
      <c r="AR1066" s="4" t="s">
        <v>241</v>
      </c>
      <c r="AS1066" s="4" t="s">
        <v>241</v>
      </c>
      <c r="AT1066" s="5" t="s">
        <v>241</v>
      </c>
      <c r="AU1066" s="5" t="s">
        <v>241</v>
      </c>
      <c r="AV1066" s="5" t="s">
        <v>241</v>
      </c>
      <c r="AY1066" s="4" t="s">
        <v>286</v>
      </c>
      <c r="AZ1066" s="4" t="s">
        <v>286</v>
      </c>
      <c r="BA1066" s="4" t="s">
        <v>254</v>
      </c>
      <c r="BB1066" s="4" t="s">
        <v>287</v>
      </c>
      <c r="BC1066" s="4" t="s">
        <v>255</v>
      </c>
      <c r="BD1066" s="4" t="s">
        <v>241</v>
      </c>
      <c r="BE1066" s="4" t="s">
        <v>257</v>
      </c>
      <c r="BF1066" s="4" t="s">
        <v>241</v>
      </c>
      <c r="BJ1066" s="4" t="s">
        <v>288</v>
      </c>
      <c r="BK1066" s="5" t="s">
        <v>289</v>
      </c>
      <c r="BL1066" s="4" t="s">
        <v>290</v>
      </c>
      <c r="BM1066" s="4" t="s">
        <v>290</v>
      </c>
      <c r="BN1066" s="4" t="s">
        <v>241</v>
      </c>
      <c r="BP1066" s="6">
        <f>-64626</f>
        <v>-64626</v>
      </c>
      <c r="BQ1066" s="4" t="s">
        <v>263</v>
      </c>
      <c r="BR1066" s="4" t="s">
        <v>264</v>
      </c>
      <c r="BS1066" s="4" t="s">
        <v>241</v>
      </c>
      <c r="BT1066" s="4" t="s">
        <v>241</v>
      </c>
      <c r="BU1066" s="4" t="s">
        <v>241</v>
      </c>
      <c r="BV1066" s="4" t="s">
        <v>241</v>
      </c>
      <c r="CE1066" s="4" t="s">
        <v>264</v>
      </c>
      <c r="CF1066" s="4" t="s">
        <v>241</v>
      </c>
      <c r="CG1066" s="4" t="s">
        <v>241</v>
      </c>
      <c r="CK1066" s="4" t="s">
        <v>291</v>
      </c>
      <c r="CL1066" s="4" t="s">
        <v>266</v>
      </c>
      <c r="CM1066" s="4" t="s">
        <v>241</v>
      </c>
      <c r="CO1066" s="4" t="s">
        <v>426</v>
      </c>
      <c r="CP1066" s="5" t="s">
        <v>268</v>
      </c>
      <c r="CQ1066" s="4" t="s">
        <v>269</v>
      </c>
      <c r="CR1066" s="4" t="s">
        <v>270</v>
      </c>
      <c r="CS1066" s="4" t="s">
        <v>293</v>
      </c>
      <c r="CT1066" s="4" t="s">
        <v>241</v>
      </c>
      <c r="CU1066" s="4">
        <v>7.6999999999999999E-2</v>
      </c>
      <c r="CV1066" s="4" t="s">
        <v>271</v>
      </c>
      <c r="CW1066" s="4" t="s">
        <v>415</v>
      </c>
      <c r="CX1066" s="4" t="s">
        <v>428</v>
      </c>
      <c r="CY1066" s="6">
        <f>0</f>
        <v>0</v>
      </c>
      <c r="CZ1066" s="6">
        <f>839300</f>
        <v>839300</v>
      </c>
      <c r="DA1066" s="6">
        <f>1</f>
        <v>1</v>
      </c>
      <c r="DC1066" s="4" t="s">
        <v>241</v>
      </c>
      <c r="DD1066" s="4" t="s">
        <v>241</v>
      </c>
      <c r="DF1066" s="4" t="s">
        <v>241</v>
      </c>
      <c r="DG1066" s="6">
        <f>0</f>
        <v>0</v>
      </c>
      <c r="DI1066" s="4" t="s">
        <v>241</v>
      </c>
      <c r="DJ1066" s="4" t="s">
        <v>241</v>
      </c>
      <c r="DK1066" s="4" t="s">
        <v>241</v>
      </c>
      <c r="DL1066" s="4" t="s">
        <v>241</v>
      </c>
      <c r="DM1066" s="4" t="s">
        <v>278</v>
      </c>
      <c r="DN1066" s="4" t="s">
        <v>278</v>
      </c>
      <c r="DO1066" s="6" t="s">
        <v>241</v>
      </c>
      <c r="DP1066" s="4" t="s">
        <v>241</v>
      </c>
      <c r="DQ1066" s="4" t="s">
        <v>241</v>
      </c>
      <c r="DR1066" s="4" t="s">
        <v>241</v>
      </c>
      <c r="DS1066" s="4" t="s">
        <v>241</v>
      </c>
      <c r="DV1066" s="4" t="s">
        <v>1614</v>
      </c>
      <c r="DW1066" s="4" t="s">
        <v>297</v>
      </c>
      <c r="GN1066" s="4" t="s">
        <v>2685</v>
      </c>
      <c r="HO1066" s="4" t="s">
        <v>323</v>
      </c>
      <c r="HR1066" s="4" t="s">
        <v>278</v>
      </c>
      <c r="HS1066" s="4" t="s">
        <v>278</v>
      </c>
      <c r="HT1066" s="4" t="s">
        <v>241</v>
      </c>
      <c r="HU1066" s="4" t="s">
        <v>241</v>
      </c>
      <c r="HV1066" s="4" t="s">
        <v>241</v>
      </c>
      <c r="HW1066" s="4" t="s">
        <v>241</v>
      </c>
      <c r="HX1066" s="4" t="s">
        <v>241</v>
      </c>
      <c r="HY1066" s="4" t="s">
        <v>241</v>
      </c>
      <c r="HZ1066" s="4" t="s">
        <v>241</v>
      </c>
      <c r="IA1066" s="4" t="s">
        <v>241</v>
      </c>
      <c r="IB1066" s="4" t="s">
        <v>241</v>
      </c>
      <c r="IC1066" s="4" t="s">
        <v>241</v>
      </c>
      <c r="ID1066" s="4" t="s">
        <v>241</v>
      </c>
      <c r="IE1066" s="4" t="s">
        <v>241</v>
      </c>
      <c r="IF1066" s="4" t="s">
        <v>241</v>
      </c>
    </row>
    <row r="1067" spans="1:240" x14ac:dyDescent="0.4">
      <c r="A1067" s="4">
        <v>2</v>
      </c>
      <c r="B1067" s="4" t="s">
        <v>239</v>
      </c>
      <c r="C1067" s="4">
        <v>1364</v>
      </c>
      <c r="D1067" s="4">
        <v>1</v>
      </c>
      <c r="E1067" s="4">
        <v>3</v>
      </c>
      <c r="F1067" s="4" t="s">
        <v>240</v>
      </c>
      <c r="G1067" s="4" t="s">
        <v>241</v>
      </c>
      <c r="H1067" s="4" t="s">
        <v>241</v>
      </c>
      <c r="I1067" s="4" t="s">
        <v>1596</v>
      </c>
      <c r="J1067" s="4" t="s">
        <v>424</v>
      </c>
      <c r="K1067" s="4" t="s">
        <v>256</v>
      </c>
      <c r="L1067" s="4" t="s">
        <v>1196</v>
      </c>
      <c r="M1067" s="5" t="s">
        <v>1597</v>
      </c>
      <c r="N1067" s="4" t="s">
        <v>1196</v>
      </c>
      <c r="O1067" s="6">
        <f>1892.28</f>
        <v>1892.28</v>
      </c>
      <c r="P1067" s="4" t="s">
        <v>276</v>
      </c>
      <c r="Q1067" s="6">
        <f>383413777</f>
        <v>383413777</v>
      </c>
      <c r="R1067" s="6">
        <f>580929960</f>
        <v>580929960</v>
      </c>
      <c r="S1067" s="5" t="s">
        <v>803</v>
      </c>
      <c r="T1067" s="4" t="s">
        <v>296</v>
      </c>
      <c r="U1067" s="4" t="s">
        <v>371</v>
      </c>
      <c r="V1067" s="6">
        <f>11618599</f>
        <v>11618599</v>
      </c>
      <c r="W1067" s="6">
        <f>197516183</f>
        <v>197516183</v>
      </c>
      <c r="X1067" s="4" t="s">
        <v>243</v>
      </c>
      <c r="Y1067" s="4" t="s">
        <v>244</v>
      </c>
      <c r="Z1067" s="4" t="s">
        <v>465</v>
      </c>
      <c r="AA1067" s="4" t="s">
        <v>241</v>
      </c>
      <c r="AD1067" s="4" t="s">
        <v>241</v>
      </c>
      <c r="AE1067" s="5" t="s">
        <v>241</v>
      </c>
      <c r="AF1067" s="5" t="s">
        <v>241</v>
      </c>
      <c r="AH1067" s="5" t="s">
        <v>241</v>
      </c>
      <c r="AI1067" s="5" t="s">
        <v>249</v>
      </c>
      <c r="AJ1067" s="4" t="s">
        <v>251</v>
      </c>
      <c r="AK1067" s="4" t="s">
        <v>252</v>
      </c>
      <c r="AQ1067" s="4" t="s">
        <v>241</v>
      </c>
      <c r="AR1067" s="4" t="s">
        <v>241</v>
      </c>
      <c r="AS1067" s="4" t="s">
        <v>241</v>
      </c>
      <c r="AT1067" s="5" t="s">
        <v>241</v>
      </c>
      <c r="AU1067" s="5" t="s">
        <v>241</v>
      </c>
      <c r="AV1067" s="5" t="s">
        <v>241</v>
      </c>
      <c r="AY1067" s="4" t="s">
        <v>286</v>
      </c>
      <c r="AZ1067" s="4" t="s">
        <v>286</v>
      </c>
      <c r="BA1067" s="4" t="s">
        <v>254</v>
      </c>
      <c r="BB1067" s="4" t="s">
        <v>287</v>
      </c>
      <c r="BC1067" s="4" t="s">
        <v>255</v>
      </c>
      <c r="BD1067" s="4" t="s">
        <v>241</v>
      </c>
      <c r="BE1067" s="4" t="s">
        <v>257</v>
      </c>
      <c r="BF1067" s="4" t="s">
        <v>241</v>
      </c>
      <c r="BJ1067" s="4" t="s">
        <v>288</v>
      </c>
      <c r="BK1067" s="5" t="s">
        <v>289</v>
      </c>
      <c r="BL1067" s="4" t="s">
        <v>290</v>
      </c>
      <c r="BM1067" s="4" t="s">
        <v>290</v>
      </c>
      <c r="BN1067" s="4" t="s">
        <v>241</v>
      </c>
      <c r="BO1067" s="6">
        <f>0</f>
        <v>0</v>
      </c>
      <c r="BP1067" s="6">
        <f>-11618599</f>
        <v>-11618599</v>
      </c>
      <c r="BQ1067" s="4" t="s">
        <v>263</v>
      </c>
      <c r="BR1067" s="4" t="s">
        <v>264</v>
      </c>
      <c r="BS1067" s="4" t="s">
        <v>241</v>
      </c>
      <c r="BT1067" s="4" t="s">
        <v>241</v>
      </c>
      <c r="BU1067" s="4" t="s">
        <v>241</v>
      </c>
      <c r="BV1067" s="4" t="s">
        <v>241</v>
      </c>
      <c r="CE1067" s="4" t="s">
        <v>264</v>
      </c>
      <c r="CF1067" s="4" t="s">
        <v>241</v>
      </c>
      <c r="CG1067" s="4" t="s">
        <v>241</v>
      </c>
      <c r="CK1067" s="4" t="s">
        <v>291</v>
      </c>
      <c r="CL1067" s="4" t="s">
        <v>266</v>
      </c>
      <c r="CM1067" s="4" t="s">
        <v>241</v>
      </c>
      <c r="CO1067" s="4" t="s">
        <v>407</v>
      </c>
      <c r="CP1067" s="5" t="s">
        <v>268</v>
      </c>
      <c r="CQ1067" s="4" t="s">
        <v>269</v>
      </c>
      <c r="CR1067" s="4" t="s">
        <v>270</v>
      </c>
      <c r="CS1067" s="4" t="s">
        <v>293</v>
      </c>
      <c r="CT1067" s="4" t="s">
        <v>241</v>
      </c>
      <c r="CU1067" s="4">
        <v>0.02</v>
      </c>
      <c r="CV1067" s="4" t="s">
        <v>271</v>
      </c>
      <c r="CW1067" s="4" t="s">
        <v>1546</v>
      </c>
      <c r="CX1067" s="4" t="s">
        <v>295</v>
      </c>
      <c r="CY1067" s="6">
        <f>0</f>
        <v>0</v>
      </c>
      <c r="CZ1067" s="6">
        <f>580929960</f>
        <v>580929960</v>
      </c>
      <c r="DA1067" s="6">
        <f>383413777</f>
        <v>383413777</v>
      </c>
      <c r="DC1067" s="4" t="s">
        <v>241</v>
      </c>
      <c r="DD1067" s="4" t="s">
        <v>241</v>
      </c>
      <c r="DF1067" s="4" t="s">
        <v>241</v>
      </c>
      <c r="DG1067" s="6">
        <f>0</f>
        <v>0</v>
      </c>
      <c r="DI1067" s="4" t="s">
        <v>241</v>
      </c>
      <c r="DJ1067" s="4" t="s">
        <v>241</v>
      </c>
      <c r="DK1067" s="4" t="s">
        <v>241</v>
      </c>
      <c r="DL1067" s="4" t="s">
        <v>241</v>
      </c>
      <c r="DM1067" s="4" t="s">
        <v>277</v>
      </c>
      <c r="DN1067" s="4" t="s">
        <v>278</v>
      </c>
      <c r="DO1067" s="6">
        <f>1892.28</f>
        <v>1892.28</v>
      </c>
      <c r="DP1067" s="4" t="s">
        <v>241</v>
      </c>
      <c r="DQ1067" s="4" t="s">
        <v>241</v>
      </c>
      <c r="DR1067" s="4" t="s">
        <v>241</v>
      </c>
      <c r="DS1067" s="4" t="s">
        <v>241</v>
      </c>
      <c r="DV1067" s="4" t="s">
        <v>1598</v>
      </c>
      <c r="DW1067" s="4" t="s">
        <v>277</v>
      </c>
      <c r="GN1067" s="4" t="s">
        <v>1599</v>
      </c>
      <c r="HO1067" s="4" t="s">
        <v>300</v>
      </c>
      <c r="HR1067" s="4" t="s">
        <v>278</v>
      </c>
      <c r="HS1067" s="4" t="s">
        <v>278</v>
      </c>
      <c r="HT1067" s="4" t="s">
        <v>241</v>
      </c>
      <c r="HU1067" s="4" t="s">
        <v>241</v>
      </c>
      <c r="HV1067" s="4" t="s">
        <v>241</v>
      </c>
      <c r="HW1067" s="4" t="s">
        <v>241</v>
      </c>
      <c r="HX1067" s="4" t="s">
        <v>241</v>
      </c>
      <c r="HY1067" s="4" t="s">
        <v>241</v>
      </c>
      <c r="HZ1067" s="4" t="s">
        <v>241</v>
      </c>
      <c r="IA1067" s="4" t="s">
        <v>241</v>
      </c>
      <c r="IB1067" s="4" t="s">
        <v>241</v>
      </c>
      <c r="IC1067" s="4" t="s">
        <v>241</v>
      </c>
      <c r="ID1067" s="4" t="s">
        <v>241</v>
      </c>
      <c r="IE1067" s="4" t="s">
        <v>241</v>
      </c>
      <c r="IF1067" s="4" t="s">
        <v>241</v>
      </c>
    </row>
    <row r="1068" spans="1:240" x14ac:dyDescent="0.4">
      <c r="A1068" s="4">
        <v>2</v>
      </c>
      <c r="B1068" s="4" t="s">
        <v>239</v>
      </c>
      <c r="C1068" s="4">
        <v>1365</v>
      </c>
      <c r="D1068" s="4">
        <v>1</v>
      </c>
      <c r="E1068" s="4">
        <v>3</v>
      </c>
      <c r="F1068" s="4" t="s">
        <v>240</v>
      </c>
      <c r="G1068" s="4" t="s">
        <v>241</v>
      </c>
      <c r="H1068" s="4" t="s">
        <v>241</v>
      </c>
      <c r="I1068" s="4" t="s">
        <v>1580</v>
      </c>
      <c r="J1068" s="4" t="s">
        <v>424</v>
      </c>
      <c r="K1068" s="4" t="s">
        <v>256</v>
      </c>
      <c r="L1068" s="4" t="s">
        <v>1196</v>
      </c>
      <c r="M1068" s="5" t="s">
        <v>1581</v>
      </c>
      <c r="N1068" s="4" t="s">
        <v>1196</v>
      </c>
      <c r="O1068" s="6">
        <f>1004.37</f>
        <v>1004.37</v>
      </c>
      <c r="P1068" s="4" t="s">
        <v>276</v>
      </c>
      <c r="Q1068" s="6">
        <f>189866108</f>
        <v>189866108</v>
      </c>
      <c r="R1068" s="6">
        <f>279214860</f>
        <v>279214860</v>
      </c>
      <c r="S1068" s="5" t="s">
        <v>1442</v>
      </c>
      <c r="T1068" s="4" t="s">
        <v>296</v>
      </c>
      <c r="U1068" s="4" t="s">
        <v>348</v>
      </c>
      <c r="V1068" s="6">
        <f>5584297</f>
        <v>5584297</v>
      </c>
      <c r="W1068" s="6">
        <f>89348752</f>
        <v>89348752</v>
      </c>
      <c r="X1068" s="4" t="s">
        <v>243</v>
      </c>
      <c r="Y1068" s="4" t="s">
        <v>244</v>
      </c>
      <c r="Z1068" s="4" t="s">
        <v>465</v>
      </c>
      <c r="AA1068" s="4" t="s">
        <v>241</v>
      </c>
      <c r="AD1068" s="4" t="s">
        <v>241</v>
      </c>
      <c r="AE1068" s="5" t="s">
        <v>241</v>
      </c>
      <c r="AF1068" s="5" t="s">
        <v>241</v>
      </c>
      <c r="AH1068" s="5" t="s">
        <v>241</v>
      </c>
      <c r="AI1068" s="5" t="s">
        <v>249</v>
      </c>
      <c r="AJ1068" s="4" t="s">
        <v>251</v>
      </c>
      <c r="AK1068" s="4" t="s">
        <v>252</v>
      </c>
      <c r="AQ1068" s="4" t="s">
        <v>241</v>
      </c>
      <c r="AR1068" s="4" t="s">
        <v>241</v>
      </c>
      <c r="AS1068" s="4" t="s">
        <v>241</v>
      </c>
      <c r="AT1068" s="5" t="s">
        <v>241</v>
      </c>
      <c r="AU1068" s="5" t="s">
        <v>241</v>
      </c>
      <c r="AV1068" s="5" t="s">
        <v>241</v>
      </c>
      <c r="AY1068" s="4" t="s">
        <v>286</v>
      </c>
      <c r="AZ1068" s="4" t="s">
        <v>286</v>
      </c>
      <c r="BA1068" s="4" t="s">
        <v>254</v>
      </c>
      <c r="BB1068" s="4" t="s">
        <v>287</v>
      </c>
      <c r="BC1068" s="4" t="s">
        <v>255</v>
      </c>
      <c r="BD1068" s="4" t="s">
        <v>241</v>
      </c>
      <c r="BE1068" s="4" t="s">
        <v>257</v>
      </c>
      <c r="BF1068" s="4" t="s">
        <v>241</v>
      </c>
      <c r="BJ1068" s="4" t="s">
        <v>288</v>
      </c>
      <c r="BK1068" s="5" t="s">
        <v>289</v>
      </c>
      <c r="BL1068" s="4" t="s">
        <v>290</v>
      </c>
      <c r="BM1068" s="4" t="s">
        <v>290</v>
      </c>
      <c r="BN1068" s="4" t="s">
        <v>241</v>
      </c>
      <c r="BO1068" s="6">
        <f>0</f>
        <v>0</v>
      </c>
      <c r="BP1068" s="6">
        <f>-5584297</f>
        <v>-5584297</v>
      </c>
      <c r="BQ1068" s="4" t="s">
        <v>263</v>
      </c>
      <c r="BR1068" s="4" t="s">
        <v>264</v>
      </c>
      <c r="BS1068" s="4" t="s">
        <v>241</v>
      </c>
      <c r="BT1068" s="4" t="s">
        <v>241</v>
      </c>
      <c r="BU1068" s="4" t="s">
        <v>241</v>
      </c>
      <c r="BV1068" s="4" t="s">
        <v>241</v>
      </c>
      <c r="CE1068" s="4" t="s">
        <v>264</v>
      </c>
      <c r="CF1068" s="4" t="s">
        <v>241</v>
      </c>
      <c r="CG1068" s="4" t="s">
        <v>241</v>
      </c>
      <c r="CK1068" s="4" t="s">
        <v>291</v>
      </c>
      <c r="CL1068" s="4" t="s">
        <v>266</v>
      </c>
      <c r="CM1068" s="4" t="s">
        <v>241</v>
      </c>
      <c r="CO1068" s="4" t="s">
        <v>1444</v>
      </c>
      <c r="CP1068" s="5" t="s">
        <v>268</v>
      </c>
      <c r="CQ1068" s="4" t="s">
        <v>269</v>
      </c>
      <c r="CR1068" s="4" t="s">
        <v>270</v>
      </c>
      <c r="CS1068" s="4" t="s">
        <v>293</v>
      </c>
      <c r="CT1068" s="4" t="s">
        <v>241</v>
      </c>
      <c r="CU1068" s="4">
        <v>0.02</v>
      </c>
      <c r="CV1068" s="4" t="s">
        <v>271</v>
      </c>
      <c r="CW1068" s="4" t="s">
        <v>1546</v>
      </c>
      <c r="CX1068" s="4" t="s">
        <v>295</v>
      </c>
      <c r="CY1068" s="6">
        <f>0</f>
        <v>0</v>
      </c>
      <c r="CZ1068" s="6">
        <f>279214860</f>
        <v>279214860</v>
      </c>
      <c r="DA1068" s="6">
        <f>189866108</f>
        <v>189866108</v>
      </c>
      <c r="DC1068" s="4" t="s">
        <v>241</v>
      </c>
      <c r="DD1068" s="4" t="s">
        <v>241</v>
      </c>
      <c r="DF1068" s="4" t="s">
        <v>241</v>
      </c>
      <c r="DG1068" s="6">
        <f>0</f>
        <v>0</v>
      </c>
      <c r="DI1068" s="4" t="s">
        <v>241</v>
      </c>
      <c r="DJ1068" s="4" t="s">
        <v>241</v>
      </c>
      <c r="DK1068" s="4" t="s">
        <v>241</v>
      </c>
      <c r="DL1068" s="4" t="s">
        <v>241</v>
      </c>
      <c r="DM1068" s="4" t="s">
        <v>277</v>
      </c>
      <c r="DN1068" s="4" t="s">
        <v>278</v>
      </c>
      <c r="DO1068" s="6">
        <f>1004.37</f>
        <v>1004.37</v>
      </c>
      <c r="DP1068" s="4" t="s">
        <v>241</v>
      </c>
      <c r="DQ1068" s="4" t="s">
        <v>241</v>
      </c>
      <c r="DR1068" s="4" t="s">
        <v>241</v>
      </c>
      <c r="DS1068" s="4" t="s">
        <v>241</v>
      </c>
      <c r="DV1068" s="4" t="s">
        <v>1582</v>
      </c>
      <c r="DW1068" s="4" t="s">
        <v>277</v>
      </c>
      <c r="GN1068" s="4" t="s">
        <v>1583</v>
      </c>
      <c r="HO1068" s="4" t="s">
        <v>300</v>
      </c>
      <c r="HR1068" s="4" t="s">
        <v>278</v>
      </c>
      <c r="HS1068" s="4" t="s">
        <v>278</v>
      </c>
      <c r="HT1068" s="4" t="s">
        <v>241</v>
      </c>
      <c r="HU1068" s="4" t="s">
        <v>241</v>
      </c>
      <c r="HV1068" s="4" t="s">
        <v>241</v>
      </c>
      <c r="HW1068" s="4" t="s">
        <v>241</v>
      </c>
      <c r="HX1068" s="4" t="s">
        <v>241</v>
      </c>
      <c r="HY1068" s="4" t="s">
        <v>241</v>
      </c>
      <c r="HZ1068" s="4" t="s">
        <v>241</v>
      </c>
      <c r="IA1068" s="4" t="s">
        <v>241</v>
      </c>
      <c r="IB1068" s="4" t="s">
        <v>241</v>
      </c>
      <c r="IC1068" s="4" t="s">
        <v>241</v>
      </c>
      <c r="ID1068" s="4" t="s">
        <v>241</v>
      </c>
      <c r="IE1068" s="4" t="s">
        <v>241</v>
      </c>
      <c r="IF1068" s="4" t="s">
        <v>241</v>
      </c>
    </row>
    <row r="1069" spans="1:240" x14ac:dyDescent="0.4">
      <c r="A1069" s="4">
        <v>2</v>
      </c>
      <c r="B1069" s="4" t="s">
        <v>239</v>
      </c>
      <c r="C1069" s="4">
        <v>1366</v>
      </c>
      <c r="D1069" s="4">
        <v>1</v>
      </c>
      <c r="E1069" s="4">
        <v>3</v>
      </c>
      <c r="F1069" s="4" t="s">
        <v>240</v>
      </c>
      <c r="G1069" s="4" t="s">
        <v>241</v>
      </c>
      <c r="H1069" s="4" t="s">
        <v>241</v>
      </c>
      <c r="I1069" s="4" t="s">
        <v>1580</v>
      </c>
      <c r="J1069" s="4" t="s">
        <v>424</v>
      </c>
      <c r="K1069" s="4" t="s">
        <v>256</v>
      </c>
      <c r="L1069" s="4" t="s">
        <v>340</v>
      </c>
      <c r="M1069" s="5" t="s">
        <v>1581</v>
      </c>
      <c r="N1069" s="4" t="s">
        <v>340</v>
      </c>
      <c r="O1069" s="6">
        <f>12</f>
        <v>12</v>
      </c>
      <c r="P1069" s="4" t="s">
        <v>276</v>
      </c>
      <c r="Q1069" s="6">
        <f>2433312</f>
        <v>2433312</v>
      </c>
      <c r="R1069" s="6">
        <f>4284000</f>
        <v>4284000</v>
      </c>
      <c r="S1069" s="5" t="s">
        <v>1442</v>
      </c>
      <c r="T1069" s="4" t="s">
        <v>333</v>
      </c>
      <c r="U1069" s="4" t="s">
        <v>348</v>
      </c>
      <c r="V1069" s="6">
        <f>115668</f>
        <v>115668</v>
      </c>
      <c r="W1069" s="6">
        <f>1850688</f>
        <v>1850688</v>
      </c>
      <c r="X1069" s="4" t="s">
        <v>243</v>
      </c>
      <c r="Y1069" s="4" t="s">
        <v>244</v>
      </c>
      <c r="Z1069" s="4" t="s">
        <v>465</v>
      </c>
      <c r="AA1069" s="4" t="s">
        <v>241</v>
      </c>
      <c r="AD1069" s="4" t="s">
        <v>241</v>
      </c>
      <c r="AE1069" s="5" t="s">
        <v>241</v>
      </c>
      <c r="AF1069" s="5" t="s">
        <v>241</v>
      </c>
      <c r="AH1069" s="5" t="s">
        <v>241</v>
      </c>
      <c r="AI1069" s="5" t="s">
        <v>249</v>
      </c>
      <c r="AJ1069" s="4" t="s">
        <v>251</v>
      </c>
      <c r="AK1069" s="4" t="s">
        <v>252</v>
      </c>
      <c r="AQ1069" s="4" t="s">
        <v>241</v>
      </c>
      <c r="AR1069" s="4" t="s">
        <v>241</v>
      </c>
      <c r="AS1069" s="4" t="s">
        <v>241</v>
      </c>
      <c r="AT1069" s="5" t="s">
        <v>241</v>
      </c>
      <c r="AU1069" s="5" t="s">
        <v>241</v>
      </c>
      <c r="AV1069" s="5" t="s">
        <v>241</v>
      </c>
      <c r="AY1069" s="4" t="s">
        <v>286</v>
      </c>
      <c r="AZ1069" s="4" t="s">
        <v>286</v>
      </c>
      <c r="BA1069" s="4" t="s">
        <v>254</v>
      </c>
      <c r="BB1069" s="4" t="s">
        <v>287</v>
      </c>
      <c r="BC1069" s="4" t="s">
        <v>255</v>
      </c>
      <c r="BD1069" s="4" t="s">
        <v>241</v>
      </c>
      <c r="BE1069" s="4" t="s">
        <v>257</v>
      </c>
      <c r="BF1069" s="4" t="s">
        <v>241</v>
      </c>
      <c r="BJ1069" s="4" t="s">
        <v>288</v>
      </c>
      <c r="BK1069" s="5" t="s">
        <v>289</v>
      </c>
      <c r="BL1069" s="4" t="s">
        <v>290</v>
      </c>
      <c r="BM1069" s="4" t="s">
        <v>290</v>
      </c>
      <c r="BN1069" s="4" t="s">
        <v>241</v>
      </c>
      <c r="BO1069" s="6">
        <f>0</f>
        <v>0</v>
      </c>
      <c r="BP1069" s="6">
        <f>-115668</f>
        <v>-115668</v>
      </c>
      <c r="BQ1069" s="4" t="s">
        <v>263</v>
      </c>
      <c r="BR1069" s="4" t="s">
        <v>264</v>
      </c>
      <c r="BS1069" s="4" t="s">
        <v>241</v>
      </c>
      <c r="BT1069" s="4" t="s">
        <v>241</v>
      </c>
      <c r="BU1069" s="4" t="s">
        <v>241</v>
      </c>
      <c r="BV1069" s="4" t="s">
        <v>241</v>
      </c>
      <c r="CE1069" s="4" t="s">
        <v>264</v>
      </c>
      <c r="CF1069" s="4" t="s">
        <v>241</v>
      </c>
      <c r="CG1069" s="4" t="s">
        <v>241</v>
      </c>
      <c r="CK1069" s="4" t="s">
        <v>291</v>
      </c>
      <c r="CL1069" s="4" t="s">
        <v>266</v>
      </c>
      <c r="CM1069" s="4" t="s">
        <v>241</v>
      </c>
      <c r="CO1069" s="4" t="s">
        <v>1444</v>
      </c>
      <c r="CP1069" s="5" t="s">
        <v>268</v>
      </c>
      <c r="CQ1069" s="4" t="s">
        <v>269</v>
      </c>
      <c r="CR1069" s="4" t="s">
        <v>270</v>
      </c>
      <c r="CS1069" s="4" t="s">
        <v>293</v>
      </c>
      <c r="CT1069" s="4" t="s">
        <v>241</v>
      </c>
      <c r="CU1069" s="4">
        <v>2.7E-2</v>
      </c>
      <c r="CV1069" s="4" t="s">
        <v>271</v>
      </c>
      <c r="CW1069" s="4" t="s">
        <v>332</v>
      </c>
      <c r="CX1069" s="4" t="s">
        <v>295</v>
      </c>
      <c r="CY1069" s="6">
        <f>0</f>
        <v>0</v>
      </c>
      <c r="CZ1069" s="6">
        <f>4284000</f>
        <v>4284000</v>
      </c>
      <c r="DA1069" s="6">
        <f>2433312</f>
        <v>2433312</v>
      </c>
      <c r="DC1069" s="4" t="s">
        <v>241</v>
      </c>
      <c r="DD1069" s="4" t="s">
        <v>241</v>
      </c>
      <c r="DF1069" s="4" t="s">
        <v>241</v>
      </c>
      <c r="DG1069" s="6">
        <f>0</f>
        <v>0</v>
      </c>
      <c r="DI1069" s="4" t="s">
        <v>241</v>
      </c>
      <c r="DJ1069" s="4" t="s">
        <v>241</v>
      </c>
      <c r="DK1069" s="4" t="s">
        <v>241</v>
      </c>
      <c r="DL1069" s="4" t="s">
        <v>241</v>
      </c>
      <c r="DM1069" s="4" t="s">
        <v>277</v>
      </c>
      <c r="DN1069" s="4" t="s">
        <v>278</v>
      </c>
      <c r="DO1069" s="6">
        <f>12</f>
        <v>12</v>
      </c>
      <c r="DP1069" s="4" t="s">
        <v>241</v>
      </c>
      <c r="DQ1069" s="4" t="s">
        <v>241</v>
      </c>
      <c r="DR1069" s="4" t="s">
        <v>241</v>
      </c>
      <c r="DS1069" s="4" t="s">
        <v>241</v>
      </c>
      <c r="DV1069" s="4" t="s">
        <v>1582</v>
      </c>
      <c r="DW1069" s="4" t="s">
        <v>323</v>
      </c>
      <c r="GN1069" s="4" t="s">
        <v>1820</v>
      </c>
      <c r="HO1069" s="4" t="s">
        <v>300</v>
      </c>
      <c r="HR1069" s="4" t="s">
        <v>278</v>
      </c>
      <c r="HS1069" s="4" t="s">
        <v>278</v>
      </c>
      <c r="HT1069" s="4" t="s">
        <v>241</v>
      </c>
      <c r="HU1069" s="4" t="s">
        <v>241</v>
      </c>
      <c r="HV1069" s="4" t="s">
        <v>241</v>
      </c>
      <c r="HW1069" s="4" t="s">
        <v>241</v>
      </c>
      <c r="HX1069" s="4" t="s">
        <v>241</v>
      </c>
      <c r="HY1069" s="4" t="s">
        <v>241</v>
      </c>
      <c r="HZ1069" s="4" t="s">
        <v>241</v>
      </c>
      <c r="IA1069" s="4" t="s">
        <v>241</v>
      </c>
      <c r="IB1069" s="4" t="s">
        <v>241</v>
      </c>
      <c r="IC1069" s="4" t="s">
        <v>241</v>
      </c>
      <c r="ID1069" s="4" t="s">
        <v>241</v>
      </c>
      <c r="IE1069" s="4" t="s">
        <v>241</v>
      </c>
      <c r="IF1069" s="4" t="s">
        <v>241</v>
      </c>
    </row>
    <row r="1070" spans="1:240" x14ac:dyDescent="0.4">
      <c r="A1070" s="4">
        <v>2</v>
      </c>
      <c r="B1070" s="4" t="s">
        <v>239</v>
      </c>
      <c r="C1070" s="4">
        <v>1367</v>
      </c>
      <c r="D1070" s="4">
        <v>1</v>
      </c>
      <c r="E1070" s="4">
        <v>1</v>
      </c>
      <c r="F1070" s="4" t="s">
        <v>240</v>
      </c>
      <c r="G1070" s="4" t="s">
        <v>241</v>
      </c>
      <c r="H1070" s="4" t="s">
        <v>241</v>
      </c>
      <c r="I1070" s="4" t="s">
        <v>1592</v>
      </c>
      <c r="J1070" s="4" t="s">
        <v>424</v>
      </c>
      <c r="K1070" s="4" t="s">
        <v>256</v>
      </c>
      <c r="L1070" s="4" t="s">
        <v>454</v>
      </c>
      <c r="M1070" s="5" t="s">
        <v>435</v>
      </c>
      <c r="N1070" s="4" t="s">
        <v>454</v>
      </c>
      <c r="O1070" s="6">
        <f>288</f>
        <v>288</v>
      </c>
      <c r="P1070" s="4" t="s">
        <v>276</v>
      </c>
      <c r="Q1070" s="6">
        <f>1</f>
        <v>1</v>
      </c>
      <c r="R1070" s="6">
        <f>17280000</f>
        <v>17280000</v>
      </c>
      <c r="S1070" s="5" t="s">
        <v>3751</v>
      </c>
      <c r="T1070" s="4" t="s">
        <v>441</v>
      </c>
      <c r="U1070" s="4" t="s">
        <v>669</v>
      </c>
      <c r="W1070" s="6">
        <f>17279999</f>
        <v>17279999</v>
      </c>
      <c r="X1070" s="4" t="s">
        <v>243</v>
      </c>
      <c r="Y1070" s="4" t="s">
        <v>244</v>
      </c>
      <c r="Z1070" s="4" t="s">
        <v>465</v>
      </c>
      <c r="AA1070" s="4" t="s">
        <v>241</v>
      </c>
      <c r="AD1070" s="4" t="s">
        <v>241</v>
      </c>
      <c r="AF1070" s="5" t="s">
        <v>241</v>
      </c>
      <c r="AI1070" s="5" t="s">
        <v>249</v>
      </c>
      <c r="AJ1070" s="4" t="s">
        <v>251</v>
      </c>
      <c r="AK1070" s="4" t="s">
        <v>252</v>
      </c>
      <c r="BA1070" s="4" t="s">
        <v>254</v>
      </c>
      <c r="BB1070" s="4" t="s">
        <v>241</v>
      </c>
      <c r="BC1070" s="4" t="s">
        <v>255</v>
      </c>
      <c r="BD1070" s="4" t="s">
        <v>241</v>
      </c>
      <c r="BE1070" s="4" t="s">
        <v>257</v>
      </c>
      <c r="BF1070" s="4" t="s">
        <v>241</v>
      </c>
      <c r="BJ1070" s="4" t="s">
        <v>367</v>
      </c>
      <c r="BK1070" s="5" t="s">
        <v>249</v>
      </c>
      <c r="BL1070" s="4" t="s">
        <v>261</v>
      </c>
      <c r="BM1070" s="4" t="s">
        <v>262</v>
      </c>
      <c r="BN1070" s="4" t="s">
        <v>241</v>
      </c>
      <c r="BO1070" s="6">
        <f>0</f>
        <v>0</v>
      </c>
      <c r="BP1070" s="6">
        <f>0</f>
        <v>0</v>
      </c>
      <c r="BQ1070" s="4" t="s">
        <v>263</v>
      </c>
      <c r="BR1070" s="4" t="s">
        <v>264</v>
      </c>
      <c r="CF1070" s="4" t="s">
        <v>241</v>
      </c>
      <c r="CG1070" s="4" t="s">
        <v>241</v>
      </c>
      <c r="CK1070" s="4" t="s">
        <v>265</v>
      </c>
      <c r="CL1070" s="4" t="s">
        <v>266</v>
      </c>
      <c r="CM1070" s="4" t="s">
        <v>241</v>
      </c>
      <c r="CO1070" s="4" t="s">
        <v>841</v>
      </c>
      <c r="CP1070" s="5" t="s">
        <v>268</v>
      </c>
      <c r="CQ1070" s="4" t="s">
        <v>269</v>
      </c>
      <c r="CR1070" s="4" t="s">
        <v>270</v>
      </c>
      <c r="CS1070" s="4" t="s">
        <v>241</v>
      </c>
      <c r="CT1070" s="4" t="s">
        <v>241</v>
      </c>
      <c r="CU1070" s="4">
        <v>0</v>
      </c>
      <c r="CV1070" s="4" t="s">
        <v>271</v>
      </c>
      <c r="CW1070" s="4" t="s">
        <v>455</v>
      </c>
      <c r="CX1070" s="4" t="s">
        <v>487</v>
      </c>
      <c r="CZ1070" s="6">
        <f>17280000</f>
        <v>17280000</v>
      </c>
      <c r="DA1070" s="6">
        <f>0</f>
        <v>0</v>
      </c>
      <c r="DC1070" s="4" t="s">
        <v>241</v>
      </c>
      <c r="DD1070" s="4" t="s">
        <v>241</v>
      </c>
      <c r="DF1070" s="4" t="s">
        <v>241</v>
      </c>
      <c r="DI1070" s="4" t="s">
        <v>241</v>
      </c>
      <c r="DJ1070" s="4" t="s">
        <v>241</v>
      </c>
      <c r="DK1070" s="4" t="s">
        <v>241</v>
      </c>
      <c r="DL1070" s="4" t="s">
        <v>241</v>
      </c>
      <c r="DM1070" s="4" t="s">
        <v>277</v>
      </c>
      <c r="DN1070" s="4" t="s">
        <v>278</v>
      </c>
      <c r="DO1070" s="6">
        <f>288</f>
        <v>288</v>
      </c>
      <c r="DP1070" s="4" t="s">
        <v>241</v>
      </c>
      <c r="DQ1070" s="4" t="s">
        <v>241</v>
      </c>
      <c r="DR1070" s="4" t="s">
        <v>241</v>
      </c>
      <c r="DS1070" s="4" t="s">
        <v>241</v>
      </c>
      <c r="DV1070" s="4" t="s">
        <v>1594</v>
      </c>
      <c r="DW1070" s="4" t="s">
        <v>277</v>
      </c>
      <c r="HO1070" s="4" t="s">
        <v>277</v>
      </c>
      <c r="HR1070" s="4" t="s">
        <v>278</v>
      </c>
      <c r="HS1070" s="4" t="s">
        <v>278</v>
      </c>
    </row>
    <row r="1071" spans="1:240" x14ac:dyDescent="0.4">
      <c r="A1071" s="4">
        <v>2</v>
      </c>
      <c r="B1071" s="4" t="s">
        <v>239</v>
      </c>
      <c r="C1071" s="4">
        <v>1368</v>
      </c>
      <c r="D1071" s="4">
        <v>1</v>
      </c>
      <c r="E1071" s="4">
        <v>3</v>
      </c>
      <c r="F1071" s="4" t="s">
        <v>240</v>
      </c>
      <c r="G1071" s="4" t="s">
        <v>241</v>
      </c>
      <c r="H1071" s="4" t="s">
        <v>241</v>
      </c>
      <c r="I1071" s="4" t="s">
        <v>1592</v>
      </c>
      <c r="J1071" s="4" t="s">
        <v>424</v>
      </c>
      <c r="K1071" s="4" t="s">
        <v>256</v>
      </c>
      <c r="L1071" s="4" t="s">
        <v>429</v>
      </c>
      <c r="M1071" s="5" t="s">
        <v>435</v>
      </c>
      <c r="N1071" s="4" t="s">
        <v>429</v>
      </c>
      <c r="O1071" s="6">
        <f>164.03</f>
        <v>164.03</v>
      </c>
      <c r="P1071" s="4" t="s">
        <v>276</v>
      </c>
      <c r="Q1071" s="6">
        <f>1838791</f>
        <v>1838791</v>
      </c>
      <c r="R1071" s="6">
        <f>15582850</f>
        <v>15582850</v>
      </c>
      <c r="S1071" s="5" t="s">
        <v>3741</v>
      </c>
      <c r="T1071" s="4" t="s">
        <v>274</v>
      </c>
      <c r="U1071" s="4" t="s">
        <v>335</v>
      </c>
      <c r="V1071" s="6">
        <f>654479</f>
        <v>654479</v>
      </c>
      <c r="W1071" s="6">
        <f>13744059</f>
        <v>13744059</v>
      </c>
      <c r="X1071" s="4" t="s">
        <v>243</v>
      </c>
      <c r="Y1071" s="4" t="s">
        <v>244</v>
      </c>
      <c r="Z1071" s="4" t="s">
        <v>465</v>
      </c>
      <c r="AA1071" s="4" t="s">
        <v>241</v>
      </c>
      <c r="AD1071" s="4" t="s">
        <v>241</v>
      </c>
      <c r="AE1071" s="5" t="s">
        <v>241</v>
      </c>
      <c r="AF1071" s="5" t="s">
        <v>241</v>
      </c>
      <c r="AH1071" s="5" t="s">
        <v>241</v>
      </c>
      <c r="AI1071" s="5" t="s">
        <v>249</v>
      </c>
      <c r="AJ1071" s="4" t="s">
        <v>251</v>
      </c>
      <c r="AK1071" s="4" t="s">
        <v>252</v>
      </c>
      <c r="AQ1071" s="4" t="s">
        <v>241</v>
      </c>
      <c r="AR1071" s="4" t="s">
        <v>241</v>
      </c>
      <c r="AS1071" s="4" t="s">
        <v>241</v>
      </c>
      <c r="AT1071" s="5" t="s">
        <v>241</v>
      </c>
      <c r="AU1071" s="5" t="s">
        <v>241</v>
      </c>
      <c r="AV1071" s="5" t="s">
        <v>241</v>
      </c>
      <c r="AY1071" s="4" t="s">
        <v>286</v>
      </c>
      <c r="AZ1071" s="4" t="s">
        <v>286</v>
      </c>
      <c r="BA1071" s="4" t="s">
        <v>254</v>
      </c>
      <c r="BB1071" s="4" t="s">
        <v>287</v>
      </c>
      <c r="BC1071" s="4" t="s">
        <v>255</v>
      </c>
      <c r="BD1071" s="4" t="s">
        <v>241</v>
      </c>
      <c r="BE1071" s="4" t="s">
        <v>257</v>
      </c>
      <c r="BF1071" s="4" t="s">
        <v>241</v>
      </c>
      <c r="BJ1071" s="4" t="s">
        <v>288</v>
      </c>
      <c r="BK1071" s="5" t="s">
        <v>289</v>
      </c>
      <c r="BL1071" s="4" t="s">
        <v>290</v>
      </c>
      <c r="BM1071" s="4" t="s">
        <v>290</v>
      </c>
      <c r="BN1071" s="4" t="s">
        <v>241</v>
      </c>
      <c r="BO1071" s="6">
        <f>0</f>
        <v>0</v>
      </c>
      <c r="BP1071" s="6">
        <f>-654479</f>
        <v>-654479</v>
      </c>
      <c r="BQ1071" s="4" t="s">
        <v>263</v>
      </c>
      <c r="BR1071" s="4" t="s">
        <v>264</v>
      </c>
      <c r="BS1071" s="4" t="s">
        <v>241</v>
      </c>
      <c r="BT1071" s="4" t="s">
        <v>241</v>
      </c>
      <c r="BU1071" s="4" t="s">
        <v>241</v>
      </c>
      <c r="BV1071" s="4" t="s">
        <v>241</v>
      </c>
      <c r="CE1071" s="4" t="s">
        <v>264</v>
      </c>
      <c r="CF1071" s="4" t="s">
        <v>241</v>
      </c>
      <c r="CG1071" s="4" t="s">
        <v>241</v>
      </c>
      <c r="CK1071" s="4" t="s">
        <v>291</v>
      </c>
      <c r="CL1071" s="4" t="s">
        <v>266</v>
      </c>
      <c r="CM1071" s="4" t="s">
        <v>241</v>
      </c>
      <c r="CO1071" s="4" t="s">
        <v>449</v>
      </c>
      <c r="CP1071" s="5" t="s">
        <v>268</v>
      </c>
      <c r="CQ1071" s="4" t="s">
        <v>269</v>
      </c>
      <c r="CR1071" s="4" t="s">
        <v>270</v>
      </c>
      <c r="CS1071" s="4" t="s">
        <v>293</v>
      </c>
      <c r="CT1071" s="4" t="s">
        <v>241</v>
      </c>
      <c r="CU1071" s="4">
        <v>4.2000000000000003E-2</v>
      </c>
      <c r="CV1071" s="4" t="s">
        <v>271</v>
      </c>
      <c r="CW1071" s="4" t="s">
        <v>272</v>
      </c>
      <c r="CX1071" s="4" t="s">
        <v>273</v>
      </c>
      <c r="CY1071" s="6">
        <f>0</f>
        <v>0</v>
      </c>
      <c r="CZ1071" s="6">
        <f>15582850</f>
        <v>15582850</v>
      </c>
      <c r="DA1071" s="6">
        <f>1838791</f>
        <v>1838791</v>
      </c>
      <c r="DC1071" s="4" t="s">
        <v>241</v>
      </c>
      <c r="DD1071" s="4" t="s">
        <v>241</v>
      </c>
      <c r="DF1071" s="4" t="s">
        <v>241</v>
      </c>
      <c r="DG1071" s="6">
        <f>0</f>
        <v>0</v>
      </c>
      <c r="DI1071" s="4" t="s">
        <v>241</v>
      </c>
      <c r="DJ1071" s="4" t="s">
        <v>241</v>
      </c>
      <c r="DK1071" s="4" t="s">
        <v>241</v>
      </c>
      <c r="DL1071" s="4" t="s">
        <v>241</v>
      </c>
      <c r="DM1071" s="4" t="s">
        <v>277</v>
      </c>
      <c r="DN1071" s="4" t="s">
        <v>278</v>
      </c>
      <c r="DO1071" s="6">
        <f>164.03</f>
        <v>164.03</v>
      </c>
      <c r="DP1071" s="4" t="s">
        <v>241</v>
      </c>
      <c r="DQ1071" s="4" t="s">
        <v>241</v>
      </c>
      <c r="DR1071" s="4" t="s">
        <v>241</v>
      </c>
      <c r="DS1071" s="4" t="s">
        <v>241</v>
      </c>
      <c r="DV1071" s="4" t="s">
        <v>1594</v>
      </c>
      <c r="DW1071" s="4" t="s">
        <v>323</v>
      </c>
      <c r="GN1071" s="4" t="s">
        <v>3742</v>
      </c>
      <c r="HO1071" s="4" t="s">
        <v>300</v>
      </c>
      <c r="HR1071" s="4" t="s">
        <v>278</v>
      </c>
      <c r="HS1071" s="4" t="s">
        <v>278</v>
      </c>
      <c r="HT1071" s="4" t="s">
        <v>241</v>
      </c>
      <c r="HU1071" s="4" t="s">
        <v>241</v>
      </c>
      <c r="HV1071" s="4" t="s">
        <v>241</v>
      </c>
      <c r="HW1071" s="4" t="s">
        <v>241</v>
      </c>
      <c r="HX1071" s="4" t="s">
        <v>241</v>
      </c>
      <c r="HY1071" s="4" t="s">
        <v>241</v>
      </c>
      <c r="HZ1071" s="4" t="s">
        <v>241</v>
      </c>
      <c r="IA1071" s="4" t="s">
        <v>241</v>
      </c>
      <c r="IB1071" s="4" t="s">
        <v>241</v>
      </c>
      <c r="IC1071" s="4" t="s">
        <v>241</v>
      </c>
      <c r="ID1071" s="4" t="s">
        <v>241</v>
      </c>
      <c r="IE1071" s="4" t="s">
        <v>241</v>
      </c>
      <c r="IF1071" s="4" t="s">
        <v>241</v>
      </c>
    </row>
    <row r="1072" spans="1:240" x14ac:dyDescent="0.4">
      <c r="A1072" s="4">
        <v>2</v>
      </c>
      <c r="B1072" s="4" t="s">
        <v>239</v>
      </c>
      <c r="C1072" s="4">
        <v>1369</v>
      </c>
      <c r="D1072" s="4">
        <v>1</v>
      </c>
      <c r="E1072" s="4">
        <v>3</v>
      </c>
      <c r="F1072" s="4" t="s">
        <v>240</v>
      </c>
      <c r="G1072" s="4" t="s">
        <v>241</v>
      </c>
      <c r="H1072" s="4" t="s">
        <v>241</v>
      </c>
      <c r="I1072" s="4" t="s">
        <v>1592</v>
      </c>
      <c r="J1072" s="4" t="s">
        <v>424</v>
      </c>
      <c r="K1072" s="4" t="s">
        <v>256</v>
      </c>
      <c r="L1072" s="4" t="s">
        <v>1196</v>
      </c>
      <c r="M1072" s="5" t="s">
        <v>435</v>
      </c>
      <c r="N1072" s="4" t="s">
        <v>1196</v>
      </c>
      <c r="O1072" s="6">
        <f>3240.17</f>
        <v>3240.17</v>
      </c>
      <c r="P1072" s="4" t="s">
        <v>276</v>
      </c>
      <c r="Q1072" s="6">
        <f>723904740</f>
        <v>723904740</v>
      </c>
      <c r="R1072" s="6">
        <f>1070865000</f>
        <v>1070865000</v>
      </c>
      <c r="S1072" s="5" t="s">
        <v>1593</v>
      </c>
      <c r="T1072" s="4" t="s">
        <v>333</v>
      </c>
      <c r="U1072" s="4" t="s">
        <v>353</v>
      </c>
      <c r="V1072" s="6">
        <f>28913355</f>
        <v>28913355</v>
      </c>
      <c r="W1072" s="6">
        <f>346960260</f>
        <v>346960260</v>
      </c>
      <c r="X1072" s="4" t="s">
        <v>243</v>
      </c>
      <c r="Y1072" s="4" t="s">
        <v>244</v>
      </c>
      <c r="Z1072" s="4" t="s">
        <v>465</v>
      </c>
      <c r="AA1072" s="4" t="s">
        <v>241</v>
      </c>
      <c r="AD1072" s="4" t="s">
        <v>241</v>
      </c>
      <c r="AE1072" s="5" t="s">
        <v>241</v>
      </c>
      <c r="AF1072" s="5" t="s">
        <v>241</v>
      </c>
      <c r="AH1072" s="5" t="s">
        <v>241</v>
      </c>
      <c r="AI1072" s="5" t="s">
        <v>249</v>
      </c>
      <c r="AJ1072" s="4" t="s">
        <v>251</v>
      </c>
      <c r="AK1072" s="4" t="s">
        <v>252</v>
      </c>
      <c r="AQ1072" s="4" t="s">
        <v>241</v>
      </c>
      <c r="AR1072" s="4" t="s">
        <v>241</v>
      </c>
      <c r="AS1072" s="4" t="s">
        <v>241</v>
      </c>
      <c r="AT1072" s="5" t="s">
        <v>241</v>
      </c>
      <c r="AU1072" s="5" t="s">
        <v>241</v>
      </c>
      <c r="AV1072" s="5" t="s">
        <v>241</v>
      </c>
      <c r="AY1072" s="4" t="s">
        <v>286</v>
      </c>
      <c r="AZ1072" s="4" t="s">
        <v>286</v>
      </c>
      <c r="BA1072" s="4" t="s">
        <v>254</v>
      </c>
      <c r="BB1072" s="4" t="s">
        <v>287</v>
      </c>
      <c r="BC1072" s="4" t="s">
        <v>255</v>
      </c>
      <c r="BD1072" s="4" t="s">
        <v>241</v>
      </c>
      <c r="BE1072" s="4" t="s">
        <v>257</v>
      </c>
      <c r="BF1072" s="4" t="s">
        <v>241</v>
      </c>
      <c r="BJ1072" s="4" t="s">
        <v>288</v>
      </c>
      <c r="BK1072" s="5" t="s">
        <v>289</v>
      </c>
      <c r="BL1072" s="4" t="s">
        <v>290</v>
      </c>
      <c r="BM1072" s="4" t="s">
        <v>290</v>
      </c>
      <c r="BN1072" s="4" t="s">
        <v>241</v>
      </c>
      <c r="BO1072" s="6">
        <f>0</f>
        <v>0</v>
      </c>
      <c r="BP1072" s="6">
        <f>-28913355</f>
        <v>-28913355</v>
      </c>
      <c r="BQ1072" s="4" t="s">
        <v>263</v>
      </c>
      <c r="BR1072" s="4" t="s">
        <v>264</v>
      </c>
      <c r="BS1072" s="4" t="s">
        <v>241</v>
      </c>
      <c r="BT1072" s="4" t="s">
        <v>241</v>
      </c>
      <c r="BU1072" s="4" t="s">
        <v>241</v>
      </c>
      <c r="BV1072" s="4" t="s">
        <v>241</v>
      </c>
      <c r="CE1072" s="4" t="s">
        <v>264</v>
      </c>
      <c r="CF1072" s="4" t="s">
        <v>241</v>
      </c>
      <c r="CG1072" s="4" t="s">
        <v>241</v>
      </c>
      <c r="CK1072" s="4" t="s">
        <v>291</v>
      </c>
      <c r="CL1072" s="4" t="s">
        <v>266</v>
      </c>
      <c r="CM1072" s="4" t="s">
        <v>241</v>
      </c>
      <c r="CO1072" s="4" t="s">
        <v>352</v>
      </c>
      <c r="CP1072" s="5" t="s">
        <v>268</v>
      </c>
      <c r="CQ1072" s="4" t="s">
        <v>269</v>
      </c>
      <c r="CR1072" s="4" t="s">
        <v>270</v>
      </c>
      <c r="CS1072" s="4" t="s">
        <v>293</v>
      </c>
      <c r="CT1072" s="4" t="s">
        <v>241</v>
      </c>
      <c r="CU1072" s="4">
        <v>2.7E-2</v>
      </c>
      <c r="CV1072" s="4" t="s">
        <v>271</v>
      </c>
      <c r="CW1072" s="4" t="s">
        <v>1546</v>
      </c>
      <c r="CX1072" s="4" t="s">
        <v>487</v>
      </c>
      <c r="CY1072" s="6">
        <f>0</f>
        <v>0</v>
      </c>
      <c r="CZ1072" s="6">
        <f>1070865000</f>
        <v>1070865000</v>
      </c>
      <c r="DA1072" s="6">
        <f>723904740</f>
        <v>723904740</v>
      </c>
      <c r="DC1072" s="4" t="s">
        <v>241</v>
      </c>
      <c r="DD1072" s="4" t="s">
        <v>241</v>
      </c>
      <c r="DF1072" s="4" t="s">
        <v>241</v>
      </c>
      <c r="DG1072" s="6">
        <f>0</f>
        <v>0</v>
      </c>
      <c r="DI1072" s="4" t="s">
        <v>241</v>
      </c>
      <c r="DJ1072" s="4" t="s">
        <v>241</v>
      </c>
      <c r="DK1072" s="4" t="s">
        <v>241</v>
      </c>
      <c r="DL1072" s="4" t="s">
        <v>241</v>
      </c>
      <c r="DM1072" s="4" t="s">
        <v>323</v>
      </c>
      <c r="DN1072" s="4" t="s">
        <v>278</v>
      </c>
      <c r="DO1072" s="6">
        <f>3240.17</f>
        <v>3240.17</v>
      </c>
      <c r="DP1072" s="4" t="s">
        <v>241</v>
      </c>
      <c r="DQ1072" s="4" t="s">
        <v>241</v>
      </c>
      <c r="DR1072" s="4" t="s">
        <v>241</v>
      </c>
      <c r="DS1072" s="4" t="s">
        <v>241</v>
      </c>
      <c r="DV1072" s="4" t="s">
        <v>1594</v>
      </c>
      <c r="DW1072" s="4" t="s">
        <v>297</v>
      </c>
      <c r="GN1072" s="4" t="s">
        <v>1595</v>
      </c>
      <c r="HO1072" s="4" t="s">
        <v>300</v>
      </c>
      <c r="HR1072" s="4" t="s">
        <v>278</v>
      </c>
      <c r="HS1072" s="4" t="s">
        <v>278</v>
      </c>
      <c r="HT1072" s="4" t="s">
        <v>241</v>
      </c>
      <c r="HU1072" s="4" t="s">
        <v>241</v>
      </c>
      <c r="HV1072" s="4" t="s">
        <v>241</v>
      </c>
      <c r="HW1072" s="4" t="s">
        <v>241</v>
      </c>
      <c r="HX1072" s="4" t="s">
        <v>241</v>
      </c>
      <c r="HY1072" s="4" t="s">
        <v>241</v>
      </c>
      <c r="HZ1072" s="4" t="s">
        <v>241</v>
      </c>
      <c r="IA1072" s="4" t="s">
        <v>241</v>
      </c>
      <c r="IB1072" s="4" t="s">
        <v>241</v>
      </c>
      <c r="IC1072" s="4" t="s">
        <v>241</v>
      </c>
      <c r="ID1072" s="4" t="s">
        <v>241</v>
      </c>
      <c r="IE1072" s="4" t="s">
        <v>241</v>
      </c>
      <c r="IF1072" s="4" t="s">
        <v>241</v>
      </c>
    </row>
    <row r="1073" spans="1:240" x14ac:dyDescent="0.4">
      <c r="A1073" s="4">
        <v>2</v>
      </c>
      <c r="B1073" s="4" t="s">
        <v>239</v>
      </c>
      <c r="C1073" s="4">
        <v>1370</v>
      </c>
      <c r="D1073" s="4">
        <v>1</v>
      </c>
      <c r="E1073" s="4">
        <v>3</v>
      </c>
      <c r="F1073" s="4" t="s">
        <v>240</v>
      </c>
      <c r="G1073" s="4" t="s">
        <v>241</v>
      </c>
      <c r="H1073" s="4" t="s">
        <v>241</v>
      </c>
      <c r="I1073" s="4" t="s">
        <v>1592</v>
      </c>
      <c r="J1073" s="4" t="s">
        <v>424</v>
      </c>
      <c r="K1073" s="4" t="s">
        <v>256</v>
      </c>
      <c r="L1073" s="4" t="s">
        <v>429</v>
      </c>
      <c r="M1073" s="5" t="s">
        <v>435</v>
      </c>
      <c r="N1073" s="4" t="s">
        <v>429</v>
      </c>
      <c r="O1073" s="6">
        <f>39.74</f>
        <v>39.74</v>
      </c>
      <c r="P1073" s="4" t="s">
        <v>276</v>
      </c>
      <c r="Q1073" s="6">
        <f>901404</f>
        <v>901404</v>
      </c>
      <c r="R1073" s="6">
        <f>4599000</f>
        <v>4599000</v>
      </c>
      <c r="S1073" s="5" t="s">
        <v>1593</v>
      </c>
      <c r="T1073" s="4" t="s">
        <v>348</v>
      </c>
      <c r="U1073" s="4" t="s">
        <v>353</v>
      </c>
      <c r="V1073" s="6">
        <f>308133</f>
        <v>308133</v>
      </c>
      <c r="W1073" s="6">
        <f>3697596</f>
        <v>3697596</v>
      </c>
      <c r="X1073" s="4" t="s">
        <v>243</v>
      </c>
      <c r="Y1073" s="4" t="s">
        <v>244</v>
      </c>
      <c r="Z1073" s="4" t="s">
        <v>465</v>
      </c>
      <c r="AA1073" s="4" t="s">
        <v>241</v>
      </c>
      <c r="AD1073" s="4" t="s">
        <v>241</v>
      </c>
      <c r="AE1073" s="5" t="s">
        <v>241</v>
      </c>
      <c r="AF1073" s="5" t="s">
        <v>241</v>
      </c>
      <c r="AH1073" s="5" t="s">
        <v>241</v>
      </c>
      <c r="AI1073" s="5" t="s">
        <v>249</v>
      </c>
      <c r="AJ1073" s="4" t="s">
        <v>251</v>
      </c>
      <c r="AK1073" s="4" t="s">
        <v>252</v>
      </c>
      <c r="AQ1073" s="4" t="s">
        <v>241</v>
      </c>
      <c r="AR1073" s="4" t="s">
        <v>241</v>
      </c>
      <c r="AS1073" s="4" t="s">
        <v>241</v>
      </c>
      <c r="AT1073" s="5" t="s">
        <v>241</v>
      </c>
      <c r="AU1073" s="5" t="s">
        <v>241</v>
      </c>
      <c r="AV1073" s="5" t="s">
        <v>241</v>
      </c>
      <c r="AY1073" s="4" t="s">
        <v>286</v>
      </c>
      <c r="AZ1073" s="4" t="s">
        <v>286</v>
      </c>
      <c r="BA1073" s="4" t="s">
        <v>254</v>
      </c>
      <c r="BB1073" s="4" t="s">
        <v>287</v>
      </c>
      <c r="BC1073" s="4" t="s">
        <v>255</v>
      </c>
      <c r="BD1073" s="4" t="s">
        <v>241</v>
      </c>
      <c r="BE1073" s="4" t="s">
        <v>257</v>
      </c>
      <c r="BF1073" s="4" t="s">
        <v>241</v>
      </c>
      <c r="BJ1073" s="4" t="s">
        <v>288</v>
      </c>
      <c r="BK1073" s="5" t="s">
        <v>289</v>
      </c>
      <c r="BL1073" s="4" t="s">
        <v>290</v>
      </c>
      <c r="BM1073" s="4" t="s">
        <v>290</v>
      </c>
      <c r="BN1073" s="4" t="s">
        <v>241</v>
      </c>
      <c r="BO1073" s="6">
        <f>0</f>
        <v>0</v>
      </c>
      <c r="BP1073" s="6">
        <f>-308133</f>
        <v>-308133</v>
      </c>
      <c r="BQ1073" s="4" t="s">
        <v>263</v>
      </c>
      <c r="BR1073" s="4" t="s">
        <v>264</v>
      </c>
      <c r="BS1073" s="4" t="s">
        <v>241</v>
      </c>
      <c r="BT1073" s="4" t="s">
        <v>241</v>
      </c>
      <c r="BU1073" s="4" t="s">
        <v>241</v>
      </c>
      <c r="BV1073" s="4" t="s">
        <v>241</v>
      </c>
      <c r="CE1073" s="4" t="s">
        <v>264</v>
      </c>
      <c r="CF1073" s="4" t="s">
        <v>241</v>
      </c>
      <c r="CG1073" s="4" t="s">
        <v>241</v>
      </c>
      <c r="CK1073" s="4" t="s">
        <v>291</v>
      </c>
      <c r="CL1073" s="4" t="s">
        <v>266</v>
      </c>
      <c r="CM1073" s="4" t="s">
        <v>241</v>
      </c>
      <c r="CO1073" s="4" t="s">
        <v>352</v>
      </c>
      <c r="CP1073" s="5" t="s">
        <v>268</v>
      </c>
      <c r="CQ1073" s="4" t="s">
        <v>269</v>
      </c>
      <c r="CR1073" s="4" t="s">
        <v>270</v>
      </c>
      <c r="CS1073" s="4" t="s">
        <v>293</v>
      </c>
      <c r="CT1073" s="4" t="s">
        <v>241</v>
      </c>
      <c r="CU1073" s="4">
        <v>6.7000000000000004E-2</v>
      </c>
      <c r="CV1073" s="4" t="s">
        <v>271</v>
      </c>
      <c r="CW1073" s="4" t="s">
        <v>272</v>
      </c>
      <c r="CX1073" s="4" t="s">
        <v>347</v>
      </c>
      <c r="CY1073" s="6">
        <f>0</f>
        <v>0</v>
      </c>
      <c r="CZ1073" s="6">
        <f>4599000</f>
        <v>4599000</v>
      </c>
      <c r="DA1073" s="6">
        <f>901404</f>
        <v>901404</v>
      </c>
      <c r="DC1073" s="4" t="s">
        <v>241</v>
      </c>
      <c r="DD1073" s="4" t="s">
        <v>241</v>
      </c>
      <c r="DF1073" s="4" t="s">
        <v>241</v>
      </c>
      <c r="DG1073" s="6">
        <f>0</f>
        <v>0</v>
      </c>
      <c r="DI1073" s="4" t="s">
        <v>241</v>
      </c>
      <c r="DJ1073" s="4" t="s">
        <v>241</v>
      </c>
      <c r="DK1073" s="4" t="s">
        <v>241</v>
      </c>
      <c r="DL1073" s="4" t="s">
        <v>241</v>
      </c>
      <c r="DM1073" s="4" t="s">
        <v>277</v>
      </c>
      <c r="DN1073" s="4" t="s">
        <v>278</v>
      </c>
      <c r="DO1073" s="6">
        <f>39.74</f>
        <v>39.74</v>
      </c>
      <c r="DP1073" s="4" t="s">
        <v>241</v>
      </c>
      <c r="DQ1073" s="4" t="s">
        <v>241</v>
      </c>
      <c r="DR1073" s="4" t="s">
        <v>241</v>
      </c>
      <c r="DS1073" s="4" t="s">
        <v>241</v>
      </c>
      <c r="DV1073" s="4" t="s">
        <v>1594</v>
      </c>
      <c r="DW1073" s="4" t="s">
        <v>336</v>
      </c>
      <c r="GN1073" s="4" t="s">
        <v>3599</v>
      </c>
      <c r="HO1073" s="4" t="s">
        <v>300</v>
      </c>
      <c r="HR1073" s="4" t="s">
        <v>278</v>
      </c>
      <c r="HS1073" s="4" t="s">
        <v>278</v>
      </c>
      <c r="HT1073" s="4" t="s">
        <v>241</v>
      </c>
      <c r="HU1073" s="4" t="s">
        <v>241</v>
      </c>
      <c r="HV1073" s="4" t="s">
        <v>241</v>
      </c>
      <c r="HW1073" s="4" t="s">
        <v>241</v>
      </c>
      <c r="HX1073" s="4" t="s">
        <v>241</v>
      </c>
      <c r="HY1073" s="4" t="s">
        <v>241</v>
      </c>
      <c r="HZ1073" s="4" t="s">
        <v>241</v>
      </c>
      <c r="IA1073" s="4" t="s">
        <v>241</v>
      </c>
      <c r="IB1073" s="4" t="s">
        <v>241</v>
      </c>
      <c r="IC1073" s="4" t="s">
        <v>241</v>
      </c>
      <c r="ID1073" s="4" t="s">
        <v>241</v>
      </c>
      <c r="IE1073" s="4" t="s">
        <v>241</v>
      </c>
      <c r="IF1073" s="4" t="s">
        <v>241</v>
      </c>
    </row>
    <row r="1074" spans="1:240" x14ac:dyDescent="0.4">
      <c r="A1074" s="4">
        <v>2</v>
      </c>
      <c r="B1074" s="4" t="s">
        <v>239</v>
      </c>
      <c r="C1074" s="4">
        <v>1371</v>
      </c>
      <c r="D1074" s="4">
        <v>1</v>
      </c>
      <c r="E1074" s="4">
        <v>3</v>
      </c>
      <c r="F1074" s="4" t="s">
        <v>240</v>
      </c>
      <c r="G1074" s="4" t="s">
        <v>241</v>
      </c>
      <c r="H1074" s="4" t="s">
        <v>241</v>
      </c>
      <c r="I1074" s="4" t="s">
        <v>1588</v>
      </c>
      <c r="J1074" s="4" t="s">
        <v>424</v>
      </c>
      <c r="K1074" s="4" t="s">
        <v>256</v>
      </c>
      <c r="L1074" s="4" t="s">
        <v>1196</v>
      </c>
      <c r="M1074" s="5" t="s">
        <v>1589</v>
      </c>
      <c r="N1074" s="4" t="s">
        <v>1196</v>
      </c>
      <c r="O1074" s="6">
        <f>678.79</f>
        <v>678.79</v>
      </c>
      <c r="P1074" s="4" t="s">
        <v>276</v>
      </c>
      <c r="Q1074" s="6">
        <f>1</f>
        <v>1</v>
      </c>
      <c r="R1074" s="6">
        <f>91636650</f>
        <v>91636650</v>
      </c>
      <c r="S1074" s="5" t="s">
        <v>741</v>
      </c>
      <c r="T1074" s="4" t="s">
        <v>296</v>
      </c>
      <c r="U1074" s="4" t="s">
        <v>1096</v>
      </c>
      <c r="V1074" s="6">
        <f>1832732</f>
        <v>1832732</v>
      </c>
      <c r="W1074" s="6">
        <f>91636649</f>
        <v>91636649</v>
      </c>
      <c r="X1074" s="4" t="s">
        <v>243</v>
      </c>
      <c r="Y1074" s="4" t="s">
        <v>244</v>
      </c>
      <c r="Z1074" s="4" t="s">
        <v>465</v>
      </c>
      <c r="AA1074" s="4" t="s">
        <v>241</v>
      </c>
      <c r="AD1074" s="4" t="s">
        <v>241</v>
      </c>
      <c r="AE1074" s="5" t="s">
        <v>241</v>
      </c>
      <c r="AF1074" s="5" t="s">
        <v>241</v>
      </c>
      <c r="AH1074" s="5" t="s">
        <v>241</v>
      </c>
      <c r="AI1074" s="5" t="s">
        <v>249</v>
      </c>
      <c r="AJ1074" s="4" t="s">
        <v>251</v>
      </c>
      <c r="AK1074" s="4" t="s">
        <v>252</v>
      </c>
      <c r="AQ1074" s="4" t="s">
        <v>241</v>
      </c>
      <c r="AR1074" s="4" t="s">
        <v>241</v>
      </c>
      <c r="AS1074" s="4" t="s">
        <v>241</v>
      </c>
      <c r="AT1074" s="5" t="s">
        <v>241</v>
      </c>
      <c r="AU1074" s="5" t="s">
        <v>241</v>
      </c>
      <c r="AV1074" s="5" t="s">
        <v>241</v>
      </c>
      <c r="AY1074" s="4" t="s">
        <v>286</v>
      </c>
      <c r="AZ1074" s="4" t="s">
        <v>286</v>
      </c>
      <c r="BA1074" s="4" t="s">
        <v>254</v>
      </c>
      <c r="BB1074" s="4" t="s">
        <v>287</v>
      </c>
      <c r="BC1074" s="4" t="s">
        <v>255</v>
      </c>
      <c r="BD1074" s="4" t="s">
        <v>241</v>
      </c>
      <c r="BE1074" s="4" t="s">
        <v>257</v>
      </c>
      <c r="BF1074" s="4" t="s">
        <v>241</v>
      </c>
      <c r="BJ1074" s="4" t="s">
        <v>288</v>
      </c>
      <c r="BK1074" s="5" t="s">
        <v>289</v>
      </c>
      <c r="BL1074" s="4" t="s">
        <v>290</v>
      </c>
      <c r="BM1074" s="4" t="s">
        <v>290</v>
      </c>
      <c r="BN1074" s="4" t="s">
        <v>241</v>
      </c>
      <c r="BO1074" s="6">
        <f>0</f>
        <v>0</v>
      </c>
      <c r="BP1074" s="6">
        <f>-1832732</f>
        <v>-1832732</v>
      </c>
      <c r="BQ1074" s="4" t="s">
        <v>263</v>
      </c>
      <c r="BR1074" s="4" t="s">
        <v>264</v>
      </c>
      <c r="BS1074" s="4" t="s">
        <v>241</v>
      </c>
      <c r="BT1074" s="4" t="s">
        <v>241</v>
      </c>
      <c r="BU1074" s="4" t="s">
        <v>241</v>
      </c>
      <c r="BV1074" s="4" t="s">
        <v>241</v>
      </c>
      <c r="CE1074" s="4" t="s">
        <v>264</v>
      </c>
      <c r="CF1074" s="4" t="s">
        <v>241</v>
      </c>
      <c r="CG1074" s="4" t="s">
        <v>241</v>
      </c>
      <c r="CK1074" s="4" t="s">
        <v>265</v>
      </c>
      <c r="CL1074" s="4" t="s">
        <v>266</v>
      </c>
      <c r="CM1074" s="4" t="s">
        <v>241</v>
      </c>
      <c r="CO1074" s="4" t="s">
        <v>511</v>
      </c>
      <c r="CP1074" s="5" t="s">
        <v>268</v>
      </c>
      <c r="CQ1074" s="4" t="s">
        <v>269</v>
      </c>
      <c r="CR1074" s="4" t="s">
        <v>270</v>
      </c>
      <c r="CS1074" s="4" t="s">
        <v>293</v>
      </c>
      <c r="CT1074" s="4" t="s">
        <v>241</v>
      </c>
      <c r="CU1074" s="4">
        <v>0.02</v>
      </c>
      <c r="CV1074" s="4" t="s">
        <v>271</v>
      </c>
      <c r="CW1074" s="4" t="s">
        <v>1546</v>
      </c>
      <c r="CX1074" s="4" t="s">
        <v>295</v>
      </c>
      <c r="CY1074" s="6">
        <f>0</f>
        <v>0</v>
      </c>
      <c r="CZ1074" s="6">
        <f>91636650</f>
        <v>91636650</v>
      </c>
      <c r="DA1074" s="6">
        <f>1</f>
        <v>1</v>
      </c>
      <c r="DC1074" s="4" t="s">
        <v>241</v>
      </c>
      <c r="DD1074" s="4" t="s">
        <v>241</v>
      </c>
      <c r="DF1074" s="4" t="s">
        <v>241</v>
      </c>
      <c r="DG1074" s="6">
        <f>0</f>
        <v>0</v>
      </c>
      <c r="DI1074" s="4" t="s">
        <v>241</v>
      </c>
      <c r="DJ1074" s="4" t="s">
        <v>241</v>
      </c>
      <c r="DK1074" s="4" t="s">
        <v>241</v>
      </c>
      <c r="DL1074" s="4" t="s">
        <v>241</v>
      </c>
      <c r="DM1074" s="4" t="s">
        <v>277</v>
      </c>
      <c r="DN1074" s="4" t="s">
        <v>278</v>
      </c>
      <c r="DO1074" s="6">
        <f>678.79</f>
        <v>678.79</v>
      </c>
      <c r="DP1074" s="4" t="s">
        <v>241</v>
      </c>
      <c r="DQ1074" s="4" t="s">
        <v>241</v>
      </c>
      <c r="DR1074" s="4" t="s">
        <v>241</v>
      </c>
      <c r="DS1074" s="4" t="s">
        <v>241</v>
      </c>
      <c r="DV1074" s="4" t="s">
        <v>1590</v>
      </c>
      <c r="DW1074" s="4" t="s">
        <v>277</v>
      </c>
      <c r="GN1074" s="4" t="s">
        <v>1591</v>
      </c>
      <c r="HO1074" s="4" t="s">
        <v>300</v>
      </c>
      <c r="HR1074" s="4" t="s">
        <v>278</v>
      </c>
      <c r="HS1074" s="4" t="s">
        <v>278</v>
      </c>
      <c r="HT1074" s="4" t="s">
        <v>241</v>
      </c>
      <c r="HU1074" s="4" t="s">
        <v>241</v>
      </c>
      <c r="HV1074" s="4" t="s">
        <v>241</v>
      </c>
      <c r="HW1074" s="4" t="s">
        <v>241</v>
      </c>
      <c r="HX1074" s="4" t="s">
        <v>241</v>
      </c>
      <c r="HY1074" s="4" t="s">
        <v>241</v>
      </c>
      <c r="HZ1074" s="4" t="s">
        <v>241</v>
      </c>
      <c r="IA1074" s="4" t="s">
        <v>241</v>
      </c>
      <c r="IB1074" s="4" t="s">
        <v>241</v>
      </c>
      <c r="IC1074" s="4" t="s">
        <v>241</v>
      </c>
      <c r="ID1074" s="4" t="s">
        <v>241</v>
      </c>
      <c r="IE1074" s="4" t="s">
        <v>241</v>
      </c>
      <c r="IF1074" s="4" t="s">
        <v>241</v>
      </c>
    </row>
    <row r="1075" spans="1:240" x14ac:dyDescent="0.4">
      <c r="A1075" s="4">
        <v>2</v>
      </c>
      <c r="B1075" s="4" t="s">
        <v>239</v>
      </c>
      <c r="C1075" s="4">
        <v>1372</v>
      </c>
      <c r="D1075" s="4">
        <v>1</v>
      </c>
      <c r="E1075" s="4">
        <v>1</v>
      </c>
      <c r="F1075" s="4" t="s">
        <v>240</v>
      </c>
      <c r="G1075" s="4" t="s">
        <v>241</v>
      </c>
      <c r="H1075" s="4" t="s">
        <v>241</v>
      </c>
      <c r="I1075" s="4" t="s">
        <v>1588</v>
      </c>
      <c r="J1075" s="4" t="s">
        <v>424</v>
      </c>
      <c r="K1075" s="4" t="s">
        <v>256</v>
      </c>
      <c r="L1075" s="4" t="s">
        <v>454</v>
      </c>
      <c r="M1075" s="5" t="s">
        <v>1589</v>
      </c>
      <c r="N1075" s="4" t="s">
        <v>454</v>
      </c>
      <c r="O1075" s="6">
        <f>45.36</f>
        <v>45.36</v>
      </c>
      <c r="P1075" s="4" t="s">
        <v>276</v>
      </c>
      <c r="Q1075" s="6">
        <f>1</f>
        <v>1</v>
      </c>
      <c r="R1075" s="6">
        <f>2721600</f>
        <v>2721600</v>
      </c>
      <c r="S1075" s="5" t="s">
        <v>741</v>
      </c>
      <c r="T1075" s="4" t="s">
        <v>404</v>
      </c>
      <c r="U1075" s="4" t="s">
        <v>683</v>
      </c>
      <c r="W1075" s="6">
        <f>2721599</f>
        <v>2721599</v>
      </c>
      <c r="X1075" s="4" t="s">
        <v>243</v>
      </c>
      <c r="Y1075" s="4" t="s">
        <v>244</v>
      </c>
      <c r="Z1075" s="4" t="s">
        <v>465</v>
      </c>
      <c r="AA1075" s="4" t="s">
        <v>241</v>
      </c>
      <c r="AD1075" s="4" t="s">
        <v>241</v>
      </c>
      <c r="AF1075" s="5" t="s">
        <v>241</v>
      </c>
      <c r="AI1075" s="5" t="s">
        <v>249</v>
      </c>
      <c r="AJ1075" s="4" t="s">
        <v>251</v>
      </c>
      <c r="AK1075" s="4" t="s">
        <v>252</v>
      </c>
      <c r="BA1075" s="4" t="s">
        <v>254</v>
      </c>
      <c r="BB1075" s="4" t="s">
        <v>241</v>
      </c>
      <c r="BC1075" s="4" t="s">
        <v>255</v>
      </c>
      <c r="BD1075" s="4" t="s">
        <v>241</v>
      </c>
      <c r="BE1075" s="4" t="s">
        <v>257</v>
      </c>
      <c r="BF1075" s="4" t="s">
        <v>241</v>
      </c>
      <c r="BJ1075" s="4" t="s">
        <v>259</v>
      </c>
      <c r="BK1075" s="5" t="s">
        <v>3856</v>
      </c>
      <c r="BL1075" s="4" t="s">
        <v>261</v>
      </c>
      <c r="BM1075" s="4" t="s">
        <v>262</v>
      </c>
      <c r="BN1075" s="4" t="s">
        <v>241</v>
      </c>
      <c r="BO1075" s="6">
        <f>0</f>
        <v>0</v>
      </c>
      <c r="BP1075" s="6">
        <f>0</f>
        <v>0</v>
      </c>
      <c r="BQ1075" s="4" t="s">
        <v>263</v>
      </c>
      <c r="BR1075" s="4" t="s">
        <v>264</v>
      </c>
      <c r="CF1075" s="4" t="s">
        <v>241</v>
      </c>
      <c r="CG1075" s="4" t="s">
        <v>241</v>
      </c>
      <c r="CK1075" s="4" t="s">
        <v>265</v>
      </c>
      <c r="CL1075" s="4" t="s">
        <v>266</v>
      </c>
      <c r="CM1075" s="4" t="s">
        <v>241</v>
      </c>
      <c r="CO1075" s="4" t="s">
        <v>511</v>
      </c>
      <c r="CP1075" s="5" t="s">
        <v>268</v>
      </c>
      <c r="CQ1075" s="4" t="s">
        <v>269</v>
      </c>
      <c r="CR1075" s="4" t="s">
        <v>270</v>
      </c>
      <c r="CS1075" s="4" t="s">
        <v>241</v>
      </c>
      <c r="CT1075" s="4" t="s">
        <v>241</v>
      </c>
      <c r="CU1075" s="4">
        <v>0</v>
      </c>
      <c r="CV1075" s="4" t="s">
        <v>271</v>
      </c>
      <c r="CW1075" s="4" t="s">
        <v>455</v>
      </c>
      <c r="CX1075" s="4" t="s">
        <v>273</v>
      </c>
      <c r="CZ1075" s="6">
        <f>2721600</f>
        <v>2721600</v>
      </c>
      <c r="DA1075" s="6">
        <f>0</f>
        <v>0</v>
      </c>
      <c r="DC1075" s="4" t="s">
        <v>241</v>
      </c>
      <c r="DD1075" s="4" t="s">
        <v>241</v>
      </c>
      <c r="DF1075" s="4" t="s">
        <v>241</v>
      </c>
      <c r="DI1075" s="4" t="s">
        <v>241</v>
      </c>
      <c r="DJ1075" s="4" t="s">
        <v>241</v>
      </c>
      <c r="DK1075" s="4" t="s">
        <v>241</v>
      </c>
      <c r="DL1075" s="4" t="s">
        <v>241</v>
      </c>
      <c r="DM1075" s="4" t="s">
        <v>323</v>
      </c>
      <c r="DN1075" s="4" t="s">
        <v>278</v>
      </c>
      <c r="DO1075" s="6">
        <f>45.36</f>
        <v>45.36</v>
      </c>
      <c r="DP1075" s="4" t="s">
        <v>241</v>
      </c>
      <c r="DQ1075" s="4" t="s">
        <v>241</v>
      </c>
      <c r="DR1075" s="4" t="s">
        <v>241</v>
      </c>
      <c r="DS1075" s="4" t="s">
        <v>241</v>
      </c>
      <c r="DV1075" s="4" t="s">
        <v>1590</v>
      </c>
      <c r="DW1075" s="4" t="s">
        <v>323</v>
      </c>
      <c r="HO1075" s="4" t="s">
        <v>277</v>
      </c>
      <c r="HR1075" s="4" t="s">
        <v>278</v>
      </c>
      <c r="HS1075" s="4" t="s">
        <v>278</v>
      </c>
    </row>
    <row r="1076" spans="1:240" x14ac:dyDescent="0.4">
      <c r="A1076" s="4">
        <v>2</v>
      </c>
      <c r="B1076" s="4" t="s">
        <v>239</v>
      </c>
      <c r="C1076" s="4">
        <v>1373</v>
      </c>
      <c r="D1076" s="4">
        <v>1</v>
      </c>
      <c r="E1076" s="4">
        <v>3</v>
      </c>
      <c r="F1076" s="4" t="s">
        <v>240</v>
      </c>
      <c r="G1076" s="4" t="s">
        <v>241</v>
      </c>
      <c r="H1076" s="4" t="s">
        <v>241</v>
      </c>
      <c r="I1076" s="4" t="s">
        <v>1571</v>
      </c>
      <c r="J1076" s="4" t="s">
        <v>424</v>
      </c>
      <c r="K1076" s="4" t="s">
        <v>256</v>
      </c>
      <c r="L1076" s="4" t="s">
        <v>1196</v>
      </c>
      <c r="M1076" s="5" t="s">
        <v>1005</v>
      </c>
      <c r="N1076" s="4" t="s">
        <v>1196</v>
      </c>
      <c r="O1076" s="6">
        <f>1402.91</f>
        <v>1402.91</v>
      </c>
      <c r="P1076" s="4" t="s">
        <v>276</v>
      </c>
      <c r="Q1076" s="6">
        <f>115319230</f>
        <v>115319230</v>
      </c>
      <c r="R1076" s="6">
        <f>384397340</f>
        <v>384397340</v>
      </c>
      <c r="S1076" s="5" t="s">
        <v>1572</v>
      </c>
      <c r="T1076" s="4" t="s">
        <v>296</v>
      </c>
      <c r="U1076" s="4" t="s">
        <v>357</v>
      </c>
      <c r="V1076" s="6">
        <f>7687946</f>
        <v>7687946</v>
      </c>
      <c r="W1076" s="6">
        <f>269078110</f>
        <v>269078110</v>
      </c>
      <c r="X1076" s="4" t="s">
        <v>243</v>
      </c>
      <c r="Y1076" s="4" t="s">
        <v>244</v>
      </c>
      <c r="Z1076" s="4" t="s">
        <v>465</v>
      </c>
      <c r="AA1076" s="4" t="s">
        <v>241</v>
      </c>
      <c r="AD1076" s="4" t="s">
        <v>241</v>
      </c>
      <c r="AE1076" s="5" t="s">
        <v>241</v>
      </c>
      <c r="AF1076" s="5" t="s">
        <v>241</v>
      </c>
      <c r="AH1076" s="5" t="s">
        <v>241</v>
      </c>
      <c r="AI1076" s="5" t="s">
        <v>249</v>
      </c>
      <c r="AJ1076" s="4" t="s">
        <v>251</v>
      </c>
      <c r="AK1076" s="4" t="s">
        <v>252</v>
      </c>
      <c r="AQ1076" s="4" t="s">
        <v>241</v>
      </c>
      <c r="AR1076" s="4" t="s">
        <v>241</v>
      </c>
      <c r="AS1076" s="4" t="s">
        <v>241</v>
      </c>
      <c r="AT1076" s="5" t="s">
        <v>241</v>
      </c>
      <c r="AU1076" s="5" t="s">
        <v>241</v>
      </c>
      <c r="AV1076" s="5" t="s">
        <v>241</v>
      </c>
      <c r="AY1076" s="4" t="s">
        <v>286</v>
      </c>
      <c r="AZ1076" s="4" t="s">
        <v>286</v>
      </c>
      <c r="BA1076" s="4" t="s">
        <v>254</v>
      </c>
      <c r="BB1076" s="4" t="s">
        <v>287</v>
      </c>
      <c r="BC1076" s="4" t="s">
        <v>255</v>
      </c>
      <c r="BD1076" s="4" t="s">
        <v>241</v>
      </c>
      <c r="BE1076" s="4" t="s">
        <v>257</v>
      </c>
      <c r="BF1076" s="4" t="s">
        <v>241</v>
      </c>
      <c r="BJ1076" s="4" t="s">
        <v>288</v>
      </c>
      <c r="BK1076" s="5" t="s">
        <v>289</v>
      </c>
      <c r="BL1076" s="4" t="s">
        <v>290</v>
      </c>
      <c r="BM1076" s="4" t="s">
        <v>290</v>
      </c>
      <c r="BN1076" s="4" t="s">
        <v>241</v>
      </c>
      <c r="BO1076" s="6">
        <f>0</f>
        <v>0</v>
      </c>
      <c r="BP1076" s="6">
        <f>-7687946</f>
        <v>-7687946</v>
      </c>
      <c r="BQ1076" s="4" t="s">
        <v>263</v>
      </c>
      <c r="BR1076" s="4" t="s">
        <v>264</v>
      </c>
      <c r="BS1076" s="4" t="s">
        <v>241</v>
      </c>
      <c r="BT1076" s="4" t="s">
        <v>241</v>
      </c>
      <c r="BU1076" s="4" t="s">
        <v>241</v>
      </c>
      <c r="BV1076" s="4" t="s">
        <v>241</v>
      </c>
      <c r="CE1076" s="4" t="s">
        <v>264</v>
      </c>
      <c r="CF1076" s="4" t="s">
        <v>241</v>
      </c>
      <c r="CG1076" s="4" t="s">
        <v>241</v>
      </c>
      <c r="CK1076" s="4" t="s">
        <v>291</v>
      </c>
      <c r="CL1076" s="4" t="s">
        <v>266</v>
      </c>
      <c r="CM1076" s="4" t="s">
        <v>241</v>
      </c>
      <c r="CO1076" s="4" t="s">
        <v>398</v>
      </c>
      <c r="CP1076" s="5" t="s">
        <v>268</v>
      </c>
      <c r="CQ1076" s="4" t="s">
        <v>269</v>
      </c>
      <c r="CR1076" s="4" t="s">
        <v>270</v>
      </c>
      <c r="CS1076" s="4" t="s">
        <v>293</v>
      </c>
      <c r="CT1076" s="4" t="s">
        <v>241</v>
      </c>
      <c r="CU1076" s="4">
        <v>0.02</v>
      </c>
      <c r="CV1076" s="4" t="s">
        <v>271</v>
      </c>
      <c r="CW1076" s="4" t="s">
        <v>1546</v>
      </c>
      <c r="CX1076" s="4" t="s">
        <v>295</v>
      </c>
      <c r="CY1076" s="6">
        <f>0</f>
        <v>0</v>
      </c>
      <c r="CZ1076" s="6">
        <f>384397340</f>
        <v>384397340</v>
      </c>
      <c r="DA1076" s="6">
        <f>115319230</f>
        <v>115319230</v>
      </c>
      <c r="DC1076" s="4" t="s">
        <v>241</v>
      </c>
      <c r="DD1076" s="4" t="s">
        <v>241</v>
      </c>
      <c r="DF1076" s="4" t="s">
        <v>241</v>
      </c>
      <c r="DG1076" s="6">
        <f>0</f>
        <v>0</v>
      </c>
      <c r="DI1076" s="4" t="s">
        <v>241</v>
      </c>
      <c r="DJ1076" s="4" t="s">
        <v>241</v>
      </c>
      <c r="DK1076" s="4" t="s">
        <v>241</v>
      </c>
      <c r="DL1076" s="4" t="s">
        <v>241</v>
      </c>
      <c r="DM1076" s="4" t="s">
        <v>277</v>
      </c>
      <c r="DN1076" s="4" t="s">
        <v>278</v>
      </c>
      <c r="DO1076" s="6">
        <f>1402.91</f>
        <v>1402.91</v>
      </c>
      <c r="DP1076" s="4" t="s">
        <v>241</v>
      </c>
      <c r="DQ1076" s="4" t="s">
        <v>241</v>
      </c>
      <c r="DR1076" s="4" t="s">
        <v>241</v>
      </c>
      <c r="DS1076" s="4" t="s">
        <v>241</v>
      </c>
      <c r="DV1076" s="4" t="s">
        <v>1573</v>
      </c>
      <c r="DW1076" s="4" t="s">
        <v>277</v>
      </c>
      <c r="GN1076" s="4" t="s">
        <v>1574</v>
      </c>
      <c r="HO1076" s="4" t="s">
        <v>300</v>
      </c>
      <c r="HR1076" s="4" t="s">
        <v>278</v>
      </c>
      <c r="HS1076" s="4" t="s">
        <v>278</v>
      </c>
      <c r="HT1076" s="4" t="s">
        <v>241</v>
      </c>
      <c r="HU1076" s="4" t="s">
        <v>241</v>
      </c>
      <c r="HV1076" s="4" t="s">
        <v>241</v>
      </c>
      <c r="HW1076" s="4" t="s">
        <v>241</v>
      </c>
      <c r="HX1076" s="4" t="s">
        <v>241</v>
      </c>
      <c r="HY1076" s="4" t="s">
        <v>241</v>
      </c>
      <c r="HZ1076" s="4" t="s">
        <v>241</v>
      </c>
      <c r="IA1076" s="4" t="s">
        <v>241</v>
      </c>
      <c r="IB1076" s="4" t="s">
        <v>241</v>
      </c>
      <c r="IC1076" s="4" t="s">
        <v>241</v>
      </c>
      <c r="ID1076" s="4" t="s">
        <v>241</v>
      </c>
      <c r="IE1076" s="4" t="s">
        <v>241</v>
      </c>
      <c r="IF1076" s="4" t="s">
        <v>241</v>
      </c>
    </row>
    <row r="1077" spans="1:240" x14ac:dyDescent="0.4">
      <c r="A1077" s="4">
        <v>2</v>
      </c>
      <c r="B1077" s="4" t="s">
        <v>239</v>
      </c>
      <c r="C1077" s="4">
        <v>1374</v>
      </c>
      <c r="D1077" s="4">
        <v>1</v>
      </c>
      <c r="E1077" s="4">
        <v>1</v>
      </c>
      <c r="F1077" s="4" t="s">
        <v>240</v>
      </c>
      <c r="G1077" s="4" t="s">
        <v>241</v>
      </c>
      <c r="H1077" s="4" t="s">
        <v>241</v>
      </c>
      <c r="I1077" s="4" t="s">
        <v>1571</v>
      </c>
      <c r="J1077" s="4" t="s">
        <v>424</v>
      </c>
      <c r="K1077" s="4" t="s">
        <v>256</v>
      </c>
      <c r="L1077" s="4" t="s">
        <v>454</v>
      </c>
      <c r="M1077" s="5" t="s">
        <v>1005</v>
      </c>
      <c r="N1077" s="4" t="s">
        <v>454</v>
      </c>
      <c r="O1077" s="6">
        <f>68</f>
        <v>68</v>
      </c>
      <c r="P1077" s="4" t="s">
        <v>276</v>
      </c>
      <c r="Q1077" s="6">
        <f>1</f>
        <v>1</v>
      </c>
      <c r="R1077" s="6">
        <f>6528000</f>
        <v>6528000</v>
      </c>
      <c r="S1077" s="5" t="s">
        <v>1572</v>
      </c>
      <c r="T1077" s="4" t="s">
        <v>404</v>
      </c>
      <c r="U1077" s="4" t="s">
        <v>399</v>
      </c>
      <c r="W1077" s="6">
        <f>6527999</f>
        <v>6527999</v>
      </c>
      <c r="X1077" s="4" t="s">
        <v>243</v>
      </c>
      <c r="Y1077" s="4" t="s">
        <v>244</v>
      </c>
      <c r="Z1077" s="4" t="s">
        <v>465</v>
      </c>
      <c r="AA1077" s="4" t="s">
        <v>241</v>
      </c>
      <c r="AD1077" s="4" t="s">
        <v>241</v>
      </c>
      <c r="AF1077" s="5" t="s">
        <v>241</v>
      </c>
      <c r="AI1077" s="5" t="s">
        <v>249</v>
      </c>
      <c r="AJ1077" s="4" t="s">
        <v>251</v>
      </c>
      <c r="AK1077" s="4" t="s">
        <v>252</v>
      </c>
      <c r="BA1077" s="4" t="s">
        <v>254</v>
      </c>
      <c r="BB1077" s="4" t="s">
        <v>241</v>
      </c>
      <c r="BC1077" s="4" t="s">
        <v>255</v>
      </c>
      <c r="BD1077" s="4" t="s">
        <v>241</v>
      </c>
      <c r="BE1077" s="4" t="s">
        <v>257</v>
      </c>
      <c r="BF1077" s="4" t="s">
        <v>241</v>
      </c>
      <c r="BJ1077" s="4" t="s">
        <v>259</v>
      </c>
      <c r="BK1077" s="5" t="s">
        <v>3856</v>
      </c>
      <c r="BL1077" s="4" t="s">
        <v>261</v>
      </c>
      <c r="BM1077" s="4" t="s">
        <v>262</v>
      </c>
      <c r="BN1077" s="4" t="s">
        <v>241</v>
      </c>
      <c r="BO1077" s="6">
        <f>0</f>
        <v>0</v>
      </c>
      <c r="BP1077" s="6">
        <f>0</f>
        <v>0</v>
      </c>
      <c r="BQ1077" s="4" t="s">
        <v>263</v>
      </c>
      <c r="BR1077" s="4" t="s">
        <v>264</v>
      </c>
      <c r="CF1077" s="4" t="s">
        <v>241</v>
      </c>
      <c r="CG1077" s="4" t="s">
        <v>241</v>
      </c>
      <c r="CK1077" s="4" t="s">
        <v>291</v>
      </c>
      <c r="CL1077" s="4" t="s">
        <v>266</v>
      </c>
      <c r="CM1077" s="4" t="s">
        <v>241</v>
      </c>
      <c r="CO1077" s="4" t="s">
        <v>398</v>
      </c>
      <c r="CP1077" s="5" t="s">
        <v>268</v>
      </c>
      <c r="CQ1077" s="4" t="s">
        <v>269</v>
      </c>
      <c r="CR1077" s="4" t="s">
        <v>270</v>
      </c>
      <c r="CS1077" s="4" t="s">
        <v>241</v>
      </c>
      <c r="CT1077" s="4" t="s">
        <v>241</v>
      </c>
      <c r="CU1077" s="4">
        <v>0</v>
      </c>
      <c r="CV1077" s="4" t="s">
        <v>271</v>
      </c>
      <c r="CW1077" s="4" t="s">
        <v>455</v>
      </c>
      <c r="CX1077" s="4" t="s">
        <v>273</v>
      </c>
      <c r="CZ1077" s="6">
        <f>6528000</f>
        <v>6528000</v>
      </c>
      <c r="DA1077" s="6">
        <f>0</f>
        <v>0</v>
      </c>
      <c r="DC1077" s="4" t="s">
        <v>241</v>
      </c>
      <c r="DD1077" s="4" t="s">
        <v>241</v>
      </c>
      <c r="DF1077" s="4" t="s">
        <v>241</v>
      </c>
      <c r="DI1077" s="4" t="s">
        <v>241</v>
      </c>
      <c r="DJ1077" s="4" t="s">
        <v>241</v>
      </c>
      <c r="DK1077" s="4" t="s">
        <v>241</v>
      </c>
      <c r="DL1077" s="4" t="s">
        <v>241</v>
      </c>
      <c r="DM1077" s="4" t="s">
        <v>277</v>
      </c>
      <c r="DN1077" s="4" t="s">
        <v>278</v>
      </c>
      <c r="DO1077" s="6">
        <f>68</f>
        <v>68</v>
      </c>
      <c r="DP1077" s="4" t="s">
        <v>241</v>
      </c>
      <c r="DQ1077" s="4" t="s">
        <v>241</v>
      </c>
      <c r="DR1077" s="4" t="s">
        <v>241</v>
      </c>
      <c r="DS1077" s="4" t="s">
        <v>241</v>
      </c>
      <c r="DV1077" s="4" t="s">
        <v>1573</v>
      </c>
      <c r="DW1077" s="4" t="s">
        <v>323</v>
      </c>
      <c r="HO1077" s="4" t="s">
        <v>277</v>
      </c>
      <c r="HR1077" s="4" t="s">
        <v>278</v>
      </c>
      <c r="HS1077" s="4" t="s">
        <v>278</v>
      </c>
    </row>
    <row r="1078" spans="1:240" x14ac:dyDescent="0.4">
      <c r="A1078" s="4">
        <v>2</v>
      </c>
      <c r="B1078" s="4" t="s">
        <v>239</v>
      </c>
      <c r="C1078" s="4">
        <v>1375</v>
      </c>
      <c r="D1078" s="4">
        <v>1</v>
      </c>
      <c r="E1078" s="4">
        <v>1</v>
      </c>
      <c r="F1078" s="4" t="s">
        <v>240</v>
      </c>
      <c r="G1078" s="4" t="s">
        <v>241</v>
      </c>
      <c r="H1078" s="4" t="s">
        <v>241</v>
      </c>
      <c r="I1078" s="4" t="s">
        <v>1571</v>
      </c>
      <c r="J1078" s="4" t="s">
        <v>424</v>
      </c>
      <c r="K1078" s="4" t="s">
        <v>256</v>
      </c>
      <c r="L1078" s="4" t="s">
        <v>454</v>
      </c>
      <c r="M1078" s="5" t="s">
        <v>1005</v>
      </c>
      <c r="N1078" s="4" t="s">
        <v>454</v>
      </c>
      <c r="O1078" s="6">
        <f>48</f>
        <v>48</v>
      </c>
      <c r="P1078" s="4" t="s">
        <v>276</v>
      </c>
      <c r="Q1078" s="6">
        <f>1</f>
        <v>1</v>
      </c>
      <c r="R1078" s="6">
        <f>4608000</f>
        <v>4608000</v>
      </c>
      <c r="S1078" s="5" t="s">
        <v>1572</v>
      </c>
      <c r="T1078" s="4" t="s">
        <v>404</v>
      </c>
      <c r="U1078" s="4" t="s">
        <v>399</v>
      </c>
      <c r="W1078" s="6">
        <f>4607999</f>
        <v>4607999</v>
      </c>
      <c r="X1078" s="4" t="s">
        <v>243</v>
      </c>
      <c r="Y1078" s="4" t="s">
        <v>244</v>
      </c>
      <c r="Z1078" s="4" t="s">
        <v>465</v>
      </c>
      <c r="AA1078" s="4" t="s">
        <v>241</v>
      </c>
      <c r="AD1078" s="4" t="s">
        <v>241</v>
      </c>
      <c r="AF1078" s="5" t="s">
        <v>241</v>
      </c>
      <c r="AI1078" s="5" t="s">
        <v>249</v>
      </c>
      <c r="AJ1078" s="4" t="s">
        <v>251</v>
      </c>
      <c r="AK1078" s="4" t="s">
        <v>252</v>
      </c>
      <c r="BA1078" s="4" t="s">
        <v>254</v>
      </c>
      <c r="BB1078" s="4" t="s">
        <v>241</v>
      </c>
      <c r="BC1078" s="4" t="s">
        <v>255</v>
      </c>
      <c r="BD1078" s="4" t="s">
        <v>241</v>
      </c>
      <c r="BE1078" s="4" t="s">
        <v>257</v>
      </c>
      <c r="BF1078" s="4" t="s">
        <v>241</v>
      </c>
      <c r="BJ1078" s="4" t="s">
        <v>367</v>
      </c>
      <c r="BK1078" s="5" t="s">
        <v>249</v>
      </c>
      <c r="BL1078" s="4" t="s">
        <v>261</v>
      </c>
      <c r="BM1078" s="4" t="s">
        <v>262</v>
      </c>
      <c r="BN1078" s="4" t="s">
        <v>241</v>
      </c>
      <c r="BO1078" s="6">
        <f>0</f>
        <v>0</v>
      </c>
      <c r="BP1078" s="6">
        <f>0</f>
        <v>0</v>
      </c>
      <c r="BQ1078" s="4" t="s">
        <v>263</v>
      </c>
      <c r="BR1078" s="4" t="s">
        <v>264</v>
      </c>
      <c r="CF1078" s="4" t="s">
        <v>241</v>
      </c>
      <c r="CG1078" s="4" t="s">
        <v>241</v>
      </c>
      <c r="CK1078" s="4" t="s">
        <v>291</v>
      </c>
      <c r="CL1078" s="4" t="s">
        <v>266</v>
      </c>
      <c r="CM1078" s="4" t="s">
        <v>241</v>
      </c>
      <c r="CO1078" s="4" t="s">
        <v>398</v>
      </c>
      <c r="CP1078" s="5" t="s">
        <v>268</v>
      </c>
      <c r="CQ1078" s="4" t="s">
        <v>269</v>
      </c>
      <c r="CR1078" s="4" t="s">
        <v>270</v>
      </c>
      <c r="CS1078" s="4" t="s">
        <v>241</v>
      </c>
      <c r="CT1078" s="4" t="s">
        <v>241</v>
      </c>
      <c r="CU1078" s="4">
        <v>0</v>
      </c>
      <c r="CV1078" s="4" t="s">
        <v>271</v>
      </c>
      <c r="CW1078" s="4" t="s">
        <v>455</v>
      </c>
      <c r="CX1078" s="4" t="s">
        <v>273</v>
      </c>
      <c r="CZ1078" s="6">
        <f>4608000</f>
        <v>4608000</v>
      </c>
      <c r="DA1078" s="6">
        <f>0</f>
        <v>0</v>
      </c>
      <c r="DC1078" s="4" t="s">
        <v>241</v>
      </c>
      <c r="DD1078" s="4" t="s">
        <v>241</v>
      </c>
      <c r="DF1078" s="4" t="s">
        <v>241</v>
      </c>
      <c r="DI1078" s="4" t="s">
        <v>241</v>
      </c>
      <c r="DJ1078" s="4" t="s">
        <v>241</v>
      </c>
      <c r="DK1078" s="4" t="s">
        <v>241</v>
      </c>
      <c r="DL1078" s="4" t="s">
        <v>241</v>
      </c>
      <c r="DM1078" s="4" t="s">
        <v>277</v>
      </c>
      <c r="DN1078" s="4" t="s">
        <v>278</v>
      </c>
      <c r="DO1078" s="6">
        <f>48</f>
        <v>48</v>
      </c>
      <c r="DP1078" s="4" t="s">
        <v>241</v>
      </c>
      <c r="DQ1078" s="4" t="s">
        <v>241</v>
      </c>
      <c r="DR1078" s="4" t="s">
        <v>241</v>
      </c>
      <c r="DS1078" s="4" t="s">
        <v>241</v>
      </c>
      <c r="DV1078" s="4" t="s">
        <v>1573</v>
      </c>
      <c r="DW1078" s="4" t="s">
        <v>297</v>
      </c>
      <c r="HO1078" s="4" t="s">
        <v>277</v>
      </c>
      <c r="HR1078" s="4" t="s">
        <v>278</v>
      </c>
      <c r="HS1078" s="4" t="s">
        <v>278</v>
      </c>
    </row>
    <row r="1079" spans="1:240" x14ac:dyDescent="0.4">
      <c r="A1079" s="4">
        <v>2</v>
      </c>
      <c r="B1079" s="4" t="s">
        <v>239</v>
      </c>
      <c r="C1079" s="4">
        <v>1376</v>
      </c>
      <c r="D1079" s="4">
        <v>1</v>
      </c>
      <c r="E1079" s="4">
        <v>3</v>
      </c>
      <c r="F1079" s="4" t="s">
        <v>326</v>
      </c>
      <c r="G1079" s="4" t="s">
        <v>241</v>
      </c>
      <c r="H1079" s="4" t="s">
        <v>241</v>
      </c>
      <c r="I1079" s="4" t="s">
        <v>1571</v>
      </c>
      <c r="J1079" s="4" t="s">
        <v>424</v>
      </c>
      <c r="K1079" s="4" t="s">
        <v>256</v>
      </c>
      <c r="L1079" s="4" t="s">
        <v>2682</v>
      </c>
      <c r="M1079" s="5" t="s">
        <v>1005</v>
      </c>
      <c r="N1079" s="4" t="s">
        <v>2648</v>
      </c>
      <c r="O1079" s="6">
        <f>0</f>
        <v>0</v>
      </c>
      <c r="P1079" s="4" t="s">
        <v>276</v>
      </c>
      <c r="Q1079" s="6">
        <f>812240</f>
        <v>812240</v>
      </c>
      <c r="R1079" s="6">
        <f>880000</f>
        <v>880000</v>
      </c>
      <c r="S1079" s="5" t="s">
        <v>2619</v>
      </c>
      <c r="T1079" s="4" t="s">
        <v>322</v>
      </c>
      <c r="U1079" s="4" t="s">
        <v>278</v>
      </c>
      <c r="V1079" s="6">
        <f>879999</f>
        <v>879999</v>
      </c>
      <c r="W1079" s="6">
        <f>67760</f>
        <v>67760</v>
      </c>
      <c r="X1079" s="4" t="s">
        <v>243</v>
      </c>
      <c r="Y1079" s="4" t="s">
        <v>244</v>
      </c>
      <c r="Z1079" s="4" t="s">
        <v>241</v>
      </c>
      <c r="AA1079" s="4" t="s">
        <v>241</v>
      </c>
      <c r="AD1079" s="4" t="s">
        <v>241</v>
      </c>
      <c r="AE1079" s="5" t="s">
        <v>241</v>
      </c>
      <c r="AF1079" s="5" t="s">
        <v>241</v>
      </c>
      <c r="AH1079" s="5" t="s">
        <v>241</v>
      </c>
      <c r="AI1079" s="5" t="s">
        <v>249</v>
      </c>
      <c r="AJ1079" s="4" t="s">
        <v>251</v>
      </c>
      <c r="AK1079" s="4" t="s">
        <v>252</v>
      </c>
      <c r="AQ1079" s="4" t="s">
        <v>241</v>
      </c>
      <c r="AR1079" s="4" t="s">
        <v>241</v>
      </c>
      <c r="AS1079" s="4" t="s">
        <v>241</v>
      </c>
      <c r="AT1079" s="5" t="s">
        <v>241</v>
      </c>
      <c r="AU1079" s="5" t="s">
        <v>241</v>
      </c>
      <c r="AV1079" s="5" t="s">
        <v>241</v>
      </c>
      <c r="AY1079" s="4" t="s">
        <v>286</v>
      </c>
      <c r="AZ1079" s="4" t="s">
        <v>286</v>
      </c>
      <c r="BA1079" s="4" t="s">
        <v>254</v>
      </c>
      <c r="BB1079" s="4" t="s">
        <v>287</v>
      </c>
      <c r="BC1079" s="4" t="s">
        <v>255</v>
      </c>
      <c r="BD1079" s="4" t="s">
        <v>241</v>
      </c>
      <c r="BE1079" s="4" t="s">
        <v>257</v>
      </c>
      <c r="BF1079" s="4" t="s">
        <v>241</v>
      </c>
      <c r="BJ1079" s="4" t="s">
        <v>288</v>
      </c>
      <c r="BK1079" s="5" t="s">
        <v>289</v>
      </c>
      <c r="BL1079" s="4" t="s">
        <v>290</v>
      </c>
      <c r="BM1079" s="4" t="s">
        <v>290</v>
      </c>
      <c r="BN1079" s="4" t="s">
        <v>241</v>
      </c>
      <c r="BP1079" s="6">
        <f>-67760</f>
        <v>-67760</v>
      </c>
      <c r="BQ1079" s="4" t="s">
        <v>263</v>
      </c>
      <c r="BR1079" s="4" t="s">
        <v>264</v>
      </c>
      <c r="BS1079" s="4" t="s">
        <v>241</v>
      </c>
      <c r="BT1079" s="4" t="s">
        <v>241</v>
      </c>
      <c r="BU1079" s="4" t="s">
        <v>241</v>
      </c>
      <c r="BV1079" s="4" t="s">
        <v>241</v>
      </c>
      <c r="CE1079" s="4" t="s">
        <v>264</v>
      </c>
      <c r="CF1079" s="4" t="s">
        <v>241</v>
      </c>
      <c r="CG1079" s="4" t="s">
        <v>241</v>
      </c>
      <c r="CK1079" s="4" t="s">
        <v>291</v>
      </c>
      <c r="CL1079" s="4" t="s">
        <v>266</v>
      </c>
      <c r="CM1079" s="4" t="s">
        <v>241</v>
      </c>
      <c r="CO1079" s="4" t="s">
        <v>426</v>
      </c>
      <c r="CP1079" s="5" t="s">
        <v>268</v>
      </c>
      <c r="CQ1079" s="4" t="s">
        <v>269</v>
      </c>
      <c r="CR1079" s="4" t="s">
        <v>270</v>
      </c>
      <c r="CS1079" s="4" t="s">
        <v>293</v>
      </c>
      <c r="CT1079" s="4" t="s">
        <v>241</v>
      </c>
      <c r="CU1079" s="4">
        <v>7.6999999999999999E-2</v>
      </c>
      <c r="CV1079" s="4" t="s">
        <v>271</v>
      </c>
      <c r="CW1079" s="4" t="s">
        <v>415</v>
      </c>
      <c r="CX1079" s="4" t="s">
        <v>428</v>
      </c>
      <c r="CY1079" s="6">
        <f>0</f>
        <v>0</v>
      </c>
      <c r="CZ1079" s="6">
        <f>880000</f>
        <v>880000</v>
      </c>
      <c r="DA1079" s="6">
        <f>1</f>
        <v>1</v>
      </c>
      <c r="DC1079" s="4" t="s">
        <v>241</v>
      </c>
      <c r="DD1079" s="4" t="s">
        <v>241</v>
      </c>
      <c r="DF1079" s="4" t="s">
        <v>241</v>
      </c>
      <c r="DG1079" s="6">
        <f>0</f>
        <v>0</v>
      </c>
      <c r="DI1079" s="4" t="s">
        <v>241</v>
      </c>
      <c r="DJ1079" s="4" t="s">
        <v>241</v>
      </c>
      <c r="DK1079" s="4" t="s">
        <v>241</v>
      </c>
      <c r="DL1079" s="4" t="s">
        <v>241</v>
      </c>
      <c r="DM1079" s="4" t="s">
        <v>278</v>
      </c>
      <c r="DN1079" s="4" t="s">
        <v>278</v>
      </c>
      <c r="DO1079" s="6" t="s">
        <v>241</v>
      </c>
      <c r="DP1079" s="4" t="s">
        <v>241</v>
      </c>
      <c r="DQ1079" s="4" t="s">
        <v>241</v>
      </c>
      <c r="DR1079" s="4" t="s">
        <v>241</v>
      </c>
      <c r="DS1079" s="4" t="s">
        <v>241</v>
      </c>
      <c r="DV1079" s="4" t="s">
        <v>1573</v>
      </c>
      <c r="DW1079" s="4" t="s">
        <v>336</v>
      </c>
      <c r="GN1079" s="4" t="s">
        <v>2683</v>
      </c>
      <c r="HO1079" s="4" t="s">
        <v>323</v>
      </c>
      <c r="HR1079" s="4" t="s">
        <v>278</v>
      </c>
      <c r="HS1079" s="4" t="s">
        <v>278</v>
      </c>
      <c r="HT1079" s="4" t="s">
        <v>241</v>
      </c>
      <c r="HU1079" s="4" t="s">
        <v>241</v>
      </c>
      <c r="HV1079" s="4" t="s">
        <v>241</v>
      </c>
      <c r="HW1079" s="4" t="s">
        <v>241</v>
      </c>
      <c r="HX1079" s="4" t="s">
        <v>241</v>
      </c>
      <c r="HY1079" s="4" t="s">
        <v>241</v>
      </c>
      <c r="HZ1079" s="4" t="s">
        <v>241</v>
      </c>
      <c r="IA1079" s="4" t="s">
        <v>241</v>
      </c>
      <c r="IB1079" s="4" t="s">
        <v>241</v>
      </c>
      <c r="IC1079" s="4" t="s">
        <v>241</v>
      </c>
      <c r="ID1079" s="4" t="s">
        <v>241</v>
      </c>
      <c r="IE1079" s="4" t="s">
        <v>241</v>
      </c>
      <c r="IF1079" s="4" t="s">
        <v>241</v>
      </c>
    </row>
    <row r="1080" spans="1:240" x14ac:dyDescent="0.4">
      <c r="A1080" s="4">
        <v>2</v>
      </c>
      <c r="B1080" s="4" t="s">
        <v>239</v>
      </c>
      <c r="C1080" s="4">
        <v>1377</v>
      </c>
      <c r="D1080" s="4">
        <v>1</v>
      </c>
      <c r="E1080" s="4">
        <v>3</v>
      </c>
      <c r="F1080" s="4" t="s">
        <v>240</v>
      </c>
      <c r="G1080" s="4" t="s">
        <v>241</v>
      </c>
      <c r="H1080" s="4" t="s">
        <v>241</v>
      </c>
      <c r="I1080" s="4" t="s">
        <v>1575</v>
      </c>
      <c r="J1080" s="4" t="s">
        <v>424</v>
      </c>
      <c r="K1080" s="4" t="s">
        <v>256</v>
      </c>
      <c r="L1080" s="4" t="s">
        <v>1196</v>
      </c>
      <c r="M1080" s="5" t="s">
        <v>1577</v>
      </c>
      <c r="N1080" s="4" t="s">
        <v>1196</v>
      </c>
      <c r="O1080" s="6">
        <f>1126.09</f>
        <v>1126.0899999999999</v>
      </c>
      <c r="P1080" s="4" t="s">
        <v>276</v>
      </c>
      <c r="Q1080" s="6">
        <f>359700330</f>
        <v>359700330</v>
      </c>
      <c r="R1080" s="6">
        <f>545000500</f>
        <v>545000500</v>
      </c>
      <c r="S1080" s="5" t="s">
        <v>1576</v>
      </c>
      <c r="T1080" s="4" t="s">
        <v>296</v>
      </c>
      <c r="U1080" s="4" t="s">
        <v>371</v>
      </c>
      <c r="V1080" s="6">
        <f>10900010</f>
        <v>10900010</v>
      </c>
      <c r="W1080" s="6">
        <f>185300170</f>
        <v>185300170</v>
      </c>
      <c r="X1080" s="4" t="s">
        <v>243</v>
      </c>
      <c r="Y1080" s="4" t="s">
        <v>244</v>
      </c>
      <c r="Z1080" s="4" t="s">
        <v>465</v>
      </c>
      <c r="AA1080" s="4" t="s">
        <v>241</v>
      </c>
      <c r="AD1080" s="4" t="s">
        <v>241</v>
      </c>
      <c r="AE1080" s="5" t="s">
        <v>241</v>
      </c>
      <c r="AF1080" s="5" t="s">
        <v>241</v>
      </c>
      <c r="AH1080" s="5" t="s">
        <v>241</v>
      </c>
      <c r="AI1080" s="5" t="s">
        <v>249</v>
      </c>
      <c r="AJ1080" s="4" t="s">
        <v>251</v>
      </c>
      <c r="AK1080" s="4" t="s">
        <v>252</v>
      </c>
      <c r="AQ1080" s="4" t="s">
        <v>241</v>
      </c>
      <c r="AR1080" s="4" t="s">
        <v>241</v>
      </c>
      <c r="AS1080" s="4" t="s">
        <v>241</v>
      </c>
      <c r="AT1080" s="5" t="s">
        <v>241</v>
      </c>
      <c r="AU1080" s="5" t="s">
        <v>241</v>
      </c>
      <c r="AV1080" s="5" t="s">
        <v>241</v>
      </c>
      <c r="AY1080" s="4" t="s">
        <v>286</v>
      </c>
      <c r="AZ1080" s="4" t="s">
        <v>286</v>
      </c>
      <c r="BA1080" s="4" t="s">
        <v>254</v>
      </c>
      <c r="BB1080" s="4" t="s">
        <v>287</v>
      </c>
      <c r="BC1080" s="4" t="s">
        <v>255</v>
      </c>
      <c r="BD1080" s="4" t="s">
        <v>241</v>
      </c>
      <c r="BE1080" s="4" t="s">
        <v>257</v>
      </c>
      <c r="BF1080" s="4" t="s">
        <v>241</v>
      </c>
      <c r="BH1080" s="4" t="s">
        <v>500</v>
      </c>
      <c r="BJ1080" s="4" t="s">
        <v>288</v>
      </c>
      <c r="BK1080" s="5" t="s">
        <v>289</v>
      </c>
      <c r="BL1080" s="4" t="s">
        <v>290</v>
      </c>
      <c r="BM1080" s="4" t="s">
        <v>290</v>
      </c>
      <c r="BN1080" s="4" t="s">
        <v>241</v>
      </c>
      <c r="BO1080" s="6">
        <f>0</f>
        <v>0</v>
      </c>
      <c r="BP1080" s="6">
        <f>-10900010</f>
        <v>-10900010</v>
      </c>
      <c r="BQ1080" s="4" t="s">
        <v>263</v>
      </c>
      <c r="BR1080" s="4" t="s">
        <v>264</v>
      </c>
      <c r="BS1080" s="4" t="s">
        <v>241</v>
      </c>
      <c r="BT1080" s="4" t="s">
        <v>241</v>
      </c>
      <c r="BU1080" s="4" t="s">
        <v>241</v>
      </c>
      <c r="BV1080" s="4" t="s">
        <v>241</v>
      </c>
      <c r="CE1080" s="4" t="s">
        <v>264</v>
      </c>
      <c r="CF1080" s="4" t="s">
        <v>241</v>
      </c>
      <c r="CG1080" s="4" t="s">
        <v>241</v>
      </c>
      <c r="CK1080" s="4" t="s">
        <v>291</v>
      </c>
      <c r="CL1080" s="4" t="s">
        <v>266</v>
      </c>
      <c r="CM1080" s="4" t="s">
        <v>241</v>
      </c>
      <c r="CO1080" s="4" t="s">
        <v>407</v>
      </c>
      <c r="CP1080" s="5" t="s">
        <v>268</v>
      </c>
      <c r="CQ1080" s="4" t="s">
        <v>269</v>
      </c>
      <c r="CR1080" s="4" t="s">
        <v>270</v>
      </c>
      <c r="CS1080" s="4" t="s">
        <v>293</v>
      </c>
      <c r="CT1080" s="4" t="s">
        <v>241</v>
      </c>
      <c r="CU1080" s="4">
        <v>0.02</v>
      </c>
      <c r="CV1080" s="4" t="s">
        <v>271</v>
      </c>
      <c r="CW1080" s="4" t="s">
        <v>1546</v>
      </c>
      <c r="CX1080" s="4" t="s">
        <v>295</v>
      </c>
      <c r="CY1080" s="6">
        <f>0</f>
        <v>0</v>
      </c>
      <c r="CZ1080" s="6">
        <f>545000500</f>
        <v>545000500</v>
      </c>
      <c r="DA1080" s="6">
        <f>359700330</f>
        <v>359700330</v>
      </c>
      <c r="DC1080" s="4" t="s">
        <v>241</v>
      </c>
      <c r="DD1080" s="4" t="s">
        <v>241</v>
      </c>
      <c r="DF1080" s="4" t="s">
        <v>241</v>
      </c>
      <c r="DG1080" s="6">
        <f>0</f>
        <v>0</v>
      </c>
      <c r="DI1080" s="4" t="s">
        <v>241</v>
      </c>
      <c r="DJ1080" s="4" t="s">
        <v>241</v>
      </c>
      <c r="DK1080" s="4" t="s">
        <v>241</v>
      </c>
      <c r="DL1080" s="4" t="s">
        <v>241</v>
      </c>
      <c r="DM1080" s="4" t="s">
        <v>323</v>
      </c>
      <c r="DN1080" s="4" t="s">
        <v>278</v>
      </c>
      <c r="DO1080" s="6">
        <f>1126.09</f>
        <v>1126.0899999999999</v>
      </c>
      <c r="DP1080" s="4" t="s">
        <v>241</v>
      </c>
      <c r="DQ1080" s="4" t="s">
        <v>241</v>
      </c>
      <c r="DR1080" s="4" t="s">
        <v>241</v>
      </c>
      <c r="DS1080" s="4" t="s">
        <v>241</v>
      </c>
      <c r="DV1080" s="4" t="s">
        <v>1578</v>
      </c>
      <c r="DW1080" s="4" t="s">
        <v>277</v>
      </c>
      <c r="GN1080" s="4" t="s">
        <v>1579</v>
      </c>
      <c r="HO1080" s="4" t="s">
        <v>341</v>
      </c>
      <c r="HR1080" s="4" t="s">
        <v>278</v>
      </c>
      <c r="HS1080" s="4" t="s">
        <v>278</v>
      </c>
      <c r="HT1080" s="4" t="s">
        <v>241</v>
      </c>
      <c r="HU1080" s="4" t="s">
        <v>241</v>
      </c>
      <c r="HV1080" s="4" t="s">
        <v>241</v>
      </c>
      <c r="HW1080" s="4" t="s">
        <v>241</v>
      </c>
      <c r="HX1080" s="4" t="s">
        <v>241</v>
      </c>
      <c r="HY1080" s="4" t="s">
        <v>241</v>
      </c>
      <c r="HZ1080" s="4" t="s">
        <v>241</v>
      </c>
      <c r="IA1080" s="4" t="s">
        <v>241</v>
      </c>
      <c r="IB1080" s="4" t="s">
        <v>241</v>
      </c>
      <c r="IC1080" s="4" t="s">
        <v>241</v>
      </c>
      <c r="ID1080" s="4" t="s">
        <v>241</v>
      </c>
      <c r="IE1080" s="4" t="s">
        <v>241</v>
      </c>
      <c r="IF1080" s="4" t="s">
        <v>241</v>
      </c>
    </row>
    <row r="1081" spans="1:240" x14ac:dyDescent="0.4">
      <c r="A1081" s="4">
        <v>2</v>
      </c>
      <c r="B1081" s="4" t="s">
        <v>239</v>
      </c>
      <c r="C1081" s="4">
        <v>1378</v>
      </c>
      <c r="D1081" s="4">
        <v>1</v>
      </c>
      <c r="E1081" s="4">
        <v>3</v>
      </c>
      <c r="F1081" s="4" t="s">
        <v>240</v>
      </c>
      <c r="G1081" s="4" t="s">
        <v>241</v>
      </c>
      <c r="H1081" s="4" t="s">
        <v>241</v>
      </c>
      <c r="I1081" s="4" t="s">
        <v>1575</v>
      </c>
      <c r="J1081" s="4" t="s">
        <v>424</v>
      </c>
      <c r="K1081" s="4" t="s">
        <v>256</v>
      </c>
      <c r="L1081" s="4" t="s">
        <v>454</v>
      </c>
      <c r="M1081" s="5" t="s">
        <v>1577</v>
      </c>
      <c r="N1081" s="4" t="s">
        <v>454</v>
      </c>
      <c r="O1081" s="6">
        <f>49.68</f>
        <v>49.68</v>
      </c>
      <c r="P1081" s="4" t="s">
        <v>276</v>
      </c>
      <c r="Q1081" s="6">
        <f>1510272</f>
        <v>1510272</v>
      </c>
      <c r="R1081" s="6">
        <f>4719600</f>
        <v>4719600</v>
      </c>
      <c r="S1081" s="5" t="s">
        <v>1576</v>
      </c>
      <c r="T1081" s="4" t="s">
        <v>404</v>
      </c>
      <c r="U1081" s="4" t="s">
        <v>371</v>
      </c>
      <c r="V1081" s="6">
        <f>188784</f>
        <v>188784</v>
      </c>
      <c r="W1081" s="6">
        <f>3209328</f>
        <v>3209328</v>
      </c>
      <c r="X1081" s="4" t="s">
        <v>243</v>
      </c>
      <c r="Y1081" s="4" t="s">
        <v>244</v>
      </c>
      <c r="Z1081" s="4" t="s">
        <v>465</v>
      </c>
      <c r="AA1081" s="4" t="s">
        <v>241</v>
      </c>
      <c r="AD1081" s="4" t="s">
        <v>241</v>
      </c>
      <c r="AE1081" s="5" t="s">
        <v>241</v>
      </c>
      <c r="AF1081" s="5" t="s">
        <v>241</v>
      </c>
      <c r="AH1081" s="5" t="s">
        <v>241</v>
      </c>
      <c r="AI1081" s="5" t="s">
        <v>249</v>
      </c>
      <c r="AJ1081" s="4" t="s">
        <v>251</v>
      </c>
      <c r="AK1081" s="4" t="s">
        <v>252</v>
      </c>
      <c r="AQ1081" s="4" t="s">
        <v>241</v>
      </c>
      <c r="AR1081" s="4" t="s">
        <v>241</v>
      </c>
      <c r="AS1081" s="4" t="s">
        <v>241</v>
      </c>
      <c r="AT1081" s="5" t="s">
        <v>241</v>
      </c>
      <c r="AU1081" s="5" t="s">
        <v>241</v>
      </c>
      <c r="AV1081" s="5" t="s">
        <v>241</v>
      </c>
      <c r="AY1081" s="4" t="s">
        <v>286</v>
      </c>
      <c r="AZ1081" s="4" t="s">
        <v>286</v>
      </c>
      <c r="BA1081" s="4" t="s">
        <v>254</v>
      </c>
      <c r="BB1081" s="4" t="s">
        <v>287</v>
      </c>
      <c r="BC1081" s="4" t="s">
        <v>255</v>
      </c>
      <c r="BD1081" s="4" t="s">
        <v>241</v>
      </c>
      <c r="BE1081" s="4" t="s">
        <v>257</v>
      </c>
      <c r="BF1081" s="4" t="s">
        <v>241</v>
      </c>
      <c r="BJ1081" s="4" t="s">
        <v>288</v>
      </c>
      <c r="BK1081" s="5" t="s">
        <v>289</v>
      </c>
      <c r="BL1081" s="4" t="s">
        <v>290</v>
      </c>
      <c r="BM1081" s="4" t="s">
        <v>290</v>
      </c>
      <c r="BN1081" s="4" t="s">
        <v>241</v>
      </c>
      <c r="BO1081" s="6">
        <f>0</f>
        <v>0</v>
      </c>
      <c r="BP1081" s="6">
        <f>-188784</f>
        <v>-188784</v>
      </c>
      <c r="BQ1081" s="4" t="s">
        <v>263</v>
      </c>
      <c r="BR1081" s="4" t="s">
        <v>264</v>
      </c>
      <c r="BS1081" s="4" t="s">
        <v>241</v>
      </c>
      <c r="BT1081" s="4" t="s">
        <v>241</v>
      </c>
      <c r="BU1081" s="4" t="s">
        <v>241</v>
      </c>
      <c r="BV1081" s="4" t="s">
        <v>241</v>
      </c>
      <c r="CE1081" s="4" t="s">
        <v>264</v>
      </c>
      <c r="CF1081" s="4" t="s">
        <v>241</v>
      </c>
      <c r="CG1081" s="4" t="s">
        <v>241</v>
      </c>
      <c r="CK1081" s="4" t="s">
        <v>291</v>
      </c>
      <c r="CL1081" s="4" t="s">
        <v>266</v>
      </c>
      <c r="CM1081" s="4" t="s">
        <v>241</v>
      </c>
      <c r="CO1081" s="4" t="s">
        <v>407</v>
      </c>
      <c r="CP1081" s="5" t="s">
        <v>268</v>
      </c>
      <c r="CQ1081" s="4" t="s">
        <v>269</v>
      </c>
      <c r="CR1081" s="4" t="s">
        <v>270</v>
      </c>
      <c r="CS1081" s="4" t="s">
        <v>293</v>
      </c>
      <c r="CT1081" s="4" t="s">
        <v>241</v>
      </c>
      <c r="CU1081" s="4">
        <v>0.04</v>
      </c>
      <c r="CV1081" s="4" t="s">
        <v>271</v>
      </c>
      <c r="CW1081" s="4" t="s">
        <v>455</v>
      </c>
      <c r="CX1081" s="4" t="s">
        <v>273</v>
      </c>
      <c r="CY1081" s="6">
        <f>0</f>
        <v>0</v>
      </c>
      <c r="CZ1081" s="6">
        <f>4719600</f>
        <v>4719600</v>
      </c>
      <c r="DA1081" s="6">
        <f>1510272</f>
        <v>1510272</v>
      </c>
      <c r="DC1081" s="4" t="s">
        <v>241</v>
      </c>
      <c r="DD1081" s="4" t="s">
        <v>241</v>
      </c>
      <c r="DF1081" s="4" t="s">
        <v>241</v>
      </c>
      <c r="DG1081" s="6">
        <f>0</f>
        <v>0</v>
      </c>
      <c r="DI1081" s="4" t="s">
        <v>241</v>
      </c>
      <c r="DJ1081" s="4" t="s">
        <v>241</v>
      </c>
      <c r="DK1081" s="4" t="s">
        <v>241</v>
      </c>
      <c r="DL1081" s="4" t="s">
        <v>241</v>
      </c>
      <c r="DM1081" s="4" t="s">
        <v>277</v>
      </c>
      <c r="DN1081" s="4" t="s">
        <v>278</v>
      </c>
      <c r="DO1081" s="6">
        <f>49.68</f>
        <v>49.68</v>
      </c>
      <c r="DP1081" s="4" t="s">
        <v>241</v>
      </c>
      <c r="DQ1081" s="4" t="s">
        <v>241</v>
      </c>
      <c r="DR1081" s="4" t="s">
        <v>241</v>
      </c>
      <c r="DS1081" s="4" t="s">
        <v>241</v>
      </c>
      <c r="DV1081" s="4" t="s">
        <v>1578</v>
      </c>
      <c r="DW1081" s="4" t="s">
        <v>323</v>
      </c>
      <c r="GN1081" s="4" t="s">
        <v>3867</v>
      </c>
      <c r="HO1081" s="4" t="s">
        <v>300</v>
      </c>
      <c r="HR1081" s="4" t="s">
        <v>278</v>
      </c>
      <c r="HS1081" s="4" t="s">
        <v>278</v>
      </c>
      <c r="HT1081" s="4" t="s">
        <v>241</v>
      </c>
      <c r="HU1081" s="4" t="s">
        <v>241</v>
      </c>
      <c r="HV1081" s="4" t="s">
        <v>241</v>
      </c>
      <c r="HW1081" s="4" t="s">
        <v>241</v>
      </c>
      <c r="HX1081" s="4" t="s">
        <v>241</v>
      </c>
      <c r="HY1081" s="4" t="s">
        <v>241</v>
      </c>
      <c r="HZ1081" s="4" t="s">
        <v>241</v>
      </c>
      <c r="IA1081" s="4" t="s">
        <v>241</v>
      </c>
      <c r="IB1081" s="4" t="s">
        <v>241</v>
      </c>
      <c r="IC1081" s="4" t="s">
        <v>241</v>
      </c>
      <c r="ID1081" s="4" t="s">
        <v>241</v>
      </c>
      <c r="IE1081" s="4" t="s">
        <v>241</v>
      </c>
      <c r="IF1081" s="4" t="s">
        <v>241</v>
      </c>
    </row>
    <row r="1082" spans="1:240" x14ac:dyDescent="0.4">
      <c r="A1082" s="4">
        <v>2</v>
      </c>
      <c r="B1082" s="4" t="s">
        <v>239</v>
      </c>
      <c r="C1082" s="4">
        <v>1379</v>
      </c>
      <c r="D1082" s="4">
        <v>1</v>
      </c>
      <c r="E1082" s="4">
        <v>3</v>
      </c>
      <c r="F1082" s="4" t="s">
        <v>240</v>
      </c>
      <c r="G1082" s="4" t="s">
        <v>241</v>
      </c>
      <c r="H1082" s="4" t="s">
        <v>241</v>
      </c>
      <c r="I1082" s="4" t="s">
        <v>1584</v>
      </c>
      <c r="J1082" s="4" t="s">
        <v>424</v>
      </c>
      <c r="K1082" s="4" t="s">
        <v>256</v>
      </c>
      <c r="L1082" s="4" t="s">
        <v>1196</v>
      </c>
      <c r="M1082" s="5" t="s">
        <v>512</v>
      </c>
      <c r="N1082" s="4" t="s">
        <v>1196</v>
      </c>
      <c r="O1082" s="6">
        <f>1177.42</f>
        <v>1177.42</v>
      </c>
      <c r="P1082" s="4" t="s">
        <v>276</v>
      </c>
      <c r="Q1082" s="6">
        <f>103612960</f>
        <v>103612960</v>
      </c>
      <c r="R1082" s="6">
        <f>323790500</f>
        <v>323790500</v>
      </c>
      <c r="S1082" s="5" t="s">
        <v>1585</v>
      </c>
      <c r="T1082" s="4" t="s">
        <v>296</v>
      </c>
      <c r="U1082" s="4" t="s">
        <v>473</v>
      </c>
      <c r="V1082" s="6">
        <f>6475810</f>
        <v>6475810</v>
      </c>
      <c r="W1082" s="6">
        <f>220177540</f>
        <v>220177540</v>
      </c>
      <c r="X1082" s="4" t="s">
        <v>243</v>
      </c>
      <c r="Y1082" s="4" t="s">
        <v>244</v>
      </c>
      <c r="Z1082" s="4" t="s">
        <v>465</v>
      </c>
      <c r="AA1082" s="4" t="s">
        <v>241</v>
      </c>
      <c r="AD1082" s="4" t="s">
        <v>241</v>
      </c>
      <c r="AE1082" s="5" t="s">
        <v>241</v>
      </c>
      <c r="AF1082" s="5" t="s">
        <v>241</v>
      </c>
      <c r="AH1082" s="5" t="s">
        <v>241</v>
      </c>
      <c r="AI1082" s="5" t="s">
        <v>249</v>
      </c>
      <c r="AJ1082" s="4" t="s">
        <v>251</v>
      </c>
      <c r="AK1082" s="4" t="s">
        <v>252</v>
      </c>
      <c r="AQ1082" s="4" t="s">
        <v>241</v>
      </c>
      <c r="AR1082" s="4" t="s">
        <v>241</v>
      </c>
      <c r="AS1082" s="4" t="s">
        <v>241</v>
      </c>
      <c r="AT1082" s="5" t="s">
        <v>241</v>
      </c>
      <c r="AU1082" s="5" t="s">
        <v>241</v>
      </c>
      <c r="AV1082" s="5" t="s">
        <v>241</v>
      </c>
      <c r="AY1082" s="4" t="s">
        <v>286</v>
      </c>
      <c r="AZ1082" s="4" t="s">
        <v>286</v>
      </c>
      <c r="BA1082" s="4" t="s">
        <v>254</v>
      </c>
      <c r="BB1082" s="4" t="s">
        <v>287</v>
      </c>
      <c r="BC1082" s="4" t="s">
        <v>255</v>
      </c>
      <c r="BD1082" s="4" t="s">
        <v>241</v>
      </c>
      <c r="BE1082" s="4" t="s">
        <v>257</v>
      </c>
      <c r="BF1082" s="4" t="s">
        <v>241</v>
      </c>
      <c r="BH1082" s="4" t="s">
        <v>500</v>
      </c>
      <c r="BJ1082" s="4" t="s">
        <v>288</v>
      </c>
      <c r="BK1082" s="5" t="s">
        <v>289</v>
      </c>
      <c r="BL1082" s="4" t="s">
        <v>290</v>
      </c>
      <c r="BM1082" s="4" t="s">
        <v>290</v>
      </c>
      <c r="BN1082" s="4" t="s">
        <v>241</v>
      </c>
      <c r="BO1082" s="6">
        <f>0</f>
        <v>0</v>
      </c>
      <c r="BP1082" s="6">
        <f>-6475810</f>
        <v>-6475810</v>
      </c>
      <c r="BQ1082" s="4" t="s">
        <v>263</v>
      </c>
      <c r="BR1082" s="4" t="s">
        <v>264</v>
      </c>
      <c r="BS1082" s="4" t="s">
        <v>241</v>
      </c>
      <c r="BT1082" s="4" t="s">
        <v>241</v>
      </c>
      <c r="BU1082" s="4" t="s">
        <v>241</v>
      </c>
      <c r="BV1082" s="4" t="s">
        <v>241</v>
      </c>
      <c r="CE1082" s="4" t="s">
        <v>264</v>
      </c>
      <c r="CF1082" s="4" t="s">
        <v>241</v>
      </c>
      <c r="CG1082" s="4" t="s">
        <v>241</v>
      </c>
      <c r="CK1082" s="4" t="s">
        <v>291</v>
      </c>
      <c r="CL1082" s="4" t="s">
        <v>266</v>
      </c>
      <c r="CM1082" s="4" t="s">
        <v>241</v>
      </c>
      <c r="CO1082" s="4" t="s">
        <v>390</v>
      </c>
      <c r="CP1082" s="5" t="s">
        <v>268</v>
      </c>
      <c r="CQ1082" s="4" t="s">
        <v>269</v>
      </c>
      <c r="CR1082" s="4" t="s">
        <v>270</v>
      </c>
      <c r="CS1082" s="4" t="s">
        <v>293</v>
      </c>
      <c r="CT1082" s="4" t="s">
        <v>241</v>
      </c>
      <c r="CU1082" s="4">
        <v>0.02</v>
      </c>
      <c r="CV1082" s="4" t="s">
        <v>271</v>
      </c>
      <c r="CW1082" s="4" t="s">
        <v>1546</v>
      </c>
      <c r="CX1082" s="4" t="s">
        <v>295</v>
      </c>
      <c r="CY1082" s="6">
        <f>0</f>
        <v>0</v>
      </c>
      <c r="CZ1082" s="6">
        <f>323790500</f>
        <v>323790500</v>
      </c>
      <c r="DA1082" s="6">
        <f>103612960</f>
        <v>103612960</v>
      </c>
      <c r="DC1082" s="4" t="s">
        <v>241</v>
      </c>
      <c r="DD1082" s="4" t="s">
        <v>241</v>
      </c>
      <c r="DF1082" s="4" t="s">
        <v>241</v>
      </c>
      <c r="DG1082" s="6">
        <f>0</f>
        <v>0</v>
      </c>
      <c r="DI1082" s="4" t="s">
        <v>241</v>
      </c>
      <c r="DJ1082" s="4" t="s">
        <v>241</v>
      </c>
      <c r="DK1082" s="4" t="s">
        <v>241</v>
      </c>
      <c r="DL1082" s="4" t="s">
        <v>241</v>
      </c>
      <c r="DM1082" s="4" t="s">
        <v>323</v>
      </c>
      <c r="DN1082" s="4" t="s">
        <v>278</v>
      </c>
      <c r="DO1082" s="6">
        <f>1177.42</f>
        <v>1177.42</v>
      </c>
      <c r="DP1082" s="4" t="s">
        <v>241</v>
      </c>
      <c r="DQ1082" s="4" t="s">
        <v>241</v>
      </c>
      <c r="DR1082" s="4" t="s">
        <v>241</v>
      </c>
      <c r="DS1082" s="4" t="s">
        <v>241</v>
      </c>
      <c r="DV1082" s="4" t="s">
        <v>1586</v>
      </c>
      <c r="DW1082" s="4" t="s">
        <v>277</v>
      </c>
      <c r="GN1082" s="4" t="s">
        <v>1587</v>
      </c>
      <c r="HO1082" s="4" t="s">
        <v>300</v>
      </c>
      <c r="HR1082" s="4" t="s">
        <v>278</v>
      </c>
      <c r="HS1082" s="4" t="s">
        <v>278</v>
      </c>
      <c r="HT1082" s="4" t="s">
        <v>241</v>
      </c>
      <c r="HU1082" s="4" t="s">
        <v>241</v>
      </c>
      <c r="HV1082" s="4" t="s">
        <v>241</v>
      </c>
      <c r="HW1082" s="4" t="s">
        <v>241</v>
      </c>
      <c r="HX1082" s="4" t="s">
        <v>241</v>
      </c>
      <c r="HY1082" s="4" t="s">
        <v>241</v>
      </c>
      <c r="HZ1082" s="4" t="s">
        <v>241</v>
      </c>
      <c r="IA1082" s="4" t="s">
        <v>241</v>
      </c>
      <c r="IB1082" s="4" t="s">
        <v>241</v>
      </c>
      <c r="IC1082" s="4" t="s">
        <v>241</v>
      </c>
      <c r="ID1082" s="4" t="s">
        <v>241</v>
      </c>
      <c r="IE1082" s="4" t="s">
        <v>241</v>
      </c>
      <c r="IF1082" s="4" t="s">
        <v>241</v>
      </c>
    </row>
    <row r="1083" spans="1:240" x14ac:dyDescent="0.4">
      <c r="A1083" s="4">
        <v>2</v>
      </c>
      <c r="B1083" s="4" t="s">
        <v>239</v>
      </c>
      <c r="C1083" s="4">
        <v>1380</v>
      </c>
      <c r="D1083" s="4">
        <v>1</v>
      </c>
      <c r="E1083" s="4">
        <v>1</v>
      </c>
      <c r="F1083" s="4" t="s">
        <v>240</v>
      </c>
      <c r="G1083" s="4" t="s">
        <v>241</v>
      </c>
      <c r="H1083" s="4" t="s">
        <v>241</v>
      </c>
      <c r="I1083" s="4" t="s">
        <v>1584</v>
      </c>
      <c r="J1083" s="4" t="s">
        <v>424</v>
      </c>
      <c r="K1083" s="4" t="s">
        <v>256</v>
      </c>
      <c r="L1083" s="4" t="s">
        <v>454</v>
      </c>
      <c r="M1083" s="5" t="s">
        <v>512</v>
      </c>
      <c r="N1083" s="4" t="s">
        <v>454</v>
      </c>
      <c r="O1083" s="6">
        <f>14.6</f>
        <v>14.6</v>
      </c>
      <c r="P1083" s="4" t="s">
        <v>276</v>
      </c>
      <c r="Q1083" s="6">
        <f>1</f>
        <v>1</v>
      </c>
      <c r="R1083" s="6">
        <f>1401600</f>
        <v>1401600</v>
      </c>
      <c r="S1083" s="5" t="s">
        <v>1585</v>
      </c>
      <c r="T1083" s="4" t="s">
        <v>441</v>
      </c>
      <c r="U1083" s="4" t="s">
        <v>441</v>
      </c>
      <c r="W1083" s="6">
        <f>1401599</f>
        <v>1401599</v>
      </c>
      <c r="X1083" s="4" t="s">
        <v>243</v>
      </c>
      <c r="Y1083" s="4" t="s">
        <v>244</v>
      </c>
      <c r="Z1083" s="4" t="s">
        <v>465</v>
      </c>
      <c r="AA1083" s="4" t="s">
        <v>241</v>
      </c>
      <c r="AD1083" s="4" t="s">
        <v>241</v>
      </c>
      <c r="AF1083" s="5" t="s">
        <v>241</v>
      </c>
      <c r="AI1083" s="5" t="s">
        <v>249</v>
      </c>
      <c r="AJ1083" s="4" t="s">
        <v>251</v>
      </c>
      <c r="AK1083" s="4" t="s">
        <v>252</v>
      </c>
      <c r="BA1083" s="4" t="s">
        <v>254</v>
      </c>
      <c r="BB1083" s="4" t="s">
        <v>241</v>
      </c>
      <c r="BC1083" s="4" t="s">
        <v>255</v>
      </c>
      <c r="BD1083" s="4" t="s">
        <v>241</v>
      </c>
      <c r="BE1083" s="4" t="s">
        <v>257</v>
      </c>
      <c r="BF1083" s="4" t="s">
        <v>241</v>
      </c>
      <c r="BJ1083" s="4" t="s">
        <v>367</v>
      </c>
      <c r="BK1083" s="5" t="s">
        <v>249</v>
      </c>
      <c r="BL1083" s="4" t="s">
        <v>261</v>
      </c>
      <c r="BM1083" s="4" t="s">
        <v>290</v>
      </c>
      <c r="BN1083" s="4" t="s">
        <v>241</v>
      </c>
      <c r="BO1083" s="6">
        <f>0</f>
        <v>0</v>
      </c>
      <c r="BP1083" s="6">
        <f>0</f>
        <v>0</v>
      </c>
      <c r="BQ1083" s="4" t="s">
        <v>263</v>
      </c>
      <c r="BR1083" s="4" t="s">
        <v>264</v>
      </c>
      <c r="CF1083" s="4" t="s">
        <v>241</v>
      </c>
      <c r="CG1083" s="4" t="s">
        <v>241</v>
      </c>
      <c r="CK1083" s="4" t="s">
        <v>291</v>
      </c>
      <c r="CL1083" s="4" t="s">
        <v>266</v>
      </c>
      <c r="CM1083" s="4" t="s">
        <v>241</v>
      </c>
      <c r="CO1083" s="4" t="s">
        <v>390</v>
      </c>
      <c r="CP1083" s="5" t="s">
        <v>268</v>
      </c>
      <c r="CQ1083" s="4" t="s">
        <v>269</v>
      </c>
      <c r="CR1083" s="4" t="s">
        <v>270</v>
      </c>
      <c r="CS1083" s="4" t="s">
        <v>241</v>
      </c>
      <c r="CT1083" s="4" t="s">
        <v>241</v>
      </c>
      <c r="CU1083" s="4">
        <v>0</v>
      </c>
      <c r="CV1083" s="4" t="s">
        <v>271</v>
      </c>
      <c r="CW1083" s="4" t="s">
        <v>455</v>
      </c>
      <c r="CX1083" s="4" t="s">
        <v>487</v>
      </c>
      <c r="CZ1083" s="6">
        <f>1401600</f>
        <v>1401600</v>
      </c>
      <c r="DA1083" s="6">
        <f>0</f>
        <v>0</v>
      </c>
      <c r="DC1083" s="4" t="s">
        <v>241</v>
      </c>
      <c r="DD1083" s="4" t="s">
        <v>241</v>
      </c>
      <c r="DF1083" s="4" t="s">
        <v>241</v>
      </c>
      <c r="DI1083" s="4" t="s">
        <v>241</v>
      </c>
      <c r="DJ1083" s="4" t="s">
        <v>241</v>
      </c>
      <c r="DK1083" s="4" t="s">
        <v>241</v>
      </c>
      <c r="DL1083" s="4" t="s">
        <v>241</v>
      </c>
      <c r="DM1083" s="4" t="s">
        <v>277</v>
      </c>
      <c r="DN1083" s="4" t="s">
        <v>278</v>
      </c>
      <c r="DO1083" s="6">
        <f>14.6</f>
        <v>14.6</v>
      </c>
      <c r="DP1083" s="4" t="s">
        <v>241</v>
      </c>
      <c r="DQ1083" s="4" t="s">
        <v>241</v>
      </c>
      <c r="DR1083" s="4" t="s">
        <v>241</v>
      </c>
      <c r="DS1083" s="4" t="s">
        <v>241</v>
      </c>
      <c r="DV1083" s="4" t="s">
        <v>1586</v>
      </c>
      <c r="DW1083" s="4" t="s">
        <v>323</v>
      </c>
      <c r="HO1083" s="4" t="s">
        <v>336</v>
      </c>
      <c r="HR1083" s="4" t="s">
        <v>278</v>
      </c>
      <c r="HS1083" s="4" t="s">
        <v>278</v>
      </c>
    </row>
    <row r="1084" spans="1:240" x14ac:dyDescent="0.4">
      <c r="A1084" s="4">
        <v>2</v>
      </c>
      <c r="B1084" s="4" t="s">
        <v>239</v>
      </c>
      <c r="C1084" s="4">
        <v>1381</v>
      </c>
      <c r="D1084" s="4">
        <v>1</v>
      </c>
      <c r="E1084" s="4">
        <v>3</v>
      </c>
      <c r="F1084" s="4" t="s">
        <v>240</v>
      </c>
      <c r="G1084" s="4" t="s">
        <v>241</v>
      </c>
      <c r="H1084" s="4" t="s">
        <v>241</v>
      </c>
      <c r="I1084" s="4" t="s">
        <v>1607</v>
      </c>
      <c r="J1084" s="4" t="s">
        <v>424</v>
      </c>
      <c r="K1084" s="4" t="s">
        <v>256</v>
      </c>
      <c r="L1084" s="4" t="s">
        <v>1196</v>
      </c>
      <c r="M1084" s="5" t="s">
        <v>1609</v>
      </c>
      <c r="N1084" s="4" t="s">
        <v>1196</v>
      </c>
      <c r="O1084" s="6">
        <f>1598.43</f>
        <v>1598.43</v>
      </c>
      <c r="P1084" s="4" t="s">
        <v>276</v>
      </c>
      <c r="Q1084" s="6">
        <f>12085605</f>
        <v>12085605</v>
      </c>
      <c r="R1084" s="6">
        <f>120856050</f>
        <v>120856050</v>
      </c>
      <c r="S1084" s="5" t="s">
        <v>1608</v>
      </c>
      <c r="T1084" s="4" t="s">
        <v>296</v>
      </c>
      <c r="U1084" s="4" t="s">
        <v>683</v>
      </c>
      <c r="V1084" s="6">
        <f>2417121</f>
        <v>2417121</v>
      </c>
      <c r="W1084" s="6">
        <f>108770445</f>
        <v>108770445</v>
      </c>
      <c r="X1084" s="4" t="s">
        <v>243</v>
      </c>
      <c r="Y1084" s="4" t="s">
        <v>244</v>
      </c>
      <c r="Z1084" s="4" t="s">
        <v>465</v>
      </c>
      <c r="AA1084" s="4" t="s">
        <v>241</v>
      </c>
      <c r="AD1084" s="4" t="s">
        <v>241</v>
      </c>
      <c r="AE1084" s="5" t="s">
        <v>241</v>
      </c>
      <c r="AF1084" s="5" t="s">
        <v>241</v>
      </c>
      <c r="AH1084" s="5" t="s">
        <v>241</v>
      </c>
      <c r="AI1084" s="5" t="s">
        <v>249</v>
      </c>
      <c r="AJ1084" s="4" t="s">
        <v>251</v>
      </c>
      <c r="AK1084" s="4" t="s">
        <v>252</v>
      </c>
      <c r="AQ1084" s="4" t="s">
        <v>241</v>
      </c>
      <c r="AR1084" s="4" t="s">
        <v>241</v>
      </c>
      <c r="AS1084" s="4" t="s">
        <v>241</v>
      </c>
      <c r="AT1084" s="5" t="s">
        <v>241</v>
      </c>
      <c r="AU1084" s="5" t="s">
        <v>241</v>
      </c>
      <c r="AV1084" s="5" t="s">
        <v>241</v>
      </c>
      <c r="AY1084" s="4" t="s">
        <v>286</v>
      </c>
      <c r="AZ1084" s="4" t="s">
        <v>286</v>
      </c>
      <c r="BA1084" s="4" t="s">
        <v>254</v>
      </c>
      <c r="BB1084" s="4" t="s">
        <v>287</v>
      </c>
      <c r="BC1084" s="4" t="s">
        <v>255</v>
      </c>
      <c r="BD1084" s="4" t="s">
        <v>241</v>
      </c>
      <c r="BE1084" s="4" t="s">
        <v>257</v>
      </c>
      <c r="BF1084" s="4" t="s">
        <v>241</v>
      </c>
      <c r="BH1084" s="4" t="s">
        <v>500</v>
      </c>
      <c r="BJ1084" s="4" t="s">
        <v>288</v>
      </c>
      <c r="BK1084" s="5" t="s">
        <v>289</v>
      </c>
      <c r="BL1084" s="4" t="s">
        <v>290</v>
      </c>
      <c r="BM1084" s="4" t="s">
        <v>290</v>
      </c>
      <c r="BN1084" s="4" t="s">
        <v>241</v>
      </c>
      <c r="BO1084" s="6">
        <f>0</f>
        <v>0</v>
      </c>
      <c r="BP1084" s="6">
        <f>-2417121</f>
        <v>-2417121</v>
      </c>
      <c r="BQ1084" s="4" t="s">
        <v>263</v>
      </c>
      <c r="BR1084" s="4" t="s">
        <v>264</v>
      </c>
      <c r="BS1084" s="4" t="s">
        <v>241</v>
      </c>
      <c r="BT1084" s="4" t="s">
        <v>241</v>
      </c>
      <c r="BU1084" s="4" t="s">
        <v>241</v>
      </c>
      <c r="BV1084" s="4" t="s">
        <v>241</v>
      </c>
      <c r="CE1084" s="4" t="s">
        <v>264</v>
      </c>
      <c r="CF1084" s="4" t="s">
        <v>241</v>
      </c>
      <c r="CG1084" s="4" t="s">
        <v>241</v>
      </c>
      <c r="CK1084" s="4" t="s">
        <v>265</v>
      </c>
      <c r="CL1084" s="4" t="s">
        <v>266</v>
      </c>
      <c r="CM1084" s="4" t="s">
        <v>241</v>
      </c>
      <c r="CO1084" s="4" t="s">
        <v>392</v>
      </c>
      <c r="CP1084" s="5" t="s">
        <v>268</v>
      </c>
      <c r="CQ1084" s="4" t="s">
        <v>269</v>
      </c>
      <c r="CR1084" s="4" t="s">
        <v>270</v>
      </c>
      <c r="CS1084" s="4" t="s">
        <v>293</v>
      </c>
      <c r="CT1084" s="4" t="s">
        <v>241</v>
      </c>
      <c r="CU1084" s="4">
        <v>0.02</v>
      </c>
      <c r="CV1084" s="4" t="s">
        <v>271</v>
      </c>
      <c r="CW1084" s="4" t="s">
        <v>1546</v>
      </c>
      <c r="CX1084" s="4" t="s">
        <v>295</v>
      </c>
      <c r="CY1084" s="6">
        <f>0</f>
        <v>0</v>
      </c>
      <c r="CZ1084" s="6">
        <f>120856050</f>
        <v>120856050</v>
      </c>
      <c r="DA1084" s="6">
        <f>12085605</f>
        <v>12085605</v>
      </c>
      <c r="DC1084" s="4" t="s">
        <v>241</v>
      </c>
      <c r="DD1084" s="4" t="s">
        <v>241</v>
      </c>
      <c r="DF1084" s="4" t="s">
        <v>241</v>
      </c>
      <c r="DG1084" s="6">
        <f>0</f>
        <v>0</v>
      </c>
      <c r="DI1084" s="4" t="s">
        <v>241</v>
      </c>
      <c r="DJ1084" s="4" t="s">
        <v>241</v>
      </c>
      <c r="DK1084" s="4" t="s">
        <v>241</v>
      </c>
      <c r="DL1084" s="4" t="s">
        <v>241</v>
      </c>
      <c r="DM1084" s="4" t="s">
        <v>277</v>
      </c>
      <c r="DN1084" s="4" t="s">
        <v>278</v>
      </c>
      <c r="DO1084" s="6">
        <f>1598.43</f>
        <v>1598.43</v>
      </c>
      <c r="DP1084" s="4" t="s">
        <v>241</v>
      </c>
      <c r="DQ1084" s="4" t="s">
        <v>241</v>
      </c>
      <c r="DR1084" s="4" t="s">
        <v>241</v>
      </c>
      <c r="DS1084" s="4" t="s">
        <v>241</v>
      </c>
      <c r="DV1084" s="4" t="s">
        <v>1610</v>
      </c>
      <c r="DW1084" s="4" t="s">
        <v>277</v>
      </c>
      <c r="GN1084" s="4" t="s">
        <v>1611</v>
      </c>
      <c r="HO1084" s="4" t="s">
        <v>341</v>
      </c>
      <c r="HR1084" s="4" t="s">
        <v>278</v>
      </c>
      <c r="HS1084" s="4" t="s">
        <v>278</v>
      </c>
      <c r="HT1084" s="4" t="s">
        <v>241</v>
      </c>
      <c r="HU1084" s="4" t="s">
        <v>241</v>
      </c>
      <c r="HV1084" s="4" t="s">
        <v>241</v>
      </c>
      <c r="HW1084" s="4" t="s">
        <v>241</v>
      </c>
      <c r="HX1084" s="4" t="s">
        <v>241</v>
      </c>
      <c r="HY1084" s="4" t="s">
        <v>241</v>
      </c>
      <c r="HZ1084" s="4" t="s">
        <v>241</v>
      </c>
      <c r="IA1084" s="4" t="s">
        <v>241</v>
      </c>
      <c r="IB1084" s="4" t="s">
        <v>241</v>
      </c>
      <c r="IC1084" s="4" t="s">
        <v>241</v>
      </c>
      <c r="ID1084" s="4" t="s">
        <v>241</v>
      </c>
      <c r="IE1084" s="4" t="s">
        <v>241</v>
      </c>
      <c r="IF1084" s="4" t="s">
        <v>241</v>
      </c>
    </row>
    <row r="1085" spans="1:240" x14ac:dyDescent="0.4">
      <c r="A1085" s="4">
        <v>2</v>
      </c>
      <c r="B1085" s="4" t="s">
        <v>239</v>
      </c>
      <c r="C1085" s="4">
        <v>1383</v>
      </c>
      <c r="D1085" s="4">
        <v>1</v>
      </c>
      <c r="E1085" s="4">
        <v>1</v>
      </c>
      <c r="F1085" s="4" t="s">
        <v>240</v>
      </c>
      <c r="G1085" s="4" t="s">
        <v>241</v>
      </c>
      <c r="H1085" s="4" t="s">
        <v>241</v>
      </c>
      <c r="I1085" s="4" t="s">
        <v>1607</v>
      </c>
      <c r="J1085" s="4" t="s">
        <v>424</v>
      </c>
      <c r="K1085" s="4" t="s">
        <v>256</v>
      </c>
      <c r="L1085" s="4" t="s">
        <v>429</v>
      </c>
      <c r="M1085" s="5" t="s">
        <v>1609</v>
      </c>
      <c r="N1085" s="4" t="s">
        <v>429</v>
      </c>
      <c r="O1085" s="6">
        <f>19.87</f>
        <v>19.87</v>
      </c>
      <c r="P1085" s="4" t="s">
        <v>276</v>
      </c>
      <c r="Q1085" s="6">
        <f>1</f>
        <v>1</v>
      </c>
      <c r="R1085" s="6">
        <f>1192200</f>
        <v>1192200</v>
      </c>
      <c r="S1085" s="5" t="s">
        <v>1608</v>
      </c>
      <c r="T1085" s="4" t="s">
        <v>274</v>
      </c>
      <c r="U1085" s="4" t="s">
        <v>393</v>
      </c>
      <c r="W1085" s="6">
        <f>1192199</f>
        <v>1192199</v>
      </c>
      <c r="X1085" s="4" t="s">
        <v>243</v>
      </c>
      <c r="Y1085" s="4" t="s">
        <v>244</v>
      </c>
      <c r="Z1085" s="4" t="s">
        <v>465</v>
      </c>
      <c r="AA1085" s="4" t="s">
        <v>241</v>
      </c>
      <c r="AD1085" s="4" t="s">
        <v>241</v>
      </c>
      <c r="AF1085" s="5" t="s">
        <v>241</v>
      </c>
      <c r="AI1085" s="5" t="s">
        <v>249</v>
      </c>
      <c r="AJ1085" s="4" t="s">
        <v>251</v>
      </c>
      <c r="AK1085" s="4" t="s">
        <v>252</v>
      </c>
      <c r="BA1085" s="4" t="s">
        <v>254</v>
      </c>
      <c r="BB1085" s="4" t="s">
        <v>241</v>
      </c>
      <c r="BC1085" s="4" t="s">
        <v>255</v>
      </c>
      <c r="BD1085" s="4" t="s">
        <v>241</v>
      </c>
      <c r="BE1085" s="4" t="s">
        <v>257</v>
      </c>
      <c r="BF1085" s="4" t="s">
        <v>241</v>
      </c>
      <c r="BJ1085" s="4" t="s">
        <v>367</v>
      </c>
      <c r="BK1085" s="5" t="s">
        <v>249</v>
      </c>
      <c r="BL1085" s="4" t="s">
        <v>261</v>
      </c>
      <c r="BM1085" s="4" t="s">
        <v>262</v>
      </c>
      <c r="BN1085" s="4" t="s">
        <v>241</v>
      </c>
      <c r="BO1085" s="6">
        <f>0</f>
        <v>0</v>
      </c>
      <c r="BP1085" s="6">
        <f>0</f>
        <v>0</v>
      </c>
      <c r="BQ1085" s="4" t="s">
        <v>263</v>
      </c>
      <c r="BR1085" s="4" t="s">
        <v>264</v>
      </c>
      <c r="CF1085" s="4" t="s">
        <v>241</v>
      </c>
      <c r="CG1085" s="4" t="s">
        <v>241</v>
      </c>
      <c r="CK1085" s="4" t="s">
        <v>265</v>
      </c>
      <c r="CL1085" s="4" t="s">
        <v>266</v>
      </c>
      <c r="CM1085" s="4" t="s">
        <v>241</v>
      </c>
      <c r="CO1085" s="4" t="s">
        <v>392</v>
      </c>
      <c r="CP1085" s="5" t="s">
        <v>268</v>
      </c>
      <c r="CQ1085" s="4" t="s">
        <v>269</v>
      </c>
      <c r="CR1085" s="4" t="s">
        <v>270</v>
      </c>
      <c r="CS1085" s="4" t="s">
        <v>241</v>
      </c>
      <c r="CT1085" s="4" t="s">
        <v>241</v>
      </c>
      <c r="CU1085" s="4">
        <v>0</v>
      </c>
      <c r="CV1085" s="4" t="s">
        <v>271</v>
      </c>
      <c r="CW1085" s="4" t="s">
        <v>272</v>
      </c>
      <c r="CX1085" s="4" t="s">
        <v>273</v>
      </c>
      <c r="CZ1085" s="6">
        <f>1192200</f>
        <v>1192200</v>
      </c>
      <c r="DA1085" s="6">
        <f>0</f>
        <v>0</v>
      </c>
      <c r="DC1085" s="4" t="s">
        <v>241</v>
      </c>
      <c r="DD1085" s="4" t="s">
        <v>241</v>
      </c>
      <c r="DF1085" s="4" t="s">
        <v>241</v>
      </c>
      <c r="DI1085" s="4" t="s">
        <v>241</v>
      </c>
      <c r="DJ1085" s="4" t="s">
        <v>241</v>
      </c>
      <c r="DK1085" s="4" t="s">
        <v>241</v>
      </c>
      <c r="DL1085" s="4" t="s">
        <v>241</v>
      </c>
      <c r="DM1085" s="4" t="s">
        <v>277</v>
      </c>
      <c r="DN1085" s="4" t="s">
        <v>278</v>
      </c>
      <c r="DO1085" s="6">
        <f>19.87</f>
        <v>19.87</v>
      </c>
      <c r="DP1085" s="4" t="s">
        <v>241</v>
      </c>
      <c r="DQ1085" s="4" t="s">
        <v>241</v>
      </c>
      <c r="DR1085" s="4" t="s">
        <v>241</v>
      </c>
      <c r="DS1085" s="4" t="s">
        <v>241</v>
      </c>
      <c r="DV1085" s="4" t="s">
        <v>1610</v>
      </c>
      <c r="DW1085" s="4" t="s">
        <v>297</v>
      </c>
      <c r="HO1085" s="4" t="s">
        <v>277</v>
      </c>
      <c r="HR1085" s="4" t="s">
        <v>278</v>
      </c>
      <c r="HS1085" s="4" t="s">
        <v>278</v>
      </c>
    </row>
    <row r="1086" spans="1:240" x14ac:dyDescent="0.4">
      <c r="A1086" s="4">
        <v>2</v>
      </c>
      <c r="B1086" s="4" t="s">
        <v>239</v>
      </c>
      <c r="C1086" s="4">
        <v>1384</v>
      </c>
      <c r="D1086" s="4">
        <v>1</v>
      </c>
      <c r="E1086" s="4">
        <v>3</v>
      </c>
      <c r="F1086" s="4" t="s">
        <v>326</v>
      </c>
      <c r="G1086" s="4" t="s">
        <v>241</v>
      </c>
      <c r="H1086" s="4" t="s">
        <v>241</v>
      </c>
      <c r="I1086" s="4" t="s">
        <v>1607</v>
      </c>
      <c r="J1086" s="4" t="s">
        <v>424</v>
      </c>
      <c r="K1086" s="4" t="s">
        <v>256</v>
      </c>
      <c r="L1086" s="4" t="s">
        <v>241</v>
      </c>
      <c r="M1086" s="5" t="s">
        <v>1609</v>
      </c>
      <c r="N1086" s="4" t="s">
        <v>2648</v>
      </c>
      <c r="O1086" s="6">
        <f>0</f>
        <v>0</v>
      </c>
      <c r="P1086" s="4" t="s">
        <v>276</v>
      </c>
      <c r="Q1086" s="6">
        <f>231489</f>
        <v>231489</v>
      </c>
      <c r="R1086" s="6">
        <f>250800</f>
        <v>250800</v>
      </c>
      <c r="S1086" s="5" t="s">
        <v>2649</v>
      </c>
      <c r="T1086" s="4" t="s">
        <v>322</v>
      </c>
      <c r="U1086" s="4" t="s">
        <v>278</v>
      </c>
      <c r="V1086" s="6">
        <f>250799</f>
        <v>250799</v>
      </c>
      <c r="W1086" s="6">
        <f>19311</f>
        <v>19311</v>
      </c>
      <c r="X1086" s="4" t="s">
        <v>243</v>
      </c>
      <c r="Y1086" s="4" t="s">
        <v>244</v>
      </c>
      <c r="Z1086" s="4" t="s">
        <v>241</v>
      </c>
      <c r="AA1086" s="4" t="s">
        <v>241</v>
      </c>
      <c r="AD1086" s="4" t="s">
        <v>241</v>
      </c>
      <c r="AE1086" s="5" t="s">
        <v>241</v>
      </c>
      <c r="AF1086" s="5" t="s">
        <v>241</v>
      </c>
      <c r="AH1086" s="5" t="s">
        <v>241</v>
      </c>
      <c r="AI1086" s="5" t="s">
        <v>249</v>
      </c>
      <c r="AJ1086" s="4" t="s">
        <v>251</v>
      </c>
      <c r="AK1086" s="4" t="s">
        <v>252</v>
      </c>
      <c r="AQ1086" s="4" t="s">
        <v>241</v>
      </c>
      <c r="AR1086" s="4" t="s">
        <v>241</v>
      </c>
      <c r="AS1086" s="4" t="s">
        <v>241</v>
      </c>
      <c r="AT1086" s="5" t="s">
        <v>241</v>
      </c>
      <c r="AU1086" s="5" t="s">
        <v>241</v>
      </c>
      <c r="AV1086" s="5" t="s">
        <v>241</v>
      </c>
      <c r="AY1086" s="4" t="s">
        <v>286</v>
      </c>
      <c r="AZ1086" s="4" t="s">
        <v>286</v>
      </c>
      <c r="BA1086" s="4" t="s">
        <v>254</v>
      </c>
      <c r="BB1086" s="4" t="s">
        <v>287</v>
      </c>
      <c r="BC1086" s="4" t="s">
        <v>255</v>
      </c>
      <c r="BD1086" s="4" t="s">
        <v>241</v>
      </c>
      <c r="BE1086" s="4" t="s">
        <v>257</v>
      </c>
      <c r="BF1086" s="4" t="s">
        <v>241</v>
      </c>
      <c r="BJ1086" s="4" t="s">
        <v>288</v>
      </c>
      <c r="BK1086" s="5" t="s">
        <v>289</v>
      </c>
      <c r="BL1086" s="4" t="s">
        <v>290</v>
      </c>
      <c r="BM1086" s="4" t="s">
        <v>290</v>
      </c>
      <c r="BN1086" s="4" t="s">
        <v>241</v>
      </c>
      <c r="BP1086" s="6">
        <f>-19311</f>
        <v>-19311</v>
      </c>
      <c r="BQ1086" s="4" t="s">
        <v>263</v>
      </c>
      <c r="BR1086" s="4" t="s">
        <v>264</v>
      </c>
      <c r="BS1086" s="4" t="s">
        <v>241</v>
      </c>
      <c r="BT1086" s="4" t="s">
        <v>241</v>
      </c>
      <c r="BU1086" s="4" t="s">
        <v>241</v>
      </c>
      <c r="BV1086" s="4" t="s">
        <v>241</v>
      </c>
      <c r="CE1086" s="4" t="s">
        <v>264</v>
      </c>
      <c r="CF1086" s="4" t="s">
        <v>241</v>
      </c>
      <c r="CG1086" s="4" t="s">
        <v>241</v>
      </c>
      <c r="CK1086" s="4" t="s">
        <v>291</v>
      </c>
      <c r="CL1086" s="4" t="s">
        <v>266</v>
      </c>
      <c r="CM1086" s="4" t="s">
        <v>241</v>
      </c>
      <c r="CO1086" s="4" t="s">
        <v>426</v>
      </c>
      <c r="CP1086" s="5" t="s">
        <v>268</v>
      </c>
      <c r="CQ1086" s="4" t="s">
        <v>269</v>
      </c>
      <c r="CR1086" s="4" t="s">
        <v>270</v>
      </c>
      <c r="CS1086" s="4" t="s">
        <v>293</v>
      </c>
      <c r="CT1086" s="4" t="s">
        <v>241</v>
      </c>
      <c r="CU1086" s="4">
        <v>7.6999999999999999E-2</v>
      </c>
      <c r="CV1086" s="4" t="s">
        <v>271</v>
      </c>
      <c r="CW1086" s="4" t="s">
        <v>415</v>
      </c>
      <c r="CX1086" s="4" t="s">
        <v>428</v>
      </c>
      <c r="CY1086" s="6">
        <f>0</f>
        <v>0</v>
      </c>
      <c r="CZ1086" s="6">
        <f>250800</f>
        <v>250800</v>
      </c>
      <c r="DA1086" s="6">
        <f>1</f>
        <v>1</v>
      </c>
      <c r="DC1086" s="4" t="s">
        <v>241</v>
      </c>
      <c r="DD1086" s="4" t="s">
        <v>241</v>
      </c>
      <c r="DF1086" s="4" t="s">
        <v>241</v>
      </c>
      <c r="DG1086" s="6">
        <f>0</f>
        <v>0</v>
      </c>
      <c r="DI1086" s="4" t="s">
        <v>241</v>
      </c>
      <c r="DJ1086" s="4" t="s">
        <v>241</v>
      </c>
      <c r="DK1086" s="4" t="s">
        <v>241</v>
      </c>
      <c r="DL1086" s="4" t="s">
        <v>241</v>
      </c>
      <c r="DM1086" s="4" t="s">
        <v>278</v>
      </c>
      <c r="DN1086" s="4" t="s">
        <v>278</v>
      </c>
      <c r="DO1086" s="6" t="s">
        <v>241</v>
      </c>
      <c r="DP1086" s="4" t="s">
        <v>241</v>
      </c>
      <c r="DQ1086" s="4" t="s">
        <v>241</v>
      </c>
      <c r="DR1086" s="4" t="s">
        <v>241</v>
      </c>
      <c r="DS1086" s="4" t="s">
        <v>241</v>
      </c>
      <c r="DV1086" s="4" t="s">
        <v>1610</v>
      </c>
      <c r="DW1086" s="4" t="s">
        <v>336</v>
      </c>
      <c r="GN1086" s="4" t="s">
        <v>2681</v>
      </c>
      <c r="HO1086" s="4" t="s">
        <v>323</v>
      </c>
      <c r="HR1086" s="4" t="s">
        <v>278</v>
      </c>
      <c r="HS1086" s="4" t="s">
        <v>278</v>
      </c>
      <c r="HT1086" s="4" t="s">
        <v>241</v>
      </c>
      <c r="HU1086" s="4" t="s">
        <v>241</v>
      </c>
      <c r="HV1086" s="4" t="s">
        <v>241</v>
      </c>
      <c r="HW1086" s="4" t="s">
        <v>241</v>
      </c>
      <c r="HX1086" s="4" t="s">
        <v>241</v>
      </c>
      <c r="HY1086" s="4" t="s">
        <v>241</v>
      </c>
      <c r="HZ1086" s="4" t="s">
        <v>241</v>
      </c>
      <c r="IA1086" s="4" t="s">
        <v>241</v>
      </c>
      <c r="IB1086" s="4" t="s">
        <v>241</v>
      </c>
      <c r="IC1086" s="4" t="s">
        <v>241</v>
      </c>
      <c r="ID1086" s="4" t="s">
        <v>241</v>
      </c>
      <c r="IE1086" s="4" t="s">
        <v>241</v>
      </c>
      <c r="IF1086" s="4" t="s">
        <v>241</v>
      </c>
    </row>
    <row r="1087" spans="1:240" x14ac:dyDescent="0.4">
      <c r="A1087" s="4">
        <v>2</v>
      </c>
      <c r="B1087" s="4" t="s">
        <v>239</v>
      </c>
      <c r="C1087" s="4">
        <v>1385</v>
      </c>
      <c r="D1087" s="4">
        <v>1</v>
      </c>
      <c r="E1087" s="4">
        <v>3</v>
      </c>
      <c r="F1087" s="4" t="s">
        <v>240</v>
      </c>
      <c r="G1087" s="4" t="s">
        <v>241</v>
      </c>
      <c r="H1087" s="4" t="s">
        <v>241</v>
      </c>
      <c r="I1087" s="4" t="s">
        <v>1558</v>
      </c>
      <c r="J1087" s="4" t="s">
        <v>424</v>
      </c>
      <c r="K1087" s="4" t="s">
        <v>256</v>
      </c>
      <c r="L1087" s="4" t="s">
        <v>1560</v>
      </c>
      <c r="M1087" s="5" t="s">
        <v>1561</v>
      </c>
      <c r="N1087" s="4" t="s">
        <v>1196</v>
      </c>
      <c r="O1087" s="6">
        <f>1092</f>
        <v>1092</v>
      </c>
      <c r="P1087" s="4" t="s">
        <v>276</v>
      </c>
      <c r="Q1087" s="6">
        <f>17690400</f>
        <v>17690400</v>
      </c>
      <c r="R1087" s="6">
        <f>147420000</f>
        <v>147420000</v>
      </c>
      <c r="S1087" s="5" t="s">
        <v>1559</v>
      </c>
      <c r="T1087" s="4" t="s">
        <v>296</v>
      </c>
      <c r="U1087" s="4" t="s">
        <v>835</v>
      </c>
      <c r="V1087" s="6">
        <f>2948400</f>
        <v>2948400</v>
      </c>
      <c r="W1087" s="6">
        <f>129729600</f>
        <v>129729600</v>
      </c>
      <c r="X1087" s="4" t="s">
        <v>243</v>
      </c>
      <c r="Y1087" s="4" t="s">
        <v>244</v>
      </c>
      <c r="Z1087" s="4" t="s">
        <v>465</v>
      </c>
      <c r="AA1087" s="4" t="s">
        <v>241</v>
      </c>
      <c r="AD1087" s="4" t="s">
        <v>241</v>
      </c>
      <c r="AE1087" s="5" t="s">
        <v>241</v>
      </c>
      <c r="AF1087" s="5" t="s">
        <v>241</v>
      </c>
      <c r="AH1087" s="5" t="s">
        <v>241</v>
      </c>
      <c r="AI1087" s="5" t="s">
        <v>249</v>
      </c>
      <c r="AJ1087" s="4" t="s">
        <v>251</v>
      </c>
      <c r="AK1087" s="4" t="s">
        <v>252</v>
      </c>
      <c r="AQ1087" s="4" t="s">
        <v>241</v>
      </c>
      <c r="AR1087" s="4" t="s">
        <v>241</v>
      </c>
      <c r="AS1087" s="4" t="s">
        <v>241</v>
      </c>
      <c r="AT1087" s="5" t="s">
        <v>241</v>
      </c>
      <c r="AU1087" s="5" t="s">
        <v>241</v>
      </c>
      <c r="AV1087" s="5" t="s">
        <v>241</v>
      </c>
      <c r="AY1087" s="4" t="s">
        <v>286</v>
      </c>
      <c r="AZ1087" s="4" t="s">
        <v>286</v>
      </c>
      <c r="BA1087" s="4" t="s">
        <v>254</v>
      </c>
      <c r="BB1087" s="4" t="s">
        <v>287</v>
      </c>
      <c r="BC1087" s="4" t="s">
        <v>255</v>
      </c>
      <c r="BD1087" s="4" t="s">
        <v>241</v>
      </c>
      <c r="BE1087" s="4" t="s">
        <v>257</v>
      </c>
      <c r="BF1087" s="4" t="s">
        <v>241</v>
      </c>
      <c r="BH1087" s="4" t="s">
        <v>500</v>
      </c>
      <c r="BJ1087" s="4" t="s">
        <v>288</v>
      </c>
      <c r="BK1087" s="5" t="s">
        <v>289</v>
      </c>
      <c r="BL1087" s="4" t="s">
        <v>290</v>
      </c>
      <c r="BM1087" s="4" t="s">
        <v>290</v>
      </c>
      <c r="BN1087" s="4" t="s">
        <v>241</v>
      </c>
      <c r="BO1087" s="6">
        <f>0</f>
        <v>0</v>
      </c>
      <c r="BP1087" s="6">
        <f>-2948400</f>
        <v>-2948400</v>
      </c>
      <c r="BQ1087" s="4" t="s">
        <v>263</v>
      </c>
      <c r="BR1087" s="4" t="s">
        <v>264</v>
      </c>
      <c r="BS1087" s="4" t="s">
        <v>241</v>
      </c>
      <c r="BT1087" s="4" t="s">
        <v>241</v>
      </c>
      <c r="BU1087" s="4" t="s">
        <v>241</v>
      </c>
      <c r="BV1087" s="4" t="s">
        <v>241</v>
      </c>
      <c r="CE1087" s="4" t="s">
        <v>264</v>
      </c>
      <c r="CF1087" s="4" t="s">
        <v>241</v>
      </c>
      <c r="CG1087" s="4" t="s">
        <v>241</v>
      </c>
      <c r="CK1087" s="4" t="s">
        <v>265</v>
      </c>
      <c r="CL1087" s="4" t="s">
        <v>266</v>
      </c>
      <c r="CM1087" s="4" t="s">
        <v>241</v>
      </c>
      <c r="CO1087" s="4" t="s">
        <v>368</v>
      </c>
      <c r="CP1087" s="5" t="s">
        <v>268</v>
      </c>
      <c r="CQ1087" s="4" t="s">
        <v>269</v>
      </c>
      <c r="CR1087" s="4" t="s">
        <v>270</v>
      </c>
      <c r="CS1087" s="4" t="s">
        <v>293</v>
      </c>
      <c r="CT1087" s="4" t="s">
        <v>241</v>
      </c>
      <c r="CU1087" s="4">
        <v>0.02</v>
      </c>
      <c r="CV1087" s="4" t="s">
        <v>271</v>
      </c>
      <c r="CW1087" s="4" t="s">
        <v>1546</v>
      </c>
      <c r="CX1087" s="4" t="s">
        <v>295</v>
      </c>
      <c r="CY1087" s="6">
        <f>0</f>
        <v>0</v>
      </c>
      <c r="CZ1087" s="6">
        <f>147420000</f>
        <v>147420000</v>
      </c>
      <c r="DA1087" s="6">
        <f>17690400</f>
        <v>17690400</v>
      </c>
      <c r="DC1087" s="4" t="s">
        <v>241</v>
      </c>
      <c r="DD1087" s="4" t="s">
        <v>241</v>
      </c>
      <c r="DF1087" s="4" t="s">
        <v>241</v>
      </c>
      <c r="DG1087" s="6">
        <f>0</f>
        <v>0</v>
      </c>
      <c r="DI1087" s="4" t="s">
        <v>241</v>
      </c>
      <c r="DJ1087" s="4" t="s">
        <v>241</v>
      </c>
      <c r="DK1087" s="4" t="s">
        <v>241</v>
      </c>
      <c r="DL1087" s="4" t="s">
        <v>241</v>
      </c>
      <c r="DM1087" s="4" t="s">
        <v>277</v>
      </c>
      <c r="DN1087" s="4" t="s">
        <v>278</v>
      </c>
      <c r="DO1087" s="6">
        <f>1092</f>
        <v>1092</v>
      </c>
      <c r="DP1087" s="4" t="s">
        <v>241</v>
      </c>
      <c r="DQ1087" s="4" t="s">
        <v>241</v>
      </c>
      <c r="DR1087" s="4" t="s">
        <v>241</v>
      </c>
      <c r="DS1087" s="4" t="s">
        <v>241</v>
      </c>
      <c r="DV1087" s="4" t="s">
        <v>1562</v>
      </c>
      <c r="DW1087" s="4" t="s">
        <v>277</v>
      </c>
      <c r="GN1087" s="4" t="s">
        <v>1563</v>
      </c>
      <c r="HO1087" s="4" t="s">
        <v>300</v>
      </c>
      <c r="HR1087" s="4" t="s">
        <v>278</v>
      </c>
      <c r="HS1087" s="4" t="s">
        <v>278</v>
      </c>
      <c r="HT1087" s="4" t="s">
        <v>241</v>
      </c>
      <c r="HU1087" s="4" t="s">
        <v>241</v>
      </c>
      <c r="HV1087" s="4" t="s">
        <v>241</v>
      </c>
      <c r="HW1087" s="4" t="s">
        <v>241</v>
      </c>
      <c r="HX1087" s="4" t="s">
        <v>241</v>
      </c>
      <c r="HY1087" s="4" t="s">
        <v>241</v>
      </c>
      <c r="HZ1087" s="4" t="s">
        <v>241</v>
      </c>
      <c r="IA1087" s="4" t="s">
        <v>241</v>
      </c>
      <c r="IB1087" s="4" t="s">
        <v>241</v>
      </c>
      <c r="IC1087" s="4" t="s">
        <v>241</v>
      </c>
      <c r="ID1087" s="4" t="s">
        <v>241</v>
      </c>
      <c r="IE1087" s="4" t="s">
        <v>241</v>
      </c>
      <c r="IF1087" s="4" t="s">
        <v>241</v>
      </c>
    </row>
    <row r="1088" spans="1:240" x14ac:dyDescent="0.4">
      <c r="A1088" s="4">
        <v>2</v>
      </c>
      <c r="B1088" s="4" t="s">
        <v>239</v>
      </c>
      <c r="C1088" s="4">
        <v>1386</v>
      </c>
      <c r="D1088" s="4">
        <v>1</v>
      </c>
      <c r="E1088" s="4">
        <v>1</v>
      </c>
      <c r="F1088" s="4" t="s">
        <v>326</v>
      </c>
      <c r="G1088" s="4" t="s">
        <v>241</v>
      </c>
      <c r="H1088" s="4" t="s">
        <v>241</v>
      </c>
      <c r="I1088" s="4" t="s">
        <v>1558</v>
      </c>
      <c r="J1088" s="4" t="s">
        <v>424</v>
      </c>
      <c r="K1088" s="4" t="s">
        <v>256</v>
      </c>
      <c r="L1088" s="4" t="s">
        <v>1560</v>
      </c>
      <c r="M1088" s="5" t="s">
        <v>1561</v>
      </c>
      <c r="N1088" s="4" t="s">
        <v>1196</v>
      </c>
      <c r="O1088" s="6">
        <f>1036.13</f>
        <v>1036.1300000000001</v>
      </c>
      <c r="P1088" s="4" t="s">
        <v>276</v>
      </c>
      <c r="Q1088" s="6">
        <f>1</f>
        <v>1</v>
      </c>
      <c r="R1088" s="6">
        <f>32703636</f>
        <v>32703636</v>
      </c>
      <c r="S1088" s="5" t="s">
        <v>1564</v>
      </c>
      <c r="T1088" s="4" t="s">
        <v>296</v>
      </c>
      <c r="U1088" s="4" t="s">
        <v>613</v>
      </c>
      <c r="W1088" s="6">
        <f>32703635</f>
        <v>32703635</v>
      </c>
      <c r="X1088" s="4" t="s">
        <v>243</v>
      </c>
      <c r="Y1088" s="4" t="s">
        <v>244</v>
      </c>
      <c r="Z1088" s="4" t="s">
        <v>465</v>
      </c>
      <c r="AA1088" s="4" t="s">
        <v>241</v>
      </c>
      <c r="AD1088" s="4" t="s">
        <v>241</v>
      </c>
      <c r="AF1088" s="5" t="s">
        <v>241</v>
      </c>
      <c r="AI1088" s="5" t="s">
        <v>249</v>
      </c>
      <c r="AJ1088" s="4" t="s">
        <v>251</v>
      </c>
      <c r="AK1088" s="4" t="s">
        <v>252</v>
      </c>
      <c r="BA1088" s="4" t="s">
        <v>254</v>
      </c>
      <c r="BB1088" s="4" t="s">
        <v>241</v>
      </c>
      <c r="BC1088" s="4" t="s">
        <v>255</v>
      </c>
      <c r="BD1088" s="4" t="s">
        <v>241</v>
      </c>
      <c r="BE1088" s="4" t="s">
        <v>257</v>
      </c>
      <c r="BF1088" s="4" t="s">
        <v>241</v>
      </c>
      <c r="BJ1088" s="4" t="s">
        <v>374</v>
      </c>
      <c r="BK1088" s="5" t="s">
        <v>375</v>
      </c>
      <c r="BL1088" s="4" t="s">
        <v>261</v>
      </c>
      <c r="BM1088" s="4" t="s">
        <v>410</v>
      </c>
      <c r="BN1088" s="4" t="s">
        <v>241</v>
      </c>
      <c r="BO1088" s="6">
        <f>0</f>
        <v>0</v>
      </c>
      <c r="BP1088" s="6">
        <f>0</f>
        <v>0</v>
      </c>
      <c r="BQ1088" s="4" t="s">
        <v>263</v>
      </c>
      <c r="BR1088" s="4" t="s">
        <v>264</v>
      </c>
      <c r="CF1088" s="4" t="s">
        <v>241</v>
      </c>
      <c r="CG1088" s="4" t="s">
        <v>241</v>
      </c>
      <c r="CK1088" s="4" t="s">
        <v>265</v>
      </c>
      <c r="CL1088" s="4" t="s">
        <v>266</v>
      </c>
      <c r="CM1088" s="4" t="s">
        <v>241</v>
      </c>
      <c r="CO1088" s="4" t="s">
        <v>733</v>
      </c>
      <c r="CP1088" s="5" t="s">
        <v>268</v>
      </c>
      <c r="CQ1088" s="4" t="s">
        <v>269</v>
      </c>
      <c r="CR1088" s="4" t="s">
        <v>270</v>
      </c>
      <c r="CS1088" s="4" t="s">
        <v>241</v>
      </c>
      <c r="CT1088" s="4" t="s">
        <v>241</v>
      </c>
      <c r="CU1088" s="4">
        <v>0</v>
      </c>
      <c r="CV1088" s="4" t="s">
        <v>271</v>
      </c>
      <c r="CW1088" s="4" t="s">
        <v>1546</v>
      </c>
      <c r="CX1088" s="4" t="s">
        <v>295</v>
      </c>
      <c r="CZ1088" s="6">
        <f>32703636</f>
        <v>32703636</v>
      </c>
      <c r="DA1088" s="6">
        <f>0</f>
        <v>0</v>
      </c>
      <c r="DC1088" s="4" t="s">
        <v>241</v>
      </c>
      <c r="DD1088" s="4" t="s">
        <v>241</v>
      </c>
      <c r="DF1088" s="4" t="s">
        <v>241</v>
      </c>
      <c r="DI1088" s="4" t="s">
        <v>241</v>
      </c>
      <c r="DJ1088" s="4" t="s">
        <v>241</v>
      </c>
      <c r="DK1088" s="4" t="s">
        <v>241</v>
      </c>
      <c r="DL1088" s="4" t="s">
        <v>241</v>
      </c>
      <c r="DM1088" s="4" t="s">
        <v>297</v>
      </c>
      <c r="DN1088" s="4" t="s">
        <v>278</v>
      </c>
      <c r="DO1088" s="6">
        <f>1036.13</f>
        <v>1036.1300000000001</v>
      </c>
      <c r="DP1088" s="4" t="s">
        <v>241</v>
      </c>
      <c r="DQ1088" s="4" t="s">
        <v>241</v>
      </c>
      <c r="DR1088" s="4" t="s">
        <v>241</v>
      </c>
      <c r="DS1088" s="4" t="s">
        <v>241</v>
      </c>
      <c r="DV1088" s="4" t="s">
        <v>1562</v>
      </c>
      <c r="DW1088" s="4" t="s">
        <v>323</v>
      </c>
      <c r="HO1088" s="4" t="s">
        <v>277</v>
      </c>
      <c r="HR1088" s="4" t="s">
        <v>278</v>
      </c>
      <c r="HS1088" s="4" t="s">
        <v>278</v>
      </c>
    </row>
    <row r="1089" spans="1:240" x14ac:dyDescent="0.4">
      <c r="A1089" s="4">
        <v>2</v>
      </c>
      <c r="B1089" s="4" t="s">
        <v>239</v>
      </c>
      <c r="C1089" s="4">
        <v>1387</v>
      </c>
      <c r="D1089" s="4">
        <v>1</v>
      </c>
      <c r="E1089" s="4">
        <v>1</v>
      </c>
      <c r="F1089" s="4" t="s">
        <v>240</v>
      </c>
      <c r="G1089" s="4" t="s">
        <v>241</v>
      </c>
      <c r="H1089" s="4" t="s">
        <v>241</v>
      </c>
      <c r="I1089" s="4" t="s">
        <v>1565</v>
      </c>
      <c r="J1089" s="4" t="s">
        <v>424</v>
      </c>
      <c r="K1089" s="4" t="s">
        <v>256</v>
      </c>
      <c r="L1089" s="4" t="s">
        <v>429</v>
      </c>
      <c r="M1089" s="5" t="s">
        <v>1567</v>
      </c>
      <c r="N1089" s="4" t="s">
        <v>429</v>
      </c>
      <c r="O1089" s="6">
        <f>33</f>
        <v>33</v>
      </c>
      <c r="P1089" s="4" t="s">
        <v>276</v>
      </c>
      <c r="Q1089" s="6">
        <f>1</f>
        <v>1</v>
      </c>
      <c r="R1089" s="6">
        <f>3003000</f>
        <v>3003000</v>
      </c>
      <c r="S1089" s="5" t="s">
        <v>3351</v>
      </c>
      <c r="T1089" s="4" t="s">
        <v>348</v>
      </c>
      <c r="U1089" s="4" t="s">
        <v>453</v>
      </c>
      <c r="W1089" s="6">
        <f>3002999</f>
        <v>3002999</v>
      </c>
      <c r="X1089" s="4" t="s">
        <v>243</v>
      </c>
      <c r="Y1089" s="4" t="s">
        <v>244</v>
      </c>
      <c r="Z1089" s="4" t="s">
        <v>465</v>
      </c>
      <c r="AA1089" s="4" t="s">
        <v>241</v>
      </c>
      <c r="AD1089" s="4" t="s">
        <v>241</v>
      </c>
      <c r="AF1089" s="5" t="s">
        <v>241</v>
      </c>
      <c r="AI1089" s="5" t="s">
        <v>249</v>
      </c>
      <c r="AJ1089" s="4" t="s">
        <v>251</v>
      </c>
      <c r="AK1089" s="4" t="s">
        <v>252</v>
      </c>
      <c r="BA1089" s="4" t="s">
        <v>254</v>
      </c>
      <c r="BB1089" s="4" t="s">
        <v>241</v>
      </c>
      <c r="BC1089" s="4" t="s">
        <v>255</v>
      </c>
      <c r="BD1089" s="4" t="s">
        <v>241</v>
      </c>
      <c r="BE1089" s="4" t="s">
        <v>257</v>
      </c>
      <c r="BF1089" s="4" t="s">
        <v>241</v>
      </c>
      <c r="BH1089" s="4" t="s">
        <v>500</v>
      </c>
      <c r="BJ1089" s="4" t="s">
        <v>377</v>
      </c>
      <c r="BK1089" s="5" t="s">
        <v>378</v>
      </c>
      <c r="BL1089" s="4" t="s">
        <v>261</v>
      </c>
      <c r="BM1089" s="4" t="s">
        <v>262</v>
      </c>
      <c r="BN1089" s="4" t="s">
        <v>241</v>
      </c>
      <c r="BO1089" s="6">
        <f>0</f>
        <v>0</v>
      </c>
      <c r="BP1089" s="6">
        <f>0</f>
        <v>0</v>
      </c>
      <c r="BQ1089" s="4" t="s">
        <v>263</v>
      </c>
      <c r="BR1089" s="4" t="s">
        <v>264</v>
      </c>
      <c r="CF1089" s="4" t="s">
        <v>241</v>
      </c>
      <c r="CG1089" s="4" t="s">
        <v>241</v>
      </c>
      <c r="CK1089" s="4" t="s">
        <v>291</v>
      </c>
      <c r="CL1089" s="4" t="s">
        <v>266</v>
      </c>
      <c r="CM1089" s="4" t="s">
        <v>241</v>
      </c>
      <c r="CO1089" s="4" t="s">
        <v>452</v>
      </c>
      <c r="CP1089" s="5" t="s">
        <v>268</v>
      </c>
      <c r="CQ1089" s="4" t="s">
        <v>269</v>
      </c>
      <c r="CR1089" s="4" t="s">
        <v>270</v>
      </c>
      <c r="CS1089" s="4" t="s">
        <v>241</v>
      </c>
      <c r="CT1089" s="4" t="s">
        <v>241</v>
      </c>
      <c r="CU1089" s="4">
        <v>0</v>
      </c>
      <c r="CV1089" s="4" t="s">
        <v>271</v>
      </c>
      <c r="CW1089" s="4" t="s">
        <v>272</v>
      </c>
      <c r="CX1089" s="4" t="s">
        <v>347</v>
      </c>
      <c r="CZ1089" s="6">
        <f>3003000</f>
        <v>3003000</v>
      </c>
      <c r="DA1089" s="6">
        <f>0</f>
        <v>0</v>
      </c>
      <c r="DC1089" s="4" t="s">
        <v>241</v>
      </c>
      <c r="DD1089" s="4" t="s">
        <v>241</v>
      </c>
      <c r="DF1089" s="4" t="s">
        <v>241</v>
      </c>
      <c r="DI1089" s="4" t="s">
        <v>241</v>
      </c>
      <c r="DJ1089" s="4" t="s">
        <v>241</v>
      </c>
      <c r="DK1089" s="4" t="s">
        <v>241</v>
      </c>
      <c r="DL1089" s="4" t="s">
        <v>241</v>
      </c>
      <c r="DM1089" s="4" t="s">
        <v>277</v>
      </c>
      <c r="DN1089" s="4" t="s">
        <v>278</v>
      </c>
      <c r="DO1089" s="6">
        <f>33</f>
        <v>33</v>
      </c>
      <c r="DP1089" s="4" t="s">
        <v>241</v>
      </c>
      <c r="DQ1089" s="4" t="s">
        <v>241</v>
      </c>
      <c r="DR1089" s="4" t="s">
        <v>241</v>
      </c>
      <c r="DS1089" s="4" t="s">
        <v>241</v>
      </c>
      <c r="DV1089" s="4" t="s">
        <v>1569</v>
      </c>
      <c r="DW1089" s="4" t="s">
        <v>277</v>
      </c>
      <c r="HO1089" s="4" t="s">
        <v>277</v>
      </c>
      <c r="HR1089" s="4" t="s">
        <v>278</v>
      </c>
      <c r="HS1089" s="4" t="s">
        <v>278</v>
      </c>
    </row>
    <row r="1090" spans="1:240" x14ac:dyDescent="0.4">
      <c r="A1090" s="4">
        <v>2</v>
      </c>
      <c r="B1090" s="4" t="s">
        <v>239</v>
      </c>
      <c r="C1090" s="4">
        <v>1388</v>
      </c>
      <c r="D1090" s="4">
        <v>1</v>
      </c>
      <c r="E1090" s="4">
        <v>3</v>
      </c>
      <c r="F1090" s="4" t="s">
        <v>240</v>
      </c>
      <c r="G1090" s="4" t="s">
        <v>241</v>
      </c>
      <c r="H1090" s="4" t="s">
        <v>241</v>
      </c>
      <c r="I1090" s="4" t="s">
        <v>1565</v>
      </c>
      <c r="J1090" s="4" t="s">
        <v>424</v>
      </c>
      <c r="K1090" s="4" t="s">
        <v>256</v>
      </c>
      <c r="L1090" s="4" t="s">
        <v>1196</v>
      </c>
      <c r="M1090" s="5" t="s">
        <v>1567</v>
      </c>
      <c r="N1090" s="4" t="s">
        <v>651</v>
      </c>
      <c r="O1090" s="6">
        <f>1748</f>
        <v>1748</v>
      </c>
      <c r="P1090" s="4" t="s">
        <v>276</v>
      </c>
      <c r="Q1090" s="6">
        <f>28317600</f>
        <v>28317600</v>
      </c>
      <c r="R1090" s="6">
        <f>235980000</f>
        <v>235980000</v>
      </c>
      <c r="S1090" s="5" t="s">
        <v>1605</v>
      </c>
      <c r="T1090" s="4" t="s">
        <v>296</v>
      </c>
      <c r="U1090" s="4" t="s">
        <v>835</v>
      </c>
      <c r="V1090" s="6">
        <f>4719600</f>
        <v>4719600</v>
      </c>
      <c r="W1090" s="6">
        <f>207662400</f>
        <v>207662400</v>
      </c>
      <c r="X1090" s="4" t="s">
        <v>243</v>
      </c>
      <c r="Y1090" s="4" t="s">
        <v>244</v>
      </c>
      <c r="Z1090" s="4" t="s">
        <v>465</v>
      </c>
      <c r="AA1090" s="4" t="s">
        <v>241</v>
      </c>
      <c r="AD1090" s="4" t="s">
        <v>241</v>
      </c>
      <c r="AE1090" s="5" t="s">
        <v>241</v>
      </c>
      <c r="AF1090" s="5" t="s">
        <v>241</v>
      </c>
      <c r="AH1090" s="5" t="s">
        <v>241</v>
      </c>
      <c r="AI1090" s="5" t="s">
        <v>249</v>
      </c>
      <c r="AJ1090" s="4" t="s">
        <v>251</v>
      </c>
      <c r="AK1090" s="4" t="s">
        <v>252</v>
      </c>
      <c r="AQ1090" s="4" t="s">
        <v>241</v>
      </c>
      <c r="AR1090" s="4" t="s">
        <v>241</v>
      </c>
      <c r="AS1090" s="4" t="s">
        <v>241</v>
      </c>
      <c r="AT1090" s="5" t="s">
        <v>241</v>
      </c>
      <c r="AU1090" s="5" t="s">
        <v>241</v>
      </c>
      <c r="AV1090" s="5" t="s">
        <v>241</v>
      </c>
      <c r="AY1090" s="4" t="s">
        <v>286</v>
      </c>
      <c r="AZ1090" s="4" t="s">
        <v>286</v>
      </c>
      <c r="BA1090" s="4" t="s">
        <v>254</v>
      </c>
      <c r="BB1090" s="4" t="s">
        <v>287</v>
      </c>
      <c r="BC1090" s="4" t="s">
        <v>255</v>
      </c>
      <c r="BD1090" s="4" t="s">
        <v>241</v>
      </c>
      <c r="BE1090" s="4" t="s">
        <v>257</v>
      </c>
      <c r="BF1090" s="4" t="s">
        <v>241</v>
      </c>
      <c r="BJ1090" s="4" t="s">
        <v>288</v>
      </c>
      <c r="BK1090" s="5" t="s">
        <v>289</v>
      </c>
      <c r="BL1090" s="4" t="s">
        <v>290</v>
      </c>
      <c r="BM1090" s="4" t="s">
        <v>290</v>
      </c>
      <c r="BN1090" s="4" t="s">
        <v>241</v>
      </c>
      <c r="BO1090" s="6">
        <f>0</f>
        <v>0</v>
      </c>
      <c r="BP1090" s="6">
        <f>-4719600</f>
        <v>-4719600</v>
      </c>
      <c r="BQ1090" s="4" t="s">
        <v>263</v>
      </c>
      <c r="BR1090" s="4" t="s">
        <v>264</v>
      </c>
      <c r="BS1090" s="4" t="s">
        <v>241</v>
      </c>
      <c r="BT1090" s="4" t="s">
        <v>241</v>
      </c>
      <c r="BU1090" s="4" t="s">
        <v>241</v>
      </c>
      <c r="BV1090" s="4" t="s">
        <v>241</v>
      </c>
      <c r="CE1090" s="4" t="s">
        <v>264</v>
      </c>
      <c r="CF1090" s="4" t="s">
        <v>241</v>
      </c>
      <c r="CG1090" s="4" t="s">
        <v>241</v>
      </c>
      <c r="CK1090" s="4" t="s">
        <v>265</v>
      </c>
      <c r="CL1090" s="4" t="s">
        <v>266</v>
      </c>
      <c r="CM1090" s="4" t="s">
        <v>241</v>
      </c>
      <c r="CO1090" s="4" t="s">
        <v>368</v>
      </c>
      <c r="CP1090" s="5" t="s">
        <v>268</v>
      </c>
      <c r="CQ1090" s="4" t="s">
        <v>269</v>
      </c>
      <c r="CR1090" s="4" t="s">
        <v>270</v>
      </c>
      <c r="CS1090" s="4" t="s">
        <v>293</v>
      </c>
      <c r="CT1090" s="4" t="s">
        <v>241</v>
      </c>
      <c r="CU1090" s="4">
        <v>0.02</v>
      </c>
      <c r="CV1090" s="4" t="s">
        <v>271</v>
      </c>
      <c r="CW1090" s="4" t="s">
        <v>1546</v>
      </c>
      <c r="CX1090" s="4" t="s">
        <v>295</v>
      </c>
      <c r="CY1090" s="6">
        <f>0</f>
        <v>0</v>
      </c>
      <c r="CZ1090" s="6">
        <f>235980000</f>
        <v>235980000</v>
      </c>
      <c r="DA1090" s="6">
        <f>28317600</f>
        <v>28317600</v>
      </c>
      <c r="DC1090" s="4" t="s">
        <v>241</v>
      </c>
      <c r="DD1090" s="4" t="s">
        <v>241</v>
      </c>
      <c r="DF1090" s="4" t="s">
        <v>241</v>
      </c>
      <c r="DG1090" s="6">
        <f>0</f>
        <v>0</v>
      </c>
      <c r="DI1090" s="4" t="s">
        <v>241</v>
      </c>
      <c r="DJ1090" s="4" t="s">
        <v>241</v>
      </c>
      <c r="DK1090" s="4" t="s">
        <v>241</v>
      </c>
      <c r="DL1090" s="4" t="s">
        <v>241</v>
      </c>
      <c r="DM1090" s="4" t="s">
        <v>297</v>
      </c>
      <c r="DN1090" s="4" t="s">
        <v>278</v>
      </c>
      <c r="DO1090" s="6">
        <f>1748</f>
        <v>1748</v>
      </c>
      <c r="DP1090" s="4" t="s">
        <v>241</v>
      </c>
      <c r="DQ1090" s="4" t="s">
        <v>241</v>
      </c>
      <c r="DR1090" s="4" t="s">
        <v>241</v>
      </c>
      <c r="DS1090" s="4" t="s">
        <v>241</v>
      </c>
      <c r="DV1090" s="4" t="s">
        <v>1569</v>
      </c>
      <c r="DW1090" s="4" t="s">
        <v>323</v>
      </c>
      <c r="GN1090" s="4" t="s">
        <v>1606</v>
      </c>
      <c r="HO1090" s="4" t="s">
        <v>300</v>
      </c>
      <c r="HR1090" s="4" t="s">
        <v>278</v>
      </c>
      <c r="HS1090" s="4" t="s">
        <v>278</v>
      </c>
      <c r="HT1090" s="4" t="s">
        <v>241</v>
      </c>
      <c r="HU1090" s="4" t="s">
        <v>241</v>
      </c>
      <c r="HV1090" s="4" t="s">
        <v>241</v>
      </c>
      <c r="HW1090" s="4" t="s">
        <v>241</v>
      </c>
      <c r="HX1090" s="4" t="s">
        <v>241</v>
      </c>
      <c r="HY1090" s="4" t="s">
        <v>241</v>
      </c>
      <c r="HZ1090" s="4" t="s">
        <v>241</v>
      </c>
      <c r="IA1090" s="4" t="s">
        <v>241</v>
      </c>
      <c r="IB1090" s="4" t="s">
        <v>241</v>
      </c>
      <c r="IC1090" s="4" t="s">
        <v>241</v>
      </c>
      <c r="ID1090" s="4" t="s">
        <v>241</v>
      </c>
      <c r="IE1090" s="4" t="s">
        <v>241</v>
      </c>
      <c r="IF1090" s="4" t="s">
        <v>241</v>
      </c>
    </row>
    <row r="1091" spans="1:240" x14ac:dyDescent="0.4">
      <c r="A1091" s="4">
        <v>2</v>
      </c>
      <c r="B1091" s="4" t="s">
        <v>239</v>
      </c>
      <c r="C1091" s="4">
        <v>1389</v>
      </c>
      <c r="D1091" s="4">
        <v>1</v>
      </c>
      <c r="E1091" s="4">
        <v>3</v>
      </c>
      <c r="F1091" s="4" t="s">
        <v>240</v>
      </c>
      <c r="G1091" s="4" t="s">
        <v>241</v>
      </c>
      <c r="H1091" s="4" t="s">
        <v>241</v>
      </c>
      <c r="I1091" s="4" t="s">
        <v>1565</v>
      </c>
      <c r="J1091" s="4" t="s">
        <v>424</v>
      </c>
      <c r="K1091" s="4" t="s">
        <v>256</v>
      </c>
      <c r="L1091" s="4" t="s">
        <v>1196</v>
      </c>
      <c r="M1091" s="5" t="s">
        <v>1567</v>
      </c>
      <c r="N1091" s="4" t="s">
        <v>1003</v>
      </c>
      <c r="O1091" s="6">
        <f>866</f>
        <v>866</v>
      </c>
      <c r="P1091" s="4" t="s">
        <v>276</v>
      </c>
      <c r="Q1091" s="6">
        <f>103573600</f>
        <v>103573600</v>
      </c>
      <c r="R1091" s="6">
        <f>199180000</f>
        <v>199180000</v>
      </c>
      <c r="S1091" s="5" t="s">
        <v>1566</v>
      </c>
      <c r="T1091" s="4" t="s">
        <v>296</v>
      </c>
      <c r="U1091" s="4" t="s">
        <v>453</v>
      </c>
      <c r="V1091" s="6">
        <f>3983600</f>
        <v>3983600</v>
      </c>
      <c r="W1091" s="6">
        <f>95606400</f>
        <v>95606400</v>
      </c>
      <c r="X1091" s="4" t="s">
        <v>243</v>
      </c>
      <c r="Y1091" s="4" t="s">
        <v>244</v>
      </c>
      <c r="Z1091" s="4" t="s">
        <v>465</v>
      </c>
      <c r="AA1091" s="4" t="s">
        <v>241</v>
      </c>
      <c r="AD1091" s="4" t="s">
        <v>241</v>
      </c>
      <c r="AE1091" s="5" t="s">
        <v>241</v>
      </c>
      <c r="AF1091" s="5" t="s">
        <v>241</v>
      </c>
      <c r="AH1091" s="5" t="s">
        <v>241</v>
      </c>
      <c r="AI1091" s="5" t="s">
        <v>249</v>
      </c>
      <c r="AJ1091" s="4" t="s">
        <v>251</v>
      </c>
      <c r="AK1091" s="4" t="s">
        <v>252</v>
      </c>
      <c r="AQ1091" s="4" t="s">
        <v>241</v>
      </c>
      <c r="AR1091" s="4" t="s">
        <v>241</v>
      </c>
      <c r="AS1091" s="4" t="s">
        <v>241</v>
      </c>
      <c r="AT1091" s="5" t="s">
        <v>241</v>
      </c>
      <c r="AU1091" s="5" t="s">
        <v>241</v>
      </c>
      <c r="AV1091" s="5" t="s">
        <v>241</v>
      </c>
      <c r="AY1091" s="4" t="s">
        <v>286</v>
      </c>
      <c r="AZ1091" s="4" t="s">
        <v>286</v>
      </c>
      <c r="BA1091" s="4" t="s">
        <v>254</v>
      </c>
      <c r="BB1091" s="4" t="s">
        <v>287</v>
      </c>
      <c r="BC1091" s="4" t="s">
        <v>255</v>
      </c>
      <c r="BD1091" s="4" t="s">
        <v>241</v>
      </c>
      <c r="BE1091" s="4" t="s">
        <v>257</v>
      </c>
      <c r="BF1091" s="4" t="s">
        <v>241</v>
      </c>
      <c r="BJ1091" s="4" t="s">
        <v>288</v>
      </c>
      <c r="BK1091" s="5" t="s">
        <v>289</v>
      </c>
      <c r="BL1091" s="4" t="s">
        <v>290</v>
      </c>
      <c r="BM1091" s="4" t="s">
        <v>290</v>
      </c>
      <c r="BN1091" s="4" t="s">
        <v>241</v>
      </c>
      <c r="BO1091" s="6">
        <f>0</f>
        <v>0</v>
      </c>
      <c r="BP1091" s="6">
        <f>-3983600</f>
        <v>-3983600</v>
      </c>
      <c r="BQ1091" s="4" t="s">
        <v>263</v>
      </c>
      <c r="BR1091" s="4" t="s">
        <v>264</v>
      </c>
      <c r="BS1091" s="4" t="s">
        <v>241</v>
      </c>
      <c r="BT1091" s="4" t="s">
        <v>241</v>
      </c>
      <c r="BU1091" s="4" t="s">
        <v>241</v>
      </c>
      <c r="BV1091" s="4" t="s">
        <v>241</v>
      </c>
      <c r="CE1091" s="4" t="s">
        <v>264</v>
      </c>
      <c r="CF1091" s="4" t="s">
        <v>241</v>
      </c>
      <c r="CG1091" s="4" t="s">
        <v>241</v>
      </c>
      <c r="CK1091" s="4" t="s">
        <v>291</v>
      </c>
      <c r="CL1091" s="4" t="s">
        <v>266</v>
      </c>
      <c r="CM1091" s="4" t="s">
        <v>241</v>
      </c>
      <c r="CO1091" s="4" t="s">
        <v>1568</v>
      </c>
      <c r="CP1091" s="5" t="s">
        <v>268</v>
      </c>
      <c r="CQ1091" s="4" t="s">
        <v>269</v>
      </c>
      <c r="CR1091" s="4" t="s">
        <v>270</v>
      </c>
      <c r="CS1091" s="4" t="s">
        <v>293</v>
      </c>
      <c r="CT1091" s="4" t="s">
        <v>241</v>
      </c>
      <c r="CU1091" s="4">
        <v>0.02</v>
      </c>
      <c r="CV1091" s="4" t="s">
        <v>271</v>
      </c>
      <c r="CW1091" s="4" t="s">
        <v>1546</v>
      </c>
      <c r="CX1091" s="4" t="s">
        <v>295</v>
      </c>
      <c r="CY1091" s="6">
        <f>0</f>
        <v>0</v>
      </c>
      <c r="CZ1091" s="6">
        <f>199180000</f>
        <v>199180000</v>
      </c>
      <c r="DA1091" s="6">
        <f>103573600</f>
        <v>103573600</v>
      </c>
      <c r="DC1091" s="4" t="s">
        <v>241</v>
      </c>
      <c r="DD1091" s="4" t="s">
        <v>241</v>
      </c>
      <c r="DF1091" s="4" t="s">
        <v>241</v>
      </c>
      <c r="DG1091" s="6">
        <f>0</f>
        <v>0</v>
      </c>
      <c r="DI1091" s="4" t="s">
        <v>241</v>
      </c>
      <c r="DJ1091" s="4" t="s">
        <v>241</v>
      </c>
      <c r="DK1091" s="4" t="s">
        <v>241</v>
      </c>
      <c r="DL1091" s="4" t="s">
        <v>241</v>
      </c>
      <c r="DM1091" s="4" t="s">
        <v>323</v>
      </c>
      <c r="DN1091" s="4" t="s">
        <v>278</v>
      </c>
      <c r="DO1091" s="6">
        <f>866</f>
        <v>866</v>
      </c>
      <c r="DP1091" s="4" t="s">
        <v>241</v>
      </c>
      <c r="DQ1091" s="4" t="s">
        <v>241</v>
      </c>
      <c r="DR1091" s="4" t="s">
        <v>241</v>
      </c>
      <c r="DS1091" s="4" t="s">
        <v>241</v>
      </c>
      <c r="DV1091" s="4" t="s">
        <v>1569</v>
      </c>
      <c r="DW1091" s="4" t="s">
        <v>297</v>
      </c>
      <c r="GN1091" s="4" t="s">
        <v>1570</v>
      </c>
      <c r="HO1091" s="4" t="s">
        <v>300</v>
      </c>
      <c r="HR1091" s="4" t="s">
        <v>278</v>
      </c>
      <c r="HS1091" s="4" t="s">
        <v>278</v>
      </c>
      <c r="HT1091" s="4" t="s">
        <v>241</v>
      </c>
      <c r="HU1091" s="4" t="s">
        <v>241</v>
      </c>
      <c r="HV1091" s="4" t="s">
        <v>241</v>
      </c>
      <c r="HW1091" s="4" t="s">
        <v>241</v>
      </c>
      <c r="HX1091" s="4" t="s">
        <v>241</v>
      </c>
      <c r="HY1091" s="4" t="s">
        <v>241</v>
      </c>
      <c r="HZ1091" s="4" t="s">
        <v>241</v>
      </c>
      <c r="IA1091" s="4" t="s">
        <v>241</v>
      </c>
      <c r="IB1091" s="4" t="s">
        <v>241</v>
      </c>
      <c r="IC1091" s="4" t="s">
        <v>241</v>
      </c>
      <c r="ID1091" s="4" t="s">
        <v>241</v>
      </c>
      <c r="IE1091" s="4" t="s">
        <v>241</v>
      </c>
      <c r="IF1091" s="4" t="s">
        <v>241</v>
      </c>
    </row>
    <row r="1092" spans="1:240" x14ac:dyDescent="0.4">
      <c r="A1092" s="4">
        <v>2</v>
      </c>
      <c r="B1092" s="4" t="s">
        <v>239</v>
      </c>
      <c r="C1092" s="4">
        <v>1390</v>
      </c>
      <c r="D1092" s="4">
        <v>1</v>
      </c>
      <c r="E1092" s="4">
        <v>1</v>
      </c>
      <c r="F1092" s="4" t="s">
        <v>240</v>
      </c>
      <c r="G1092" s="4" t="s">
        <v>241</v>
      </c>
      <c r="H1092" s="4" t="s">
        <v>241</v>
      </c>
      <c r="I1092" s="4" t="s">
        <v>1565</v>
      </c>
      <c r="J1092" s="4" t="s">
        <v>424</v>
      </c>
      <c r="K1092" s="4" t="s">
        <v>256</v>
      </c>
      <c r="L1092" s="4" t="s">
        <v>2529</v>
      </c>
      <c r="M1092" s="5" t="s">
        <v>1567</v>
      </c>
      <c r="N1092" s="4" t="s">
        <v>2529</v>
      </c>
      <c r="O1092" s="6">
        <f>36</f>
        <v>36</v>
      </c>
      <c r="P1092" s="4" t="s">
        <v>276</v>
      </c>
      <c r="Q1092" s="6">
        <f>1</f>
        <v>1</v>
      </c>
      <c r="R1092" s="6">
        <f>2160000</f>
        <v>2160000</v>
      </c>
      <c r="S1092" s="5" t="s">
        <v>2937</v>
      </c>
      <c r="T1092" s="4" t="s">
        <v>348</v>
      </c>
      <c r="U1092" s="4" t="s">
        <v>412</v>
      </c>
      <c r="W1092" s="6">
        <f>2159999</f>
        <v>2159999</v>
      </c>
      <c r="X1092" s="4" t="s">
        <v>243</v>
      </c>
      <c r="Y1092" s="4" t="s">
        <v>244</v>
      </c>
      <c r="Z1092" s="4" t="s">
        <v>465</v>
      </c>
      <c r="AA1092" s="4" t="s">
        <v>241</v>
      </c>
      <c r="AD1092" s="4" t="s">
        <v>241</v>
      </c>
      <c r="AF1092" s="5" t="s">
        <v>241</v>
      </c>
      <c r="AI1092" s="5" t="s">
        <v>249</v>
      </c>
      <c r="AJ1092" s="4" t="s">
        <v>251</v>
      </c>
      <c r="AK1092" s="4" t="s">
        <v>252</v>
      </c>
      <c r="BA1092" s="4" t="s">
        <v>254</v>
      </c>
      <c r="BB1092" s="4" t="s">
        <v>241</v>
      </c>
      <c r="BC1092" s="4" t="s">
        <v>255</v>
      </c>
      <c r="BD1092" s="4" t="s">
        <v>241</v>
      </c>
      <c r="BE1092" s="4" t="s">
        <v>257</v>
      </c>
      <c r="BF1092" s="4" t="s">
        <v>241</v>
      </c>
      <c r="BJ1092" s="4" t="s">
        <v>374</v>
      </c>
      <c r="BK1092" s="5" t="s">
        <v>375</v>
      </c>
      <c r="BL1092" s="4" t="s">
        <v>261</v>
      </c>
      <c r="BM1092" s="4" t="s">
        <v>262</v>
      </c>
      <c r="BN1092" s="4" t="s">
        <v>241</v>
      </c>
      <c r="BO1092" s="6">
        <f>0</f>
        <v>0</v>
      </c>
      <c r="BP1092" s="6">
        <f>0</f>
        <v>0</v>
      </c>
      <c r="BQ1092" s="4" t="s">
        <v>263</v>
      </c>
      <c r="BR1092" s="4" t="s">
        <v>264</v>
      </c>
      <c r="CF1092" s="4" t="s">
        <v>241</v>
      </c>
      <c r="CG1092" s="4" t="s">
        <v>241</v>
      </c>
      <c r="CK1092" s="4" t="s">
        <v>265</v>
      </c>
      <c r="CL1092" s="4" t="s">
        <v>266</v>
      </c>
      <c r="CM1092" s="4" t="s">
        <v>241</v>
      </c>
      <c r="CO1092" s="4" t="s">
        <v>1670</v>
      </c>
      <c r="CP1092" s="5" t="s">
        <v>268</v>
      </c>
      <c r="CQ1092" s="4" t="s">
        <v>269</v>
      </c>
      <c r="CR1092" s="4" t="s">
        <v>270</v>
      </c>
      <c r="CS1092" s="4" t="s">
        <v>241</v>
      </c>
      <c r="CT1092" s="4" t="s">
        <v>241</v>
      </c>
      <c r="CU1092" s="4">
        <v>0</v>
      </c>
      <c r="CV1092" s="4" t="s">
        <v>271</v>
      </c>
      <c r="CW1092" s="4" t="s">
        <v>415</v>
      </c>
      <c r="CX1092" s="4" t="s">
        <v>416</v>
      </c>
      <c r="CZ1092" s="6">
        <f>2160000</f>
        <v>2160000</v>
      </c>
      <c r="DA1092" s="6">
        <f>0</f>
        <v>0</v>
      </c>
      <c r="DC1092" s="4" t="s">
        <v>241</v>
      </c>
      <c r="DD1092" s="4" t="s">
        <v>241</v>
      </c>
      <c r="DF1092" s="4" t="s">
        <v>241</v>
      </c>
      <c r="DI1092" s="4" t="s">
        <v>241</v>
      </c>
      <c r="DJ1092" s="4" t="s">
        <v>241</v>
      </c>
      <c r="DK1092" s="4" t="s">
        <v>241</v>
      </c>
      <c r="DL1092" s="4" t="s">
        <v>241</v>
      </c>
      <c r="DM1092" s="4" t="s">
        <v>277</v>
      </c>
      <c r="DN1092" s="4" t="s">
        <v>278</v>
      </c>
      <c r="DO1092" s="6">
        <f>36</f>
        <v>36</v>
      </c>
      <c r="DP1092" s="4" t="s">
        <v>241</v>
      </c>
      <c r="DQ1092" s="4" t="s">
        <v>241</v>
      </c>
      <c r="DR1092" s="4" t="s">
        <v>241</v>
      </c>
      <c r="DS1092" s="4" t="s">
        <v>241</v>
      </c>
      <c r="DV1092" s="4" t="s">
        <v>1569</v>
      </c>
      <c r="DW1092" s="4" t="s">
        <v>336</v>
      </c>
      <c r="HO1092" s="4" t="s">
        <v>277</v>
      </c>
      <c r="HR1092" s="4" t="s">
        <v>278</v>
      </c>
      <c r="HS1092" s="4" t="s">
        <v>278</v>
      </c>
    </row>
    <row r="1093" spans="1:240" x14ac:dyDescent="0.4">
      <c r="A1093" s="4">
        <v>2</v>
      </c>
      <c r="B1093" s="4" t="s">
        <v>239</v>
      </c>
      <c r="C1093" s="4">
        <v>1391</v>
      </c>
      <c r="D1093" s="4">
        <v>1</v>
      </c>
      <c r="E1093" s="4">
        <v>3</v>
      </c>
      <c r="F1093" s="4" t="s">
        <v>326</v>
      </c>
      <c r="G1093" s="4" t="s">
        <v>241</v>
      </c>
      <c r="H1093" s="4" t="s">
        <v>241</v>
      </c>
      <c r="I1093" s="4" t="s">
        <v>1565</v>
      </c>
      <c r="J1093" s="4" t="s">
        <v>424</v>
      </c>
      <c r="K1093" s="4" t="s">
        <v>256</v>
      </c>
      <c r="L1093" s="4" t="s">
        <v>429</v>
      </c>
      <c r="M1093" s="5" t="s">
        <v>1567</v>
      </c>
      <c r="N1093" s="4" t="s">
        <v>3746</v>
      </c>
      <c r="O1093" s="6">
        <f>0</f>
        <v>0</v>
      </c>
      <c r="P1093" s="4" t="s">
        <v>276</v>
      </c>
      <c r="Q1093" s="6">
        <f>20490426</f>
        <v>20490426</v>
      </c>
      <c r="R1093" s="6">
        <f>23661000</f>
        <v>23661000</v>
      </c>
      <c r="S1093" s="5" t="s">
        <v>3747</v>
      </c>
      <c r="T1093" s="4" t="s">
        <v>348</v>
      </c>
      <c r="U1093" s="4" t="s">
        <v>277</v>
      </c>
      <c r="V1093" s="6">
        <f>1585287</f>
        <v>1585287</v>
      </c>
      <c r="W1093" s="6">
        <f>3170574</f>
        <v>3170574</v>
      </c>
      <c r="X1093" s="4" t="s">
        <v>243</v>
      </c>
      <c r="Y1093" s="4" t="s">
        <v>244</v>
      </c>
      <c r="Z1093" s="4" t="s">
        <v>465</v>
      </c>
      <c r="AA1093" s="4" t="s">
        <v>241</v>
      </c>
      <c r="AD1093" s="4" t="s">
        <v>241</v>
      </c>
      <c r="AE1093" s="5" t="s">
        <v>241</v>
      </c>
      <c r="AF1093" s="5" t="s">
        <v>241</v>
      </c>
      <c r="AH1093" s="5" t="s">
        <v>241</v>
      </c>
      <c r="AI1093" s="5" t="s">
        <v>249</v>
      </c>
      <c r="AJ1093" s="4" t="s">
        <v>251</v>
      </c>
      <c r="AK1093" s="4" t="s">
        <v>252</v>
      </c>
      <c r="AQ1093" s="4" t="s">
        <v>241</v>
      </c>
      <c r="AR1093" s="4" t="s">
        <v>241</v>
      </c>
      <c r="AS1093" s="4" t="s">
        <v>241</v>
      </c>
      <c r="AT1093" s="5" t="s">
        <v>241</v>
      </c>
      <c r="AU1093" s="5" t="s">
        <v>241</v>
      </c>
      <c r="AV1093" s="5" t="s">
        <v>241</v>
      </c>
      <c r="AY1093" s="4" t="s">
        <v>286</v>
      </c>
      <c r="AZ1093" s="4" t="s">
        <v>286</v>
      </c>
      <c r="BA1093" s="4" t="s">
        <v>254</v>
      </c>
      <c r="BB1093" s="4" t="s">
        <v>287</v>
      </c>
      <c r="BC1093" s="4" t="s">
        <v>255</v>
      </c>
      <c r="BD1093" s="4" t="s">
        <v>241</v>
      </c>
      <c r="BE1093" s="4" t="s">
        <v>257</v>
      </c>
      <c r="BF1093" s="4" t="s">
        <v>241</v>
      </c>
      <c r="BJ1093" s="4" t="s">
        <v>288</v>
      </c>
      <c r="BK1093" s="5" t="s">
        <v>289</v>
      </c>
      <c r="BL1093" s="4" t="s">
        <v>290</v>
      </c>
      <c r="BM1093" s="4" t="s">
        <v>290</v>
      </c>
      <c r="BN1093" s="4" t="s">
        <v>241</v>
      </c>
      <c r="BP1093" s="6">
        <f>-1585287</f>
        <v>-1585287</v>
      </c>
      <c r="BQ1093" s="4" t="s">
        <v>263</v>
      </c>
      <c r="BR1093" s="4" t="s">
        <v>264</v>
      </c>
      <c r="BS1093" s="4" t="s">
        <v>241</v>
      </c>
      <c r="BT1093" s="4" t="s">
        <v>241</v>
      </c>
      <c r="BU1093" s="4" t="s">
        <v>241</v>
      </c>
      <c r="BV1093" s="4" t="s">
        <v>241</v>
      </c>
      <c r="CE1093" s="4" t="s">
        <v>264</v>
      </c>
      <c r="CF1093" s="4" t="s">
        <v>241</v>
      </c>
      <c r="CG1093" s="4" t="s">
        <v>241</v>
      </c>
      <c r="CK1093" s="4" t="s">
        <v>291</v>
      </c>
      <c r="CL1093" s="4" t="s">
        <v>266</v>
      </c>
      <c r="CM1093" s="4" t="s">
        <v>241</v>
      </c>
      <c r="CO1093" s="4" t="s">
        <v>331</v>
      </c>
      <c r="CP1093" s="5" t="s">
        <v>268</v>
      </c>
      <c r="CQ1093" s="4" t="s">
        <v>269</v>
      </c>
      <c r="CR1093" s="4" t="s">
        <v>270</v>
      </c>
      <c r="CS1093" s="4" t="s">
        <v>293</v>
      </c>
      <c r="CT1093" s="4" t="s">
        <v>241</v>
      </c>
      <c r="CU1093" s="4">
        <v>6.7000000000000004E-2</v>
      </c>
      <c r="CV1093" s="4" t="s">
        <v>271</v>
      </c>
      <c r="CW1093" s="4" t="s">
        <v>272</v>
      </c>
      <c r="CX1093" s="4" t="s">
        <v>347</v>
      </c>
      <c r="CY1093" s="6">
        <f>0</f>
        <v>0</v>
      </c>
      <c r="CZ1093" s="6">
        <f>23661000</f>
        <v>23661000</v>
      </c>
      <c r="DA1093" s="6">
        <f>20490426</f>
        <v>20490426</v>
      </c>
      <c r="DC1093" s="4" t="s">
        <v>241</v>
      </c>
      <c r="DD1093" s="4" t="s">
        <v>241</v>
      </c>
      <c r="DF1093" s="4" t="s">
        <v>241</v>
      </c>
      <c r="DG1093" s="6">
        <f>0</f>
        <v>0</v>
      </c>
      <c r="DI1093" s="4" t="s">
        <v>241</v>
      </c>
      <c r="DJ1093" s="4" t="s">
        <v>241</v>
      </c>
      <c r="DK1093" s="4" t="s">
        <v>241</v>
      </c>
      <c r="DL1093" s="4" t="s">
        <v>241</v>
      </c>
      <c r="DM1093" s="4" t="s">
        <v>277</v>
      </c>
      <c r="DN1093" s="4" t="s">
        <v>278</v>
      </c>
      <c r="DO1093" s="6" t="s">
        <v>241</v>
      </c>
      <c r="DP1093" s="4" t="s">
        <v>241</v>
      </c>
      <c r="DQ1093" s="4" t="s">
        <v>241</v>
      </c>
      <c r="DR1093" s="4" t="s">
        <v>241</v>
      </c>
      <c r="DS1093" s="4" t="s">
        <v>241</v>
      </c>
      <c r="DV1093" s="4" t="s">
        <v>1569</v>
      </c>
      <c r="DW1093" s="4" t="s">
        <v>300</v>
      </c>
      <c r="GN1093" s="4" t="s">
        <v>3748</v>
      </c>
      <c r="HO1093" s="4" t="s">
        <v>297</v>
      </c>
      <c r="HR1093" s="4" t="s">
        <v>278</v>
      </c>
      <c r="HS1093" s="4" t="s">
        <v>278</v>
      </c>
      <c r="HT1093" s="4" t="s">
        <v>241</v>
      </c>
      <c r="HU1093" s="4" t="s">
        <v>241</v>
      </c>
      <c r="HV1093" s="4" t="s">
        <v>241</v>
      </c>
      <c r="HW1093" s="4" t="s">
        <v>241</v>
      </c>
      <c r="HX1093" s="4" t="s">
        <v>241</v>
      </c>
      <c r="HY1093" s="4" t="s">
        <v>241</v>
      </c>
      <c r="HZ1093" s="4" t="s">
        <v>241</v>
      </c>
      <c r="IA1093" s="4" t="s">
        <v>241</v>
      </c>
      <c r="IB1093" s="4" t="s">
        <v>241</v>
      </c>
      <c r="IC1093" s="4" t="s">
        <v>241</v>
      </c>
      <c r="ID1093" s="4" t="s">
        <v>241</v>
      </c>
      <c r="IE1093" s="4" t="s">
        <v>241</v>
      </c>
      <c r="IF1093" s="4" t="s">
        <v>241</v>
      </c>
    </row>
    <row r="1094" spans="1:240" x14ac:dyDescent="0.4">
      <c r="A1094" s="4">
        <v>2</v>
      </c>
      <c r="B1094" s="4" t="s">
        <v>239</v>
      </c>
      <c r="C1094" s="4">
        <v>1393</v>
      </c>
      <c r="D1094" s="4">
        <v>1</v>
      </c>
      <c r="E1094" s="4">
        <v>3</v>
      </c>
      <c r="F1094" s="4" t="s">
        <v>240</v>
      </c>
      <c r="G1094" s="4" t="s">
        <v>241</v>
      </c>
      <c r="H1094" s="4" t="s">
        <v>241</v>
      </c>
      <c r="I1094" s="4" t="s">
        <v>510</v>
      </c>
      <c r="J1094" s="4" t="s">
        <v>424</v>
      </c>
      <c r="K1094" s="4" t="s">
        <v>256</v>
      </c>
      <c r="L1094" s="4" t="s">
        <v>509</v>
      </c>
      <c r="M1094" s="5" t="s">
        <v>512</v>
      </c>
      <c r="N1094" s="4" t="s">
        <v>509</v>
      </c>
      <c r="O1094" s="6">
        <f>248.42</f>
        <v>248.42</v>
      </c>
      <c r="P1094" s="4" t="s">
        <v>276</v>
      </c>
      <c r="Q1094" s="6">
        <f>894312</f>
        <v>894312</v>
      </c>
      <c r="R1094" s="6">
        <f>44715600</f>
        <v>44715600</v>
      </c>
      <c r="S1094" s="5" t="s">
        <v>511</v>
      </c>
      <c r="T1094" s="4" t="s">
        <v>296</v>
      </c>
      <c r="U1094" s="4" t="s">
        <v>514</v>
      </c>
      <c r="V1094" s="6">
        <f>894312</f>
        <v>894312</v>
      </c>
      <c r="W1094" s="6">
        <f>43821288</f>
        <v>43821288</v>
      </c>
      <c r="X1094" s="4" t="s">
        <v>243</v>
      </c>
      <c r="Y1094" s="4" t="s">
        <v>244</v>
      </c>
      <c r="Z1094" s="4" t="s">
        <v>465</v>
      </c>
      <c r="AA1094" s="4" t="s">
        <v>241</v>
      </c>
      <c r="AD1094" s="4" t="s">
        <v>241</v>
      </c>
      <c r="AE1094" s="5" t="s">
        <v>241</v>
      </c>
      <c r="AF1094" s="5" t="s">
        <v>241</v>
      </c>
      <c r="AH1094" s="5" t="s">
        <v>241</v>
      </c>
      <c r="AI1094" s="5" t="s">
        <v>249</v>
      </c>
      <c r="AJ1094" s="4" t="s">
        <v>251</v>
      </c>
      <c r="AK1094" s="4" t="s">
        <v>252</v>
      </c>
      <c r="AQ1094" s="4" t="s">
        <v>241</v>
      </c>
      <c r="AR1094" s="4" t="s">
        <v>241</v>
      </c>
      <c r="AS1094" s="4" t="s">
        <v>241</v>
      </c>
      <c r="AT1094" s="5" t="s">
        <v>241</v>
      </c>
      <c r="AU1094" s="5" t="s">
        <v>241</v>
      </c>
      <c r="AV1094" s="5" t="s">
        <v>241</v>
      </c>
      <c r="AY1094" s="4" t="s">
        <v>286</v>
      </c>
      <c r="AZ1094" s="4" t="s">
        <v>286</v>
      </c>
      <c r="BA1094" s="4" t="s">
        <v>254</v>
      </c>
      <c r="BB1094" s="4" t="s">
        <v>287</v>
      </c>
      <c r="BC1094" s="4" t="s">
        <v>255</v>
      </c>
      <c r="BD1094" s="4" t="s">
        <v>241</v>
      </c>
      <c r="BE1094" s="4" t="s">
        <v>257</v>
      </c>
      <c r="BF1094" s="4" t="s">
        <v>241</v>
      </c>
      <c r="BH1094" s="4" t="s">
        <v>500</v>
      </c>
      <c r="BJ1094" s="4" t="s">
        <v>288</v>
      </c>
      <c r="BK1094" s="5" t="s">
        <v>289</v>
      </c>
      <c r="BL1094" s="4" t="s">
        <v>290</v>
      </c>
      <c r="BM1094" s="4" t="s">
        <v>290</v>
      </c>
      <c r="BN1094" s="4" t="s">
        <v>241</v>
      </c>
      <c r="BO1094" s="6">
        <f>0</f>
        <v>0</v>
      </c>
      <c r="BP1094" s="6">
        <f>-894312</f>
        <v>-894312</v>
      </c>
      <c r="BQ1094" s="4" t="s">
        <v>263</v>
      </c>
      <c r="BR1094" s="4" t="s">
        <v>264</v>
      </c>
      <c r="BS1094" s="4" t="s">
        <v>241</v>
      </c>
      <c r="BT1094" s="4" t="s">
        <v>241</v>
      </c>
      <c r="BU1094" s="4" t="s">
        <v>241</v>
      </c>
      <c r="BV1094" s="4" t="s">
        <v>241</v>
      </c>
      <c r="CE1094" s="4" t="s">
        <v>264</v>
      </c>
      <c r="CF1094" s="4" t="s">
        <v>241</v>
      </c>
      <c r="CG1094" s="4" t="s">
        <v>241</v>
      </c>
      <c r="CK1094" s="4" t="s">
        <v>265</v>
      </c>
      <c r="CL1094" s="4" t="s">
        <v>266</v>
      </c>
      <c r="CM1094" s="4" t="s">
        <v>241</v>
      </c>
      <c r="CO1094" s="4" t="s">
        <v>513</v>
      </c>
      <c r="CP1094" s="5" t="s">
        <v>268</v>
      </c>
      <c r="CQ1094" s="4" t="s">
        <v>269</v>
      </c>
      <c r="CR1094" s="4" t="s">
        <v>270</v>
      </c>
      <c r="CS1094" s="4" t="s">
        <v>293</v>
      </c>
      <c r="CT1094" s="4" t="s">
        <v>241</v>
      </c>
      <c r="CU1094" s="4">
        <v>0.02</v>
      </c>
      <c r="CV1094" s="4" t="s">
        <v>271</v>
      </c>
      <c r="CW1094" s="4" t="s">
        <v>495</v>
      </c>
      <c r="CX1094" s="4" t="s">
        <v>295</v>
      </c>
      <c r="CY1094" s="6">
        <f>0</f>
        <v>0</v>
      </c>
      <c r="CZ1094" s="6">
        <f>44715600</f>
        <v>44715600</v>
      </c>
      <c r="DA1094" s="6">
        <f>894312</f>
        <v>894312</v>
      </c>
      <c r="DC1094" s="4" t="s">
        <v>241</v>
      </c>
      <c r="DD1094" s="4" t="s">
        <v>241</v>
      </c>
      <c r="DF1094" s="4" t="s">
        <v>241</v>
      </c>
      <c r="DG1094" s="6">
        <f>0</f>
        <v>0</v>
      </c>
      <c r="DI1094" s="4" t="s">
        <v>241</v>
      </c>
      <c r="DJ1094" s="4" t="s">
        <v>241</v>
      </c>
      <c r="DK1094" s="4" t="s">
        <v>241</v>
      </c>
      <c r="DL1094" s="4" t="s">
        <v>241</v>
      </c>
      <c r="DM1094" s="4" t="s">
        <v>277</v>
      </c>
      <c r="DN1094" s="4" t="s">
        <v>278</v>
      </c>
      <c r="DO1094" s="6">
        <f>248.42</f>
        <v>248.42</v>
      </c>
      <c r="DP1094" s="4" t="s">
        <v>241</v>
      </c>
      <c r="DQ1094" s="4" t="s">
        <v>241</v>
      </c>
      <c r="DR1094" s="4" t="s">
        <v>241</v>
      </c>
      <c r="DS1094" s="4" t="s">
        <v>241</v>
      </c>
      <c r="DV1094" s="4" t="s">
        <v>515</v>
      </c>
      <c r="DW1094" s="4" t="s">
        <v>277</v>
      </c>
      <c r="GN1094" s="4" t="s">
        <v>516</v>
      </c>
      <c r="HO1094" s="4" t="s">
        <v>300</v>
      </c>
      <c r="HR1094" s="4" t="s">
        <v>278</v>
      </c>
      <c r="HS1094" s="4" t="s">
        <v>278</v>
      </c>
      <c r="HT1094" s="4" t="s">
        <v>241</v>
      </c>
      <c r="HU1094" s="4" t="s">
        <v>241</v>
      </c>
      <c r="HV1094" s="4" t="s">
        <v>241</v>
      </c>
      <c r="HW1094" s="4" t="s">
        <v>241</v>
      </c>
      <c r="HX1094" s="4" t="s">
        <v>241</v>
      </c>
      <c r="HY1094" s="4" t="s">
        <v>241</v>
      </c>
      <c r="HZ1094" s="4" t="s">
        <v>241</v>
      </c>
      <c r="IA1094" s="4" t="s">
        <v>241</v>
      </c>
      <c r="IB1094" s="4" t="s">
        <v>241</v>
      </c>
      <c r="IC1094" s="4" t="s">
        <v>241</v>
      </c>
      <c r="ID1094" s="4" t="s">
        <v>241</v>
      </c>
      <c r="IE1094" s="4" t="s">
        <v>241</v>
      </c>
      <c r="IF1094" s="4" t="s">
        <v>241</v>
      </c>
    </row>
    <row r="1095" spans="1:240" x14ac:dyDescent="0.4">
      <c r="A1095" s="4">
        <v>2</v>
      </c>
      <c r="B1095" s="4" t="s">
        <v>239</v>
      </c>
      <c r="C1095" s="4">
        <v>1394</v>
      </c>
      <c r="D1095" s="4">
        <v>1</v>
      </c>
      <c r="E1095" s="4">
        <v>1</v>
      </c>
      <c r="F1095" s="4" t="s">
        <v>240</v>
      </c>
      <c r="G1095" s="4" t="s">
        <v>241</v>
      </c>
      <c r="H1095" s="4" t="s">
        <v>241</v>
      </c>
      <c r="I1095" s="4" t="s">
        <v>621</v>
      </c>
      <c r="J1095" s="4" t="s">
        <v>424</v>
      </c>
      <c r="K1095" s="4" t="s">
        <v>256</v>
      </c>
      <c r="L1095" s="4" t="s">
        <v>492</v>
      </c>
      <c r="M1095" s="5" t="s">
        <v>622</v>
      </c>
      <c r="N1095" s="4" t="s">
        <v>575</v>
      </c>
      <c r="O1095" s="6">
        <f>293.1</f>
        <v>293.10000000000002</v>
      </c>
      <c r="P1095" s="4" t="s">
        <v>276</v>
      </c>
      <c r="Q1095" s="6">
        <f>1</f>
        <v>1</v>
      </c>
      <c r="R1095" s="6">
        <f>27844500</f>
        <v>27844500</v>
      </c>
      <c r="S1095" s="5" t="s">
        <v>248</v>
      </c>
      <c r="T1095" s="4" t="s">
        <v>274</v>
      </c>
      <c r="U1095" s="4" t="s">
        <v>275</v>
      </c>
      <c r="W1095" s="6">
        <f>27844499</f>
        <v>27844499</v>
      </c>
      <c r="X1095" s="4" t="s">
        <v>243</v>
      </c>
      <c r="Y1095" s="4" t="s">
        <v>244</v>
      </c>
      <c r="Z1095" s="4" t="s">
        <v>465</v>
      </c>
      <c r="AA1095" s="4" t="s">
        <v>241</v>
      </c>
      <c r="AD1095" s="4" t="s">
        <v>241</v>
      </c>
      <c r="AF1095" s="5" t="s">
        <v>241</v>
      </c>
      <c r="AI1095" s="5" t="s">
        <v>249</v>
      </c>
      <c r="AJ1095" s="4" t="s">
        <v>251</v>
      </c>
      <c r="AK1095" s="4" t="s">
        <v>252</v>
      </c>
      <c r="BA1095" s="4" t="s">
        <v>254</v>
      </c>
      <c r="BB1095" s="4" t="s">
        <v>241</v>
      </c>
      <c r="BC1095" s="4" t="s">
        <v>255</v>
      </c>
      <c r="BD1095" s="4" t="s">
        <v>241</v>
      </c>
      <c r="BE1095" s="4" t="s">
        <v>257</v>
      </c>
      <c r="BF1095" s="4" t="s">
        <v>241</v>
      </c>
      <c r="BJ1095" s="4" t="s">
        <v>374</v>
      </c>
      <c r="BK1095" s="5" t="s">
        <v>375</v>
      </c>
      <c r="BL1095" s="4" t="s">
        <v>261</v>
      </c>
      <c r="BM1095" s="4" t="s">
        <v>262</v>
      </c>
      <c r="BN1095" s="4" t="s">
        <v>241</v>
      </c>
      <c r="BO1095" s="6">
        <f>0</f>
        <v>0</v>
      </c>
      <c r="BP1095" s="6">
        <f>0</f>
        <v>0</v>
      </c>
      <c r="BQ1095" s="4" t="s">
        <v>263</v>
      </c>
      <c r="BR1095" s="4" t="s">
        <v>264</v>
      </c>
      <c r="CF1095" s="4" t="s">
        <v>241</v>
      </c>
      <c r="CG1095" s="4" t="s">
        <v>241</v>
      </c>
      <c r="CK1095" s="4" t="s">
        <v>265</v>
      </c>
      <c r="CL1095" s="4" t="s">
        <v>266</v>
      </c>
      <c r="CM1095" s="4" t="s">
        <v>241</v>
      </c>
      <c r="CO1095" s="4" t="s">
        <v>267</v>
      </c>
      <c r="CP1095" s="5" t="s">
        <v>268</v>
      </c>
      <c r="CQ1095" s="4" t="s">
        <v>269</v>
      </c>
      <c r="CR1095" s="4" t="s">
        <v>270</v>
      </c>
      <c r="CS1095" s="4" t="s">
        <v>241</v>
      </c>
      <c r="CT1095" s="4" t="s">
        <v>241</v>
      </c>
      <c r="CU1095" s="4">
        <v>0</v>
      </c>
      <c r="CV1095" s="4" t="s">
        <v>271</v>
      </c>
      <c r="CW1095" s="4" t="s">
        <v>495</v>
      </c>
      <c r="CX1095" s="4" t="s">
        <v>347</v>
      </c>
      <c r="CZ1095" s="6">
        <f>27844500</f>
        <v>27844500</v>
      </c>
      <c r="DA1095" s="6">
        <f>0</f>
        <v>0</v>
      </c>
      <c r="DC1095" s="4" t="s">
        <v>241</v>
      </c>
      <c r="DD1095" s="4" t="s">
        <v>241</v>
      </c>
      <c r="DF1095" s="4" t="s">
        <v>241</v>
      </c>
      <c r="DI1095" s="4" t="s">
        <v>241</v>
      </c>
      <c r="DJ1095" s="4" t="s">
        <v>241</v>
      </c>
      <c r="DK1095" s="4" t="s">
        <v>241</v>
      </c>
      <c r="DL1095" s="4" t="s">
        <v>241</v>
      </c>
      <c r="DM1095" s="4" t="s">
        <v>323</v>
      </c>
      <c r="DN1095" s="4" t="s">
        <v>278</v>
      </c>
      <c r="DO1095" s="6">
        <f>293.1</f>
        <v>293.10000000000002</v>
      </c>
      <c r="DP1095" s="4" t="s">
        <v>241</v>
      </c>
      <c r="DQ1095" s="4" t="s">
        <v>241</v>
      </c>
      <c r="DR1095" s="4" t="s">
        <v>241</v>
      </c>
      <c r="DS1095" s="4" t="s">
        <v>241</v>
      </c>
      <c r="DV1095" s="4" t="s">
        <v>623</v>
      </c>
      <c r="DW1095" s="4" t="s">
        <v>277</v>
      </c>
      <c r="HO1095" s="4" t="s">
        <v>277</v>
      </c>
      <c r="HR1095" s="4" t="s">
        <v>278</v>
      </c>
      <c r="HS1095" s="4" t="s">
        <v>278</v>
      </c>
    </row>
    <row r="1096" spans="1:240" x14ac:dyDescent="0.4">
      <c r="A1096" s="4">
        <v>2</v>
      </c>
      <c r="B1096" s="4" t="s">
        <v>239</v>
      </c>
      <c r="C1096" s="4">
        <v>1395</v>
      </c>
      <c r="D1096" s="4">
        <v>1</v>
      </c>
      <c r="E1096" s="4">
        <v>1</v>
      </c>
      <c r="F1096" s="4" t="s">
        <v>240</v>
      </c>
      <c r="G1096" s="4" t="s">
        <v>241</v>
      </c>
      <c r="H1096" s="4" t="s">
        <v>241</v>
      </c>
      <c r="I1096" s="4" t="s">
        <v>621</v>
      </c>
      <c r="J1096" s="4" t="s">
        <v>424</v>
      </c>
      <c r="K1096" s="4" t="s">
        <v>256</v>
      </c>
      <c r="L1096" s="4" t="s">
        <v>340</v>
      </c>
      <c r="M1096" s="5" t="s">
        <v>622</v>
      </c>
      <c r="N1096" s="4" t="s">
        <v>340</v>
      </c>
      <c r="O1096" s="6">
        <f>16.56</f>
        <v>16.559999999999999</v>
      </c>
      <c r="P1096" s="4" t="s">
        <v>276</v>
      </c>
      <c r="Q1096" s="6">
        <f>1</f>
        <v>1</v>
      </c>
      <c r="R1096" s="6">
        <f>1573200</f>
        <v>1573200</v>
      </c>
      <c r="S1096" s="5" t="s">
        <v>248</v>
      </c>
      <c r="T1096" s="4" t="s">
        <v>348</v>
      </c>
      <c r="U1096" s="4" t="s">
        <v>275</v>
      </c>
      <c r="W1096" s="6">
        <f>1573199</f>
        <v>1573199</v>
      </c>
      <c r="X1096" s="4" t="s">
        <v>243</v>
      </c>
      <c r="Y1096" s="4" t="s">
        <v>244</v>
      </c>
      <c r="Z1096" s="4" t="s">
        <v>465</v>
      </c>
      <c r="AA1096" s="4" t="s">
        <v>241</v>
      </c>
      <c r="AD1096" s="4" t="s">
        <v>241</v>
      </c>
      <c r="AF1096" s="5" t="s">
        <v>241</v>
      </c>
      <c r="AI1096" s="5" t="s">
        <v>249</v>
      </c>
      <c r="AJ1096" s="4" t="s">
        <v>251</v>
      </c>
      <c r="AK1096" s="4" t="s">
        <v>252</v>
      </c>
      <c r="BA1096" s="4" t="s">
        <v>254</v>
      </c>
      <c r="BB1096" s="4" t="s">
        <v>241</v>
      </c>
      <c r="BC1096" s="4" t="s">
        <v>255</v>
      </c>
      <c r="BD1096" s="4" t="s">
        <v>241</v>
      </c>
      <c r="BE1096" s="4" t="s">
        <v>257</v>
      </c>
      <c r="BF1096" s="4" t="s">
        <v>241</v>
      </c>
      <c r="BJ1096" s="4" t="s">
        <v>377</v>
      </c>
      <c r="BK1096" s="5" t="s">
        <v>378</v>
      </c>
      <c r="BL1096" s="4" t="s">
        <v>261</v>
      </c>
      <c r="BM1096" s="4" t="s">
        <v>262</v>
      </c>
      <c r="BN1096" s="4" t="s">
        <v>241</v>
      </c>
      <c r="BO1096" s="6">
        <f>0</f>
        <v>0</v>
      </c>
      <c r="BP1096" s="6">
        <f>0</f>
        <v>0</v>
      </c>
      <c r="BQ1096" s="4" t="s">
        <v>263</v>
      </c>
      <c r="BR1096" s="4" t="s">
        <v>264</v>
      </c>
      <c r="CF1096" s="4" t="s">
        <v>241</v>
      </c>
      <c r="CG1096" s="4" t="s">
        <v>241</v>
      </c>
      <c r="CK1096" s="4" t="s">
        <v>265</v>
      </c>
      <c r="CL1096" s="4" t="s">
        <v>266</v>
      </c>
      <c r="CM1096" s="4" t="s">
        <v>241</v>
      </c>
      <c r="CO1096" s="4" t="s">
        <v>267</v>
      </c>
      <c r="CP1096" s="5" t="s">
        <v>268</v>
      </c>
      <c r="CQ1096" s="4" t="s">
        <v>269</v>
      </c>
      <c r="CR1096" s="4" t="s">
        <v>270</v>
      </c>
      <c r="CS1096" s="4" t="s">
        <v>241</v>
      </c>
      <c r="CT1096" s="4" t="s">
        <v>241</v>
      </c>
      <c r="CU1096" s="4">
        <v>0</v>
      </c>
      <c r="CV1096" s="4" t="s">
        <v>271</v>
      </c>
      <c r="CW1096" s="4" t="s">
        <v>332</v>
      </c>
      <c r="CX1096" s="4" t="s">
        <v>347</v>
      </c>
      <c r="CZ1096" s="6">
        <f>1573200</f>
        <v>1573200</v>
      </c>
      <c r="DA1096" s="6">
        <f>0</f>
        <v>0</v>
      </c>
      <c r="DC1096" s="4" t="s">
        <v>241</v>
      </c>
      <c r="DD1096" s="4" t="s">
        <v>241</v>
      </c>
      <c r="DF1096" s="4" t="s">
        <v>241</v>
      </c>
      <c r="DI1096" s="4" t="s">
        <v>241</v>
      </c>
      <c r="DJ1096" s="4" t="s">
        <v>241</v>
      </c>
      <c r="DK1096" s="4" t="s">
        <v>241</v>
      </c>
      <c r="DL1096" s="4" t="s">
        <v>241</v>
      </c>
      <c r="DM1096" s="4" t="s">
        <v>277</v>
      </c>
      <c r="DN1096" s="4" t="s">
        <v>278</v>
      </c>
      <c r="DO1096" s="6">
        <f>16.56</f>
        <v>16.559999999999999</v>
      </c>
      <c r="DP1096" s="4" t="s">
        <v>241</v>
      </c>
      <c r="DQ1096" s="4" t="s">
        <v>241</v>
      </c>
      <c r="DR1096" s="4" t="s">
        <v>241</v>
      </c>
      <c r="DS1096" s="4" t="s">
        <v>241</v>
      </c>
      <c r="DV1096" s="4" t="s">
        <v>623</v>
      </c>
      <c r="DW1096" s="4" t="s">
        <v>323</v>
      </c>
      <c r="HO1096" s="4" t="s">
        <v>277</v>
      </c>
      <c r="HR1096" s="4" t="s">
        <v>278</v>
      </c>
      <c r="HS1096" s="4" t="s">
        <v>278</v>
      </c>
    </row>
    <row r="1097" spans="1:240" x14ac:dyDescent="0.4">
      <c r="A1097" s="4">
        <v>2</v>
      </c>
      <c r="B1097" s="4" t="s">
        <v>239</v>
      </c>
      <c r="C1097" s="4">
        <v>1396</v>
      </c>
      <c r="D1097" s="4">
        <v>1</v>
      </c>
      <c r="E1097" s="4">
        <v>1</v>
      </c>
      <c r="F1097" s="4" t="s">
        <v>240</v>
      </c>
      <c r="G1097" s="4" t="s">
        <v>241</v>
      </c>
      <c r="H1097" s="4" t="s">
        <v>241</v>
      </c>
      <c r="I1097" s="4" t="s">
        <v>587</v>
      </c>
      <c r="J1097" s="4" t="s">
        <v>424</v>
      </c>
      <c r="K1097" s="4" t="s">
        <v>256</v>
      </c>
      <c r="L1097" s="4" t="s">
        <v>492</v>
      </c>
      <c r="M1097" s="5" t="s">
        <v>588</v>
      </c>
      <c r="N1097" s="4" t="s">
        <v>575</v>
      </c>
      <c r="O1097" s="6">
        <f>1657.53</f>
        <v>1657.53</v>
      </c>
      <c r="P1097" s="4" t="s">
        <v>276</v>
      </c>
      <c r="Q1097" s="6">
        <f>1</f>
        <v>1</v>
      </c>
      <c r="R1097" s="6">
        <f>157465350</f>
        <v>157465350</v>
      </c>
      <c r="S1097" s="5" t="s">
        <v>248</v>
      </c>
      <c r="T1097" s="4" t="s">
        <v>274</v>
      </c>
      <c r="U1097" s="4" t="s">
        <v>275</v>
      </c>
      <c r="W1097" s="6">
        <f>157465349</f>
        <v>157465349</v>
      </c>
      <c r="X1097" s="4" t="s">
        <v>243</v>
      </c>
      <c r="Y1097" s="4" t="s">
        <v>244</v>
      </c>
      <c r="Z1097" s="4" t="s">
        <v>465</v>
      </c>
      <c r="AA1097" s="4" t="s">
        <v>241</v>
      </c>
      <c r="AD1097" s="4" t="s">
        <v>241</v>
      </c>
      <c r="AF1097" s="5" t="s">
        <v>241</v>
      </c>
      <c r="AI1097" s="5" t="s">
        <v>249</v>
      </c>
      <c r="AJ1097" s="4" t="s">
        <v>251</v>
      </c>
      <c r="AK1097" s="4" t="s">
        <v>252</v>
      </c>
      <c r="BA1097" s="4" t="s">
        <v>254</v>
      </c>
      <c r="BB1097" s="4" t="s">
        <v>241</v>
      </c>
      <c r="BC1097" s="4" t="s">
        <v>255</v>
      </c>
      <c r="BD1097" s="4" t="s">
        <v>241</v>
      </c>
      <c r="BE1097" s="4" t="s">
        <v>257</v>
      </c>
      <c r="BF1097" s="4" t="s">
        <v>241</v>
      </c>
      <c r="BJ1097" s="4" t="s">
        <v>259</v>
      </c>
      <c r="BK1097" s="5" t="s">
        <v>260</v>
      </c>
      <c r="BL1097" s="4" t="s">
        <v>261</v>
      </c>
      <c r="BM1097" s="4" t="s">
        <v>262</v>
      </c>
      <c r="BN1097" s="4" t="s">
        <v>241</v>
      </c>
      <c r="BO1097" s="6">
        <f>0</f>
        <v>0</v>
      </c>
      <c r="BP1097" s="6">
        <f>0</f>
        <v>0</v>
      </c>
      <c r="BQ1097" s="4" t="s">
        <v>263</v>
      </c>
      <c r="BR1097" s="4" t="s">
        <v>264</v>
      </c>
      <c r="CF1097" s="4" t="s">
        <v>241</v>
      </c>
      <c r="CG1097" s="4" t="s">
        <v>241</v>
      </c>
      <c r="CK1097" s="4" t="s">
        <v>265</v>
      </c>
      <c r="CL1097" s="4" t="s">
        <v>266</v>
      </c>
      <c r="CM1097" s="4" t="s">
        <v>241</v>
      </c>
      <c r="CO1097" s="4" t="s">
        <v>267</v>
      </c>
      <c r="CP1097" s="5" t="s">
        <v>268</v>
      </c>
      <c r="CQ1097" s="4" t="s">
        <v>269</v>
      </c>
      <c r="CR1097" s="4" t="s">
        <v>270</v>
      </c>
      <c r="CS1097" s="4" t="s">
        <v>241</v>
      </c>
      <c r="CT1097" s="4" t="s">
        <v>241</v>
      </c>
      <c r="CU1097" s="4">
        <v>0</v>
      </c>
      <c r="CV1097" s="4" t="s">
        <v>271</v>
      </c>
      <c r="CW1097" s="4" t="s">
        <v>495</v>
      </c>
      <c r="CX1097" s="4" t="s">
        <v>347</v>
      </c>
      <c r="CZ1097" s="6">
        <f>157465350</f>
        <v>157465350</v>
      </c>
      <c r="DA1097" s="6">
        <f>0</f>
        <v>0</v>
      </c>
      <c r="DC1097" s="4" t="s">
        <v>241</v>
      </c>
      <c r="DD1097" s="4" t="s">
        <v>241</v>
      </c>
      <c r="DF1097" s="4" t="s">
        <v>241</v>
      </c>
      <c r="DI1097" s="4" t="s">
        <v>241</v>
      </c>
      <c r="DJ1097" s="4" t="s">
        <v>241</v>
      </c>
      <c r="DK1097" s="4" t="s">
        <v>241</v>
      </c>
      <c r="DL1097" s="4" t="s">
        <v>241</v>
      </c>
      <c r="DM1097" s="4" t="s">
        <v>277</v>
      </c>
      <c r="DN1097" s="4" t="s">
        <v>278</v>
      </c>
      <c r="DO1097" s="6">
        <f>1657.53</f>
        <v>1657.53</v>
      </c>
      <c r="DP1097" s="4" t="s">
        <v>241</v>
      </c>
      <c r="DQ1097" s="4" t="s">
        <v>241</v>
      </c>
      <c r="DR1097" s="4" t="s">
        <v>241</v>
      </c>
      <c r="DS1097" s="4" t="s">
        <v>241</v>
      </c>
      <c r="DV1097" s="4" t="s">
        <v>589</v>
      </c>
      <c r="DW1097" s="4" t="s">
        <v>277</v>
      </c>
      <c r="HO1097" s="4" t="s">
        <v>277</v>
      </c>
      <c r="HR1097" s="4" t="s">
        <v>278</v>
      </c>
      <c r="HS1097" s="4" t="s">
        <v>278</v>
      </c>
    </row>
    <row r="1098" spans="1:240" x14ac:dyDescent="0.4">
      <c r="A1098" s="4">
        <v>2</v>
      </c>
      <c r="B1098" s="4" t="s">
        <v>239</v>
      </c>
      <c r="C1098" s="4">
        <v>1397</v>
      </c>
      <c r="D1098" s="4">
        <v>1</v>
      </c>
      <c r="E1098" s="4">
        <v>1</v>
      </c>
      <c r="F1098" s="4" t="s">
        <v>240</v>
      </c>
      <c r="G1098" s="4" t="s">
        <v>241</v>
      </c>
      <c r="H1098" s="4" t="s">
        <v>241</v>
      </c>
      <c r="I1098" s="4" t="s">
        <v>587</v>
      </c>
      <c r="J1098" s="4" t="s">
        <v>424</v>
      </c>
      <c r="K1098" s="4" t="s">
        <v>256</v>
      </c>
      <c r="L1098" s="4" t="s">
        <v>340</v>
      </c>
      <c r="M1098" s="5" t="s">
        <v>588</v>
      </c>
      <c r="N1098" s="4" t="s">
        <v>340</v>
      </c>
      <c r="O1098" s="6">
        <f>28.18</f>
        <v>28.18</v>
      </c>
      <c r="P1098" s="4" t="s">
        <v>276</v>
      </c>
      <c r="Q1098" s="6">
        <f>1</f>
        <v>1</v>
      </c>
      <c r="R1098" s="6">
        <f>2677100</f>
        <v>2677100</v>
      </c>
      <c r="S1098" s="5" t="s">
        <v>248</v>
      </c>
      <c r="T1098" s="4" t="s">
        <v>348</v>
      </c>
      <c r="U1098" s="4" t="s">
        <v>275</v>
      </c>
      <c r="W1098" s="6">
        <f>2677099</f>
        <v>2677099</v>
      </c>
      <c r="X1098" s="4" t="s">
        <v>243</v>
      </c>
      <c r="Y1098" s="4" t="s">
        <v>244</v>
      </c>
      <c r="Z1098" s="4" t="s">
        <v>465</v>
      </c>
      <c r="AA1098" s="4" t="s">
        <v>241</v>
      </c>
      <c r="AD1098" s="4" t="s">
        <v>241</v>
      </c>
      <c r="AF1098" s="5" t="s">
        <v>241</v>
      </c>
      <c r="AI1098" s="5" t="s">
        <v>249</v>
      </c>
      <c r="AJ1098" s="4" t="s">
        <v>251</v>
      </c>
      <c r="AK1098" s="4" t="s">
        <v>252</v>
      </c>
      <c r="BA1098" s="4" t="s">
        <v>254</v>
      </c>
      <c r="BB1098" s="4" t="s">
        <v>241</v>
      </c>
      <c r="BC1098" s="4" t="s">
        <v>255</v>
      </c>
      <c r="BD1098" s="4" t="s">
        <v>241</v>
      </c>
      <c r="BE1098" s="4" t="s">
        <v>257</v>
      </c>
      <c r="BF1098" s="4" t="s">
        <v>241</v>
      </c>
      <c r="BJ1098" s="4" t="s">
        <v>367</v>
      </c>
      <c r="BK1098" s="5" t="s">
        <v>249</v>
      </c>
      <c r="BL1098" s="4" t="s">
        <v>261</v>
      </c>
      <c r="BM1098" s="4" t="s">
        <v>262</v>
      </c>
      <c r="BN1098" s="4" t="s">
        <v>241</v>
      </c>
      <c r="BO1098" s="6">
        <f>0</f>
        <v>0</v>
      </c>
      <c r="BP1098" s="6">
        <f>0</f>
        <v>0</v>
      </c>
      <c r="BQ1098" s="4" t="s">
        <v>263</v>
      </c>
      <c r="BR1098" s="4" t="s">
        <v>264</v>
      </c>
      <c r="CF1098" s="4" t="s">
        <v>241</v>
      </c>
      <c r="CG1098" s="4" t="s">
        <v>241</v>
      </c>
      <c r="CK1098" s="4" t="s">
        <v>265</v>
      </c>
      <c r="CL1098" s="4" t="s">
        <v>266</v>
      </c>
      <c r="CM1098" s="4" t="s">
        <v>241</v>
      </c>
      <c r="CO1098" s="4" t="s">
        <v>267</v>
      </c>
      <c r="CP1098" s="5" t="s">
        <v>268</v>
      </c>
      <c r="CQ1098" s="4" t="s">
        <v>269</v>
      </c>
      <c r="CR1098" s="4" t="s">
        <v>270</v>
      </c>
      <c r="CS1098" s="4" t="s">
        <v>241</v>
      </c>
      <c r="CT1098" s="4" t="s">
        <v>241</v>
      </c>
      <c r="CU1098" s="4">
        <v>0</v>
      </c>
      <c r="CV1098" s="4" t="s">
        <v>271</v>
      </c>
      <c r="CW1098" s="4" t="s">
        <v>332</v>
      </c>
      <c r="CX1098" s="4" t="s">
        <v>347</v>
      </c>
      <c r="CZ1098" s="6">
        <f>2677100</f>
        <v>2677100</v>
      </c>
      <c r="DA1098" s="6">
        <f>0</f>
        <v>0</v>
      </c>
      <c r="DC1098" s="4" t="s">
        <v>241</v>
      </c>
      <c r="DD1098" s="4" t="s">
        <v>241</v>
      </c>
      <c r="DF1098" s="4" t="s">
        <v>241</v>
      </c>
      <c r="DI1098" s="4" t="s">
        <v>241</v>
      </c>
      <c r="DJ1098" s="4" t="s">
        <v>241</v>
      </c>
      <c r="DK1098" s="4" t="s">
        <v>241</v>
      </c>
      <c r="DL1098" s="4" t="s">
        <v>241</v>
      </c>
      <c r="DM1098" s="4" t="s">
        <v>277</v>
      </c>
      <c r="DN1098" s="4" t="s">
        <v>278</v>
      </c>
      <c r="DO1098" s="6">
        <f>28.18</f>
        <v>28.18</v>
      </c>
      <c r="DP1098" s="4" t="s">
        <v>241</v>
      </c>
      <c r="DQ1098" s="4" t="s">
        <v>241</v>
      </c>
      <c r="DR1098" s="4" t="s">
        <v>241</v>
      </c>
      <c r="DS1098" s="4" t="s">
        <v>241</v>
      </c>
      <c r="DV1098" s="4" t="s">
        <v>589</v>
      </c>
      <c r="DW1098" s="4" t="s">
        <v>323</v>
      </c>
      <c r="HO1098" s="4" t="s">
        <v>277</v>
      </c>
      <c r="HR1098" s="4" t="s">
        <v>278</v>
      </c>
      <c r="HS1098" s="4" t="s">
        <v>278</v>
      </c>
    </row>
    <row r="1099" spans="1:240" x14ac:dyDescent="0.4">
      <c r="A1099" s="4">
        <v>2</v>
      </c>
      <c r="B1099" s="4" t="s">
        <v>239</v>
      </c>
      <c r="C1099" s="4">
        <v>1398</v>
      </c>
      <c r="D1099" s="4">
        <v>1</v>
      </c>
      <c r="E1099" s="4">
        <v>1</v>
      </c>
      <c r="F1099" s="4" t="s">
        <v>240</v>
      </c>
      <c r="G1099" s="4" t="s">
        <v>241</v>
      </c>
      <c r="H1099" s="4" t="s">
        <v>241</v>
      </c>
      <c r="I1099" s="4" t="s">
        <v>491</v>
      </c>
      <c r="J1099" s="4" t="s">
        <v>424</v>
      </c>
      <c r="K1099" s="4" t="s">
        <v>256</v>
      </c>
      <c r="L1099" s="4" t="s">
        <v>492</v>
      </c>
      <c r="M1099" s="5" t="s">
        <v>493</v>
      </c>
      <c r="N1099" s="4" t="s">
        <v>490</v>
      </c>
      <c r="O1099" s="6">
        <f>607</f>
        <v>607</v>
      </c>
      <c r="P1099" s="4" t="s">
        <v>276</v>
      </c>
      <c r="Q1099" s="6">
        <f>1</f>
        <v>1</v>
      </c>
      <c r="R1099" s="6">
        <f>57665000</f>
        <v>57665000</v>
      </c>
      <c r="S1099" s="5" t="s">
        <v>248</v>
      </c>
      <c r="T1099" s="4" t="s">
        <v>274</v>
      </c>
      <c r="U1099" s="4" t="s">
        <v>275</v>
      </c>
      <c r="W1099" s="6">
        <f>57664999</f>
        <v>57664999</v>
      </c>
      <c r="X1099" s="4" t="s">
        <v>243</v>
      </c>
      <c r="Y1099" s="4" t="s">
        <v>244</v>
      </c>
      <c r="Z1099" s="4" t="s">
        <v>465</v>
      </c>
      <c r="AA1099" s="4" t="s">
        <v>241</v>
      </c>
      <c r="AD1099" s="4" t="s">
        <v>241</v>
      </c>
      <c r="AF1099" s="5" t="s">
        <v>241</v>
      </c>
      <c r="AI1099" s="5" t="s">
        <v>249</v>
      </c>
      <c r="AJ1099" s="4" t="s">
        <v>251</v>
      </c>
      <c r="AK1099" s="4" t="s">
        <v>252</v>
      </c>
      <c r="BA1099" s="4" t="s">
        <v>254</v>
      </c>
      <c r="BB1099" s="4" t="s">
        <v>241</v>
      </c>
      <c r="BC1099" s="4" t="s">
        <v>255</v>
      </c>
      <c r="BD1099" s="4" t="s">
        <v>241</v>
      </c>
      <c r="BE1099" s="4" t="s">
        <v>257</v>
      </c>
      <c r="BF1099" s="4" t="s">
        <v>241</v>
      </c>
      <c r="BJ1099" s="4" t="s">
        <v>259</v>
      </c>
      <c r="BK1099" s="5" t="s">
        <v>494</v>
      </c>
      <c r="BL1099" s="4" t="s">
        <v>261</v>
      </c>
      <c r="BM1099" s="4" t="s">
        <v>262</v>
      </c>
      <c r="BN1099" s="4" t="s">
        <v>241</v>
      </c>
      <c r="BO1099" s="6">
        <f>0</f>
        <v>0</v>
      </c>
      <c r="BP1099" s="6">
        <f>0</f>
        <v>0</v>
      </c>
      <c r="BQ1099" s="4" t="s">
        <v>263</v>
      </c>
      <c r="BR1099" s="4" t="s">
        <v>264</v>
      </c>
      <c r="CF1099" s="4" t="s">
        <v>241</v>
      </c>
      <c r="CG1099" s="4" t="s">
        <v>241</v>
      </c>
      <c r="CK1099" s="4" t="s">
        <v>265</v>
      </c>
      <c r="CL1099" s="4" t="s">
        <v>266</v>
      </c>
      <c r="CM1099" s="4" t="s">
        <v>241</v>
      </c>
      <c r="CO1099" s="4" t="s">
        <v>267</v>
      </c>
      <c r="CP1099" s="5" t="s">
        <v>268</v>
      </c>
      <c r="CQ1099" s="4" t="s">
        <v>269</v>
      </c>
      <c r="CR1099" s="4" t="s">
        <v>270</v>
      </c>
      <c r="CS1099" s="4" t="s">
        <v>241</v>
      </c>
      <c r="CT1099" s="4" t="s">
        <v>241</v>
      </c>
      <c r="CU1099" s="4">
        <v>0</v>
      </c>
      <c r="CV1099" s="4" t="s">
        <v>271</v>
      </c>
      <c r="CW1099" s="4" t="s">
        <v>495</v>
      </c>
      <c r="CX1099" s="4" t="s">
        <v>347</v>
      </c>
      <c r="CZ1099" s="6">
        <f>57665000</f>
        <v>57665000</v>
      </c>
      <c r="DA1099" s="6">
        <f>0</f>
        <v>0</v>
      </c>
      <c r="DC1099" s="4" t="s">
        <v>241</v>
      </c>
      <c r="DD1099" s="4" t="s">
        <v>241</v>
      </c>
      <c r="DF1099" s="4" t="s">
        <v>241</v>
      </c>
      <c r="DI1099" s="4" t="s">
        <v>241</v>
      </c>
      <c r="DJ1099" s="4" t="s">
        <v>241</v>
      </c>
      <c r="DK1099" s="4" t="s">
        <v>241</v>
      </c>
      <c r="DL1099" s="4" t="s">
        <v>241</v>
      </c>
      <c r="DM1099" s="4" t="s">
        <v>277</v>
      </c>
      <c r="DN1099" s="4" t="s">
        <v>278</v>
      </c>
      <c r="DO1099" s="6">
        <f>607</f>
        <v>607</v>
      </c>
      <c r="DP1099" s="4" t="s">
        <v>241</v>
      </c>
      <c r="DQ1099" s="4" t="s">
        <v>241</v>
      </c>
      <c r="DR1099" s="4" t="s">
        <v>241</v>
      </c>
      <c r="DS1099" s="4" t="s">
        <v>241</v>
      </c>
      <c r="DV1099" s="4" t="s">
        <v>496</v>
      </c>
      <c r="DW1099" s="4" t="s">
        <v>277</v>
      </c>
      <c r="HO1099" s="4" t="s">
        <v>277</v>
      </c>
      <c r="HR1099" s="4" t="s">
        <v>278</v>
      </c>
      <c r="HS1099" s="4" t="s">
        <v>278</v>
      </c>
    </row>
    <row r="1100" spans="1:240" x14ac:dyDescent="0.4">
      <c r="A1100" s="4">
        <v>2</v>
      </c>
      <c r="B1100" s="4" t="s">
        <v>239</v>
      </c>
      <c r="C1100" s="4">
        <v>1399</v>
      </c>
      <c r="D1100" s="4">
        <v>1</v>
      </c>
      <c r="E1100" s="4">
        <v>3</v>
      </c>
      <c r="F1100" s="4" t="s">
        <v>240</v>
      </c>
      <c r="G1100" s="4" t="s">
        <v>241</v>
      </c>
      <c r="H1100" s="4" t="s">
        <v>241</v>
      </c>
      <c r="I1100" s="4" t="s">
        <v>518</v>
      </c>
      <c r="J1100" s="4" t="s">
        <v>424</v>
      </c>
      <c r="K1100" s="4" t="s">
        <v>256</v>
      </c>
      <c r="L1100" s="4" t="s">
        <v>492</v>
      </c>
      <c r="M1100" s="5" t="s">
        <v>520</v>
      </c>
      <c r="N1100" s="4" t="s">
        <v>517</v>
      </c>
      <c r="O1100" s="6">
        <f>332.89</f>
        <v>332.89</v>
      </c>
      <c r="P1100" s="4" t="s">
        <v>276</v>
      </c>
      <c r="Q1100" s="6">
        <f>47334768</f>
        <v>47334768</v>
      </c>
      <c r="R1100" s="6">
        <f>95433000</f>
        <v>95433000</v>
      </c>
      <c r="S1100" s="5" t="s">
        <v>519</v>
      </c>
      <c r="T1100" s="4" t="s">
        <v>274</v>
      </c>
      <c r="U1100" s="4" t="s">
        <v>353</v>
      </c>
      <c r="V1100" s="6">
        <f>4008186</f>
        <v>4008186</v>
      </c>
      <c r="W1100" s="6">
        <f>48098232</f>
        <v>48098232</v>
      </c>
      <c r="X1100" s="4" t="s">
        <v>243</v>
      </c>
      <c r="Y1100" s="4" t="s">
        <v>244</v>
      </c>
      <c r="Z1100" s="4" t="s">
        <v>465</v>
      </c>
      <c r="AA1100" s="4" t="s">
        <v>241</v>
      </c>
      <c r="AD1100" s="4" t="s">
        <v>241</v>
      </c>
      <c r="AE1100" s="5" t="s">
        <v>241</v>
      </c>
      <c r="AF1100" s="5" t="s">
        <v>241</v>
      </c>
      <c r="AH1100" s="5" t="s">
        <v>241</v>
      </c>
      <c r="AI1100" s="5" t="s">
        <v>249</v>
      </c>
      <c r="AJ1100" s="4" t="s">
        <v>251</v>
      </c>
      <c r="AK1100" s="4" t="s">
        <v>252</v>
      </c>
      <c r="AQ1100" s="4" t="s">
        <v>241</v>
      </c>
      <c r="AR1100" s="4" t="s">
        <v>241</v>
      </c>
      <c r="AS1100" s="4" t="s">
        <v>241</v>
      </c>
      <c r="AT1100" s="5" t="s">
        <v>241</v>
      </c>
      <c r="AU1100" s="5" t="s">
        <v>241</v>
      </c>
      <c r="AV1100" s="5" t="s">
        <v>241</v>
      </c>
      <c r="AY1100" s="4" t="s">
        <v>286</v>
      </c>
      <c r="AZ1100" s="4" t="s">
        <v>286</v>
      </c>
      <c r="BA1100" s="4" t="s">
        <v>254</v>
      </c>
      <c r="BB1100" s="4" t="s">
        <v>287</v>
      </c>
      <c r="BC1100" s="4" t="s">
        <v>255</v>
      </c>
      <c r="BD1100" s="4" t="s">
        <v>241</v>
      </c>
      <c r="BE1100" s="4" t="s">
        <v>257</v>
      </c>
      <c r="BF1100" s="4" t="s">
        <v>241</v>
      </c>
      <c r="BJ1100" s="4" t="s">
        <v>288</v>
      </c>
      <c r="BK1100" s="5" t="s">
        <v>289</v>
      </c>
      <c r="BL1100" s="4" t="s">
        <v>290</v>
      </c>
      <c r="BM1100" s="4" t="s">
        <v>290</v>
      </c>
      <c r="BN1100" s="4" t="s">
        <v>241</v>
      </c>
      <c r="BO1100" s="6">
        <f>0</f>
        <v>0</v>
      </c>
      <c r="BP1100" s="6">
        <f>-4008186</f>
        <v>-4008186</v>
      </c>
      <c r="BQ1100" s="4" t="s">
        <v>263</v>
      </c>
      <c r="BR1100" s="4" t="s">
        <v>264</v>
      </c>
      <c r="BS1100" s="4" t="s">
        <v>241</v>
      </c>
      <c r="BT1100" s="4" t="s">
        <v>241</v>
      </c>
      <c r="BU1100" s="4" t="s">
        <v>241</v>
      </c>
      <c r="BV1100" s="4" t="s">
        <v>241</v>
      </c>
      <c r="CE1100" s="4" t="s">
        <v>264</v>
      </c>
      <c r="CF1100" s="4" t="s">
        <v>241</v>
      </c>
      <c r="CG1100" s="4" t="s">
        <v>241</v>
      </c>
      <c r="CK1100" s="4" t="s">
        <v>291</v>
      </c>
      <c r="CL1100" s="4" t="s">
        <v>266</v>
      </c>
      <c r="CM1100" s="4" t="s">
        <v>241</v>
      </c>
      <c r="CO1100" s="4" t="s">
        <v>352</v>
      </c>
      <c r="CP1100" s="5" t="s">
        <v>268</v>
      </c>
      <c r="CQ1100" s="4" t="s">
        <v>269</v>
      </c>
      <c r="CR1100" s="4" t="s">
        <v>270</v>
      </c>
      <c r="CS1100" s="4" t="s">
        <v>293</v>
      </c>
      <c r="CT1100" s="4" t="s">
        <v>241</v>
      </c>
      <c r="CU1100" s="4">
        <v>4.2000000000000003E-2</v>
      </c>
      <c r="CV1100" s="4" t="s">
        <v>271</v>
      </c>
      <c r="CW1100" s="4" t="s">
        <v>495</v>
      </c>
      <c r="CX1100" s="4" t="s">
        <v>347</v>
      </c>
      <c r="CY1100" s="6">
        <f>0</f>
        <v>0</v>
      </c>
      <c r="CZ1100" s="6">
        <f>95433000</f>
        <v>95433000</v>
      </c>
      <c r="DA1100" s="6">
        <f>47334768</f>
        <v>47334768</v>
      </c>
      <c r="DC1100" s="4" t="s">
        <v>241</v>
      </c>
      <c r="DD1100" s="4" t="s">
        <v>241</v>
      </c>
      <c r="DF1100" s="4" t="s">
        <v>241</v>
      </c>
      <c r="DG1100" s="6">
        <f>0</f>
        <v>0</v>
      </c>
      <c r="DI1100" s="4" t="s">
        <v>241</v>
      </c>
      <c r="DJ1100" s="4" t="s">
        <v>241</v>
      </c>
      <c r="DK1100" s="4" t="s">
        <v>241</v>
      </c>
      <c r="DL1100" s="4" t="s">
        <v>241</v>
      </c>
      <c r="DM1100" s="4" t="s">
        <v>277</v>
      </c>
      <c r="DN1100" s="4" t="s">
        <v>278</v>
      </c>
      <c r="DO1100" s="6">
        <f>332.89</f>
        <v>332.89</v>
      </c>
      <c r="DP1100" s="4" t="s">
        <v>241</v>
      </c>
      <c r="DQ1100" s="4" t="s">
        <v>241</v>
      </c>
      <c r="DR1100" s="4" t="s">
        <v>241</v>
      </c>
      <c r="DS1100" s="4" t="s">
        <v>241</v>
      </c>
      <c r="DV1100" s="4" t="s">
        <v>521</v>
      </c>
      <c r="DW1100" s="4" t="s">
        <v>277</v>
      </c>
      <c r="GN1100" s="4" t="s">
        <v>522</v>
      </c>
      <c r="HO1100" s="4" t="s">
        <v>300</v>
      </c>
      <c r="HR1100" s="4" t="s">
        <v>278</v>
      </c>
      <c r="HS1100" s="4" t="s">
        <v>278</v>
      </c>
      <c r="HT1100" s="4" t="s">
        <v>241</v>
      </c>
      <c r="HU1100" s="4" t="s">
        <v>241</v>
      </c>
      <c r="HV1100" s="4" t="s">
        <v>241</v>
      </c>
      <c r="HW1100" s="4" t="s">
        <v>241</v>
      </c>
      <c r="HX1100" s="4" t="s">
        <v>241</v>
      </c>
      <c r="HY1100" s="4" t="s">
        <v>241</v>
      </c>
      <c r="HZ1100" s="4" t="s">
        <v>241</v>
      </c>
      <c r="IA1100" s="4" t="s">
        <v>241</v>
      </c>
      <c r="IB1100" s="4" t="s">
        <v>241</v>
      </c>
      <c r="IC1100" s="4" t="s">
        <v>241</v>
      </c>
      <c r="ID1100" s="4" t="s">
        <v>241</v>
      </c>
      <c r="IE1100" s="4" t="s">
        <v>241</v>
      </c>
      <c r="IF1100" s="4" t="s">
        <v>241</v>
      </c>
    </row>
    <row r="1101" spans="1:240" x14ac:dyDescent="0.4">
      <c r="A1101" s="4">
        <v>2</v>
      </c>
      <c r="B1101" s="4" t="s">
        <v>239</v>
      </c>
      <c r="C1101" s="4">
        <v>1400</v>
      </c>
      <c r="D1101" s="4">
        <v>1</v>
      </c>
      <c r="E1101" s="4">
        <v>3</v>
      </c>
      <c r="F1101" s="4" t="s">
        <v>240</v>
      </c>
      <c r="G1101" s="4" t="s">
        <v>241</v>
      </c>
      <c r="H1101" s="4" t="s">
        <v>241</v>
      </c>
      <c r="I1101" s="4" t="s">
        <v>524</v>
      </c>
      <c r="J1101" s="4" t="s">
        <v>424</v>
      </c>
      <c r="K1101" s="4" t="s">
        <v>256</v>
      </c>
      <c r="L1101" s="4" t="s">
        <v>492</v>
      </c>
      <c r="M1101" s="5" t="s">
        <v>526</v>
      </c>
      <c r="N1101" s="4" t="s">
        <v>523</v>
      </c>
      <c r="O1101" s="6">
        <f>731.92</f>
        <v>731.92</v>
      </c>
      <c r="P1101" s="4" t="s">
        <v>276</v>
      </c>
      <c r="Q1101" s="6">
        <f>125656034</f>
        <v>125656034</v>
      </c>
      <c r="R1101" s="6">
        <f>216648320</f>
        <v>216648320</v>
      </c>
      <c r="S1101" s="5" t="s">
        <v>525</v>
      </c>
      <c r="T1101" s="4" t="s">
        <v>296</v>
      </c>
      <c r="U1101" s="4" t="s">
        <v>335</v>
      </c>
      <c r="V1101" s="6">
        <f>4332966</f>
        <v>4332966</v>
      </c>
      <c r="W1101" s="6">
        <f>90992286</f>
        <v>90992286</v>
      </c>
      <c r="X1101" s="4" t="s">
        <v>243</v>
      </c>
      <c r="Y1101" s="4" t="s">
        <v>244</v>
      </c>
      <c r="Z1101" s="4" t="s">
        <v>465</v>
      </c>
      <c r="AA1101" s="4" t="s">
        <v>241</v>
      </c>
      <c r="AD1101" s="4" t="s">
        <v>241</v>
      </c>
      <c r="AE1101" s="5" t="s">
        <v>241</v>
      </c>
      <c r="AF1101" s="5" t="s">
        <v>241</v>
      </c>
      <c r="AH1101" s="5" t="s">
        <v>241</v>
      </c>
      <c r="AI1101" s="5" t="s">
        <v>249</v>
      </c>
      <c r="AJ1101" s="4" t="s">
        <v>251</v>
      </c>
      <c r="AK1101" s="4" t="s">
        <v>252</v>
      </c>
      <c r="AQ1101" s="4" t="s">
        <v>241</v>
      </c>
      <c r="AR1101" s="4" t="s">
        <v>241</v>
      </c>
      <c r="AS1101" s="4" t="s">
        <v>241</v>
      </c>
      <c r="AT1101" s="5" t="s">
        <v>241</v>
      </c>
      <c r="AU1101" s="5" t="s">
        <v>241</v>
      </c>
      <c r="AV1101" s="5" t="s">
        <v>241</v>
      </c>
      <c r="AY1101" s="4" t="s">
        <v>286</v>
      </c>
      <c r="AZ1101" s="4" t="s">
        <v>286</v>
      </c>
      <c r="BA1101" s="4" t="s">
        <v>254</v>
      </c>
      <c r="BB1101" s="4" t="s">
        <v>287</v>
      </c>
      <c r="BC1101" s="4" t="s">
        <v>255</v>
      </c>
      <c r="BD1101" s="4" t="s">
        <v>241</v>
      </c>
      <c r="BE1101" s="4" t="s">
        <v>257</v>
      </c>
      <c r="BF1101" s="4" t="s">
        <v>241</v>
      </c>
      <c r="BJ1101" s="4" t="s">
        <v>288</v>
      </c>
      <c r="BK1101" s="5" t="s">
        <v>289</v>
      </c>
      <c r="BL1101" s="4" t="s">
        <v>290</v>
      </c>
      <c r="BM1101" s="4" t="s">
        <v>290</v>
      </c>
      <c r="BN1101" s="4" t="s">
        <v>241</v>
      </c>
      <c r="BO1101" s="6">
        <f>0</f>
        <v>0</v>
      </c>
      <c r="BP1101" s="6">
        <f>-4332966</f>
        <v>-4332966</v>
      </c>
      <c r="BQ1101" s="4" t="s">
        <v>263</v>
      </c>
      <c r="BR1101" s="4" t="s">
        <v>264</v>
      </c>
      <c r="BS1101" s="4" t="s">
        <v>241</v>
      </c>
      <c r="BT1101" s="4" t="s">
        <v>241</v>
      </c>
      <c r="BU1101" s="4" t="s">
        <v>241</v>
      </c>
      <c r="BV1101" s="4" t="s">
        <v>241</v>
      </c>
      <c r="CE1101" s="4" t="s">
        <v>264</v>
      </c>
      <c r="CF1101" s="4" t="s">
        <v>241</v>
      </c>
      <c r="CG1101" s="4" t="s">
        <v>241</v>
      </c>
      <c r="CK1101" s="4" t="s">
        <v>291</v>
      </c>
      <c r="CL1101" s="4" t="s">
        <v>266</v>
      </c>
      <c r="CM1101" s="4" t="s">
        <v>241</v>
      </c>
      <c r="CO1101" s="4" t="s">
        <v>449</v>
      </c>
      <c r="CP1101" s="5" t="s">
        <v>268</v>
      </c>
      <c r="CQ1101" s="4" t="s">
        <v>269</v>
      </c>
      <c r="CR1101" s="4" t="s">
        <v>270</v>
      </c>
      <c r="CS1101" s="4" t="s">
        <v>293</v>
      </c>
      <c r="CT1101" s="4" t="s">
        <v>241</v>
      </c>
      <c r="CU1101" s="4">
        <v>0.02</v>
      </c>
      <c r="CV1101" s="4" t="s">
        <v>271</v>
      </c>
      <c r="CW1101" s="4" t="s">
        <v>495</v>
      </c>
      <c r="CX1101" s="4" t="s">
        <v>295</v>
      </c>
      <c r="CY1101" s="6">
        <f>0</f>
        <v>0</v>
      </c>
      <c r="CZ1101" s="6">
        <f>216648320</f>
        <v>216648320</v>
      </c>
      <c r="DA1101" s="6">
        <f>125656034</f>
        <v>125656034</v>
      </c>
      <c r="DC1101" s="4" t="s">
        <v>241</v>
      </c>
      <c r="DD1101" s="4" t="s">
        <v>241</v>
      </c>
      <c r="DF1101" s="4" t="s">
        <v>241</v>
      </c>
      <c r="DG1101" s="6">
        <f>0</f>
        <v>0</v>
      </c>
      <c r="DI1101" s="4" t="s">
        <v>241</v>
      </c>
      <c r="DJ1101" s="4" t="s">
        <v>241</v>
      </c>
      <c r="DK1101" s="4" t="s">
        <v>241</v>
      </c>
      <c r="DL1101" s="4" t="s">
        <v>241</v>
      </c>
      <c r="DM1101" s="4" t="s">
        <v>277</v>
      </c>
      <c r="DN1101" s="4" t="s">
        <v>278</v>
      </c>
      <c r="DO1101" s="6">
        <f>731.92</f>
        <v>731.92</v>
      </c>
      <c r="DP1101" s="4" t="s">
        <v>241</v>
      </c>
      <c r="DQ1101" s="4" t="s">
        <v>241</v>
      </c>
      <c r="DR1101" s="4" t="s">
        <v>241</v>
      </c>
      <c r="DS1101" s="4" t="s">
        <v>241</v>
      </c>
      <c r="DV1101" s="4" t="s">
        <v>527</v>
      </c>
      <c r="DW1101" s="4" t="s">
        <v>277</v>
      </c>
      <c r="GN1101" s="4" t="s">
        <v>528</v>
      </c>
      <c r="HO1101" s="4" t="s">
        <v>300</v>
      </c>
      <c r="HR1101" s="4" t="s">
        <v>278</v>
      </c>
      <c r="HS1101" s="4" t="s">
        <v>278</v>
      </c>
      <c r="HT1101" s="4" t="s">
        <v>241</v>
      </c>
      <c r="HU1101" s="4" t="s">
        <v>241</v>
      </c>
      <c r="HV1101" s="4" t="s">
        <v>241</v>
      </c>
      <c r="HW1101" s="4" t="s">
        <v>241</v>
      </c>
      <c r="HX1101" s="4" t="s">
        <v>241</v>
      </c>
      <c r="HY1101" s="4" t="s">
        <v>241</v>
      </c>
      <c r="HZ1101" s="4" t="s">
        <v>241</v>
      </c>
      <c r="IA1101" s="4" t="s">
        <v>241</v>
      </c>
      <c r="IB1101" s="4" t="s">
        <v>241</v>
      </c>
      <c r="IC1101" s="4" t="s">
        <v>241</v>
      </c>
      <c r="ID1101" s="4" t="s">
        <v>241</v>
      </c>
      <c r="IE1101" s="4" t="s">
        <v>241</v>
      </c>
      <c r="IF1101" s="4" t="s">
        <v>241</v>
      </c>
    </row>
    <row r="1102" spans="1:240" x14ac:dyDescent="0.4">
      <c r="A1102" s="4">
        <v>2</v>
      </c>
      <c r="B1102" s="4" t="s">
        <v>239</v>
      </c>
      <c r="C1102" s="4">
        <v>1401</v>
      </c>
      <c r="D1102" s="4">
        <v>1</v>
      </c>
      <c r="E1102" s="4">
        <v>3</v>
      </c>
      <c r="F1102" s="4" t="s">
        <v>240</v>
      </c>
      <c r="G1102" s="4" t="s">
        <v>241</v>
      </c>
      <c r="H1102" s="4" t="s">
        <v>241</v>
      </c>
      <c r="I1102" s="4" t="s">
        <v>524</v>
      </c>
      <c r="J1102" s="4" t="s">
        <v>424</v>
      </c>
      <c r="K1102" s="4" t="s">
        <v>256</v>
      </c>
      <c r="L1102" s="4" t="s">
        <v>340</v>
      </c>
      <c r="M1102" s="5" t="s">
        <v>526</v>
      </c>
      <c r="N1102" s="4" t="s">
        <v>340</v>
      </c>
      <c r="O1102" s="6">
        <f>39.8</f>
        <v>39.799999999999997</v>
      </c>
      <c r="P1102" s="4" t="s">
        <v>276</v>
      </c>
      <c r="Q1102" s="6">
        <f>5462992</f>
        <v>5462992</v>
      </c>
      <c r="R1102" s="6">
        <f>12616600</f>
        <v>12616600</v>
      </c>
      <c r="S1102" s="5" t="s">
        <v>525</v>
      </c>
      <c r="T1102" s="4" t="s">
        <v>333</v>
      </c>
      <c r="U1102" s="4" t="s">
        <v>335</v>
      </c>
      <c r="V1102" s="6">
        <f>340648</f>
        <v>340648</v>
      </c>
      <c r="W1102" s="6">
        <f>7153608</f>
        <v>7153608</v>
      </c>
      <c r="X1102" s="4" t="s">
        <v>243</v>
      </c>
      <c r="Y1102" s="4" t="s">
        <v>244</v>
      </c>
      <c r="Z1102" s="4" t="s">
        <v>465</v>
      </c>
      <c r="AA1102" s="4" t="s">
        <v>241</v>
      </c>
      <c r="AD1102" s="4" t="s">
        <v>241</v>
      </c>
      <c r="AE1102" s="5" t="s">
        <v>241</v>
      </c>
      <c r="AF1102" s="5" t="s">
        <v>241</v>
      </c>
      <c r="AH1102" s="5" t="s">
        <v>241</v>
      </c>
      <c r="AI1102" s="5" t="s">
        <v>249</v>
      </c>
      <c r="AJ1102" s="4" t="s">
        <v>251</v>
      </c>
      <c r="AK1102" s="4" t="s">
        <v>252</v>
      </c>
      <c r="AQ1102" s="4" t="s">
        <v>241</v>
      </c>
      <c r="AR1102" s="4" t="s">
        <v>241</v>
      </c>
      <c r="AS1102" s="4" t="s">
        <v>241</v>
      </c>
      <c r="AT1102" s="5" t="s">
        <v>241</v>
      </c>
      <c r="AU1102" s="5" t="s">
        <v>241</v>
      </c>
      <c r="AV1102" s="5" t="s">
        <v>241</v>
      </c>
      <c r="AY1102" s="4" t="s">
        <v>286</v>
      </c>
      <c r="AZ1102" s="4" t="s">
        <v>286</v>
      </c>
      <c r="BA1102" s="4" t="s">
        <v>254</v>
      </c>
      <c r="BB1102" s="4" t="s">
        <v>287</v>
      </c>
      <c r="BC1102" s="4" t="s">
        <v>255</v>
      </c>
      <c r="BD1102" s="4" t="s">
        <v>241</v>
      </c>
      <c r="BE1102" s="4" t="s">
        <v>257</v>
      </c>
      <c r="BF1102" s="4" t="s">
        <v>241</v>
      </c>
      <c r="BJ1102" s="4" t="s">
        <v>288</v>
      </c>
      <c r="BK1102" s="5" t="s">
        <v>289</v>
      </c>
      <c r="BL1102" s="4" t="s">
        <v>290</v>
      </c>
      <c r="BM1102" s="4" t="s">
        <v>290</v>
      </c>
      <c r="BN1102" s="4" t="s">
        <v>241</v>
      </c>
      <c r="BO1102" s="6">
        <f>0</f>
        <v>0</v>
      </c>
      <c r="BP1102" s="6">
        <f>-340648</f>
        <v>-340648</v>
      </c>
      <c r="BQ1102" s="4" t="s">
        <v>263</v>
      </c>
      <c r="BR1102" s="4" t="s">
        <v>264</v>
      </c>
      <c r="BS1102" s="4" t="s">
        <v>241</v>
      </c>
      <c r="BT1102" s="4" t="s">
        <v>241</v>
      </c>
      <c r="BU1102" s="4" t="s">
        <v>241</v>
      </c>
      <c r="BV1102" s="4" t="s">
        <v>241</v>
      </c>
      <c r="CE1102" s="4" t="s">
        <v>264</v>
      </c>
      <c r="CF1102" s="4" t="s">
        <v>241</v>
      </c>
      <c r="CG1102" s="4" t="s">
        <v>241</v>
      </c>
      <c r="CK1102" s="4" t="s">
        <v>291</v>
      </c>
      <c r="CL1102" s="4" t="s">
        <v>266</v>
      </c>
      <c r="CM1102" s="4" t="s">
        <v>241</v>
      </c>
      <c r="CO1102" s="4" t="s">
        <v>449</v>
      </c>
      <c r="CP1102" s="5" t="s">
        <v>268</v>
      </c>
      <c r="CQ1102" s="4" t="s">
        <v>269</v>
      </c>
      <c r="CR1102" s="4" t="s">
        <v>270</v>
      </c>
      <c r="CS1102" s="4" t="s">
        <v>293</v>
      </c>
      <c r="CT1102" s="4" t="s">
        <v>241</v>
      </c>
      <c r="CU1102" s="4">
        <v>2.7E-2</v>
      </c>
      <c r="CV1102" s="4" t="s">
        <v>271</v>
      </c>
      <c r="CW1102" s="4" t="s">
        <v>332</v>
      </c>
      <c r="CX1102" s="4" t="s">
        <v>295</v>
      </c>
      <c r="CY1102" s="6">
        <f>0</f>
        <v>0</v>
      </c>
      <c r="CZ1102" s="6">
        <f>12616600</f>
        <v>12616600</v>
      </c>
      <c r="DA1102" s="6">
        <f>5462992</f>
        <v>5462992</v>
      </c>
      <c r="DC1102" s="4" t="s">
        <v>241</v>
      </c>
      <c r="DD1102" s="4" t="s">
        <v>241</v>
      </c>
      <c r="DF1102" s="4" t="s">
        <v>241</v>
      </c>
      <c r="DG1102" s="6">
        <f>0</f>
        <v>0</v>
      </c>
      <c r="DI1102" s="4" t="s">
        <v>241</v>
      </c>
      <c r="DJ1102" s="4" t="s">
        <v>241</v>
      </c>
      <c r="DK1102" s="4" t="s">
        <v>241</v>
      </c>
      <c r="DL1102" s="4" t="s">
        <v>241</v>
      </c>
      <c r="DM1102" s="4" t="s">
        <v>277</v>
      </c>
      <c r="DN1102" s="4" t="s">
        <v>278</v>
      </c>
      <c r="DO1102" s="6">
        <f>39.8</f>
        <v>39.799999999999997</v>
      </c>
      <c r="DP1102" s="4" t="s">
        <v>241</v>
      </c>
      <c r="DQ1102" s="4" t="s">
        <v>241</v>
      </c>
      <c r="DR1102" s="4" t="s">
        <v>241</v>
      </c>
      <c r="DS1102" s="4" t="s">
        <v>241</v>
      </c>
      <c r="DV1102" s="4" t="s">
        <v>527</v>
      </c>
      <c r="DW1102" s="4" t="s">
        <v>323</v>
      </c>
      <c r="GN1102" s="4" t="s">
        <v>1816</v>
      </c>
      <c r="HO1102" s="4" t="s">
        <v>300</v>
      </c>
      <c r="HR1102" s="4" t="s">
        <v>278</v>
      </c>
      <c r="HS1102" s="4" t="s">
        <v>278</v>
      </c>
      <c r="HT1102" s="4" t="s">
        <v>241</v>
      </c>
      <c r="HU1102" s="4" t="s">
        <v>241</v>
      </c>
      <c r="HV1102" s="4" t="s">
        <v>241</v>
      </c>
      <c r="HW1102" s="4" t="s">
        <v>241</v>
      </c>
      <c r="HX1102" s="4" t="s">
        <v>241</v>
      </c>
      <c r="HY1102" s="4" t="s">
        <v>241</v>
      </c>
      <c r="HZ1102" s="4" t="s">
        <v>241</v>
      </c>
      <c r="IA1102" s="4" t="s">
        <v>241</v>
      </c>
      <c r="IB1102" s="4" t="s">
        <v>241</v>
      </c>
      <c r="IC1102" s="4" t="s">
        <v>241</v>
      </c>
      <c r="ID1102" s="4" t="s">
        <v>241</v>
      </c>
      <c r="IE1102" s="4" t="s">
        <v>241</v>
      </c>
      <c r="IF1102" s="4" t="s">
        <v>241</v>
      </c>
    </row>
    <row r="1103" spans="1:240" x14ac:dyDescent="0.4">
      <c r="A1103" s="4">
        <v>2</v>
      </c>
      <c r="B1103" s="4" t="s">
        <v>239</v>
      </c>
      <c r="C1103" s="4">
        <v>1402</v>
      </c>
      <c r="D1103" s="4">
        <v>1</v>
      </c>
      <c r="E1103" s="4">
        <v>1</v>
      </c>
      <c r="F1103" s="4" t="s">
        <v>240</v>
      </c>
      <c r="G1103" s="4" t="s">
        <v>241</v>
      </c>
      <c r="H1103" s="4" t="s">
        <v>241</v>
      </c>
      <c r="I1103" s="4" t="s">
        <v>524</v>
      </c>
      <c r="J1103" s="4" t="s">
        <v>424</v>
      </c>
      <c r="K1103" s="4" t="s">
        <v>256</v>
      </c>
      <c r="L1103" s="4" t="s">
        <v>430</v>
      </c>
      <c r="M1103" s="5" t="s">
        <v>526</v>
      </c>
      <c r="N1103" s="4" t="s">
        <v>430</v>
      </c>
      <c r="O1103" s="6">
        <f>150.02</f>
        <v>150.02000000000001</v>
      </c>
      <c r="P1103" s="4" t="s">
        <v>276</v>
      </c>
      <c r="Q1103" s="6">
        <f>1</f>
        <v>1</v>
      </c>
      <c r="R1103" s="6">
        <f>22052940</f>
        <v>22052940</v>
      </c>
      <c r="S1103" s="5" t="s">
        <v>525</v>
      </c>
      <c r="T1103" s="4" t="s">
        <v>348</v>
      </c>
      <c r="U1103" s="4" t="s">
        <v>348</v>
      </c>
      <c r="W1103" s="6">
        <f>22052939</f>
        <v>22052939</v>
      </c>
      <c r="X1103" s="4" t="s">
        <v>243</v>
      </c>
      <c r="Y1103" s="4" t="s">
        <v>244</v>
      </c>
      <c r="Z1103" s="4" t="s">
        <v>465</v>
      </c>
      <c r="AA1103" s="4" t="s">
        <v>241</v>
      </c>
      <c r="AD1103" s="4" t="s">
        <v>241</v>
      </c>
      <c r="AF1103" s="5" t="s">
        <v>241</v>
      </c>
      <c r="AI1103" s="5" t="s">
        <v>249</v>
      </c>
      <c r="AJ1103" s="4" t="s">
        <v>251</v>
      </c>
      <c r="AK1103" s="4" t="s">
        <v>252</v>
      </c>
      <c r="BA1103" s="4" t="s">
        <v>254</v>
      </c>
      <c r="BB1103" s="4" t="s">
        <v>241</v>
      </c>
      <c r="BC1103" s="4" t="s">
        <v>255</v>
      </c>
      <c r="BD1103" s="4" t="s">
        <v>241</v>
      </c>
      <c r="BE1103" s="4" t="s">
        <v>257</v>
      </c>
      <c r="BF1103" s="4" t="s">
        <v>241</v>
      </c>
      <c r="BJ1103" s="4" t="s">
        <v>367</v>
      </c>
      <c r="BK1103" s="5" t="s">
        <v>249</v>
      </c>
      <c r="BL1103" s="4" t="s">
        <v>261</v>
      </c>
      <c r="BM1103" s="4" t="s">
        <v>262</v>
      </c>
      <c r="BN1103" s="4" t="s">
        <v>241</v>
      </c>
      <c r="BO1103" s="6">
        <f>0</f>
        <v>0</v>
      </c>
      <c r="BP1103" s="6">
        <f>0</f>
        <v>0</v>
      </c>
      <c r="BQ1103" s="4" t="s">
        <v>263</v>
      </c>
      <c r="BR1103" s="4" t="s">
        <v>264</v>
      </c>
      <c r="CF1103" s="4" t="s">
        <v>241</v>
      </c>
      <c r="CG1103" s="4" t="s">
        <v>241</v>
      </c>
      <c r="CK1103" s="4" t="s">
        <v>291</v>
      </c>
      <c r="CL1103" s="4" t="s">
        <v>266</v>
      </c>
      <c r="CM1103" s="4" t="s">
        <v>241</v>
      </c>
      <c r="CO1103" s="4" t="s">
        <v>449</v>
      </c>
      <c r="CP1103" s="5" t="s">
        <v>268</v>
      </c>
      <c r="CQ1103" s="4" t="s">
        <v>269</v>
      </c>
      <c r="CR1103" s="4" t="s">
        <v>270</v>
      </c>
      <c r="CS1103" s="4" t="s">
        <v>241</v>
      </c>
      <c r="CT1103" s="4" t="s">
        <v>241</v>
      </c>
      <c r="CU1103" s="4">
        <v>0</v>
      </c>
      <c r="CV1103" s="4" t="s">
        <v>271</v>
      </c>
      <c r="CW1103" s="4" t="s">
        <v>272</v>
      </c>
      <c r="CX1103" s="4" t="s">
        <v>347</v>
      </c>
      <c r="CZ1103" s="6">
        <f>22052940</f>
        <v>22052940</v>
      </c>
      <c r="DA1103" s="6">
        <f>0</f>
        <v>0</v>
      </c>
      <c r="DC1103" s="4" t="s">
        <v>241</v>
      </c>
      <c r="DD1103" s="4" t="s">
        <v>241</v>
      </c>
      <c r="DF1103" s="4" t="s">
        <v>241</v>
      </c>
      <c r="DI1103" s="4" t="s">
        <v>241</v>
      </c>
      <c r="DJ1103" s="4" t="s">
        <v>241</v>
      </c>
      <c r="DK1103" s="4" t="s">
        <v>241</v>
      </c>
      <c r="DL1103" s="4" t="s">
        <v>241</v>
      </c>
      <c r="DM1103" s="4" t="s">
        <v>323</v>
      </c>
      <c r="DN1103" s="4" t="s">
        <v>278</v>
      </c>
      <c r="DO1103" s="6">
        <f>150.02</f>
        <v>150.02000000000001</v>
      </c>
      <c r="DP1103" s="4" t="s">
        <v>241</v>
      </c>
      <c r="DQ1103" s="4" t="s">
        <v>241</v>
      </c>
      <c r="DR1103" s="4" t="s">
        <v>241</v>
      </c>
      <c r="DS1103" s="4" t="s">
        <v>241</v>
      </c>
      <c r="DV1103" s="4" t="s">
        <v>527</v>
      </c>
      <c r="DW1103" s="4" t="s">
        <v>297</v>
      </c>
      <c r="HO1103" s="4" t="s">
        <v>277</v>
      </c>
      <c r="HR1103" s="4" t="s">
        <v>278</v>
      </c>
      <c r="HS1103" s="4" t="s">
        <v>278</v>
      </c>
    </row>
    <row r="1104" spans="1:240" x14ac:dyDescent="0.4">
      <c r="A1104" s="4">
        <v>2</v>
      </c>
      <c r="B1104" s="4" t="s">
        <v>239</v>
      </c>
      <c r="C1104" s="4">
        <v>1403</v>
      </c>
      <c r="D1104" s="4">
        <v>1</v>
      </c>
      <c r="E1104" s="4">
        <v>3</v>
      </c>
      <c r="F1104" s="4" t="s">
        <v>240</v>
      </c>
      <c r="G1104" s="4" t="s">
        <v>241</v>
      </c>
      <c r="H1104" s="4" t="s">
        <v>241</v>
      </c>
      <c r="I1104" s="4" t="s">
        <v>537</v>
      </c>
      <c r="J1104" s="4" t="s">
        <v>424</v>
      </c>
      <c r="K1104" s="4" t="s">
        <v>256</v>
      </c>
      <c r="L1104" s="4" t="s">
        <v>492</v>
      </c>
      <c r="M1104" s="5" t="s">
        <v>539</v>
      </c>
      <c r="N1104" s="4" t="s">
        <v>536</v>
      </c>
      <c r="O1104" s="6">
        <f>206.59</f>
        <v>206.59</v>
      </c>
      <c r="P1104" s="4" t="s">
        <v>276</v>
      </c>
      <c r="Q1104" s="6">
        <f>828850</f>
        <v>828850</v>
      </c>
      <c r="R1104" s="6">
        <f>7024060</f>
        <v>7024060</v>
      </c>
      <c r="S1104" s="5" t="s">
        <v>538</v>
      </c>
      <c r="T1104" s="4" t="s">
        <v>274</v>
      </c>
      <c r="U1104" s="4" t="s">
        <v>335</v>
      </c>
      <c r="V1104" s="6">
        <f>295010</f>
        <v>295010</v>
      </c>
      <c r="W1104" s="6">
        <f>6195210</f>
        <v>6195210</v>
      </c>
      <c r="X1104" s="4" t="s">
        <v>243</v>
      </c>
      <c r="Y1104" s="4" t="s">
        <v>244</v>
      </c>
      <c r="Z1104" s="4" t="s">
        <v>465</v>
      </c>
      <c r="AA1104" s="4" t="s">
        <v>241</v>
      </c>
      <c r="AD1104" s="4" t="s">
        <v>241</v>
      </c>
      <c r="AE1104" s="5" t="s">
        <v>241</v>
      </c>
      <c r="AF1104" s="5" t="s">
        <v>241</v>
      </c>
      <c r="AH1104" s="5" t="s">
        <v>241</v>
      </c>
      <c r="AI1104" s="5" t="s">
        <v>249</v>
      </c>
      <c r="AJ1104" s="4" t="s">
        <v>251</v>
      </c>
      <c r="AK1104" s="4" t="s">
        <v>252</v>
      </c>
      <c r="AQ1104" s="4" t="s">
        <v>241</v>
      </c>
      <c r="AR1104" s="4" t="s">
        <v>241</v>
      </c>
      <c r="AS1104" s="4" t="s">
        <v>241</v>
      </c>
      <c r="AT1104" s="5" t="s">
        <v>241</v>
      </c>
      <c r="AU1104" s="5" t="s">
        <v>241</v>
      </c>
      <c r="AV1104" s="5" t="s">
        <v>241</v>
      </c>
      <c r="AY1104" s="4" t="s">
        <v>286</v>
      </c>
      <c r="AZ1104" s="4" t="s">
        <v>286</v>
      </c>
      <c r="BA1104" s="4" t="s">
        <v>254</v>
      </c>
      <c r="BB1104" s="4" t="s">
        <v>287</v>
      </c>
      <c r="BC1104" s="4" t="s">
        <v>255</v>
      </c>
      <c r="BD1104" s="4" t="s">
        <v>241</v>
      </c>
      <c r="BE1104" s="4" t="s">
        <v>257</v>
      </c>
      <c r="BF1104" s="4" t="s">
        <v>241</v>
      </c>
      <c r="BJ1104" s="4" t="s">
        <v>288</v>
      </c>
      <c r="BK1104" s="5" t="s">
        <v>289</v>
      </c>
      <c r="BL1104" s="4" t="s">
        <v>290</v>
      </c>
      <c r="BM1104" s="4" t="s">
        <v>290</v>
      </c>
      <c r="BN1104" s="4" t="s">
        <v>241</v>
      </c>
      <c r="BO1104" s="6">
        <f>0</f>
        <v>0</v>
      </c>
      <c r="BP1104" s="6">
        <f>-295010</f>
        <v>-295010</v>
      </c>
      <c r="BQ1104" s="4" t="s">
        <v>263</v>
      </c>
      <c r="BR1104" s="4" t="s">
        <v>264</v>
      </c>
      <c r="BS1104" s="4" t="s">
        <v>241</v>
      </c>
      <c r="BT1104" s="4" t="s">
        <v>241</v>
      </c>
      <c r="BU1104" s="4" t="s">
        <v>241</v>
      </c>
      <c r="BV1104" s="4" t="s">
        <v>241</v>
      </c>
      <c r="CE1104" s="4" t="s">
        <v>264</v>
      </c>
      <c r="CF1104" s="4" t="s">
        <v>241</v>
      </c>
      <c r="CG1104" s="4" t="s">
        <v>241</v>
      </c>
      <c r="CK1104" s="4" t="s">
        <v>291</v>
      </c>
      <c r="CL1104" s="4" t="s">
        <v>266</v>
      </c>
      <c r="CM1104" s="4" t="s">
        <v>241</v>
      </c>
      <c r="CO1104" s="4" t="s">
        <v>449</v>
      </c>
      <c r="CP1104" s="5" t="s">
        <v>268</v>
      </c>
      <c r="CQ1104" s="4" t="s">
        <v>269</v>
      </c>
      <c r="CR1104" s="4" t="s">
        <v>270</v>
      </c>
      <c r="CS1104" s="4" t="s">
        <v>293</v>
      </c>
      <c r="CT1104" s="4" t="s">
        <v>241</v>
      </c>
      <c r="CU1104" s="4">
        <v>4.2000000000000003E-2</v>
      </c>
      <c r="CV1104" s="4" t="s">
        <v>271</v>
      </c>
      <c r="CW1104" s="4" t="s">
        <v>495</v>
      </c>
      <c r="CX1104" s="4" t="s">
        <v>347</v>
      </c>
      <c r="CY1104" s="6">
        <f>0</f>
        <v>0</v>
      </c>
      <c r="CZ1104" s="6">
        <f>7024060</f>
        <v>7024060</v>
      </c>
      <c r="DA1104" s="6">
        <f>828850</f>
        <v>828850</v>
      </c>
      <c r="DC1104" s="4" t="s">
        <v>241</v>
      </c>
      <c r="DD1104" s="4" t="s">
        <v>241</v>
      </c>
      <c r="DF1104" s="4" t="s">
        <v>241</v>
      </c>
      <c r="DG1104" s="6">
        <f>0</f>
        <v>0</v>
      </c>
      <c r="DI1104" s="4" t="s">
        <v>241</v>
      </c>
      <c r="DJ1104" s="4" t="s">
        <v>241</v>
      </c>
      <c r="DK1104" s="4" t="s">
        <v>241</v>
      </c>
      <c r="DL1104" s="4" t="s">
        <v>241</v>
      </c>
      <c r="DM1104" s="4" t="s">
        <v>277</v>
      </c>
      <c r="DN1104" s="4" t="s">
        <v>278</v>
      </c>
      <c r="DO1104" s="6">
        <f>206.59</f>
        <v>206.59</v>
      </c>
      <c r="DP1104" s="4" t="s">
        <v>241</v>
      </c>
      <c r="DQ1104" s="4" t="s">
        <v>241</v>
      </c>
      <c r="DR1104" s="4" t="s">
        <v>241</v>
      </c>
      <c r="DS1104" s="4" t="s">
        <v>241</v>
      </c>
      <c r="DV1104" s="4" t="s">
        <v>540</v>
      </c>
      <c r="DW1104" s="4" t="s">
        <v>277</v>
      </c>
      <c r="GN1104" s="4" t="s">
        <v>541</v>
      </c>
      <c r="HO1104" s="4" t="s">
        <v>300</v>
      </c>
      <c r="HR1104" s="4" t="s">
        <v>278</v>
      </c>
      <c r="HS1104" s="4" t="s">
        <v>278</v>
      </c>
      <c r="HT1104" s="4" t="s">
        <v>241</v>
      </c>
      <c r="HU1104" s="4" t="s">
        <v>241</v>
      </c>
      <c r="HV1104" s="4" t="s">
        <v>241</v>
      </c>
      <c r="HW1104" s="4" t="s">
        <v>241</v>
      </c>
      <c r="HX1104" s="4" t="s">
        <v>241</v>
      </c>
      <c r="HY1104" s="4" t="s">
        <v>241</v>
      </c>
      <c r="HZ1104" s="4" t="s">
        <v>241</v>
      </c>
      <c r="IA1104" s="4" t="s">
        <v>241</v>
      </c>
      <c r="IB1104" s="4" t="s">
        <v>241</v>
      </c>
      <c r="IC1104" s="4" t="s">
        <v>241</v>
      </c>
      <c r="ID1104" s="4" t="s">
        <v>241</v>
      </c>
      <c r="IE1104" s="4" t="s">
        <v>241</v>
      </c>
      <c r="IF1104" s="4" t="s">
        <v>241</v>
      </c>
    </row>
    <row r="1105" spans="1:240" x14ac:dyDescent="0.4">
      <c r="A1105" s="4">
        <v>2</v>
      </c>
      <c r="B1105" s="4" t="s">
        <v>239</v>
      </c>
      <c r="C1105" s="4">
        <v>1404</v>
      </c>
      <c r="D1105" s="4">
        <v>1</v>
      </c>
      <c r="E1105" s="4">
        <v>3</v>
      </c>
      <c r="F1105" s="4" t="s">
        <v>240</v>
      </c>
      <c r="G1105" s="4" t="s">
        <v>241</v>
      </c>
      <c r="H1105" s="4" t="s">
        <v>241</v>
      </c>
      <c r="I1105" s="4" t="s">
        <v>548</v>
      </c>
      <c r="J1105" s="4" t="s">
        <v>424</v>
      </c>
      <c r="K1105" s="4" t="s">
        <v>256</v>
      </c>
      <c r="L1105" s="4" t="s">
        <v>492</v>
      </c>
      <c r="M1105" s="5" t="s">
        <v>550</v>
      </c>
      <c r="N1105" s="4" t="s">
        <v>547</v>
      </c>
      <c r="O1105" s="6">
        <f>83.02</f>
        <v>83.02</v>
      </c>
      <c r="P1105" s="4" t="s">
        <v>276</v>
      </c>
      <c r="Q1105" s="6">
        <f>1402646</f>
        <v>1402646</v>
      </c>
      <c r="R1105" s="6">
        <f>12868100</f>
        <v>12868100</v>
      </c>
      <c r="S1105" s="5" t="s">
        <v>549</v>
      </c>
      <c r="T1105" s="4" t="s">
        <v>333</v>
      </c>
      <c r="U1105" s="4" t="s">
        <v>552</v>
      </c>
      <c r="V1105" s="6">
        <f>347438</f>
        <v>347438</v>
      </c>
      <c r="W1105" s="6">
        <f>11465454</f>
        <v>11465454</v>
      </c>
      <c r="X1105" s="4" t="s">
        <v>243</v>
      </c>
      <c r="Y1105" s="4" t="s">
        <v>244</v>
      </c>
      <c r="Z1105" s="4" t="s">
        <v>465</v>
      </c>
      <c r="AA1105" s="4" t="s">
        <v>241</v>
      </c>
      <c r="AD1105" s="4" t="s">
        <v>241</v>
      </c>
      <c r="AE1105" s="5" t="s">
        <v>241</v>
      </c>
      <c r="AF1105" s="5" t="s">
        <v>241</v>
      </c>
      <c r="AH1105" s="5" t="s">
        <v>241</v>
      </c>
      <c r="AI1105" s="5" t="s">
        <v>249</v>
      </c>
      <c r="AJ1105" s="4" t="s">
        <v>251</v>
      </c>
      <c r="AK1105" s="4" t="s">
        <v>252</v>
      </c>
      <c r="AQ1105" s="4" t="s">
        <v>241</v>
      </c>
      <c r="AR1105" s="4" t="s">
        <v>241</v>
      </c>
      <c r="AS1105" s="4" t="s">
        <v>241</v>
      </c>
      <c r="AT1105" s="5" t="s">
        <v>241</v>
      </c>
      <c r="AU1105" s="5" t="s">
        <v>241</v>
      </c>
      <c r="AV1105" s="5" t="s">
        <v>241</v>
      </c>
      <c r="AY1105" s="4" t="s">
        <v>286</v>
      </c>
      <c r="AZ1105" s="4" t="s">
        <v>286</v>
      </c>
      <c r="BA1105" s="4" t="s">
        <v>254</v>
      </c>
      <c r="BB1105" s="4" t="s">
        <v>287</v>
      </c>
      <c r="BC1105" s="4" t="s">
        <v>255</v>
      </c>
      <c r="BD1105" s="4" t="s">
        <v>241</v>
      </c>
      <c r="BE1105" s="4" t="s">
        <v>257</v>
      </c>
      <c r="BF1105" s="4" t="s">
        <v>241</v>
      </c>
      <c r="BJ1105" s="4" t="s">
        <v>288</v>
      </c>
      <c r="BK1105" s="5" t="s">
        <v>289</v>
      </c>
      <c r="BL1105" s="4" t="s">
        <v>290</v>
      </c>
      <c r="BM1105" s="4" t="s">
        <v>290</v>
      </c>
      <c r="BN1105" s="4" t="s">
        <v>241</v>
      </c>
      <c r="BO1105" s="6">
        <f>0</f>
        <v>0</v>
      </c>
      <c r="BP1105" s="6">
        <f>-347438</f>
        <v>-347438</v>
      </c>
      <c r="BQ1105" s="4" t="s">
        <v>263</v>
      </c>
      <c r="BR1105" s="4" t="s">
        <v>264</v>
      </c>
      <c r="BS1105" s="4" t="s">
        <v>241</v>
      </c>
      <c r="BT1105" s="4" t="s">
        <v>241</v>
      </c>
      <c r="BU1105" s="4" t="s">
        <v>241</v>
      </c>
      <c r="BV1105" s="4" t="s">
        <v>241</v>
      </c>
      <c r="CE1105" s="4" t="s">
        <v>264</v>
      </c>
      <c r="CF1105" s="4" t="s">
        <v>241</v>
      </c>
      <c r="CG1105" s="4" t="s">
        <v>241</v>
      </c>
      <c r="CK1105" s="4" t="s">
        <v>291</v>
      </c>
      <c r="CL1105" s="4" t="s">
        <v>266</v>
      </c>
      <c r="CM1105" s="4" t="s">
        <v>241</v>
      </c>
      <c r="CO1105" s="4" t="s">
        <v>551</v>
      </c>
      <c r="CP1105" s="5" t="s">
        <v>268</v>
      </c>
      <c r="CQ1105" s="4" t="s">
        <v>269</v>
      </c>
      <c r="CR1105" s="4" t="s">
        <v>270</v>
      </c>
      <c r="CS1105" s="4" t="s">
        <v>293</v>
      </c>
      <c r="CT1105" s="4" t="s">
        <v>241</v>
      </c>
      <c r="CU1105" s="4">
        <v>2.7E-2</v>
      </c>
      <c r="CV1105" s="4" t="s">
        <v>271</v>
      </c>
      <c r="CW1105" s="4" t="s">
        <v>495</v>
      </c>
      <c r="CX1105" s="4" t="s">
        <v>487</v>
      </c>
      <c r="CY1105" s="6">
        <f>0</f>
        <v>0</v>
      </c>
      <c r="CZ1105" s="6">
        <f>12868100</f>
        <v>12868100</v>
      </c>
      <c r="DA1105" s="6">
        <f>1402646</f>
        <v>1402646</v>
      </c>
      <c r="DC1105" s="4" t="s">
        <v>241</v>
      </c>
      <c r="DD1105" s="4" t="s">
        <v>241</v>
      </c>
      <c r="DF1105" s="4" t="s">
        <v>241</v>
      </c>
      <c r="DG1105" s="6">
        <f>0</f>
        <v>0</v>
      </c>
      <c r="DI1105" s="4" t="s">
        <v>241</v>
      </c>
      <c r="DJ1105" s="4" t="s">
        <v>241</v>
      </c>
      <c r="DK1105" s="4" t="s">
        <v>241</v>
      </c>
      <c r="DL1105" s="4" t="s">
        <v>241</v>
      </c>
      <c r="DM1105" s="4" t="s">
        <v>277</v>
      </c>
      <c r="DN1105" s="4" t="s">
        <v>278</v>
      </c>
      <c r="DO1105" s="6">
        <f>83.02</f>
        <v>83.02</v>
      </c>
      <c r="DP1105" s="4" t="s">
        <v>241</v>
      </c>
      <c r="DQ1105" s="4" t="s">
        <v>241</v>
      </c>
      <c r="DR1105" s="4" t="s">
        <v>241</v>
      </c>
      <c r="DS1105" s="4" t="s">
        <v>241</v>
      </c>
      <c r="DV1105" s="4" t="s">
        <v>553</v>
      </c>
      <c r="DW1105" s="4" t="s">
        <v>277</v>
      </c>
      <c r="GN1105" s="4" t="s">
        <v>554</v>
      </c>
      <c r="HO1105" s="4" t="s">
        <v>300</v>
      </c>
      <c r="HR1105" s="4" t="s">
        <v>278</v>
      </c>
      <c r="HS1105" s="4" t="s">
        <v>278</v>
      </c>
      <c r="HT1105" s="4" t="s">
        <v>241</v>
      </c>
      <c r="HU1105" s="4" t="s">
        <v>241</v>
      </c>
      <c r="HV1105" s="4" t="s">
        <v>241</v>
      </c>
      <c r="HW1105" s="4" t="s">
        <v>241</v>
      </c>
      <c r="HX1105" s="4" t="s">
        <v>241</v>
      </c>
      <c r="HY1105" s="4" t="s">
        <v>241</v>
      </c>
      <c r="HZ1105" s="4" t="s">
        <v>241</v>
      </c>
      <c r="IA1105" s="4" t="s">
        <v>241</v>
      </c>
      <c r="IB1105" s="4" t="s">
        <v>241</v>
      </c>
      <c r="IC1105" s="4" t="s">
        <v>241</v>
      </c>
      <c r="ID1105" s="4" t="s">
        <v>241</v>
      </c>
      <c r="IE1105" s="4" t="s">
        <v>241</v>
      </c>
      <c r="IF1105" s="4" t="s">
        <v>241</v>
      </c>
    </row>
    <row r="1106" spans="1:240" x14ac:dyDescent="0.4">
      <c r="A1106" s="4">
        <v>2</v>
      </c>
      <c r="B1106" s="4" t="s">
        <v>239</v>
      </c>
      <c r="C1106" s="4">
        <v>1405</v>
      </c>
      <c r="D1106" s="4">
        <v>1</v>
      </c>
      <c r="E1106" s="4">
        <v>1</v>
      </c>
      <c r="F1106" s="4" t="s">
        <v>240</v>
      </c>
      <c r="G1106" s="4" t="s">
        <v>241</v>
      </c>
      <c r="H1106" s="4" t="s">
        <v>241</v>
      </c>
      <c r="I1106" s="4" t="s">
        <v>548</v>
      </c>
      <c r="J1106" s="4" t="s">
        <v>424</v>
      </c>
      <c r="K1106" s="4" t="s">
        <v>256</v>
      </c>
      <c r="L1106" s="4" t="s">
        <v>492</v>
      </c>
      <c r="M1106" s="5" t="s">
        <v>550</v>
      </c>
      <c r="N1106" s="4" t="s">
        <v>610</v>
      </c>
      <c r="O1106" s="6">
        <f>168.27</f>
        <v>168.27</v>
      </c>
      <c r="P1106" s="4" t="s">
        <v>276</v>
      </c>
      <c r="Q1106" s="6">
        <f>1</f>
        <v>1</v>
      </c>
      <c r="R1106" s="6">
        <f>15144300</f>
        <v>15144300</v>
      </c>
      <c r="S1106" s="5" t="s">
        <v>611</v>
      </c>
      <c r="T1106" s="4" t="s">
        <v>333</v>
      </c>
      <c r="U1106" s="4" t="s">
        <v>613</v>
      </c>
      <c r="W1106" s="6">
        <f>15144299</f>
        <v>15144299</v>
      </c>
      <c r="X1106" s="4" t="s">
        <v>243</v>
      </c>
      <c r="Y1106" s="4" t="s">
        <v>244</v>
      </c>
      <c r="Z1106" s="4" t="s">
        <v>465</v>
      </c>
      <c r="AA1106" s="4" t="s">
        <v>241</v>
      </c>
      <c r="AD1106" s="4" t="s">
        <v>241</v>
      </c>
      <c r="AF1106" s="5" t="s">
        <v>241</v>
      </c>
      <c r="AI1106" s="5" t="s">
        <v>249</v>
      </c>
      <c r="AJ1106" s="4" t="s">
        <v>251</v>
      </c>
      <c r="AK1106" s="4" t="s">
        <v>252</v>
      </c>
      <c r="BA1106" s="4" t="s">
        <v>254</v>
      </c>
      <c r="BB1106" s="4" t="s">
        <v>241</v>
      </c>
      <c r="BC1106" s="4" t="s">
        <v>255</v>
      </c>
      <c r="BD1106" s="4" t="s">
        <v>241</v>
      </c>
      <c r="BE1106" s="4" t="s">
        <v>257</v>
      </c>
      <c r="BF1106" s="4" t="s">
        <v>241</v>
      </c>
      <c r="BJ1106" s="4" t="s">
        <v>367</v>
      </c>
      <c r="BK1106" s="5" t="s">
        <v>249</v>
      </c>
      <c r="BL1106" s="4" t="s">
        <v>261</v>
      </c>
      <c r="BM1106" s="4" t="s">
        <v>262</v>
      </c>
      <c r="BN1106" s="4" t="s">
        <v>241</v>
      </c>
      <c r="BO1106" s="6">
        <f>0</f>
        <v>0</v>
      </c>
      <c r="BP1106" s="6">
        <f>0</f>
        <v>0</v>
      </c>
      <c r="BQ1106" s="4" t="s">
        <v>263</v>
      </c>
      <c r="BR1106" s="4" t="s">
        <v>264</v>
      </c>
      <c r="CF1106" s="4" t="s">
        <v>241</v>
      </c>
      <c r="CG1106" s="4" t="s">
        <v>241</v>
      </c>
      <c r="CK1106" s="4" t="s">
        <v>265</v>
      </c>
      <c r="CL1106" s="4" t="s">
        <v>266</v>
      </c>
      <c r="CM1106" s="4" t="s">
        <v>241</v>
      </c>
      <c r="CO1106" s="4" t="s">
        <v>612</v>
      </c>
      <c r="CP1106" s="5" t="s">
        <v>268</v>
      </c>
      <c r="CQ1106" s="4" t="s">
        <v>269</v>
      </c>
      <c r="CR1106" s="4" t="s">
        <v>270</v>
      </c>
      <c r="CS1106" s="4" t="s">
        <v>241</v>
      </c>
      <c r="CT1106" s="4" t="s">
        <v>241</v>
      </c>
      <c r="CU1106" s="4">
        <v>0</v>
      </c>
      <c r="CV1106" s="4" t="s">
        <v>271</v>
      </c>
      <c r="CW1106" s="4" t="s">
        <v>495</v>
      </c>
      <c r="CX1106" s="4" t="s">
        <v>487</v>
      </c>
      <c r="CZ1106" s="6">
        <f>15144300</f>
        <v>15144300</v>
      </c>
      <c r="DA1106" s="6">
        <f>0</f>
        <v>0</v>
      </c>
      <c r="DC1106" s="4" t="s">
        <v>241</v>
      </c>
      <c r="DD1106" s="4" t="s">
        <v>241</v>
      </c>
      <c r="DF1106" s="4" t="s">
        <v>241</v>
      </c>
      <c r="DI1106" s="4" t="s">
        <v>241</v>
      </c>
      <c r="DJ1106" s="4" t="s">
        <v>241</v>
      </c>
      <c r="DK1106" s="4" t="s">
        <v>241</v>
      </c>
      <c r="DL1106" s="4" t="s">
        <v>241</v>
      </c>
      <c r="DM1106" s="4" t="s">
        <v>277</v>
      </c>
      <c r="DN1106" s="4" t="s">
        <v>278</v>
      </c>
      <c r="DO1106" s="6">
        <f>168.27</f>
        <v>168.27</v>
      </c>
      <c r="DP1106" s="4" t="s">
        <v>241</v>
      </c>
      <c r="DQ1106" s="4" t="s">
        <v>241</v>
      </c>
      <c r="DR1106" s="4" t="s">
        <v>241</v>
      </c>
      <c r="DS1106" s="4" t="s">
        <v>241</v>
      </c>
      <c r="DV1106" s="4" t="s">
        <v>553</v>
      </c>
      <c r="DW1106" s="4" t="s">
        <v>323</v>
      </c>
      <c r="HO1106" s="4" t="s">
        <v>277</v>
      </c>
      <c r="HR1106" s="4" t="s">
        <v>278</v>
      </c>
      <c r="HS1106" s="4" t="s">
        <v>278</v>
      </c>
    </row>
    <row r="1107" spans="1:240" x14ac:dyDescent="0.4">
      <c r="A1107" s="4">
        <v>2</v>
      </c>
      <c r="B1107" s="4" t="s">
        <v>239</v>
      </c>
      <c r="C1107" s="4">
        <v>1406</v>
      </c>
      <c r="D1107" s="4">
        <v>1</v>
      </c>
      <c r="E1107" s="4">
        <v>1</v>
      </c>
      <c r="F1107" s="4" t="s">
        <v>240</v>
      </c>
      <c r="G1107" s="4" t="s">
        <v>241</v>
      </c>
      <c r="H1107" s="4" t="s">
        <v>241</v>
      </c>
      <c r="I1107" s="4" t="s">
        <v>548</v>
      </c>
      <c r="J1107" s="4" t="s">
        <v>424</v>
      </c>
      <c r="K1107" s="4" t="s">
        <v>256</v>
      </c>
      <c r="L1107" s="4" t="s">
        <v>429</v>
      </c>
      <c r="M1107" s="5" t="s">
        <v>550</v>
      </c>
      <c r="N1107" s="4" t="s">
        <v>3298</v>
      </c>
      <c r="O1107" s="6">
        <f>19.4</f>
        <v>19.399999999999999</v>
      </c>
      <c r="P1107" s="4" t="s">
        <v>276</v>
      </c>
      <c r="Q1107" s="6">
        <f>1</f>
        <v>1</v>
      </c>
      <c r="R1107" s="6">
        <f>2522000</f>
        <v>2522000</v>
      </c>
      <c r="S1107" s="5" t="s">
        <v>3299</v>
      </c>
      <c r="T1107" s="4" t="s">
        <v>333</v>
      </c>
      <c r="U1107" s="4" t="s">
        <v>835</v>
      </c>
      <c r="W1107" s="6">
        <f>2521999</f>
        <v>2521999</v>
      </c>
      <c r="X1107" s="4" t="s">
        <v>243</v>
      </c>
      <c r="Y1107" s="4" t="s">
        <v>244</v>
      </c>
      <c r="Z1107" s="4" t="s">
        <v>465</v>
      </c>
      <c r="AA1107" s="4" t="s">
        <v>241</v>
      </c>
      <c r="AD1107" s="4" t="s">
        <v>241</v>
      </c>
      <c r="AF1107" s="5" t="s">
        <v>241</v>
      </c>
      <c r="AI1107" s="5" t="s">
        <v>249</v>
      </c>
      <c r="AJ1107" s="4" t="s">
        <v>251</v>
      </c>
      <c r="AK1107" s="4" t="s">
        <v>252</v>
      </c>
      <c r="BA1107" s="4" t="s">
        <v>254</v>
      </c>
      <c r="BB1107" s="4" t="s">
        <v>241</v>
      </c>
      <c r="BC1107" s="4" t="s">
        <v>255</v>
      </c>
      <c r="BD1107" s="4" t="s">
        <v>241</v>
      </c>
      <c r="BE1107" s="4" t="s">
        <v>257</v>
      </c>
      <c r="BF1107" s="4" t="s">
        <v>241</v>
      </c>
      <c r="BJ1107" s="4" t="s">
        <v>367</v>
      </c>
      <c r="BK1107" s="5" t="s">
        <v>249</v>
      </c>
      <c r="BL1107" s="4" t="s">
        <v>261</v>
      </c>
      <c r="BM1107" s="4" t="s">
        <v>262</v>
      </c>
      <c r="BN1107" s="4" t="s">
        <v>241</v>
      </c>
      <c r="BO1107" s="6">
        <f>0</f>
        <v>0</v>
      </c>
      <c r="BP1107" s="6">
        <f>0</f>
        <v>0</v>
      </c>
      <c r="BQ1107" s="4" t="s">
        <v>263</v>
      </c>
      <c r="BR1107" s="4" t="s">
        <v>264</v>
      </c>
      <c r="CF1107" s="4" t="s">
        <v>241</v>
      </c>
      <c r="CG1107" s="4" t="s">
        <v>241</v>
      </c>
      <c r="CK1107" s="4" t="s">
        <v>265</v>
      </c>
      <c r="CL1107" s="4" t="s">
        <v>266</v>
      </c>
      <c r="CM1107" s="4" t="s">
        <v>241</v>
      </c>
      <c r="CO1107" s="4" t="s">
        <v>513</v>
      </c>
      <c r="CP1107" s="5" t="s">
        <v>268</v>
      </c>
      <c r="CQ1107" s="4" t="s">
        <v>269</v>
      </c>
      <c r="CR1107" s="4" t="s">
        <v>270</v>
      </c>
      <c r="CS1107" s="4" t="s">
        <v>241</v>
      </c>
      <c r="CT1107" s="4" t="s">
        <v>241</v>
      </c>
      <c r="CU1107" s="4">
        <v>0</v>
      </c>
      <c r="CV1107" s="4" t="s">
        <v>271</v>
      </c>
      <c r="CW1107" s="4" t="s">
        <v>272</v>
      </c>
      <c r="CX1107" s="4" t="s">
        <v>295</v>
      </c>
      <c r="CZ1107" s="6">
        <f>2522000</f>
        <v>2522000</v>
      </c>
      <c r="DA1107" s="6">
        <f>0</f>
        <v>0</v>
      </c>
      <c r="DC1107" s="4" t="s">
        <v>241</v>
      </c>
      <c r="DD1107" s="4" t="s">
        <v>241</v>
      </c>
      <c r="DF1107" s="4" t="s">
        <v>241</v>
      </c>
      <c r="DI1107" s="4" t="s">
        <v>241</v>
      </c>
      <c r="DJ1107" s="4" t="s">
        <v>241</v>
      </c>
      <c r="DK1107" s="4" t="s">
        <v>241</v>
      </c>
      <c r="DL1107" s="4" t="s">
        <v>241</v>
      </c>
      <c r="DM1107" s="4" t="s">
        <v>277</v>
      </c>
      <c r="DN1107" s="4" t="s">
        <v>278</v>
      </c>
      <c r="DO1107" s="6">
        <f>19.4</f>
        <v>19.399999999999999</v>
      </c>
      <c r="DP1107" s="4" t="s">
        <v>241</v>
      </c>
      <c r="DQ1107" s="4" t="s">
        <v>241</v>
      </c>
      <c r="DR1107" s="4" t="s">
        <v>241</v>
      </c>
      <c r="DS1107" s="4" t="s">
        <v>241</v>
      </c>
      <c r="DV1107" s="4" t="s">
        <v>553</v>
      </c>
      <c r="DW1107" s="4" t="s">
        <v>297</v>
      </c>
      <c r="HO1107" s="4" t="s">
        <v>277</v>
      </c>
      <c r="HR1107" s="4" t="s">
        <v>278</v>
      </c>
      <c r="HS1107" s="4" t="s">
        <v>278</v>
      </c>
    </row>
    <row r="1108" spans="1:240" x14ac:dyDescent="0.4">
      <c r="A1108" s="4">
        <v>2</v>
      </c>
      <c r="B1108" s="4" t="s">
        <v>239</v>
      </c>
      <c r="C1108" s="4">
        <v>1407</v>
      </c>
      <c r="D1108" s="4">
        <v>1</v>
      </c>
      <c r="E1108" s="4">
        <v>1</v>
      </c>
      <c r="F1108" s="4" t="s">
        <v>240</v>
      </c>
      <c r="G1108" s="4" t="s">
        <v>241</v>
      </c>
      <c r="H1108" s="4" t="s">
        <v>241</v>
      </c>
      <c r="I1108" s="4" t="s">
        <v>548</v>
      </c>
      <c r="J1108" s="4" t="s">
        <v>424</v>
      </c>
      <c r="K1108" s="4" t="s">
        <v>256</v>
      </c>
      <c r="L1108" s="4" t="s">
        <v>340</v>
      </c>
      <c r="M1108" s="5" t="s">
        <v>550</v>
      </c>
      <c r="N1108" s="4" t="s">
        <v>1804</v>
      </c>
      <c r="O1108" s="6">
        <f>14.91</f>
        <v>14.91</v>
      </c>
      <c r="P1108" s="4" t="s">
        <v>276</v>
      </c>
      <c r="Q1108" s="6">
        <f>1</f>
        <v>1</v>
      </c>
      <c r="R1108" s="6">
        <f>5322870</f>
        <v>5322870</v>
      </c>
      <c r="S1108" s="5" t="s">
        <v>549</v>
      </c>
      <c r="T1108" s="4" t="s">
        <v>348</v>
      </c>
      <c r="U1108" s="4" t="s">
        <v>358</v>
      </c>
      <c r="W1108" s="6">
        <f>5322869</f>
        <v>5322869</v>
      </c>
      <c r="X1108" s="4" t="s">
        <v>243</v>
      </c>
      <c r="Y1108" s="4" t="s">
        <v>244</v>
      </c>
      <c r="Z1108" s="4" t="s">
        <v>465</v>
      </c>
      <c r="AA1108" s="4" t="s">
        <v>241</v>
      </c>
      <c r="AD1108" s="4" t="s">
        <v>241</v>
      </c>
      <c r="AF1108" s="5" t="s">
        <v>241</v>
      </c>
      <c r="AI1108" s="5" t="s">
        <v>249</v>
      </c>
      <c r="AJ1108" s="4" t="s">
        <v>251</v>
      </c>
      <c r="AK1108" s="4" t="s">
        <v>252</v>
      </c>
      <c r="BA1108" s="4" t="s">
        <v>254</v>
      </c>
      <c r="BB1108" s="4" t="s">
        <v>241</v>
      </c>
      <c r="BC1108" s="4" t="s">
        <v>255</v>
      </c>
      <c r="BD1108" s="4" t="s">
        <v>241</v>
      </c>
      <c r="BE1108" s="4" t="s">
        <v>257</v>
      </c>
      <c r="BF1108" s="4" t="s">
        <v>241</v>
      </c>
      <c r="BJ1108" s="4" t="s">
        <v>367</v>
      </c>
      <c r="BK1108" s="5" t="s">
        <v>249</v>
      </c>
      <c r="BL1108" s="4" t="s">
        <v>261</v>
      </c>
      <c r="BM1108" s="4" t="s">
        <v>262</v>
      </c>
      <c r="BN1108" s="4" t="s">
        <v>241</v>
      </c>
      <c r="BO1108" s="6">
        <f>0</f>
        <v>0</v>
      </c>
      <c r="BP1108" s="6">
        <f>0</f>
        <v>0</v>
      </c>
      <c r="BQ1108" s="4" t="s">
        <v>263</v>
      </c>
      <c r="BR1108" s="4" t="s">
        <v>264</v>
      </c>
      <c r="CF1108" s="4" t="s">
        <v>241</v>
      </c>
      <c r="CG1108" s="4" t="s">
        <v>241</v>
      </c>
      <c r="CK1108" s="4" t="s">
        <v>291</v>
      </c>
      <c r="CL1108" s="4" t="s">
        <v>266</v>
      </c>
      <c r="CM1108" s="4" t="s">
        <v>241</v>
      </c>
      <c r="CO1108" s="4" t="s">
        <v>551</v>
      </c>
      <c r="CP1108" s="5" t="s">
        <v>268</v>
      </c>
      <c r="CQ1108" s="4" t="s">
        <v>269</v>
      </c>
      <c r="CR1108" s="4" t="s">
        <v>270</v>
      </c>
      <c r="CS1108" s="4" t="s">
        <v>241</v>
      </c>
      <c r="CT1108" s="4" t="s">
        <v>241</v>
      </c>
      <c r="CU1108" s="4">
        <v>0</v>
      </c>
      <c r="CV1108" s="4" t="s">
        <v>271</v>
      </c>
      <c r="CW1108" s="4" t="s">
        <v>332</v>
      </c>
      <c r="CX1108" s="4" t="s">
        <v>347</v>
      </c>
      <c r="CZ1108" s="6">
        <f>5322870</f>
        <v>5322870</v>
      </c>
      <c r="DA1108" s="6">
        <f>0</f>
        <v>0</v>
      </c>
      <c r="DC1108" s="4" t="s">
        <v>241</v>
      </c>
      <c r="DD1108" s="4" t="s">
        <v>241</v>
      </c>
      <c r="DF1108" s="4" t="s">
        <v>241</v>
      </c>
      <c r="DI1108" s="4" t="s">
        <v>241</v>
      </c>
      <c r="DJ1108" s="4" t="s">
        <v>241</v>
      </c>
      <c r="DK1108" s="4" t="s">
        <v>241</v>
      </c>
      <c r="DL1108" s="4" t="s">
        <v>241</v>
      </c>
      <c r="DM1108" s="4" t="s">
        <v>277</v>
      </c>
      <c r="DN1108" s="4" t="s">
        <v>278</v>
      </c>
      <c r="DO1108" s="6">
        <f>14.91</f>
        <v>14.91</v>
      </c>
      <c r="DP1108" s="4" t="s">
        <v>241</v>
      </c>
      <c r="DQ1108" s="4" t="s">
        <v>241</v>
      </c>
      <c r="DR1108" s="4" t="s">
        <v>241</v>
      </c>
      <c r="DS1108" s="4" t="s">
        <v>241</v>
      </c>
      <c r="DV1108" s="4" t="s">
        <v>553</v>
      </c>
      <c r="DW1108" s="4" t="s">
        <v>336</v>
      </c>
      <c r="HO1108" s="4" t="s">
        <v>277</v>
      </c>
      <c r="HR1108" s="4" t="s">
        <v>278</v>
      </c>
      <c r="HS1108" s="4" t="s">
        <v>278</v>
      </c>
    </row>
    <row r="1109" spans="1:240" x14ac:dyDescent="0.4">
      <c r="A1109" s="4">
        <v>2</v>
      </c>
      <c r="B1109" s="4" t="s">
        <v>239</v>
      </c>
      <c r="C1109" s="4">
        <v>1408</v>
      </c>
      <c r="D1109" s="4">
        <v>1</v>
      </c>
      <c r="E1109" s="4">
        <v>1</v>
      </c>
      <c r="F1109" s="4" t="s">
        <v>240</v>
      </c>
      <c r="G1109" s="4" t="s">
        <v>241</v>
      </c>
      <c r="H1109" s="4" t="s">
        <v>241</v>
      </c>
      <c r="I1109" s="4" t="s">
        <v>498</v>
      </c>
      <c r="J1109" s="4" t="s">
        <v>424</v>
      </c>
      <c r="K1109" s="4" t="s">
        <v>256</v>
      </c>
      <c r="L1109" s="4" t="s">
        <v>492</v>
      </c>
      <c r="M1109" s="5" t="s">
        <v>499</v>
      </c>
      <c r="N1109" s="4" t="s">
        <v>497</v>
      </c>
      <c r="O1109" s="6">
        <f>24</f>
        <v>24</v>
      </c>
      <c r="P1109" s="4" t="s">
        <v>276</v>
      </c>
      <c r="Q1109" s="6">
        <f>1</f>
        <v>1</v>
      </c>
      <c r="R1109" s="6">
        <f>3120000</f>
        <v>3120000</v>
      </c>
      <c r="S1109" s="5" t="s">
        <v>248</v>
      </c>
      <c r="T1109" s="4" t="s">
        <v>296</v>
      </c>
      <c r="U1109" s="4" t="s">
        <v>275</v>
      </c>
      <c r="W1109" s="6">
        <f>3119999</f>
        <v>3119999</v>
      </c>
      <c r="X1109" s="4" t="s">
        <v>243</v>
      </c>
      <c r="Y1109" s="4" t="s">
        <v>244</v>
      </c>
      <c r="Z1109" s="4" t="s">
        <v>465</v>
      </c>
      <c r="AA1109" s="4" t="s">
        <v>241</v>
      </c>
      <c r="AD1109" s="4" t="s">
        <v>241</v>
      </c>
      <c r="AF1109" s="5" t="s">
        <v>241</v>
      </c>
      <c r="AI1109" s="5" t="s">
        <v>249</v>
      </c>
      <c r="AJ1109" s="4" t="s">
        <v>251</v>
      </c>
      <c r="AK1109" s="4" t="s">
        <v>252</v>
      </c>
      <c r="BA1109" s="4" t="s">
        <v>254</v>
      </c>
      <c r="BB1109" s="4" t="s">
        <v>241</v>
      </c>
      <c r="BC1109" s="4" t="s">
        <v>255</v>
      </c>
      <c r="BD1109" s="4" t="s">
        <v>241</v>
      </c>
      <c r="BE1109" s="4" t="s">
        <v>257</v>
      </c>
      <c r="BF1109" s="4" t="s">
        <v>241</v>
      </c>
      <c r="BH1109" s="4" t="s">
        <v>500</v>
      </c>
      <c r="BJ1109" s="4" t="s">
        <v>367</v>
      </c>
      <c r="BK1109" s="5" t="s">
        <v>249</v>
      </c>
      <c r="BL1109" s="4" t="s">
        <v>261</v>
      </c>
      <c r="BM1109" s="4" t="s">
        <v>262</v>
      </c>
      <c r="BN1109" s="4" t="s">
        <v>241</v>
      </c>
      <c r="BO1109" s="6">
        <f>0</f>
        <v>0</v>
      </c>
      <c r="BP1109" s="6">
        <f>0</f>
        <v>0</v>
      </c>
      <c r="BQ1109" s="4" t="s">
        <v>263</v>
      </c>
      <c r="BR1109" s="4" t="s">
        <v>264</v>
      </c>
      <c r="CF1109" s="4" t="s">
        <v>241</v>
      </c>
      <c r="CG1109" s="4" t="s">
        <v>241</v>
      </c>
      <c r="CK1109" s="4" t="s">
        <v>265</v>
      </c>
      <c r="CL1109" s="4" t="s">
        <v>266</v>
      </c>
      <c r="CM1109" s="4" t="s">
        <v>241</v>
      </c>
      <c r="CO1109" s="4" t="s">
        <v>267</v>
      </c>
      <c r="CP1109" s="5" t="s">
        <v>268</v>
      </c>
      <c r="CQ1109" s="4" t="s">
        <v>269</v>
      </c>
      <c r="CR1109" s="4" t="s">
        <v>270</v>
      </c>
      <c r="CS1109" s="4" t="s">
        <v>241</v>
      </c>
      <c r="CT1109" s="4" t="s">
        <v>241</v>
      </c>
      <c r="CU1109" s="4">
        <v>0</v>
      </c>
      <c r="CV1109" s="4" t="s">
        <v>271</v>
      </c>
      <c r="CW1109" s="4" t="s">
        <v>495</v>
      </c>
      <c r="CX1109" s="4" t="s">
        <v>295</v>
      </c>
      <c r="CZ1109" s="6">
        <f>3120000</f>
        <v>3120000</v>
      </c>
      <c r="DA1109" s="6">
        <f>0</f>
        <v>0</v>
      </c>
      <c r="DC1109" s="4" t="s">
        <v>241</v>
      </c>
      <c r="DD1109" s="4" t="s">
        <v>241</v>
      </c>
      <c r="DF1109" s="4" t="s">
        <v>241</v>
      </c>
      <c r="DI1109" s="4" t="s">
        <v>241</v>
      </c>
      <c r="DJ1109" s="4" t="s">
        <v>241</v>
      </c>
      <c r="DK1109" s="4" t="s">
        <v>241</v>
      </c>
      <c r="DL1109" s="4" t="s">
        <v>241</v>
      </c>
      <c r="DM1109" s="4" t="s">
        <v>277</v>
      </c>
      <c r="DN1109" s="4" t="s">
        <v>278</v>
      </c>
      <c r="DO1109" s="6">
        <f>24</f>
        <v>24</v>
      </c>
      <c r="DP1109" s="4" t="s">
        <v>241</v>
      </c>
      <c r="DQ1109" s="4" t="s">
        <v>241</v>
      </c>
      <c r="DR1109" s="4" t="s">
        <v>241</v>
      </c>
      <c r="DS1109" s="4" t="s">
        <v>241</v>
      </c>
      <c r="DV1109" s="4" t="s">
        <v>501</v>
      </c>
      <c r="DW1109" s="4" t="s">
        <v>277</v>
      </c>
      <c r="HO1109" s="4" t="s">
        <v>277</v>
      </c>
      <c r="HR1109" s="4" t="s">
        <v>278</v>
      </c>
      <c r="HS1109" s="4" t="s">
        <v>278</v>
      </c>
    </row>
    <row r="1110" spans="1:240" x14ac:dyDescent="0.4">
      <c r="A1110" s="4">
        <v>2</v>
      </c>
      <c r="B1110" s="4" t="s">
        <v>239</v>
      </c>
      <c r="C1110" s="4">
        <v>1409</v>
      </c>
      <c r="D1110" s="4">
        <v>1</v>
      </c>
      <c r="E1110" s="4">
        <v>3</v>
      </c>
      <c r="F1110" s="4" t="s">
        <v>326</v>
      </c>
      <c r="G1110" s="4" t="s">
        <v>241</v>
      </c>
      <c r="H1110" s="4" t="s">
        <v>241</v>
      </c>
      <c r="I1110" s="4" t="s">
        <v>562</v>
      </c>
      <c r="J1110" s="4" t="s">
        <v>563</v>
      </c>
      <c r="K1110" s="4" t="s">
        <v>256</v>
      </c>
      <c r="L1110" s="4" t="s">
        <v>241</v>
      </c>
      <c r="M1110" s="5" t="s">
        <v>241</v>
      </c>
      <c r="N1110" s="4" t="s">
        <v>561</v>
      </c>
      <c r="O1110" s="6">
        <f>724.6</f>
        <v>724.6</v>
      </c>
      <c r="P1110" s="4" t="s">
        <v>276</v>
      </c>
      <c r="Q1110" s="6">
        <f>566974080</f>
        <v>566974080</v>
      </c>
      <c r="R1110" s="6">
        <f>590598000</f>
        <v>590598000</v>
      </c>
      <c r="S1110" s="5" t="s">
        <v>564</v>
      </c>
      <c r="T1110" s="4" t="s">
        <v>296</v>
      </c>
      <c r="U1110" s="4" t="s">
        <v>277</v>
      </c>
      <c r="V1110" s="6">
        <f>11811960</f>
        <v>11811960</v>
      </c>
      <c r="W1110" s="6">
        <f>23623920</f>
        <v>23623920</v>
      </c>
      <c r="X1110" s="4" t="s">
        <v>243</v>
      </c>
      <c r="Y1110" s="4" t="s">
        <v>244</v>
      </c>
      <c r="Z1110" s="4" t="s">
        <v>241</v>
      </c>
      <c r="AA1110" s="4" t="s">
        <v>241</v>
      </c>
      <c r="AD1110" s="4" t="s">
        <v>241</v>
      </c>
      <c r="AE1110" s="5" t="s">
        <v>241</v>
      </c>
      <c r="AF1110" s="5" t="s">
        <v>241</v>
      </c>
      <c r="AH1110" s="5" t="s">
        <v>241</v>
      </c>
      <c r="AI1110" s="5" t="s">
        <v>249</v>
      </c>
      <c r="AJ1110" s="4" t="s">
        <v>251</v>
      </c>
      <c r="AK1110" s="4" t="s">
        <v>252</v>
      </c>
      <c r="AV1110" s="5" t="s">
        <v>241</v>
      </c>
      <c r="AY1110" s="4" t="s">
        <v>286</v>
      </c>
      <c r="AZ1110" s="4" t="s">
        <v>286</v>
      </c>
      <c r="BA1110" s="4" t="s">
        <v>254</v>
      </c>
      <c r="BB1110" s="4" t="s">
        <v>287</v>
      </c>
      <c r="BC1110" s="4" t="s">
        <v>255</v>
      </c>
      <c r="BD1110" s="4" t="s">
        <v>241</v>
      </c>
      <c r="BE1110" s="4" t="s">
        <v>257</v>
      </c>
      <c r="BF1110" s="4" t="s">
        <v>241</v>
      </c>
      <c r="BJ1110" s="4" t="s">
        <v>288</v>
      </c>
      <c r="BK1110" s="5" t="s">
        <v>289</v>
      </c>
      <c r="BL1110" s="4" t="s">
        <v>290</v>
      </c>
      <c r="BM1110" s="4" t="s">
        <v>290</v>
      </c>
      <c r="BN1110" s="4" t="s">
        <v>241</v>
      </c>
      <c r="BO1110" s="6">
        <f>0</f>
        <v>0</v>
      </c>
      <c r="BP1110" s="6">
        <f>-11811960</f>
        <v>-11811960</v>
      </c>
      <c r="BQ1110" s="4" t="s">
        <v>263</v>
      </c>
      <c r="BR1110" s="4" t="s">
        <v>264</v>
      </c>
      <c r="BS1110" s="4" t="s">
        <v>241</v>
      </c>
      <c r="BT1110" s="4" t="s">
        <v>241</v>
      </c>
      <c r="BU1110" s="4" t="s">
        <v>241</v>
      </c>
      <c r="BV1110" s="4" t="s">
        <v>241</v>
      </c>
      <c r="CE1110" s="4" t="s">
        <v>264</v>
      </c>
      <c r="CF1110" s="4" t="s">
        <v>241</v>
      </c>
      <c r="CG1110" s="4" t="s">
        <v>241</v>
      </c>
      <c r="CK1110" s="4" t="s">
        <v>291</v>
      </c>
      <c r="CL1110" s="4" t="s">
        <v>266</v>
      </c>
      <c r="CM1110" s="4" t="s">
        <v>241</v>
      </c>
      <c r="CO1110" s="4" t="s">
        <v>331</v>
      </c>
      <c r="CP1110" s="5" t="s">
        <v>268</v>
      </c>
      <c r="CQ1110" s="4" t="s">
        <v>269</v>
      </c>
      <c r="CR1110" s="4" t="s">
        <v>270</v>
      </c>
      <c r="CS1110" s="4" t="s">
        <v>293</v>
      </c>
      <c r="CT1110" s="4" t="s">
        <v>241</v>
      </c>
      <c r="CU1110" s="4">
        <v>0.02</v>
      </c>
      <c r="CV1110" s="4" t="s">
        <v>271</v>
      </c>
      <c r="CW1110" s="4" t="s">
        <v>495</v>
      </c>
      <c r="CX1110" s="4" t="s">
        <v>295</v>
      </c>
      <c r="CY1110" s="6">
        <f>0</f>
        <v>0</v>
      </c>
      <c r="CZ1110" s="6">
        <f>590598000</f>
        <v>590598000</v>
      </c>
      <c r="DA1110" s="6">
        <f>566974080</f>
        <v>566974080</v>
      </c>
      <c r="DC1110" s="4" t="s">
        <v>241</v>
      </c>
      <c r="DD1110" s="4" t="s">
        <v>241</v>
      </c>
      <c r="DF1110" s="4" t="s">
        <v>241</v>
      </c>
      <c r="DG1110" s="6">
        <f>0</f>
        <v>0</v>
      </c>
      <c r="DI1110" s="4" t="s">
        <v>241</v>
      </c>
      <c r="DJ1110" s="4" t="s">
        <v>241</v>
      </c>
      <c r="DK1110" s="4" t="s">
        <v>241</v>
      </c>
      <c r="DL1110" s="4" t="s">
        <v>241</v>
      </c>
      <c r="DM1110" s="4" t="s">
        <v>278</v>
      </c>
      <c r="DN1110" s="4" t="s">
        <v>278</v>
      </c>
      <c r="DO1110" s="6">
        <f>724.6</f>
        <v>724.6</v>
      </c>
      <c r="DP1110" s="4" t="s">
        <v>241</v>
      </c>
      <c r="DQ1110" s="4" t="s">
        <v>241</v>
      </c>
      <c r="DR1110" s="4" t="s">
        <v>241</v>
      </c>
      <c r="DS1110" s="4" t="s">
        <v>241</v>
      </c>
      <c r="DV1110" s="4" t="s">
        <v>565</v>
      </c>
      <c r="DW1110" s="4" t="s">
        <v>277</v>
      </c>
      <c r="GN1110" s="4" t="s">
        <v>566</v>
      </c>
      <c r="HO1110" s="4" t="s">
        <v>297</v>
      </c>
      <c r="HR1110" s="4" t="s">
        <v>278</v>
      </c>
      <c r="HS1110" s="4" t="s">
        <v>278</v>
      </c>
      <c r="HT1110" s="4" t="s">
        <v>241</v>
      </c>
      <c r="HU1110" s="4" t="s">
        <v>241</v>
      </c>
      <c r="HV1110" s="4" t="s">
        <v>241</v>
      </c>
      <c r="HW1110" s="4" t="s">
        <v>241</v>
      </c>
      <c r="HX1110" s="4" t="s">
        <v>241</v>
      </c>
      <c r="HY1110" s="4" t="s">
        <v>241</v>
      </c>
      <c r="HZ1110" s="4" t="s">
        <v>241</v>
      </c>
      <c r="IA1110" s="4" t="s">
        <v>241</v>
      </c>
      <c r="IB1110" s="4" t="s">
        <v>241</v>
      </c>
      <c r="IC1110" s="4" t="s">
        <v>241</v>
      </c>
      <c r="ID1110" s="4" t="s">
        <v>241</v>
      </c>
      <c r="IE1110" s="4" t="s">
        <v>241</v>
      </c>
      <c r="IF1110" s="4" t="s">
        <v>241</v>
      </c>
    </row>
    <row r="1111" spans="1:240" x14ac:dyDescent="0.4">
      <c r="A1111" s="4">
        <v>2</v>
      </c>
      <c r="B1111" s="4" t="s">
        <v>239</v>
      </c>
      <c r="C1111" s="4">
        <v>1410</v>
      </c>
      <c r="D1111" s="4">
        <v>1</v>
      </c>
      <c r="E1111" s="4">
        <v>3</v>
      </c>
      <c r="F1111" s="4" t="s">
        <v>326</v>
      </c>
      <c r="G1111" s="4" t="s">
        <v>241</v>
      </c>
      <c r="H1111" s="4" t="s">
        <v>241</v>
      </c>
      <c r="I1111" s="4" t="s">
        <v>562</v>
      </c>
      <c r="J1111" s="4" t="s">
        <v>563</v>
      </c>
      <c r="K1111" s="4" t="s">
        <v>256</v>
      </c>
      <c r="L1111" s="4" t="s">
        <v>241</v>
      </c>
      <c r="M1111" s="5" t="s">
        <v>241</v>
      </c>
      <c r="N1111" s="4" t="s">
        <v>2679</v>
      </c>
      <c r="O1111" s="6">
        <f>0</f>
        <v>0</v>
      </c>
      <c r="P1111" s="4" t="s">
        <v>276</v>
      </c>
      <c r="Q1111" s="6">
        <f>61251488</f>
        <v>61251488</v>
      </c>
      <c r="R1111" s="6">
        <f>70729200</f>
        <v>70729200</v>
      </c>
      <c r="S1111" s="5" t="s">
        <v>2677</v>
      </c>
      <c r="T1111" s="4" t="s">
        <v>348</v>
      </c>
      <c r="U1111" s="4" t="s">
        <v>277</v>
      </c>
      <c r="V1111" s="6">
        <f>4738856</f>
        <v>4738856</v>
      </c>
      <c r="W1111" s="6">
        <f>9477712</f>
        <v>9477712</v>
      </c>
      <c r="X1111" s="4" t="s">
        <v>243</v>
      </c>
      <c r="Y1111" s="4" t="s">
        <v>244</v>
      </c>
      <c r="Z1111" s="4" t="s">
        <v>241</v>
      </c>
      <c r="AA1111" s="4" t="s">
        <v>241</v>
      </c>
      <c r="AD1111" s="4" t="s">
        <v>241</v>
      </c>
      <c r="AE1111" s="5" t="s">
        <v>241</v>
      </c>
      <c r="AF1111" s="5" t="s">
        <v>241</v>
      </c>
      <c r="AH1111" s="5" t="s">
        <v>241</v>
      </c>
      <c r="AI1111" s="5" t="s">
        <v>249</v>
      </c>
      <c r="AJ1111" s="4" t="s">
        <v>251</v>
      </c>
      <c r="AK1111" s="4" t="s">
        <v>252</v>
      </c>
      <c r="AV1111" s="5" t="s">
        <v>241</v>
      </c>
      <c r="AY1111" s="4" t="s">
        <v>286</v>
      </c>
      <c r="AZ1111" s="4" t="s">
        <v>286</v>
      </c>
      <c r="BA1111" s="4" t="s">
        <v>254</v>
      </c>
      <c r="BB1111" s="4" t="s">
        <v>287</v>
      </c>
      <c r="BC1111" s="4" t="s">
        <v>255</v>
      </c>
      <c r="BD1111" s="4" t="s">
        <v>241</v>
      </c>
      <c r="BE1111" s="4" t="s">
        <v>257</v>
      </c>
      <c r="BF1111" s="4" t="s">
        <v>241</v>
      </c>
      <c r="BJ1111" s="4" t="s">
        <v>288</v>
      </c>
      <c r="BK1111" s="5" t="s">
        <v>289</v>
      </c>
      <c r="BL1111" s="4" t="s">
        <v>290</v>
      </c>
      <c r="BM1111" s="4" t="s">
        <v>290</v>
      </c>
      <c r="BN1111" s="4" t="s">
        <v>241</v>
      </c>
      <c r="BP1111" s="6">
        <f>-4738856</f>
        <v>-4738856</v>
      </c>
      <c r="BQ1111" s="4" t="s">
        <v>263</v>
      </c>
      <c r="BR1111" s="4" t="s">
        <v>264</v>
      </c>
      <c r="BS1111" s="4" t="s">
        <v>241</v>
      </c>
      <c r="BT1111" s="4" t="s">
        <v>241</v>
      </c>
      <c r="BU1111" s="4" t="s">
        <v>241</v>
      </c>
      <c r="BV1111" s="4" t="s">
        <v>241</v>
      </c>
      <c r="CE1111" s="4" t="s">
        <v>264</v>
      </c>
      <c r="CF1111" s="4" t="s">
        <v>241</v>
      </c>
      <c r="CG1111" s="4" t="s">
        <v>241</v>
      </c>
      <c r="CK1111" s="4" t="s">
        <v>291</v>
      </c>
      <c r="CL1111" s="4" t="s">
        <v>266</v>
      </c>
      <c r="CM1111" s="4" t="s">
        <v>241</v>
      </c>
      <c r="CO1111" s="4" t="s">
        <v>331</v>
      </c>
      <c r="CP1111" s="5" t="s">
        <v>268</v>
      </c>
      <c r="CQ1111" s="4" t="s">
        <v>269</v>
      </c>
      <c r="CR1111" s="4" t="s">
        <v>270</v>
      </c>
      <c r="CS1111" s="4" t="s">
        <v>293</v>
      </c>
      <c r="CT1111" s="4" t="s">
        <v>241</v>
      </c>
      <c r="CU1111" s="4">
        <v>6.7000000000000004E-2</v>
      </c>
      <c r="CV1111" s="4" t="s">
        <v>271</v>
      </c>
      <c r="CW1111" s="4" t="s">
        <v>415</v>
      </c>
      <c r="CX1111" s="4" t="s">
        <v>422</v>
      </c>
      <c r="CY1111" s="6">
        <f>0</f>
        <v>0</v>
      </c>
      <c r="CZ1111" s="6">
        <f>70729200</f>
        <v>70729200</v>
      </c>
      <c r="DA1111" s="6">
        <f>61251488</f>
        <v>61251488</v>
      </c>
      <c r="DC1111" s="4" t="s">
        <v>241</v>
      </c>
      <c r="DD1111" s="4" t="s">
        <v>241</v>
      </c>
      <c r="DF1111" s="4" t="s">
        <v>241</v>
      </c>
      <c r="DG1111" s="6">
        <f>0</f>
        <v>0</v>
      </c>
      <c r="DI1111" s="4" t="s">
        <v>241</v>
      </c>
      <c r="DJ1111" s="4" t="s">
        <v>241</v>
      </c>
      <c r="DK1111" s="4" t="s">
        <v>241</v>
      </c>
      <c r="DL1111" s="4" t="s">
        <v>241</v>
      </c>
      <c r="DM1111" s="4" t="s">
        <v>278</v>
      </c>
      <c r="DN1111" s="4" t="s">
        <v>278</v>
      </c>
      <c r="DO1111" s="6" t="s">
        <v>241</v>
      </c>
      <c r="DP1111" s="4" t="s">
        <v>241</v>
      </c>
      <c r="DQ1111" s="4" t="s">
        <v>241</v>
      </c>
      <c r="DR1111" s="4" t="s">
        <v>241</v>
      </c>
      <c r="DS1111" s="4" t="s">
        <v>241</v>
      </c>
      <c r="DV1111" s="4" t="s">
        <v>565</v>
      </c>
      <c r="DW1111" s="4" t="s">
        <v>323</v>
      </c>
      <c r="GN1111" s="4" t="s">
        <v>2680</v>
      </c>
      <c r="HO1111" s="4" t="s">
        <v>297</v>
      </c>
      <c r="HR1111" s="4" t="s">
        <v>278</v>
      </c>
      <c r="HS1111" s="4" t="s">
        <v>278</v>
      </c>
      <c r="HT1111" s="4" t="s">
        <v>241</v>
      </c>
      <c r="HU1111" s="4" t="s">
        <v>241</v>
      </c>
      <c r="HV1111" s="4" t="s">
        <v>241</v>
      </c>
      <c r="HW1111" s="4" t="s">
        <v>241</v>
      </c>
      <c r="HX1111" s="4" t="s">
        <v>241</v>
      </c>
      <c r="HY1111" s="4" t="s">
        <v>241</v>
      </c>
      <c r="HZ1111" s="4" t="s">
        <v>241</v>
      </c>
      <c r="IA1111" s="4" t="s">
        <v>241</v>
      </c>
      <c r="IB1111" s="4" t="s">
        <v>241</v>
      </c>
      <c r="IC1111" s="4" t="s">
        <v>241</v>
      </c>
      <c r="ID1111" s="4" t="s">
        <v>241</v>
      </c>
      <c r="IE1111" s="4" t="s">
        <v>241</v>
      </c>
      <c r="IF1111" s="4" t="s">
        <v>241</v>
      </c>
    </row>
    <row r="1112" spans="1:240" x14ac:dyDescent="0.4">
      <c r="A1112" s="4">
        <v>2</v>
      </c>
      <c r="B1112" s="4" t="s">
        <v>239</v>
      </c>
      <c r="C1112" s="4">
        <v>1411</v>
      </c>
      <c r="D1112" s="4">
        <v>1</v>
      </c>
      <c r="E1112" s="4">
        <v>3</v>
      </c>
      <c r="F1112" s="4" t="s">
        <v>326</v>
      </c>
      <c r="G1112" s="4" t="s">
        <v>241</v>
      </c>
      <c r="H1112" s="4" t="s">
        <v>241</v>
      </c>
      <c r="I1112" s="4" t="s">
        <v>562</v>
      </c>
      <c r="J1112" s="4" t="s">
        <v>563</v>
      </c>
      <c r="K1112" s="4" t="s">
        <v>256</v>
      </c>
      <c r="L1112" s="4" t="s">
        <v>241</v>
      </c>
      <c r="M1112" s="5" t="s">
        <v>241</v>
      </c>
      <c r="N1112" s="4" t="s">
        <v>2676</v>
      </c>
      <c r="O1112" s="6">
        <f>0</f>
        <v>0</v>
      </c>
      <c r="P1112" s="4" t="s">
        <v>276</v>
      </c>
      <c r="Q1112" s="6">
        <f>81884002</f>
        <v>81884002</v>
      </c>
      <c r="R1112" s="6">
        <f>96789600</f>
        <v>96789600</v>
      </c>
      <c r="S1112" s="5" t="s">
        <v>2677</v>
      </c>
      <c r="T1112" s="4" t="s">
        <v>322</v>
      </c>
      <c r="U1112" s="4" t="s">
        <v>277</v>
      </c>
      <c r="V1112" s="6">
        <f>7452799</f>
        <v>7452799</v>
      </c>
      <c r="W1112" s="6">
        <f>14905598</f>
        <v>14905598</v>
      </c>
      <c r="X1112" s="4" t="s">
        <v>243</v>
      </c>
      <c r="Y1112" s="4" t="s">
        <v>244</v>
      </c>
      <c r="Z1112" s="4" t="s">
        <v>241</v>
      </c>
      <c r="AA1112" s="4" t="s">
        <v>241</v>
      </c>
      <c r="AD1112" s="4" t="s">
        <v>241</v>
      </c>
      <c r="AE1112" s="5" t="s">
        <v>241</v>
      </c>
      <c r="AF1112" s="5" t="s">
        <v>241</v>
      </c>
      <c r="AH1112" s="5" t="s">
        <v>241</v>
      </c>
      <c r="AI1112" s="5" t="s">
        <v>249</v>
      </c>
      <c r="AJ1112" s="4" t="s">
        <v>251</v>
      </c>
      <c r="AK1112" s="4" t="s">
        <v>252</v>
      </c>
      <c r="AV1112" s="5" t="s">
        <v>241</v>
      </c>
      <c r="AY1112" s="4" t="s">
        <v>286</v>
      </c>
      <c r="AZ1112" s="4" t="s">
        <v>286</v>
      </c>
      <c r="BA1112" s="4" t="s">
        <v>254</v>
      </c>
      <c r="BB1112" s="4" t="s">
        <v>287</v>
      </c>
      <c r="BC1112" s="4" t="s">
        <v>255</v>
      </c>
      <c r="BD1112" s="4" t="s">
        <v>241</v>
      </c>
      <c r="BE1112" s="4" t="s">
        <v>257</v>
      </c>
      <c r="BF1112" s="4" t="s">
        <v>241</v>
      </c>
      <c r="BJ1112" s="4" t="s">
        <v>288</v>
      </c>
      <c r="BK1112" s="5" t="s">
        <v>289</v>
      </c>
      <c r="BL1112" s="4" t="s">
        <v>290</v>
      </c>
      <c r="BM1112" s="4" t="s">
        <v>290</v>
      </c>
      <c r="BN1112" s="4" t="s">
        <v>241</v>
      </c>
      <c r="BP1112" s="6">
        <f>-7452799</f>
        <v>-7452799</v>
      </c>
      <c r="BQ1112" s="4" t="s">
        <v>263</v>
      </c>
      <c r="BR1112" s="4" t="s">
        <v>264</v>
      </c>
      <c r="BS1112" s="4" t="s">
        <v>241</v>
      </c>
      <c r="BT1112" s="4" t="s">
        <v>241</v>
      </c>
      <c r="BU1112" s="4" t="s">
        <v>241</v>
      </c>
      <c r="BV1112" s="4" t="s">
        <v>241</v>
      </c>
      <c r="CE1112" s="4" t="s">
        <v>264</v>
      </c>
      <c r="CF1112" s="4" t="s">
        <v>241</v>
      </c>
      <c r="CG1112" s="4" t="s">
        <v>241</v>
      </c>
      <c r="CK1112" s="4" t="s">
        <v>291</v>
      </c>
      <c r="CL1112" s="4" t="s">
        <v>266</v>
      </c>
      <c r="CM1112" s="4" t="s">
        <v>241</v>
      </c>
      <c r="CO1112" s="4" t="s">
        <v>331</v>
      </c>
      <c r="CP1112" s="5" t="s">
        <v>268</v>
      </c>
      <c r="CQ1112" s="4" t="s">
        <v>269</v>
      </c>
      <c r="CR1112" s="4" t="s">
        <v>270</v>
      </c>
      <c r="CS1112" s="4" t="s">
        <v>293</v>
      </c>
      <c r="CT1112" s="4" t="s">
        <v>241</v>
      </c>
      <c r="CU1112" s="4">
        <v>7.6999999999999999E-2</v>
      </c>
      <c r="CV1112" s="4" t="s">
        <v>271</v>
      </c>
      <c r="CW1112" s="4" t="s">
        <v>415</v>
      </c>
      <c r="CX1112" s="4" t="s">
        <v>428</v>
      </c>
      <c r="CY1112" s="6">
        <f>0</f>
        <v>0</v>
      </c>
      <c r="CZ1112" s="6">
        <f>96789600</f>
        <v>96789600</v>
      </c>
      <c r="DA1112" s="6">
        <f>81884002</f>
        <v>81884002</v>
      </c>
      <c r="DC1112" s="4" t="s">
        <v>241</v>
      </c>
      <c r="DD1112" s="4" t="s">
        <v>241</v>
      </c>
      <c r="DF1112" s="4" t="s">
        <v>241</v>
      </c>
      <c r="DG1112" s="6">
        <f>0</f>
        <v>0</v>
      </c>
      <c r="DI1112" s="4" t="s">
        <v>241</v>
      </c>
      <c r="DJ1112" s="4" t="s">
        <v>241</v>
      </c>
      <c r="DK1112" s="4" t="s">
        <v>241</v>
      </c>
      <c r="DL1112" s="4" t="s">
        <v>241</v>
      </c>
      <c r="DM1112" s="4" t="s">
        <v>278</v>
      </c>
      <c r="DN1112" s="4" t="s">
        <v>278</v>
      </c>
      <c r="DO1112" s="6" t="s">
        <v>241</v>
      </c>
      <c r="DP1112" s="4" t="s">
        <v>241</v>
      </c>
      <c r="DQ1112" s="4" t="s">
        <v>241</v>
      </c>
      <c r="DR1112" s="4" t="s">
        <v>241</v>
      </c>
      <c r="DS1112" s="4" t="s">
        <v>241</v>
      </c>
      <c r="DV1112" s="4" t="s">
        <v>565</v>
      </c>
      <c r="DW1112" s="4" t="s">
        <v>297</v>
      </c>
      <c r="GN1112" s="4" t="s">
        <v>2678</v>
      </c>
      <c r="HO1112" s="4" t="s">
        <v>297</v>
      </c>
      <c r="HR1112" s="4" t="s">
        <v>278</v>
      </c>
      <c r="HS1112" s="4" t="s">
        <v>278</v>
      </c>
      <c r="HT1112" s="4" t="s">
        <v>241</v>
      </c>
      <c r="HU1112" s="4" t="s">
        <v>241</v>
      </c>
      <c r="HV1112" s="4" t="s">
        <v>241</v>
      </c>
      <c r="HW1112" s="4" t="s">
        <v>241</v>
      </c>
      <c r="HX1112" s="4" t="s">
        <v>241</v>
      </c>
      <c r="HY1112" s="4" t="s">
        <v>241</v>
      </c>
      <c r="HZ1112" s="4" t="s">
        <v>241</v>
      </c>
      <c r="IA1112" s="4" t="s">
        <v>241</v>
      </c>
      <c r="IB1112" s="4" t="s">
        <v>241</v>
      </c>
      <c r="IC1112" s="4" t="s">
        <v>241</v>
      </c>
      <c r="ID1112" s="4" t="s">
        <v>241</v>
      </c>
      <c r="IE1112" s="4" t="s">
        <v>241</v>
      </c>
      <c r="IF1112" s="4" t="s">
        <v>241</v>
      </c>
    </row>
    <row r="1113" spans="1:240" x14ac:dyDescent="0.4">
      <c r="A1113" s="4">
        <v>2</v>
      </c>
      <c r="B1113" s="4" t="s">
        <v>239</v>
      </c>
      <c r="C1113" s="4">
        <v>1412</v>
      </c>
      <c r="D1113" s="4">
        <v>1</v>
      </c>
      <c r="E1113" s="4">
        <v>1</v>
      </c>
      <c r="F1113" s="4" t="s">
        <v>326</v>
      </c>
      <c r="G1113" s="4" t="s">
        <v>241</v>
      </c>
      <c r="H1113" s="4" t="s">
        <v>241</v>
      </c>
      <c r="I1113" s="4" t="s">
        <v>2176</v>
      </c>
      <c r="J1113" s="4" t="s">
        <v>424</v>
      </c>
      <c r="K1113" s="4" t="s">
        <v>256</v>
      </c>
      <c r="L1113" s="4" t="s">
        <v>241</v>
      </c>
      <c r="M1113" s="5" t="s">
        <v>2178</v>
      </c>
      <c r="N1113" s="4" t="s">
        <v>2175</v>
      </c>
      <c r="O1113" s="6">
        <f>238</f>
        <v>238</v>
      </c>
      <c r="P1113" s="4" t="s">
        <v>276</v>
      </c>
      <c r="Q1113" s="6">
        <f>1</f>
        <v>1</v>
      </c>
      <c r="R1113" s="6">
        <f>75114000</f>
        <v>75114000</v>
      </c>
      <c r="S1113" s="5" t="s">
        <v>2177</v>
      </c>
      <c r="T1113" s="4" t="s">
        <v>314</v>
      </c>
      <c r="U1113" s="4" t="s">
        <v>2180</v>
      </c>
      <c r="W1113" s="6">
        <f>75113999</f>
        <v>75113999</v>
      </c>
      <c r="X1113" s="4" t="s">
        <v>243</v>
      </c>
      <c r="Y1113" s="4" t="s">
        <v>244</v>
      </c>
      <c r="Z1113" s="4" t="s">
        <v>241</v>
      </c>
      <c r="AA1113" s="4" t="s">
        <v>241</v>
      </c>
      <c r="AD1113" s="4" t="s">
        <v>241</v>
      </c>
      <c r="AF1113" s="5" t="s">
        <v>241</v>
      </c>
      <c r="AI1113" s="5" t="s">
        <v>249</v>
      </c>
      <c r="AJ1113" s="4" t="s">
        <v>251</v>
      </c>
      <c r="AK1113" s="4" t="s">
        <v>252</v>
      </c>
      <c r="BA1113" s="4" t="s">
        <v>254</v>
      </c>
      <c r="BB1113" s="4" t="s">
        <v>241</v>
      </c>
      <c r="BC1113" s="4" t="s">
        <v>255</v>
      </c>
      <c r="BD1113" s="4" t="s">
        <v>241</v>
      </c>
      <c r="BE1113" s="4" t="s">
        <v>257</v>
      </c>
      <c r="BF1113" s="4" t="s">
        <v>241</v>
      </c>
      <c r="BH1113" s="4" t="s">
        <v>500</v>
      </c>
      <c r="BJ1113" s="4" t="s">
        <v>367</v>
      </c>
      <c r="BK1113" s="5" t="s">
        <v>249</v>
      </c>
      <c r="BL1113" s="4" t="s">
        <v>261</v>
      </c>
      <c r="BM1113" s="4" t="s">
        <v>410</v>
      </c>
      <c r="BN1113" s="4" t="s">
        <v>241</v>
      </c>
      <c r="BO1113" s="6">
        <f>0</f>
        <v>0</v>
      </c>
      <c r="BP1113" s="6">
        <f>0</f>
        <v>0</v>
      </c>
      <c r="BQ1113" s="4" t="s">
        <v>263</v>
      </c>
      <c r="BR1113" s="4" t="s">
        <v>264</v>
      </c>
      <c r="CF1113" s="4" t="s">
        <v>241</v>
      </c>
      <c r="CG1113" s="4" t="s">
        <v>241</v>
      </c>
      <c r="CK1113" s="4" t="s">
        <v>265</v>
      </c>
      <c r="CL1113" s="4" t="s">
        <v>266</v>
      </c>
      <c r="CM1113" s="4" t="s">
        <v>241</v>
      </c>
      <c r="CO1113" s="4" t="s">
        <v>2179</v>
      </c>
      <c r="CP1113" s="5" t="s">
        <v>268</v>
      </c>
      <c r="CQ1113" s="4" t="s">
        <v>269</v>
      </c>
      <c r="CR1113" s="4" t="s">
        <v>270</v>
      </c>
      <c r="CS1113" s="4" t="s">
        <v>241</v>
      </c>
      <c r="CT1113" s="4" t="s">
        <v>241</v>
      </c>
      <c r="CU1113" s="4">
        <v>0</v>
      </c>
      <c r="CV1113" s="4" t="s">
        <v>271</v>
      </c>
      <c r="CW1113" s="4" t="s">
        <v>411</v>
      </c>
      <c r="CX1113" s="4" t="s">
        <v>347</v>
      </c>
      <c r="CZ1113" s="6">
        <f>75114000</f>
        <v>75114000</v>
      </c>
      <c r="DA1113" s="6">
        <f>0</f>
        <v>0</v>
      </c>
      <c r="DC1113" s="4" t="s">
        <v>241</v>
      </c>
      <c r="DD1113" s="4" t="s">
        <v>241</v>
      </c>
      <c r="DF1113" s="4" t="s">
        <v>241</v>
      </c>
      <c r="DI1113" s="4" t="s">
        <v>241</v>
      </c>
      <c r="DJ1113" s="4" t="s">
        <v>241</v>
      </c>
      <c r="DK1113" s="4" t="s">
        <v>241</v>
      </c>
      <c r="DL1113" s="4" t="s">
        <v>241</v>
      </c>
      <c r="DM1113" s="4" t="s">
        <v>278</v>
      </c>
      <c r="DN1113" s="4" t="s">
        <v>278</v>
      </c>
      <c r="DO1113" s="6">
        <f>238</f>
        <v>238</v>
      </c>
      <c r="DP1113" s="4" t="s">
        <v>241</v>
      </c>
      <c r="DQ1113" s="4" t="s">
        <v>241</v>
      </c>
      <c r="DR1113" s="4" t="s">
        <v>241</v>
      </c>
      <c r="DS1113" s="4" t="s">
        <v>241</v>
      </c>
      <c r="DV1113" s="4" t="s">
        <v>2181</v>
      </c>
      <c r="DW1113" s="4" t="s">
        <v>277</v>
      </c>
      <c r="HO1113" s="4" t="s">
        <v>277</v>
      </c>
      <c r="HR1113" s="4" t="s">
        <v>278</v>
      </c>
      <c r="HS1113" s="4" t="s">
        <v>278</v>
      </c>
    </row>
    <row r="1114" spans="1:240" x14ac:dyDescent="0.4">
      <c r="A1114" s="4">
        <v>2</v>
      </c>
      <c r="B1114" s="4" t="s">
        <v>239</v>
      </c>
      <c r="C1114" s="4">
        <v>1413</v>
      </c>
      <c r="D1114" s="4">
        <v>1</v>
      </c>
      <c r="E1114" s="4">
        <v>3</v>
      </c>
      <c r="F1114" s="4" t="s">
        <v>240</v>
      </c>
      <c r="I1114" s="4" t="s">
        <v>241</v>
      </c>
      <c r="J1114" s="4" t="s">
        <v>424</v>
      </c>
      <c r="K1114" s="4" t="s">
        <v>256</v>
      </c>
      <c r="L1114" s="4" t="s">
        <v>1003</v>
      </c>
      <c r="M1114" s="5" t="s">
        <v>460</v>
      </c>
      <c r="N1114" s="4" t="s">
        <v>1003</v>
      </c>
      <c r="O1114" s="6">
        <f>3718.07</f>
        <v>3718.07</v>
      </c>
      <c r="P1114" s="4" t="s">
        <v>276</v>
      </c>
      <c r="Q1114" s="6">
        <f>50863206</f>
        <v>50863206</v>
      </c>
      <c r="R1114" s="6">
        <f>669252600</f>
        <v>669252600</v>
      </c>
      <c r="S1114" s="5" t="s">
        <v>1088</v>
      </c>
      <c r="T1114" s="4" t="s">
        <v>668</v>
      </c>
      <c r="U1114" s="4" t="s">
        <v>373</v>
      </c>
      <c r="V1114" s="6">
        <f>14723557</f>
        <v>14723557</v>
      </c>
      <c r="W1114" s="6">
        <f>618389394</f>
        <v>618389394</v>
      </c>
      <c r="X1114" s="4" t="s">
        <v>243</v>
      </c>
      <c r="Y1114" s="4" t="s">
        <v>244</v>
      </c>
      <c r="Z1114" s="4" t="s">
        <v>465</v>
      </c>
      <c r="AA1114" s="4" t="s">
        <v>241</v>
      </c>
      <c r="AD1114" s="4" t="s">
        <v>241</v>
      </c>
      <c r="AE1114" s="5" t="s">
        <v>241</v>
      </c>
      <c r="AF1114" s="5" t="s">
        <v>241</v>
      </c>
      <c r="AG1114" s="4" t="s">
        <v>241</v>
      </c>
      <c r="AH1114" s="5" t="s">
        <v>241</v>
      </c>
      <c r="AI1114" s="5" t="s">
        <v>249</v>
      </c>
      <c r="AJ1114" s="4" t="s">
        <v>251</v>
      </c>
      <c r="AK1114" s="4" t="s">
        <v>252</v>
      </c>
      <c r="AQ1114" s="4" t="s">
        <v>241</v>
      </c>
      <c r="AR1114" s="4" t="s">
        <v>241</v>
      </c>
      <c r="AS1114" s="4" t="s">
        <v>241</v>
      </c>
      <c r="AT1114" s="5" t="s">
        <v>241</v>
      </c>
      <c r="AU1114" s="5" t="s">
        <v>241</v>
      </c>
      <c r="AV1114" s="5" t="s">
        <v>241</v>
      </c>
      <c r="AY1114" s="4" t="s">
        <v>286</v>
      </c>
      <c r="AZ1114" s="4" t="s">
        <v>286</v>
      </c>
      <c r="BA1114" s="4" t="s">
        <v>254</v>
      </c>
      <c r="BB1114" s="4" t="s">
        <v>287</v>
      </c>
      <c r="BC1114" s="4" t="s">
        <v>255</v>
      </c>
      <c r="BD1114" s="4" t="s">
        <v>241</v>
      </c>
      <c r="BE1114" s="4" t="s">
        <v>257</v>
      </c>
      <c r="BF1114" s="4" t="s">
        <v>3926</v>
      </c>
      <c r="BH1114" s="4" t="s">
        <v>500</v>
      </c>
      <c r="BJ1114" s="4" t="s">
        <v>288</v>
      </c>
      <c r="BK1114" s="5" t="s">
        <v>289</v>
      </c>
      <c r="BL1114" s="4" t="s">
        <v>290</v>
      </c>
      <c r="BM1114" s="4" t="s">
        <v>290</v>
      </c>
      <c r="BN1114" s="4" t="s">
        <v>241</v>
      </c>
      <c r="BO1114" s="6">
        <f>0</f>
        <v>0</v>
      </c>
      <c r="BP1114" s="6">
        <f>-14723557</f>
        <v>-14723557</v>
      </c>
      <c r="BQ1114" s="4" t="s">
        <v>263</v>
      </c>
      <c r="BR1114" s="4" t="s">
        <v>264</v>
      </c>
      <c r="BS1114" s="4" t="s">
        <v>241</v>
      </c>
      <c r="BT1114" s="4" t="s">
        <v>241</v>
      </c>
      <c r="BU1114" s="4" t="s">
        <v>241</v>
      </c>
      <c r="BV1114" s="4" t="s">
        <v>241</v>
      </c>
      <c r="CA1114" s="5" t="s">
        <v>4019</v>
      </c>
      <c r="CB1114" s="4" t="s">
        <v>263</v>
      </c>
      <c r="CC1114" s="4" t="s">
        <v>241</v>
      </c>
      <c r="CD1114" s="4" t="s">
        <v>241</v>
      </c>
      <c r="CE1114" s="4" t="s">
        <v>264</v>
      </c>
      <c r="CF1114" s="4" t="s">
        <v>241</v>
      </c>
      <c r="CG1114" s="4" t="s">
        <v>241</v>
      </c>
      <c r="CK1114" s="4" t="s">
        <v>265</v>
      </c>
      <c r="CL1114" s="4" t="s">
        <v>266</v>
      </c>
      <c r="CM1114" s="4" t="s">
        <v>278</v>
      </c>
      <c r="CO1114" s="4" t="s">
        <v>914</v>
      </c>
      <c r="CP1114" s="5" t="s">
        <v>268</v>
      </c>
      <c r="CQ1114" s="4" t="s">
        <v>269</v>
      </c>
      <c r="CR1114" s="4" t="s">
        <v>270</v>
      </c>
      <c r="CS1114" s="4" t="s">
        <v>293</v>
      </c>
      <c r="CT1114" s="4" t="s">
        <v>241</v>
      </c>
      <c r="CU1114" s="4">
        <v>2.1999999999999999E-2</v>
      </c>
      <c r="CV1114" s="4" t="s">
        <v>271</v>
      </c>
      <c r="CW1114" s="4" t="s">
        <v>1006</v>
      </c>
      <c r="CX1114" s="4" t="s">
        <v>295</v>
      </c>
      <c r="CY1114" s="6">
        <f>0</f>
        <v>0</v>
      </c>
      <c r="CZ1114" s="6">
        <f>669252600</f>
        <v>669252600</v>
      </c>
      <c r="DA1114" s="6">
        <f>65586763</f>
        <v>65586763</v>
      </c>
      <c r="DB1114" s="6" t="s">
        <v>241</v>
      </c>
      <c r="DC1114" s="4" t="s">
        <v>241</v>
      </c>
      <c r="DD1114" s="4" t="s">
        <v>241</v>
      </c>
      <c r="DF1114" s="4" t="s">
        <v>241</v>
      </c>
      <c r="DG1114" s="6">
        <f>0</f>
        <v>0</v>
      </c>
      <c r="DH1114" s="5" t="s">
        <v>241</v>
      </c>
      <c r="DI1114" s="4" t="s">
        <v>241</v>
      </c>
      <c r="DJ1114" s="4" t="s">
        <v>241</v>
      </c>
      <c r="DK1114" s="4" t="s">
        <v>241</v>
      </c>
      <c r="DL1114" s="4" t="s">
        <v>241</v>
      </c>
      <c r="DM1114" s="4" t="s">
        <v>323</v>
      </c>
      <c r="DN1114" s="4" t="s">
        <v>278</v>
      </c>
      <c r="DO1114" s="6">
        <f>3718.07</f>
        <v>3718.07</v>
      </c>
      <c r="DP1114" s="4" t="s">
        <v>241</v>
      </c>
      <c r="DQ1114" s="4" t="s">
        <v>251</v>
      </c>
      <c r="DR1114" s="4" t="s">
        <v>3926</v>
      </c>
      <c r="DS1114" s="4" t="s">
        <v>3926</v>
      </c>
      <c r="DT1114" s="4" t="s">
        <v>241</v>
      </c>
      <c r="DU1114" s="4" t="s">
        <v>241</v>
      </c>
      <c r="DV1114" s="4" t="s">
        <v>1081</v>
      </c>
      <c r="DW1114" s="4" t="s">
        <v>277</v>
      </c>
      <c r="GN1114" s="4" t="s">
        <v>4020</v>
      </c>
      <c r="HR1114" s="4" t="s">
        <v>278</v>
      </c>
      <c r="HS1114" s="4" t="s">
        <v>278</v>
      </c>
      <c r="HT1114" s="4" t="s">
        <v>241</v>
      </c>
      <c r="HU1114" s="4" t="s">
        <v>241</v>
      </c>
      <c r="HV1114" s="4" t="s">
        <v>241</v>
      </c>
      <c r="HW1114" s="4" t="s">
        <v>241</v>
      </c>
      <c r="HX1114" s="4" t="s">
        <v>241</v>
      </c>
      <c r="HY1114" s="4" t="s">
        <v>241</v>
      </c>
      <c r="HZ1114" s="4" t="s">
        <v>241</v>
      </c>
      <c r="IA1114" s="4" t="s">
        <v>241</v>
      </c>
      <c r="IB1114" s="4" t="s">
        <v>241</v>
      </c>
      <c r="IC1114" s="4" t="s">
        <v>241</v>
      </c>
      <c r="ID1114" s="4" t="s">
        <v>241</v>
      </c>
      <c r="IE1114" s="4" t="s">
        <v>241</v>
      </c>
      <c r="IF1114" s="4" t="s">
        <v>241</v>
      </c>
    </row>
    <row r="1115" spans="1:240" x14ac:dyDescent="0.4">
      <c r="A1115" s="4">
        <v>2</v>
      </c>
      <c r="B1115" s="4" t="s">
        <v>239</v>
      </c>
      <c r="C1115" s="4">
        <v>1414</v>
      </c>
      <c r="D1115" s="4">
        <v>1</v>
      </c>
      <c r="E1115" s="4">
        <v>3</v>
      </c>
      <c r="F1115" s="4" t="s">
        <v>326</v>
      </c>
      <c r="G1115" s="4" t="s">
        <v>241</v>
      </c>
      <c r="H1115" s="4" t="s">
        <v>241</v>
      </c>
      <c r="I1115" s="4" t="s">
        <v>1078</v>
      </c>
      <c r="J1115" s="4" t="s">
        <v>424</v>
      </c>
      <c r="K1115" s="4" t="s">
        <v>256</v>
      </c>
      <c r="L1115" s="4" t="s">
        <v>1080</v>
      </c>
      <c r="M1115" s="5" t="s">
        <v>460</v>
      </c>
      <c r="N1115" s="4" t="s">
        <v>1077</v>
      </c>
      <c r="O1115" s="6">
        <f>0</f>
        <v>0</v>
      </c>
      <c r="P1115" s="4" t="s">
        <v>276</v>
      </c>
      <c r="Q1115" s="6">
        <f>12646888</f>
        <v>12646888</v>
      </c>
      <c r="R1115" s="6">
        <f>13867200</f>
        <v>13867200</v>
      </c>
      <c r="S1115" s="5" t="s">
        <v>1079</v>
      </c>
      <c r="T1115" s="4" t="s">
        <v>668</v>
      </c>
      <c r="U1115" s="4" t="s">
        <v>297</v>
      </c>
      <c r="V1115" s="6">
        <f>305078</f>
        <v>305078</v>
      </c>
      <c r="W1115" s="6">
        <f>1220312</f>
        <v>1220312</v>
      </c>
      <c r="X1115" s="4" t="s">
        <v>243</v>
      </c>
      <c r="Y1115" s="4" t="s">
        <v>244</v>
      </c>
      <c r="Z1115" s="4" t="s">
        <v>465</v>
      </c>
      <c r="AA1115" s="4" t="s">
        <v>241</v>
      </c>
      <c r="AD1115" s="4" t="s">
        <v>241</v>
      </c>
      <c r="AE1115" s="5" t="s">
        <v>241</v>
      </c>
      <c r="AF1115" s="5" t="s">
        <v>241</v>
      </c>
      <c r="AH1115" s="5" t="s">
        <v>241</v>
      </c>
      <c r="AI1115" s="5" t="s">
        <v>249</v>
      </c>
      <c r="AJ1115" s="4" t="s">
        <v>251</v>
      </c>
      <c r="AK1115" s="4" t="s">
        <v>252</v>
      </c>
      <c r="AQ1115" s="4" t="s">
        <v>241</v>
      </c>
      <c r="AR1115" s="4" t="s">
        <v>241</v>
      </c>
      <c r="AS1115" s="4" t="s">
        <v>241</v>
      </c>
      <c r="AT1115" s="5" t="s">
        <v>241</v>
      </c>
      <c r="AU1115" s="5" t="s">
        <v>241</v>
      </c>
      <c r="AV1115" s="5" t="s">
        <v>241</v>
      </c>
      <c r="AY1115" s="4" t="s">
        <v>286</v>
      </c>
      <c r="AZ1115" s="4" t="s">
        <v>286</v>
      </c>
      <c r="BA1115" s="4" t="s">
        <v>254</v>
      </c>
      <c r="BB1115" s="4" t="s">
        <v>287</v>
      </c>
      <c r="BC1115" s="4" t="s">
        <v>255</v>
      </c>
      <c r="BD1115" s="4" t="s">
        <v>241</v>
      </c>
      <c r="BE1115" s="4" t="s">
        <v>257</v>
      </c>
      <c r="BF1115" s="4" t="s">
        <v>241</v>
      </c>
      <c r="BJ1115" s="4" t="s">
        <v>288</v>
      </c>
      <c r="BK1115" s="5" t="s">
        <v>289</v>
      </c>
      <c r="BL1115" s="4" t="s">
        <v>290</v>
      </c>
      <c r="BM1115" s="4" t="s">
        <v>290</v>
      </c>
      <c r="BN1115" s="4" t="s">
        <v>241</v>
      </c>
      <c r="BP1115" s="6">
        <f>-305078</f>
        <v>-305078</v>
      </c>
      <c r="BQ1115" s="4" t="s">
        <v>263</v>
      </c>
      <c r="BR1115" s="4" t="s">
        <v>264</v>
      </c>
      <c r="BS1115" s="4" t="s">
        <v>241</v>
      </c>
      <c r="BT1115" s="4" t="s">
        <v>241</v>
      </c>
      <c r="BU1115" s="4" t="s">
        <v>241</v>
      </c>
      <c r="BV1115" s="4" t="s">
        <v>241</v>
      </c>
      <c r="CE1115" s="4" t="s">
        <v>264</v>
      </c>
      <c r="CF1115" s="4" t="s">
        <v>241</v>
      </c>
      <c r="CG1115" s="4" t="s">
        <v>241</v>
      </c>
      <c r="CK1115" s="4" t="s">
        <v>291</v>
      </c>
      <c r="CL1115" s="4" t="s">
        <v>266</v>
      </c>
      <c r="CM1115" s="4" t="s">
        <v>241</v>
      </c>
      <c r="CO1115" s="4" t="s">
        <v>413</v>
      </c>
      <c r="CP1115" s="5" t="s">
        <v>268</v>
      </c>
      <c r="CQ1115" s="4" t="s">
        <v>269</v>
      </c>
      <c r="CR1115" s="4" t="s">
        <v>270</v>
      </c>
      <c r="CS1115" s="4" t="s">
        <v>293</v>
      </c>
      <c r="CT1115" s="4" t="s">
        <v>241</v>
      </c>
      <c r="CU1115" s="4">
        <v>2.1999999999999999E-2</v>
      </c>
      <c r="CV1115" s="4" t="s">
        <v>271</v>
      </c>
      <c r="CW1115" s="4" t="s">
        <v>1006</v>
      </c>
      <c r="CX1115" s="4" t="s">
        <v>295</v>
      </c>
      <c r="CY1115" s="6">
        <f>0</f>
        <v>0</v>
      </c>
      <c r="CZ1115" s="6">
        <f>13867200</f>
        <v>13867200</v>
      </c>
      <c r="DA1115" s="6">
        <f>12646888</f>
        <v>12646888</v>
      </c>
      <c r="DC1115" s="4" t="s">
        <v>241</v>
      </c>
      <c r="DD1115" s="4" t="s">
        <v>241</v>
      </c>
      <c r="DF1115" s="4" t="s">
        <v>241</v>
      </c>
      <c r="DG1115" s="6">
        <f>0</f>
        <v>0</v>
      </c>
      <c r="DI1115" s="4" t="s">
        <v>241</v>
      </c>
      <c r="DJ1115" s="4" t="s">
        <v>241</v>
      </c>
      <c r="DK1115" s="4" t="s">
        <v>241</v>
      </c>
      <c r="DL1115" s="4" t="s">
        <v>241</v>
      </c>
      <c r="DM1115" s="4" t="s">
        <v>278</v>
      </c>
      <c r="DN1115" s="4" t="s">
        <v>278</v>
      </c>
      <c r="DO1115" s="6" t="s">
        <v>241</v>
      </c>
      <c r="DP1115" s="4" t="s">
        <v>241</v>
      </c>
      <c r="DQ1115" s="4" t="s">
        <v>241</v>
      </c>
      <c r="DR1115" s="4" t="s">
        <v>241</v>
      </c>
      <c r="DS1115" s="4" t="s">
        <v>241</v>
      </c>
      <c r="DV1115" s="4" t="s">
        <v>1081</v>
      </c>
      <c r="DW1115" s="4" t="s">
        <v>323</v>
      </c>
      <c r="GN1115" s="4" t="s">
        <v>1082</v>
      </c>
      <c r="HO1115" s="4" t="s">
        <v>351</v>
      </c>
      <c r="HR1115" s="4" t="s">
        <v>278</v>
      </c>
      <c r="HS1115" s="4" t="s">
        <v>278</v>
      </c>
      <c r="HT1115" s="4" t="s">
        <v>241</v>
      </c>
      <c r="HU1115" s="4" t="s">
        <v>241</v>
      </c>
      <c r="HV1115" s="4" t="s">
        <v>241</v>
      </c>
      <c r="HW1115" s="4" t="s">
        <v>241</v>
      </c>
      <c r="HX1115" s="4" t="s">
        <v>241</v>
      </c>
      <c r="HY1115" s="4" t="s">
        <v>241</v>
      </c>
      <c r="HZ1115" s="4" t="s">
        <v>241</v>
      </c>
      <c r="IA1115" s="4" t="s">
        <v>241</v>
      </c>
      <c r="IB1115" s="4" t="s">
        <v>241</v>
      </c>
      <c r="IC1115" s="4" t="s">
        <v>241</v>
      </c>
      <c r="ID1115" s="4" t="s">
        <v>241</v>
      </c>
      <c r="IE1115" s="4" t="s">
        <v>241</v>
      </c>
      <c r="IF1115" s="4" t="s">
        <v>241</v>
      </c>
    </row>
    <row r="1116" spans="1:240" x14ac:dyDescent="0.4">
      <c r="A1116" s="4">
        <v>2</v>
      </c>
      <c r="B1116" s="4" t="s">
        <v>239</v>
      </c>
      <c r="C1116" s="4">
        <v>1415</v>
      </c>
      <c r="D1116" s="4">
        <v>1</v>
      </c>
      <c r="E1116" s="4">
        <v>3</v>
      </c>
      <c r="F1116" s="4" t="s">
        <v>240</v>
      </c>
      <c r="G1116" s="4" t="s">
        <v>241</v>
      </c>
      <c r="H1116" s="4" t="s">
        <v>241</v>
      </c>
      <c r="I1116" s="4" t="s">
        <v>1159</v>
      </c>
      <c r="J1116" s="4" t="s">
        <v>424</v>
      </c>
      <c r="K1116" s="4" t="s">
        <v>256</v>
      </c>
      <c r="L1116" s="4" t="s">
        <v>1003</v>
      </c>
      <c r="M1116" s="5" t="s">
        <v>1160</v>
      </c>
      <c r="N1116" s="4" t="s">
        <v>1003</v>
      </c>
      <c r="O1116" s="6">
        <f>4990.57</f>
        <v>4990.57</v>
      </c>
      <c r="P1116" s="4" t="s">
        <v>276</v>
      </c>
      <c r="Q1116" s="6">
        <f>541476845</f>
        <v>541476845</v>
      </c>
      <c r="R1116" s="6">
        <f>1746699500</f>
        <v>1746699500</v>
      </c>
      <c r="S1116" s="5" t="s">
        <v>400</v>
      </c>
      <c r="T1116" s="4" t="s">
        <v>357</v>
      </c>
      <c r="U1116" s="4" t="s">
        <v>314</v>
      </c>
      <c r="V1116" s="6">
        <f>52400985</f>
        <v>52400985</v>
      </c>
      <c r="W1116" s="6">
        <f>1205222655</f>
        <v>1205222655</v>
      </c>
      <c r="X1116" s="4" t="s">
        <v>243</v>
      </c>
      <c r="Y1116" s="4" t="s">
        <v>244</v>
      </c>
      <c r="Z1116" s="4" t="s">
        <v>465</v>
      </c>
      <c r="AA1116" s="4" t="s">
        <v>241</v>
      </c>
      <c r="AD1116" s="4" t="s">
        <v>241</v>
      </c>
      <c r="AE1116" s="5" t="s">
        <v>241</v>
      </c>
      <c r="AF1116" s="5" t="s">
        <v>241</v>
      </c>
      <c r="AH1116" s="5" t="s">
        <v>241</v>
      </c>
      <c r="AI1116" s="5" t="s">
        <v>249</v>
      </c>
      <c r="AJ1116" s="4" t="s">
        <v>251</v>
      </c>
      <c r="AK1116" s="4" t="s">
        <v>252</v>
      </c>
      <c r="AQ1116" s="4" t="s">
        <v>241</v>
      </c>
      <c r="AR1116" s="4" t="s">
        <v>241</v>
      </c>
      <c r="AS1116" s="4" t="s">
        <v>241</v>
      </c>
      <c r="AT1116" s="5" t="s">
        <v>241</v>
      </c>
      <c r="AU1116" s="5" t="s">
        <v>241</v>
      </c>
      <c r="AV1116" s="5" t="s">
        <v>241</v>
      </c>
      <c r="AY1116" s="4" t="s">
        <v>286</v>
      </c>
      <c r="AZ1116" s="4" t="s">
        <v>286</v>
      </c>
      <c r="BA1116" s="4" t="s">
        <v>254</v>
      </c>
      <c r="BB1116" s="4" t="s">
        <v>287</v>
      </c>
      <c r="BC1116" s="4" t="s">
        <v>255</v>
      </c>
      <c r="BD1116" s="4" t="s">
        <v>241</v>
      </c>
      <c r="BE1116" s="4" t="s">
        <v>257</v>
      </c>
      <c r="BF1116" s="4" t="s">
        <v>241</v>
      </c>
      <c r="BJ1116" s="4" t="s">
        <v>288</v>
      </c>
      <c r="BK1116" s="5" t="s">
        <v>289</v>
      </c>
      <c r="BL1116" s="4" t="s">
        <v>290</v>
      </c>
      <c r="BM1116" s="4" t="s">
        <v>290</v>
      </c>
      <c r="BN1116" s="4" t="s">
        <v>241</v>
      </c>
      <c r="BO1116" s="6">
        <f>0</f>
        <v>0</v>
      </c>
      <c r="BP1116" s="6">
        <f>-52400985</f>
        <v>-52400985</v>
      </c>
      <c r="BQ1116" s="4" t="s">
        <v>263</v>
      </c>
      <c r="BR1116" s="4" t="s">
        <v>264</v>
      </c>
      <c r="BS1116" s="4" t="s">
        <v>241</v>
      </c>
      <c r="BT1116" s="4" t="s">
        <v>241</v>
      </c>
      <c r="BU1116" s="4" t="s">
        <v>241</v>
      </c>
      <c r="BV1116" s="4" t="s">
        <v>241</v>
      </c>
      <c r="CE1116" s="4" t="s">
        <v>264</v>
      </c>
      <c r="CF1116" s="4" t="s">
        <v>241</v>
      </c>
      <c r="CG1116" s="4" t="s">
        <v>241</v>
      </c>
      <c r="CK1116" s="4" t="s">
        <v>291</v>
      </c>
      <c r="CL1116" s="4" t="s">
        <v>266</v>
      </c>
      <c r="CM1116" s="4" t="s">
        <v>241</v>
      </c>
      <c r="CO1116" s="4" t="s">
        <v>313</v>
      </c>
      <c r="CP1116" s="5" t="s">
        <v>268</v>
      </c>
      <c r="CQ1116" s="4" t="s">
        <v>269</v>
      </c>
      <c r="CR1116" s="4" t="s">
        <v>270</v>
      </c>
      <c r="CS1116" s="4" t="s">
        <v>293</v>
      </c>
      <c r="CT1116" s="4" t="s">
        <v>241</v>
      </c>
      <c r="CU1116" s="4">
        <v>0.03</v>
      </c>
      <c r="CV1116" s="4" t="s">
        <v>271</v>
      </c>
      <c r="CW1116" s="4" t="s">
        <v>1006</v>
      </c>
      <c r="CX1116" s="4" t="s">
        <v>487</v>
      </c>
      <c r="CY1116" s="6">
        <f>0</f>
        <v>0</v>
      </c>
      <c r="CZ1116" s="6">
        <f>1746699500</f>
        <v>1746699500</v>
      </c>
      <c r="DA1116" s="6">
        <f>541476845</f>
        <v>541476845</v>
      </c>
      <c r="DC1116" s="4" t="s">
        <v>241</v>
      </c>
      <c r="DD1116" s="4" t="s">
        <v>241</v>
      </c>
      <c r="DF1116" s="4" t="s">
        <v>241</v>
      </c>
      <c r="DG1116" s="6">
        <f>0</f>
        <v>0</v>
      </c>
      <c r="DI1116" s="4" t="s">
        <v>241</v>
      </c>
      <c r="DJ1116" s="4" t="s">
        <v>241</v>
      </c>
      <c r="DK1116" s="4" t="s">
        <v>241</v>
      </c>
      <c r="DL1116" s="4" t="s">
        <v>241</v>
      </c>
      <c r="DM1116" s="4" t="s">
        <v>323</v>
      </c>
      <c r="DN1116" s="4" t="s">
        <v>278</v>
      </c>
      <c r="DO1116" s="6">
        <f>4990.57</f>
        <v>4990.57</v>
      </c>
      <c r="DP1116" s="4" t="s">
        <v>241</v>
      </c>
      <c r="DQ1116" s="4" t="s">
        <v>241</v>
      </c>
      <c r="DR1116" s="4" t="s">
        <v>241</v>
      </c>
      <c r="DS1116" s="4" t="s">
        <v>241</v>
      </c>
      <c r="DV1116" s="4" t="s">
        <v>1161</v>
      </c>
      <c r="DW1116" s="4" t="s">
        <v>277</v>
      </c>
      <c r="GN1116" s="4" t="s">
        <v>1162</v>
      </c>
      <c r="HO1116" s="4" t="s">
        <v>300</v>
      </c>
      <c r="HR1116" s="4" t="s">
        <v>278</v>
      </c>
      <c r="HS1116" s="4" t="s">
        <v>278</v>
      </c>
      <c r="HT1116" s="4" t="s">
        <v>241</v>
      </c>
      <c r="HU1116" s="4" t="s">
        <v>241</v>
      </c>
      <c r="HV1116" s="4" t="s">
        <v>241</v>
      </c>
      <c r="HW1116" s="4" t="s">
        <v>241</v>
      </c>
      <c r="HX1116" s="4" t="s">
        <v>241</v>
      </c>
      <c r="HY1116" s="4" t="s">
        <v>241</v>
      </c>
      <c r="HZ1116" s="4" t="s">
        <v>241</v>
      </c>
      <c r="IA1116" s="4" t="s">
        <v>241</v>
      </c>
      <c r="IB1116" s="4" t="s">
        <v>241</v>
      </c>
      <c r="IC1116" s="4" t="s">
        <v>241</v>
      </c>
      <c r="ID1116" s="4" t="s">
        <v>241</v>
      </c>
      <c r="IE1116" s="4" t="s">
        <v>241</v>
      </c>
      <c r="IF1116" s="4" t="s">
        <v>241</v>
      </c>
    </row>
    <row r="1117" spans="1:240" x14ac:dyDescent="0.4">
      <c r="A1117" s="4">
        <v>2</v>
      </c>
      <c r="B1117" s="4" t="s">
        <v>239</v>
      </c>
      <c r="C1117" s="4">
        <v>1416</v>
      </c>
      <c r="D1117" s="4">
        <v>1</v>
      </c>
      <c r="E1117" s="4">
        <v>3</v>
      </c>
      <c r="F1117" s="4" t="s">
        <v>326</v>
      </c>
      <c r="G1117" s="4" t="s">
        <v>241</v>
      </c>
      <c r="H1117" s="4" t="s">
        <v>241</v>
      </c>
      <c r="I1117" s="4" t="s">
        <v>1159</v>
      </c>
      <c r="J1117" s="4" t="s">
        <v>424</v>
      </c>
      <c r="K1117" s="4" t="s">
        <v>256</v>
      </c>
      <c r="L1117" s="4" t="s">
        <v>2571</v>
      </c>
      <c r="M1117" s="5" t="s">
        <v>1160</v>
      </c>
      <c r="N1117" s="4" t="s">
        <v>2674</v>
      </c>
      <c r="O1117" s="6">
        <f>0</f>
        <v>0</v>
      </c>
      <c r="P1117" s="4" t="s">
        <v>276</v>
      </c>
      <c r="Q1117" s="6">
        <f>2242080</f>
        <v>2242080</v>
      </c>
      <c r="R1117" s="6">
        <f>3240000</f>
        <v>3240000</v>
      </c>
      <c r="S1117" s="5" t="s">
        <v>405</v>
      </c>
      <c r="T1117" s="4" t="s">
        <v>322</v>
      </c>
      <c r="U1117" s="4" t="s">
        <v>297</v>
      </c>
      <c r="V1117" s="6">
        <f>249480</f>
        <v>249480</v>
      </c>
      <c r="W1117" s="6">
        <f>997920</f>
        <v>997920</v>
      </c>
      <c r="X1117" s="4" t="s">
        <v>243</v>
      </c>
      <c r="Y1117" s="4" t="s">
        <v>244</v>
      </c>
      <c r="Z1117" s="4" t="s">
        <v>465</v>
      </c>
      <c r="AA1117" s="4" t="s">
        <v>241</v>
      </c>
      <c r="AD1117" s="4" t="s">
        <v>241</v>
      </c>
      <c r="AE1117" s="5" t="s">
        <v>241</v>
      </c>
      <c r="AF1117" s="5" t="s">
        <v>241</v>
      </c>
      <c r="AH1117" s="5" t="s">
        <v>241</v>
      </c>
      <c r="AI1117" s="5" t="s">
        <v>249</v>
      </c>
      <c r="AJ1117" s="4" t="s">
        <v>251</v>
      </c>
      <c r="AK1117" s="4" t="s">
        <v>252</v>
      </c>
      <c r="AQ1117" s="4" t="s">
        <v>241</v>
      </c>
      <c r="AR1117" s="4" t="s">
        <v>241</v>
      </c>
      <c r="AS1117" s="4" t="s">
        <v>241</v>
      </c>
      <c r="AT1117" s="5" t="s">
        <v>241</v>
      </c>
      <c r="AU1117" s="5" t="s">
        <v>241</v>
      </c>
      <c r="AV1117" s="5" t="s">
        <v>241</v>
      </c>
      <c r="AY1117" s="4" t="s">
        <v>286</v>
      </c>
      <c r="AZ1117" s="4" t="s">
        <v>286</v>
      </c>
      <c r="BA1117" s="4" t="s">
        <v>254</v>
      </c>
      <c r="BB1117" s="4" t="s">
        <v>287</v>
      </c>
      <c r="BC1117" s="4" t="s">
        <v>255</v>
      </c>
      <c r="BD1117" s="4" t="s">
        <v>241</v>
      </c>
      <c r="BE1117" s="4" t="s">
        <v>257</v>
      </c>
      <c r="BF1117" s="4" t="s">
        <v>241</v>
      </c>
      <c r="BJ1117" s="4" t="s">
        <v>288</v>
      </c>
      <c r="BK1117" s="5" t="s">
        <v>289</v>
      </c>
      <c r="BL1117" s="4" t="s">
        <v>290</v>
      </c>
      <c r="BM1117" s="4" t="s">
        <v>290</v>
      </c>
      <c r="BN1117" s="4" t="s">
        <v>241</v>
      </c>
      <c r="BP1117" s="6">
        <f>-249480</f>
        <v>-249480</v>
      </c>
      <c r="BQ1117" s="4" t="s">
        <v>263</v>
      </c>
      <c r="BR1117" s="4" t="s">
        <v>264</v>
      </c>
      <c r="BS1117" s="4" t="s">
        <v>241</v>
      </c>
      <c r="BT1117" s="4" t="s">
        <v>241</v>
      </c>
      <c r="BU1117" s="4" t="s">
        <v>241</v>
      </c>
      <c r="BV1117" s="4" t="s">
        <v>241</v>
      </c>
      <c r="CE1117" s="4" t="s">
        <v>264</v>
      </c>
      <c r="CF1117" s="4" t="s">
        <v>241</v>
      </c>
      <c r="CG1117" s="4" t="s">
        <v>241</v>
      </c>
      <c r="CK1117" s="4" t="s">
        <v>291</v>
      </c>
      <c r="CL1117" s="4" t="s">
        <v>266</v>
      </c>
      <c r="CM1117" s="4" t="s">
        <v>241</v>
      </c>
      <c r="CO1117" s="4" t="s">
        <v>413</v>
      </c>
      <c r="CP1117" s="5" t="s">
        <v>268</v>
      </c>
      <c r="CQ1117" s="4" t="s">
        <v>269</v>
      </c>
      <c r="CR1117" s="4" t="s">
        <v>270</v>
      </c>
      <c r="CS1117" s="4" t="s">
        <v>293</v>
      </c>
      <c r="CT1117" s="4" t="s">
        <v>241</v>
      </c>
      <c r="CU1117" s="4">
        <v>7.6999999999999999E-2</v>
      </c>
      <c r="CV1117" s="4" t="s">
        <v>271</v>
      </c>
      <c r="CW1117" s="4" t="s">
        <v>415</v>
      </c>
      <c r="CX1117" s="4" t="s">
        <v>428</v>
      </c>
      <c r="CY1117" s="6">
        <f>0</f>
        <v>0</v>
      </c>
      <c r="CZ1117" s="6">
        <f>3240000</f>
        <v>3240000</v>
      </c>
      <c r="DA1117" s="6">
        <f>2242080</f>
        <v>2242080</v>
      </c>
      <c r="DC1117" s="4" t="s">
        <v>241</v>
      </c>
      <c r="DD1117" s="4" t="s">
        <v>241</v>
      </c>
      <c r="DF1117" s="4" t="s">
        <v>241</v>
      </c>
      <c r="DG1117" s="6">
        <f>0</f>
        <v>0</v>
      </c>
      <c r="DI1117" s="4" t="s">
        <v>241</v>
      </c>
      <c r="DJ1117" s="4" t="s">
        <v>241</v>
      </c>
      <c r="DK1117" s="4" t="s">
        <v>241</v>
      </c>
      <c r="DL1117" s="4" t="s">
        <v>241</v>
      </c>
      <c r="DM1117" s="4" t="s">
        <v>278</v>
      </c>
      <c r="DN1117" s="4" t="s">
        <v>278</v>
      </c>
      <c r="DO1117" s="6" t="s">
        <v>241</v>
      </c>
      <c r="DP1117" s="4" t="s">
        <v>241</v>
      </c>
      <c r="DQ1117" s="4" t="s">
        <v>241</v>
      </c>
      <c r="DR1117" s="4" t="s">
        <v>241</v>
      </c>
      <c r="DS1117" s="4" t="s">
        <v>241</v>
      </c>
      <c r="DV1117" s="4" t="s">
        <v>1161</v>
      </c>
      <c r="DW1117" s="4" t="s">
        <v>323</v>
      </c>
      <c r="GN1117" s="4" t="s">
        <v>2675</v>
      </c>
      <c r="HO1117" s="4" t="s">
        <v>351</v>
      </c>
      <c r="HR1117" s="4" t="s">
        <v>278</v>
      </c>
      <c r="HS1117" s="4" t="s">
        <v>278</v>
      </c>
      <c r="HT1117" s="4" t="s">
        <v>241</v>
      </c>
      <c r="HU1117" s="4" t="s">
        <v>241</v>
      </c>
      <c r="HV1117" s="4" t="s">
        <v>241</v>
      </c>
      <c r="HW1117" s="4" t="s">
        <v>241</v>
      </c>
      <c r="HX1117" s="4" t="s">
        <v>241</v>
      </c>
      <c r="HY1117" s="4" t="s">
        <v>241</v>
      </c>
      <c r="HZ1117" s="4" t="s">
        <v>241</v>
      </c>
      <c r="IA1117" s="4" t="s">
        <v>241</v>
      </c>
      <c r="IB1117" s="4" t="s">
        <v>241</v>
      </c>
      <c r="IC1117" s="4" t="s">
        <v>241</v>
      </c>
      <c r="ID1117" s="4" t="s">
        <v>241</v>
      </c>
      <c r="IE1117" s="4" t="s">
        <v>241</v>
      </c>
      <c r="IF1117" s="4" t="s">
        <v>241</v>
      </c>
    </row>
    <row r="1118" spans="1:240" x14ac:dyDescent="0.4">
      <c r="A1118" s="4">
        <v>2</v>
      </c>
      <c r="B1118" s="4" t="s">
        <v>239</v>
      </c>
      <c r="C1118" s="4">
        <v>1417</v>
      </c>
      <c r="D1118" s="4">
        <v>1</v>
      </c>
      <c r="E1118" s="4">
        <v>3</v>
      </c>
      <c r="F1118" s="4" t="s">
        <v>326</v>
      </c>
      <c r="G1118" s="4" t="s">
        <v>241</v>
      </c>
      <c r="H1118" s="4" t="s">
        <v>241</v>
      </c>
      <c r="I1118" s="4" t="s">
        <v>1159</v>
      </c>
      <c r="J1118" s="4" t="s">
        <v>424</v>
      </c>
      <c r="K1118" s="4" t="s">
        <v>256</v>
      </c>
      <c r="L1118" s="4" t="s">
        <v>2626</v>
      </c>
      <c r="M1118" s="5" t="s">
        <v>1160</v>
      </c>
      <c r="N1118" s="4" t="s">
        <v>2671</v>
      </c>
      <c r="O1118" s="6">
        <f>0</f>
        <v>0</v>
      </c>
      <c r="P1118" s="4" t="s">
        <v>276</v>
      </c>
      <c r="Q1118" s="6">
        <f>1411152</f>
        <v>1411152</v>
      </c>
      <c r="R1118" s="6">
        <f>1927800</f>
        <v>1927800</v>
      </c>
      <c r="S1118" s="5" t="s">
        <v>2672</v>
      </c>
      <c r="T1118" s="4" t="s">
        <v>348</v>
      </c>
      <c r="U1118" s="4" t="s">
        <v>297</v>
      </c>
      <c r="V1118" s="6">
        <f>129162</f>
        <v>129162</v>
      </c>
      <c r="W1118" s="6">
        <f>516648</f>
        <v>516648</v>
      </c>
      <c r="X1118" s="4" t="s">
        <v>243</v>
      </c>
      <c r="Y1118" s="4" t="s">
        <v>244</v>
      </c>
      <c r="Z1118" s="4" t="s">
        <v>465</v>
      </c>
      <c r="AA1118" s="4" t="s">
        <v>241</v>
      </c>
      <c r="AD1118" s="4" t="s">
        <v>241</v>
      </c>
      <c r="AE1118" s="5" t="s">
        <v>241</v>
      </c>
      <c r="AF1118" s="5" t="s">
        <v>241</v>
      </c>
      <c r="AH1118" s="5" t="s">
        <v>241</v>
      </c>
      <c r="AI1118" s="5" t="s">
        <v>249</v>
      </c>
      <c r="AJ1118" s="4" t="s">
        <v>251</v>
      </c>
      <c r="AK1118" s="4" t="s">
        <v>252</v>
      </c>
      <c r="AQ1118" s="4" t="s">
        <v>241</v>
      </c>
      <c r="AR1118" s="4" t="s">
        <v>241</v>
      </c>
      <c r="AS1118" s="4" t="s">
        <v>241</v>
      </c>
      <c r="AT1118" s="5" t="s">
        <v>241</v>
      </c>
      <c r="AU1118" s="5" t="s">
        <v>241</v>
      </c>
      <c r="AV1118" s="5" t="s">
        <v>241</v>
      </c>
      <c r="AY1118" s="4" t="s">
        <v>286</v>
      </c>
      <c r="AZ1118" s="4" t="s">
        <v>286</v>
      </c>
      <c r="BA1118" s="4" t="s">
        <v>254</v>
      </c>
      <c r="BB1118" s="4" t="s">
        <v>287</v>
      </c>
      <c r="BC1118" s="4" t="s">
        <v>255</v>
      </c>
      <c r="BD1118" s="4" t="s">
        <v>241</v>
      </c>
      <c r="BE1118" s="4" t="s">
        <v>257</v>
      </c>
      <c r="BF1118" s="4" t="s">
        <v>241</v>
      </c>
      <c r="BJ1118" s="4" t="s">
        <v>288</v>
      </c>
      <c r="BK1118" s="5" t="s">
        <v>289</v>
      </c>
      <c r="BL1118" s="4" t="s">
        <v>290</v>
      </c>
      <c r="BM1118" s="4" t="s">
        <v>290</v>
      </c>
      <c r="BN1118" s="4" t="s">
        <v>241</v>
      </c>
      <c r="BP1118" s="6">
        <f>-129162</f>
        <v>-129162</v>
      </c>
      <c r="BQ1118" s="4" t="s">
        <v>263</v>
      </c>
      <c r="BR1118" s="4" t="s">
        <v>264</v>
      </c>
      <c r="BS1118" s="4" t="s">
        <v>241</v>
      </c>
      <c r="BT1118" s="4" t="s">
        <v>241</v>
      </c>
      <c r="BU1118" s="4" t="s">
        <v>241</v>
      </c>
      <c r="BV1118" s="4" t="s">
        <v>241</v>
      </c>
      <c r="CE1118" s="4" t="s">
        <v>264</v>
      </c>
      <c r="CF1118" s="4" t="s">
        <v>241</v>
      </c>
      <c r="CG1118" s="4" t="s">
        <v>241</v>
      </c>
      <c r="CK1118" s="4" t="s">
        <v>291</v>
      </c>
      <c r="CL1118" s="4" t="s">
        <v>266</v>
      </c>
      <c r="CM1118" s="4" t="s">
        <v>241</v>
      </c>
      <c r="CO1118" s="4" t="s">
        <v>413</v>
      </c>
      <c r="CP1118" s="5" t="s">
        <v>268</v>
      </c>
      <c r="CQ1118" s="4" t="s">
        <v>269</v>
      </c>
      <c r="CR1118" s="4" t="s">
        <v>270</v>
      </c>
      <c r="CS1118" s="4" t="s">
        <v>293</v>
      </c>
      <c r="CT1118" s="4" t="s">
        <v>241</v>
      </c>
      <c r="CU1118" s="4">
        <v>6.7000000000000004E-2</v>
      </c>
      <c r="CV1118" s="4" t="s">
        <v>271</v>
      </c>
      <c r="CW1118" s="4" t="s">
        <v>415</v>
      </c>
      <c r="CX1118" s="4" t="s">
        <v>422</v>
      </c>
      <c r="CY1118" s="6">
        <f>0</f>
        <v>0</v>
      </c>
      <c r="CZ1118" s="6">
        <f>1927800</f>
        <v>1927800</v>
      </c>
      <c r="DA1118" s="6">
        <f>1411152</f>
        <v>1411152</v>
      </c>
      <c r="DC1118" s="4" t="s">
        <v>241</v>
      </c>
      <c r="DD1118" s="4" t="s">
        <v>241</v>
      </c>
      <c r="DF1118" s="4" t="s">
        <v>241</v>
      </c>
      <c r="DG1118" s="6">
        <f>0</f>
        <v>0</v>
      </c>
      <c r="DI1118" s="4" t="s">
        <v>241</v>
      </c>
      <c r="DJ1118" s="4" t="s">
        <v>241</v>
      </c>
      <c r="DK1118" s="4" t="s">
        <v>241</v>
      </c>
      <c r="DL1118" s="4" t="s">
        <v>241</v>
      </c>
      <c r="DM1118" s="4" t="s">
        <v>278</v>
      </c>
      <c r="DN1118" s="4" t="s">
        <v>278</v>
      </c>
      <c r="DO1118" s="6" t="s">
        <v>241</v>
      </c>
      <c r="DP1118" s="4" t="s">
        <v>241</v>
      </c>
      <c r="DQ1118" s="4" t="s">
        <v>241</v>
      </c>
      <c r="DR1118" s="4" t="s">
        <v>241</v>
      </c>
      <c r="DS1118" s="4" t="s">
        <v>241</v>
      </c>
      <c r="DV1118" s="4" t="s">
        <v>1161</v>
      </c>
      <c r="DW1118" s="4" t="s">
        <v>297</v>
      </c>
      <c r="GN1118" s="4" t="s">
        <v>2673</v>
      </c>
      <c r="HO1118" s="4" t="s">
        <v>351</v>
      </c>
      <c r="HR1118" s="4" t="s">
        <v>278</v>
      </c>
      <c r="HS1118" s="4" t="s">
        <v>278</v>
      </c>
      <c r="HT1118" s="4" t="s">
        <v>241</v>
      </c>
      <c r="HU1118" s="4" t="s">
        <v>241</v>
      </c>
      <c r="HV1118" s="4" t="s">
        <v>241</v>
      </c>
      <c r="HW1118" s="4" t="s">
        <v>241</v>
      </c>
      <c r="HX1118" s="4" t="s">
        <v>241</v>
      </c>
      <c r="HY1118" s="4" t="s">
        <v>241</v>
      </c>
      <c r="HZ1118" s="4" t="s">
        <v>241</v>
      </c>
      <c r="IA1118" s="4" t="s">
        <v>241</v>
      </c>
      <c r="IB1118" s="4" t="s">
        <v>241</v>
      </c>
      <c r="IC1118" s="4" t="s">
        <v>241</v>
      </c>
      <c r="ID1118" s="4" t="s">
        <v>241</v>
      </c>
      <c r="IE1118" s="4" t="s">
        <v>241</v>
      </c>
      <c r="IF1118" s="4" t="s">
        <v>241</v>
      </c>
    </row>
    <row r="1119" spans="1:240" x14ac:dyDescent="0.4">
      <c r="A1119" s="4">
        <v>2</v>
      </c>
      <c r="B1119" s="4" t="s">
        <v>239</v>
      </c>
      <c r="C1119" s="4">
        <v>1418</v>
      </c>
      <c r="D1119" s="4">
        <v>1</v>
      </c>
      <c r="E1119" s="4">
        <v>3</v>
      </c>
      <c r="F1119" s="4" t="s">
        <v>326</v>
      </c>
      <c r="G1119" s="4" t="s">
        <v>241</v>
      </c>
      <c r="H1119" s="4" t="s">
        <v>241</v>
      </c>
      <c r="I1119" s="4" t="s">
        <v>1159</v>
      </c>
      <c r="J1119" s="4" t="s">
        <v>424</v>
      </c>
      <c r="K1119" s="4" t="s">
        <v>256</v>
      </c>
      <c r="L1119" s="4" t="s">
        <v>241</v>
      </c>
      <c r="M1119" s="5" t="s">
        <v>1160</v>
      </c>
      <c r="N1119" s="4" t="s">
        <v>2516</v>
      </c>
      <c r="O1119" s="6">
        <f>0</f>
        <v>0</v>
      </c>
      <c r="P1119" s="4" t="s">
        <v>276</v>
      </c>
      <c r="Q1119" s="6">
        <f>2002440</f>
        <v>2002440</v>
      </c>
      <c r="R1119" s="6">
        <f>2255000</f>
        <v>2255000</v>
      </c>
      <c r="S1119" s="5" t="s">
        <v>1104</v>
      </c>
      <c r="T1119" s="4" t="s">
        <v>365</v>
      </c>
      <c r="U1119" s="4" t="s">
        <v>277</v>
      </c>
      <c r="V1119" s="6">
        <f>126280</f>
        <v>126280</v>
      </c>
      <c r="W1119" s="6">
        <f>252560</f>
        <v>252560</v>
      </c>
      <c r="X1119" s="4" t="s">
        <v>243</v>
      </c>
      <c r="Y1119" s="4" t="s">
        <v>244</v>
      </c>
      <c r="Z1119" s="4" t="s">
        <v>241</v>
      </c>
      <c r="AA1119" s="4" t="s">
        <v>241</v>
      </c>
      <c r="AD1119" s="4" t="s">
        <v>241</v>
      </c>
      <c r="AE1119" s="5" t="s">
        <v>241</v>
      </c>
      <c r="AF1119" s="5" t="s">
        <v>241</v>
      </c>
      <c r="AH1119" s="5" t="s">
        <v>241</v>
      </c>
      <c r="AI1119" s="5" t="s">
        <v>249</v>
      </c>
      <c r="AJ1119" s="4" t="s">
        <v>251</v>
      </c>
      <c r="AK1119" s="4" t="s">
        <v>252</v>
      </c>
      <c r="AQ1119" s="4" t="s">
        <v>241</v>
      </c>
      <c r="AR1119" s="4" t="s">
        <v>241</v>
      </c>
      <c r="AS1119" s="4" t="s">
        <v>241</v>
      </c>
      <c r="AT1119" s="5" t="s">
        <v>241</v>
      </c>
      <c r="AU1119" s="5" t="s">
        <v>241</v>
      </c>
      <c r="AV1119" s="5" t="s">
        <v>241</v>
      </c>
      <c r="AY1119" s="4" t="s">
        <v>286</v>
      </c>
      <c r="AZ1119" s="4" t="s">
        <v>286</v>
      </c>
      <c r="BA1119" s="4" t="s">
        <v>254</v>
      </c>
      <c r="BB1119" s="4" t="s">
        <v>287</v>
      </c>
      <c r="BC1119" s="4" t="s">
        <v>255</v>
      </c>
      <c r="BD1119" s="4" t="s">
        <v>241</v>
      </c>
      <c r="BE1119" s="4" t="s">
        <v>257</v>
      </c>
      <c r="BF1119" s="4" t="s">
        <v>241</v>
      </c>
      <c r="BJ1119" s="4" t="s">
        <v>288</v>
      </c>
      <c r="BK1119" s="5" t="s">
        <v>289</v>
      </c>
      <c r="BL1119" s="4" t="s">
        <v>290</v>
      </c>
      <c r="BM1119" s="4" t="s">
        <v>290</v>
      </c>
      <c r="BN1119" s="4" t="s">
        <v>241</v>
      </c>
      <c r="BP1119" s="6">
        <f>-126280</f>
        <v>-126280</v>
      </c>
      <c r="BQ1119" s="4" t="s">
        <v>263</v>
      </c>
      <c r="BR1119" s="4" t="s">
        <v>264</v>
      </c>
      <c r="BS1119" s="4" t="s">
        <v>241</v>
      </c>
      <c r="BT1119" s="4" t="s">
        <v>241</v>
      </c>
      <c r="BU1119" s="4" t="s">
        <v>241</v>
      </c>
      <c r="BV1119" s="4" t="s">
        <v>241</v>
      </c>
      <c r="CE1119" s="4" t="s">
        <v>264</v>
      </c>
      <c r="CF1119" s="4" t="s">
        <v>241</v>
      </c>
      <c r="CG1119" s="4" t="s">
        <v>241</v>
      </c>
      <c r="CK1119" s="4" t="s">
        <v>291</v>
      </c>
      <c r="CL1119" s="4" t="s">
        <v>266</v>
      </c>
      <c r="CM1119" s="4" t="s">
        <v>241</v>
      </c>
      <c r="CO1119" s="4" t="s">
        <v>331</v>
      </c>
      <c r="CP1119" s="5" t="s">
        <v>268</v>
      </c>
      <c r="CQ1119" s="4" t="s">
        <v>269</v>
      </c>
      <c r="CR1119" s="4" t="s">
        <v>270</v>
      </c>
      <c r="CS1119" s="4" t="s">
        <v>293</v>
      </c>
      <c r="CT1119" s="4" t="s">
        <v>241</v>
      </c>
      <c r="CU1119" s="4">
        <v>5.6000000000000001E-2</v>
      </c>
      <c r="CV1119" s="4" t="s">
        <v>271</v>
      </c>
      <c r="CW1119" s="4" t="s">
        <v>415</v>
      </c>
      <c r="CX1119" s="4" t="s">
        <v>2517</v>
      </c>
      <c r="CY1119" s="6">
        <f>0</f>
        <v>0</v>
      </c>
      <c r="CZ1119" s="6">
        <f>2255000</f>
        <v>2255000</v>
      </c>
      <c r="DA1119" s="6">
        <f>2002440</f>
        <v>2002440</v>
      </c>
      <c r="DC1119" s="4" t="s">
        <v>241</v>
      </c>
      <c r="DD1119" s="4" t="s">
        <v>241</v>
      </c>
      <c r="DF1119" s="4" t="s">
        <v>241</v>
      </c>
      <c r="DG1119" s="6">
        <f>0</f>
        <v>0</v>
      </c>
      <c r="DI1119" s="4" t="s">
        <v>241</v>
      </c>
      <c r="DJ1119" s="4" t="s">
        <v>241</v>
      </c>
      <c r="DK1119" s="4" t="s">
        <v>241</v>
      </c>
      <c r="DL1119" s="4" t="s">
        <v>241</v>
      </c>
      <c r="DM1119" s="4" t="s">
        <v>278</v>
      </c>
      <c r="DN1119" s="4" t="s">
        <v>278</v>
      </c>
      <c r="DO1119" s="6" t="s">
        <v>241</v>
      </c>
      <c r="DP1119" s="4" t="s">
        <v>241</v>
      </c>
      <c r="DQ1119" s="4" t="s">
        <v>241</v>
      </c>
      <c r="DR1119" s="4" t="s">
        <v>241</v>
      </c>
      <c r="DS1119" s="4" t="s">
        <v>241</v>
      </c>
      <c r="DV1119" s="4" t="s">
        <v>1161</v>
      </c>
      <c r="DW1119" s="4" t="s">
        <v>336</v>
      </c>
      <c r="GN1119" s="4" t="s">
        <v>2518</v>
      </c>
      <c r="HO1119" s="4" t="s">
        <v>297</v>
      </c>
      <c r="HR1119" s="4" t="s">
        <v>278</v>
      </c>
      <c r="HS1119" s="4" t="s">
        <v>278</v>
      </c>
      <c r="HT1119" s="4" t="s">
        <v>241</v>
      </c>
      <c r="HU1119" s="4" t="s">
        <v>241</v>
      </c>
      <c r="HV1119" s="4" t="s">
        <v>241</v>
      </c>
      <c r="HW1119" s="4" t="s">
        <v>241</v>
      </c>
      <c r="HX1119" s="4" t="s">
        <v>241</v>
      </c>
      <c r="HY1119" s="4" t="s">
        <v>241</v>
      </c>
      <c r="HZ1119" s="4" t="s">
        <v>241</v>
      </c>
      <c r="IA1119" s="4" t="s">
        <v>241</v>
      </c>
      <c r="IB1119" s="4" t="s">
        <v>241</v>
      </c>
      <c r="IC1119" s="4" t="s">
        <v>241</v>
      </c>
      <c r="ID1119" s="4" t="s">
        <v>241</v>
      </c>
      <c r="IE1119" s="4" t="s">
        <v>241</v>
      </c>
      <c r="IF1119" s="4" t="s">
        <v>241</v>
      </c>
    </row>
    <row r="1120" spans="1:240" x14ac:dyDescent="0.4">
      <c r="A1120" s="4">
        <v>2</v>
      </c>
      <c r="B1120" s="4" t="s">
        <v>239</v>
      </c>
      <c r="C1120" s="4">
        <v>1419</v>
      </c>
      <c r="D1120" s="4">
        <v>1</v>
      </c>
      <c r="E1120" s="4">
        <v>3</v>
      </c>
      <c r="F1120" s="4" t="s">
        <v>326</v>
      </c>
      <c r="G1120" s="4" t="s">
        <v>241</v>
      </c>
      <c r="H1120" s="4" t="s">
        <v>241</v>
      </c>
      <c r="I1120" s="4" t="s">
        <v>1159</v>
      </c>
      <c r="J1120" s="4" t="s">
        <v>424</v>
      </c>
      <c r="K1120" s="4" t="s">
        <v>256</v>
      </c>
      <c r="L1120" s="4" t="s">
        <v>241</v>
      </c>
      <c r="M1120" s="5" t="s">
        <v>1160</v>
      </c>
      <c r="N1120" s="4" t="s">
        <v>2648</v>
      </c>
      <c r="O1120" s="6">
        <f>0</f>
        <v>0</v>
      </c>
      <c r="P1120" s="4" t="s">
        <v>276</v>
      </c>
      <c r="Q1120" s="6">
        <f>4690686</f>
        <v>4690686</v>
      </c>
      <c r="R1120" s="6">
        <f>5082000</f>
        <v>5082000</v>
      </c>
      <c r="S1120" s="5" t="s">
        <v>2669</v>
      </c>
      <c r="T1120" s="4" t="s">
        <v>322</v>
      </c>
      <c r="U1120" s="4" t="s">
        <v>278</v>
      </c>
      <c r="V1120" s="6">
        <f>5081999</f>
        <v>5081999</v>
      </c>
      <c r="W1120" s="6">
        <f>391314</f>
        <v>391314</v>
      </c>
      <c r="X1120" s="4" t="s">
        <v>243</v>
      </c>
      <c r="Y1120" s="4" t="s">
        <v>244</v>
      </c>
      <c r="Z1120" s="4" t="s">
        <v>241</v>
      </c>
      <c r="AA1120" s="4" t="s">
        <v>241</v>
      </c>
      <c r="AD1120" s="4" t="s">
        <v>241</v>
      </c>
      <c r="AE1120" s="5" t="s">
        <v>241</v>
      </c>
      <c r="AF1120" s="5" t="s">
        <v>241</v>
      </c>
      <c r="AH1120" s="5" t="s">
        <v>241</v>
      </c>
      <c r="AI1120" s="5" t="s">
        <v>249</v>
      </c>
      <c r="AJ1120" s="4" t="s">
        <v>251</v>
      </c>
      <c r="AK1120" s="4" t="s">
        <v>252</v>
      </c>
      <c r="AQ1120" s="4" t="s">
        <v>241</v>
      </c>
      <c r="AR1120" s="4" t="s">
        <v>241</v>
      </c>
      <c r="AS1120" s="4" t="s">
        <v>241</v>
      </c>
      <c r="AT1120" s="5" t="s">
        <v>241</v>
      </c>
      <c r="AU1120" s="5" t="s">
        <v>241</v>
      </c>
      <c r="AV1120" s="5" t="s">
        <v>241</v>
      </c>
      <c r="AY1120" s="4" t="s">
        <v>286</v>
      </c>
      <c r="AZ1120" s="4" t="s">
        <v>286</v>
      </c>
      <c r="BA1120" s="4" t="s">
        <v>254</v>
      </c>
      <c r="BB1120" s="4" t="s">
        <v>287</v>
      </c>
      <c r="BC1120" s="4" t="s">
        <v>255</v>
      </c>
      <c r="BD1120" s="4" t="s">
        <v>241</v>
      </c>
      <c r="BE1120" s="4" t="s">
        <v>257</v>
      </c>
      <c r="BF1120" s="4" t="s">
        <v>241</v>
      </c>
      <c r="BJ1120" s="4" t="s">
        <v>288</v>
      </c>
      <c r="BK1120" s="5" t="s">
        <v>289</v>
      </c>
      <c r="BL1120" s="4" t="s">
        <v>290</v>
      </c>
      <c r="BM1120" s="4" t="s">
        <v>290</v>
      </c>
      <c r="BN1120" s="4" t="s">
        <v>241</v>
      </c>
      <c r="BP1120" s="6">
        <f>-391314</f>
        <v>-391314</v>
      </c>
      <c r="BQ1120" s="4" t="s">
        <v>263</v>
      </c>
      <c r="BR1120" s="4" t="s">
        <v>264</v>
      </c>
      <c r="BS1120" s="4" t="s">
        <v>241</v>
      </c>
      <c r="BT1120" s="4" t="s">
        <v>241</v>
      </c>
      <c r="BU1120" s="4" t="s">
        <v>241</v>
      </c>
      <c r="BV1120" s="4" t="s">
        <v>241</v>
      </c>
      <c r="CE1120" s="4" t="s">
        <v>264</v>
      </c>
      <c r="CF1120" s="4" t="s">
        <v>241</v>
      </c>
      <c r="CG1120" s="4" t="s">
        <v>241</v>
      </c>
      <c r="CK1120" s="4" t="s">
        <v>291</v>
      </c>
      <c r="CL1120" s="4" t="s">
        <v>266</v>
      </c>
      <c r="CM1120" s="4" t="s">
        <v>241</v>
      </c>
      <c r="CO1120" s="4" t="s">
        <v>426</v>
      </c>
      <c r="CP1120" s="5" t="s">
        <v>268</v>
      </c>
      <c r="CQ1120" s="4" t="s">
        <v>269</v>
      </c>
      <c r="CR1120" s="4" t="s">
        <v>270</v>
      </c>
      <c r="CS1120" s="4" t="s">
        <v>293</v>
      </c>
      <c r="CT1120" s="4" t="s">
        <v>241</v>
      </c>
      <c r="CU1120" s="4">
        <v>7.6999999999999999E-2</v>
      </c>
      <c r="CV1120" s="4" t="s">
        <v>271</v>
      </c>
      <c r="CW1120" s="4" t="s">
        <v>415</v>
      </c>
      <c r="CX1120" s="4" t="s">
        <v>428</v>
      </c>
      <c r="CY1120" s="6">
        <f>0</f>
        <v>0</v>
      </c>
      <c r="CZ1120" s="6">
        <f>5082000</f>
        <v>5082000</v>
      </c>
      <c r="DA1120" s="6">
        <f>1</f>
        <v>1</v>
      </c>
      <c r="DC1120" s="4" t="s">
        <v>241</v>
      </c>
      <c r="DD1120" s="4" t="s">
        <v>241</v>
      </c>
      <c r="DF1120" s="4" t="s">
        <v>241</v>
      </c>
      <c r="DG1120" s="6">
        <f>0</f>
        <v>0</v>
      </c>
      <c r="DI1120" s="4" t="s">
        <v>241</v>
      </c>
      <c r="DJ1120" s="4" t="s">
        <v>241</v>
      </c>
      <c r="DK1120" s="4" t="s">
        <v>241</v>
      </c>
      <c r="DL1120" s="4" t="s">
        <v>241</v>
      </c>
      <c r="DM1120" s="4" t="s">
        <v>278</v>
      </c>
      <c r="DN1120" s="4" t="s">
        <v>278</v>
      </c>
      <c r="DO1120" s="6" t="s">
        <v>241</v>
      </c>
      <c r="DP1120" s="4" t="s">
        <v>241</v>
      </c>
      <c r="DQ1120" s="4" t="s">
        <v>241</v>
      </c>
      <c r="DR1120" s="4" t="s">
        <v>241</v>
      </c>
      <c r="DS1120" s="4" t="s">
        <v>241</v>
      </c>
      <c r="DV1120" s="4" t="s">
        <v>1161</v>
      </c>
      <c r="DW1120" s="4" t="s">
        <v>351</v>
      </c>
      <c r="GN1120" s="4" t="s">
        <v>2670</v>
      </c>
      <c r="HO1120" s="4" t="s">
        <v>323</v>
      </c>
      <c r="HR1120" s="4" t="s">
        <v>278</v>
      </c>
      <c r="HS1120" s="4" t="s">
        <v>278</v>
      </c>
      <c r="HT1120" s="4" t="s">
        <v>241</v>
      </c>
      <c r="HU1120" s="4" t="s">
        <v>241</v>
      </c>
      <c r="HV1120" s="4" t="s">
        <v>241</v>
      </c>
      <c r="HW1120" s="4" t="s">
        <v>241</v>
      </c>
      <c r="HX1120" s="4" t="s">
        <v>241</v>
      </c>
      <c r="HY1120" s="4" t="s">
        <v>241</v>
      </c>
      <c r="HZ1120" s="4" t="s">
        <v>241</v>
      </c>
      <c r="IA1120" s="4" t="s">
        <v>241</v>
      </c>
      <c r="IB1120" s="4" t="s">
        <v>241</v>
      </c>
      <c r="IC1120" s="4" t="s">
        <v>241</v>
      </c>
      <c r="ID1120" s="4" t="s">
        <v>241</v>
      </c>
      <c r="IE1120" s="4" t="s">
        <v>241</v>
      </c>
      <c r="IF1120" s="4" t="s">
        <v>241</v>
      </c>
    </row>
    <row r="1121" spans="1:240" x14ac:dyDescent="0.4">
      <c r="A1121" s="4">
        <v>2</v>
      </c>
      <c r="B1121" s="4" t="s">
        <v>239</v>
      </c>
      <c r="C1121" s="4">
        <v>1420</v>
      </c>
      <c r="D1121" s="4">
        <v>1</v>
      </c>
      <c r="E1121" s="4">
        <v>3</v>
      </c>
      <c r="F1121" s="4" t="s">
        <v>240</v>
      </c>
      <c r="G1121" s="4" t="s">
        <v>241</v>
      </c>
      <c r="H1121" s="4" t="s">
        <v>241</v>
      </c>
      <c r="I1121" s="4" t="s">
        <v>1114</v>
      </c>
      <c r="J1121" s="4" t="s">
        <v>424</v>
      </c>
      <c r="K1121" s="4" t="s">
        <v>256</v>
      </c>
      <c r="L1121" s="4" t="s">
        <v>1003</v>
      </c>
      <c r="M1121" s="5" t="s">
        <v>448</v>
      </c>
      <c r="N1121" s="4" t="s">
        <v>1003</v>
      </c>
      <c r="O1121" s="6">
        <f>4407</f>
        <v>4407</v>
      </c>
      <c r="P1121" s="4" t="s">
        <v>276</v>
      </c>
      <c r="Q1121" s="6">
        <f>604146816</f>
        <v>604146816</v>
      </c>
      <c r="R1121" s="6">
        <f>1573299000</f>
        <v>1573299000</v>
      </c>
      <c r="S1121" s="5" t="s">
        <v>354</v>
      </c>
      <c r="T1121" s="4" t="s">
        <v>668</v>
      </c>
      <c r="U1121" s="4" t="s">
        <v>358</v>
      </c>
      <c r="V1121" s="6">
        <f>34612578</f>
        <v>34612578</v>
      </c>
      <c r="W1121" s="6">
        <f>969152184</f>
        <v>969152184</v>
      </c>
      <c r="X1121" s="4" t="s">
        <v>243</v>
      </c>
      <c r="Y1121" s="4" t="s">
        <v>244</v>
      </c>
      <c r="Z1121" s="4" t="s">
        <v>465</v>
      </c>
      <c r="AA1121" s="4" t="s">
        <v>241</v>
      </c>
      <c r="AD1121" s="4" t="s">
        <v>241</v>
      </c>
      <c r="AE1121" s="5" t="s">
        <v>241</v>
      </c>
      <c r="AF1121" s="5" t="s">
        <v>241</v>
      </c>
      <c r="AH1121" s="5" t="s">
        <v>241</v>
      </c>
      <c r="AI1121" s="5" t="s">
        <v>249</v>
      </c>
      <c r="AJ1121" s="4" t="s">
        <v>251</v>
      </c>
      <c r="AK1121" s="4" t="s">
        <v>252</v>
      </c>
      <c r="AQ1121" s="4" t="s">
        <v>241</v>
      </c>
      <c r="AR1121" s="4" t="s">
        <v>241</v>
      </c>
      <c r="AS1121" s="4" t="s">
        <v>241</v>
      </c>
      <c r="AT1121" s="5" t="s">
        <v>241</v>
      </c>
      <c r="AU1121" s="5" t="s">
        <v>241</v>
      </c>
      <c r="AV1121" s="5" t="s">
        <v>241</v>
      </c>
      <c r="AY1121" s="4" t="s">
        <v>286</v>
      </c>
      <c r="AZ1121" s="4" t="s">
        <v>286</v>
      </c>
      <c r="BA1121" s="4" t="s">
        <v>254</v>
      </c>
      <c r="BB1121" s="4" t="s">
        <v>287</v>
      </c>
      <c r="BC1121" s="4" t="s">
        <v>255</v>
      </c>
      <c r="BD1121" s="4" t="s">
        <v>241</v>
      </c>
      <c r="BE1121" s="4" t="s">
        <v>257</v>
      </c>
      <c r="BF1121" s="4" t="s">
        <v>241</v>
      </c>
      <c r="BJ1121" s="4" t="s">
        <v>288</v>
      </c>
      <c r="BK1121" s="5" t="s">
        <v>289</v>
      </c>
      <c r="BL1121" s="4" t="s">
        <v>290</v>
      </c>
      <c r="BM1121" s="4" t="s">
        <v>290</v>
      </c>
      <c r="BN1121" s="4" t="s">
        <v>241</v>
      </c>
      <c r="BO1121" s="6">
        <f>0</f>
        <v>0</v>
      </c>
      <c r="BP1121" s="6">
        <f>-34612578</f>
        <v>-34612578</v>
      </c>
      <c r="BQ1121" s="4" t="s">
        <v>263</v>
      </c>
      <c r="BR1121" s="4" t="s">
        <v>264</v>
      </c>
      <c r="BS1121" s="4" t="s">
        <v>241</v>
      </c>
      <c r="BT1121" s="4" t="s">
        <v>241</v>
      </c>
      <c r="BU1121" s="4" t="s">
        <v>241</v>
      </c>
      <c r="BV1121" s="4" t="s">
        <v>241</v>
      </c>
      <c r="CE1121" s="4" t="s">
        <v>264</v>
      </c>
      <c r="CF1121" s="4" t="s">
        <v>241</v>
      </c>
      <c r="CG1121" s="4" t="s">
        <v>241</v>
      </c>
      <c r="CK1121" s="4" t="s">
        <v>291</v>
      </c>
      <c r="CL1121" s="4" t="s">
        <v>266</v>
      </c>
      <c r="CM1121" s="4" t="s">
        <v>241</v>
      </c>
      <c r="CO1121" s="4" t="s">
        <v>355</v>
      </c>
      <c r="CP1121" s="5" t="s">
        <v>268</v>
      </c>
      <c r="CQ1121" s="4" t="s">
        <v>269</v>
      </c>
      <c r="CR1121" s="4" t="s">
        <v>270</v>
      </c>
      <c r="CS1121" s="4" t="s">
        <v>293</v>
      </c>
      <c r="CT1121" s="4" t="s">
        <v>241</v>
      </c>
      <c r="CU1121" s="4">
        <v>2.1999999999999999E-2</v>
      </c>
      <c r="CV1121" s="4" t="s">
        <v>271</v>
      </c>
      <c r="CW1121" s="4" t="s">
        <v>1006</v>
      </c>
      <c r="CX1121" s="4" t="s">
        <v>295</v>
      </c>
      <c r="CY1121" s="6">
        <f>0</f>
        <v>0</v>
      </c>
      <c r="CZ1121" s="6">
        <f>1573299000</f>
        <v>1573299000</v>
      </c>
      <c r="DA1121" s="6">
        <f>604146816</f>
        <v>604146816</v>
      </c>
      <c r="DC1121" s="4" t="s">
        <v>241</v>
      </c>
      <c r="DD1121" s="4" t="s">
        <v>241</v>
      </c>
      <c r="DF1121" s="4" t="s">
        <v>241</v>
      </c>
      <c r="DG1121" s="6">
        <f>0</f>
        <v>0</v>
      </c>
      <c r="DI1121" s="4" t="s">
        <v>241</v>
      </c>
      <c r="DJ1121" s="4" t="s">
        <v>241</v>
      </c>
      <c r="DK1121" s="4" t="s">
        <v>241</v>
      </c>
      <c r="DL1121" s="4" t="s">
        <v>241</v>
      </c>
      <c r="DM1121" s="4" t="s">
        <v>277</v>
      </c>
      <c r="DN1121" s="4" t="s">
        <v>278</v>
      </c>
      <c r="DO1121" s="6">
        <f>4407</f>
        <v>4407</v>
      </c>
      <c r="DP1121" s="4" t="s">
        <v>241</v>
      </c>
      <c r="DQ1121" s="4" t="s">
        <v>241</v>
      </c>
      <c r="DR1121" s="4" t="s">
        <v>241</v>
      </c>
      <c r="DS1121" s="4" t="s">
        <v>241</v>
      </c>
      <c r="DV1121" s="4" t="s">
        <v>1115</v>
      </c>
      <c r="DW1121" s="4" t="s">
        <v>277</v>
      </c>
      <c r="GN1121" s="4" t="s">
        <v>1116</v>
      </c>
      <c r="HO1121" s="4" t="s">
        <v>300</v>
      </c>
      <c r="HR1121" s="4" t="s">
        <v>278</v>
      </c>
      <c r="HS1121" s="4" t="s">
        <v>278</v>
      </c>
      <c r="HT1121" s="4" t="s">
        <v>241</v>
      </c>
      <c r="HU1121" s="4" t="s">
        <v>241</v>
      </c>
      <c r="HV1121" s="4" t="s">
        <v>241</v>
      </c>
      <c r="HW1121" s="4" t="s">
        <v>241</v>
      </c>
      <c r="HX1121" s="4" t="s">
        <v>241</v>
      </c>
      <c r="HY1121" s="4" t="s">
        <v>241</v>
      </c>
      <c r="HZ1121" s="4" t="s">
        <v>241</v>
      </c>
      <c r="IA1121" s="4" t="s">
        <v>241</v>
      </c>
      <c r="IB1121" s="4" t="s">
        <v>241</v>
      </c>
      <c r="IC1121" s="4" t="s">
        <v>241</v>
      </c>
      <c r="ID1121" s="4" t="s">
        <v>241</v>
      </c>
      <c r="IE1121" s="4" t="s">
        <v>241</v>
      </c>
      <c r="IF1121" s="4" t="s">
        <v>241</v>
      </c>
    </row>
    <row r="1122" spans="1:240" x14ac:dyDescent="0.4">
      <c r="A1122" s="4">
        <v>2</v>
      </c>
      <c r="B1122" s="4" t="s">
        <v>239</v>
      </c>
      <c r="C1122" s="4">
        <v>1421</v>
      </c>
      <c r="D1122" s="4">
        <v>1</v>
      </c>
      <c r="E1122" s="4">
        <v>3</v>
      </c>
      <c r="F1122" s="4" t="s">
        <v>326</v>
      </c>
      <c r="G1122" s="4" t="s">
        <v>241</v>
      </c>
      <c r="H1122" s="4" t="s">
        <v>241</v>
      </c>
      <c r="I1122" s="4" t="s">
        <v>1114</v>
      </c>
      <c r="J1122" s="4" t="s">
        <v>424</v>
      </c>
      <c r="K1122" s="4" t="s">
        <v>256</v>
      </c>
      <c r="L1122" s="4" t="s">
        <v>241</v>
      </c>
      <c r="M1122" s="5" t="s">
        <v>448</v>
      </c>
      <c r="N1122" s="4" t="s">
        <v>2666</v>
      </c>
      <c r="O1122" s="6">
        <f>0</f>
        <v>0</v>
      </c>
      <c r="P1122" s="4" t="s">
        <v>276</v>
      </c>
      <c r="Q1122" s="6">
        <f>5918616</f>
        <v>5918616</v>
      </c>
      <c r="R1122" s="6">
        <f>6996000</f>
        <v>6996000</v>
      </c>
      <c r="S1122" s="5" t="s">
        <v>2667</v>
      </c>
      <c r="T1122" s="4" t="s">
        <v>322</v>
      </c>
      <c r="U1122" s="4" t="s">
        <v>277</v>
      </c>
      <c r="V1122" s="6">
        <f>538692</f>
        <v>538692</v>
      </c>
      <c r="W1122" s="6">
        <f>1077384</f>
        <v>1077384</v>
      </c>
      <c r="X1122" s="4" t="s">
        <v>243</v>
      </c>
      <c r="Y1122" s="4" t="s">
        <v>244</v>
      </c>
      <c r="Z1122" s="4" t="s">
        <v>241</v>
      </c>
      <c r="AA1122" s="4" t="s">
        <v>241</v>
      </c>
      <c r="AD1122" s="4" t="s">
        <v>241</v>
      </c>
      <c r="AE1122" s="5" t="s">
        <v>241</v>
      </c>
      <c r="AF1122" s="5" t="s">
        <v>241</v>
      </c>
      <c r="AH1122" s="5" t="s">
        <v>241</v>
      </c>
      <c r="AI1122" s="5" t="s">
        <v>249</v>
      </c>
      <c r="AJ1122" s="4" t="s">
        <v>251</v>
      </c>
      <c r="AK1122" s="4" t="s">
        <v>252</v>
      </c>
      <c r="AQ1122" s="4" t="s">
        <v>241</v>
      </c>
      <c r="AR1122" s="4" t="s">
        <v>241</v>
      </c>
      <c r="AS1122" s="4" t="s">
        <v>241</v>
      </c>
      <c r="AT1122" s="5" t="s">
        <v>241</v>
      </c>
      <c r="AU1122" s="5" t="s">
        <v>241</v>
      </c>
      <c r="AV1122" s="5" t="s">
        <v>241</v>
      </c>
      <c r="AY1122" s="4" t="s">
        <v>286</v>
      </c>
      <c r="AZ1122" s="4" t="s">
        <v>286</v>
      </c>
      <c r="BA1122" s="4" t="s">
        <v>254</v>
      </c>
      <c r="BB1122" s="4" t="s">
        <v>287</v>
      </c>
      <c r="BC1122" s="4" t="s">
        <v>255</v>
      </c>
      <c r="BD1122" s="4" t="s">
        <v>241</v>
      </c>
      <c r="BE1122" s="4" t="s">
        <v>257</v>
      </c>
      <c r="BF1122" s="4" t="s">
        <v>241</v>
      </c>
      <c r="BJ1122" s="4" t="s">
        <v>288</v>
      </c>
      <c r="BK1122" s="5" t="s">
        <v>289</v>
      </c>
      <c r="BL1122" s="4" t="s">
        <v>290</v>
      </c>
      <c r="BM1122" s="4" t="s">
        <v>290</v>
      </c>
      <c r="BN1122" s="4" t="s">
        <v>241</v>
      </c>
      <c r="BP1122" s="6">
        <f>-538692</f>
        <v>-538692</v>
      </c>
      <c r="BQ1122" s="4" t="s">
        <v>263</v>
      </c>
      <c r="BR1122" s="4" t="s">
        <v>264</v>
      </c>
      <c r="BS1122" s="4" t="s">
        <v>241</v>
      </c>
      <c r="BT1122" s="4" t="s">
        <v>241</v>
      </c>
      <c r="BU1122" s="4" t="s">
        <v>241</v>
      </c>
      <c r="BV1122" s="4" t="s">
        <v>241</v>
      </c>
      <c r="CE1122" s="4" t="s">
        <v>264</v>
      </c>
      <c r="CF1122" s="4" t="s">
        <v>241</v>
      </c>
      <c r="CG1122" s="4" t="s">
        <v>241</v>
      </c>
      <c r="CK1122" s="4" t="s">
        <v>291</v>
      </c>
      <c r="CL1122" s="4" t="s">
        <v>266</v>
      </c>
      <c r="CM1122" s="4" t="s">
        <v>241</v>
      </c>
      <c r="CO1122" s="4" t="s">
        <v>331</v>
      </c>
      <c r="CP1122" s="5" t="s">
        <v>268</v>
      </c>
      <c r="CQ1122" s="4" t="s">
        <v>269</v>
      </c>
      <c r="CR1122" s="4" t="s">
        <v>270</v>
      </c>
      <c r="CS1122" s="4" t="s">
        <v>293</v>
      </c>
      <c r="CT1122" s="4" t="s">
        <v>241</v>
      </c>
      <c r="CU1122" s="4">
        <v>7.6999999999999999E-2</v>
      </c>
      <c r="CV1122" s="4" t="s">
        <v>271</v>
      </c>
      <c r="CW1122" s="4" t="s">
        <v>415</v>
      </c>
      <c r="CX1122" s="4" t="s">
        <v>428</v>
      </c>
      <c r="CY1122" s="6">
        <f>0</f>
        <v>0</v>
      </c>
      <c r="CZ1122" s="6">
        <f>6996000</f>
        <v>6996000</v>
      </c>
      <c r="DA1122" s="6">
        <f>5918616</f>
        <v>5918616</v>
      </c>
      <c r="DC1122" s="4" t="s">
        <v>241</v>
      </c>
      <c r="DD1122" s="4" t="s">
        <v>241</v>
      </c>
      <c r="DF1122" s="4" t="s">
        <v>241</v>
      </c>
      <c r="DG1122" s="6">
        <f>0</f>
        <v>0</v>
      </c>
      <c r="DI1122" s="4" t="s">
        <v>241</v>
      </c>
      <c r="DJ1122" s="4" t="s">
        <v>241</v>
      </c>
      <c r="DK1122" s="4" t="s">
        <v>241</v>
      </c>
      <c r="DL1122" s="4" t="s">
        <v>241</v>
      </c>
      <c r="DM1122" s="4" t="s">
        <v>278</v>
      </c>
      <c r="DN1122" s="4" t="s">
        <v>278</v>
      </c>
      <c r="DO1122" s="6" t="s">
        <v>241</v>
      </c>
      <c r="DP1122" s="4" t="s">
        <v>241</v>
      </c>
      <c r="DQ1122" s="4" t="s">
        <v>241</v>
      </c>
      <c r="DR1122" s="4" t="s">
        <v>241</v>
      </c>
      <c r="DS1122" s="4" t="s">
        <v>241</v>
      </c>
      <c r="DV1122" s="4" t="s">
        <v>1115</v>
      </c>
      <c r="DW1122" s="4" t="s">
        <v>323</v>
      </c>
      <c r="GN1122" s="4" t="s">
        <v>2668</v>
      </c>
      <c r="HO1122" s="4" t="s">
        <v>297</v>
      </c>
      <c r="HR1122" s="4" t="s">
        <v>278</v>
      </c>
      <c r="HS1122" s="4" t="s">
        <v>278</v>
      </c>
      <c r="HT1122" s="4" t="s">
        <v>241</v>
      </c>
      <c r="HU1122" s="4" t="s">
        <v>241</v>
      </c>
      <c r="HV1122" s="4" t="s">
        <v>241</v>
      </c>
      <c r="HW1122" s="4" t="s">
        <v>241</v>
      </c>
      <c r="HX1122" s="4" t="s">
        <v>241</v>
      </c>
      <c r="HY1122" s="4" t="s">
        <v>241</v>
      </c>
      <c r="HZ1122" s="4" t="s">
        <v>241</v>
      </c>
      <c r="IA1122" s="4" t="s">
        <v>241</v>
      </c>
      <c r="IB1122" s="4" t="s">
        <v>241</v>
      </c>
      <c r="IC1122" s="4" t="s">
        <v>241</v>
      </c>
      <c r="ID1122" s="4" t="s">
        <v>241</v>
      </c>
      <c r="IE1122" s="4" t="s">
        <v>241</v>
      </c>
      <c r="IF1122" s="4" t="s">
        <v>241</v>
      </c>
    </row>
    <row r="1123" spans="1:240" x14ac:dyDescent="0.4">
      <c r="A1123" s="4">
        <v>2</v>
      </c>
      <c r="B1123" s="4" t="s">
        <v>239</v>
      </c>
      <c r="C1123" s="4">
        <v>1422</v>
      </c>
      <c r="D1123" s="4">
        <v>1</v>
      </c>
      <c r="E1123" s="4">
        <v>3</v>
      </c>
      <c r="F1123" s="4" t="s">
        <v>326</v>
      </c>
      <c r="G1123" s="4" t="s">
        <v>241</v>
      </c>
      <c r="H1123" s="4" t="s">
        <v>241</v>
      </c>
      <c r="I1123" s="4" t="s">
        <v>1114</v>
      </c>
      <c r="J1123" s="4" t="s">
        <v>424</v>
      </c>
      <c r="K1123" s="4" t="s">
        <v>256</v>
      </c>
      <c r="L1123" s="4" t="s">
        <v>241</v>
      </c>
      <c r="M1123" s="5" t="s">
        <v>448</v>
      </c>
      <c r="N1123" s="4" t="s">
        <v>2664</v>
      </c>
      <c r="O1123" s="6">
        <f>0</f>
        <v>0</v>
      </c>
      <c r="P1123" s="4" t="s">
        <v>276</v>
      </c>
      <c r="Q1123" s="6">
        <f>824670</f>
        <v>824670</v>
      </c>
      <c r="R1123" s="6">
        <f>935000</f>
        <v>935000</v>
      </c>
      <c r="S1123" s="5" t="s">
        <v>2543</v>
      </c>
      <c r="T1123" s="4" t="s">
        <v>401</v>
      </c>
      <c r="U1123" s="4" t="s">
        <v>277</v>
      </c>
      <c r="V1123" s="6">
        <f>55165</f>
        <v>55165</v>
      </c>
      <c r="W1123" s="6">
        <f>110330</f>
        <v>110330</v>
      </c>
      <c r="X1123" s="4" t="s">
        <v>243</v>
      </c>
      <c r="Y1123" s="4" t="s">
        <v>244</v>
      </c>
      <c r="Z1123" s="4" t="s">
        <v>241</v>
      </c>
      <c r="AA1123" s="4" t="s">
        <v>241</v>
      </c>
      <c r="AD1123" s="4" t="s">
        <v>241</v>
      </c>
      <c r="AE1123" s="5" t="s">
        <v>241</v>
      </c>
      <c r="AF1123" s="5" t="s">
        <v>241</v>
      </c>
      <c r="AH1123" s="5" t="s">
        <v>241</v>
      </c>
      <c r="AI1123" s="5" t="s">
        <v>249</v>
      </c>
      <c r="AJ1123" s="4" t="s">
        <v>251</v>
      </c>
      <c r="AK1123" s="4" t="s">
        <v>252</v>
      </c>
      <c r="AQ1123" s="4" t="s">
        <v>241</v>
      </c>
      <c r="AR1123" s="4" t="s">
        <v>241</v>
      </c>
      <c r="AS1123" s="4" t="s">
        <v>241</v>
      </c>
      <c r="AT1123" s="5" t="s">
        <v>241</v>
      </c>
      <c r="AU1123" s="5" t="s">
        <v>241</v>
      </c>
      <c r="AV1123" s="5" t="s">
        <v>241</v>
      </c>
      <c r="AY1123" s="4" t="s">
        <v>286</v>
      </c>
      <c r="AZ1123" s="4" t="s">
        <v>286</v>
      </c>
      <c r="BA1123" s="4" t="s">
        <v>254</v>
      </c>
      <c r="BB1123" s="4" t="s">
        <v>287</v>
      </c>
      <c r="BC1123" s="4" t="s">
        <v>255</v>
      </c>
      <c r="BD1123" s="4" t="s">
        <v>241</v>
      </c>
      <c r="BE1123" s="4" t="s">
        <v>257</v>
      </c>
      <c r="BF1123" s="4" t="s">
        <v>241</v>
      </c>
      <c r="BJ1123" s="4" t="s">
        <v>288</v>
      </c>
      <c r="BK1123" s="5" t="s">
        <v>289</v>
      </c>
      <c r="BL1123" s="4" t="s">
        <v>290</v>
      </c>
      <c r="BM1123" s="4" t="s">
        <v>290</v>
      </c>
      <c r="BN1123" s="4" t="s">
        <v>241</v>
      </c>
      <c r="BP1123" s="6">
        <f>-55165</f>
        <v>-55165</v>
      </c>
      <c r="BQ1123" s="4" t="s">
        <v>263</v>
      </c>
      <c r="BR1123" s="4" t="s">
        <v>264</v>
      </c>
      <c r="BS1123" s="4" t="s">
        <v>241</v>
      </c>
      <c r="BT1123" s="4" t="s">
        <v>241</v>
      </c>
      <c r="BU1123" s="4" t="s">
        <v>241</v>
      </c>
      <c r="BV1123" s="4" t="s">
        <v>241</v>
      </c>
      <c r="CE1123" s="4" t="s">
        <v>264</v>
      </c>
      <c r="CF1123" s="4" t="s">
        <v>241</v>
      </c>
      <c r="CG1123" s="4" t="s">
        <v>241</v>
      </c>
      <c r="CK1123" s="4" t="s">
        <v>291</v>
      </c>
      <c r="CL1123" s="4" t="s">
        <v>266</v>
      </c>
      <c r="CM1123" s="4" t="s">
        <v>241</v>
      </c>
      <c r="CO1123" s="4" t="s">
        <v>331</v>
      </c>
      <c r="CP1123" s="5" t="s">
        <v>268</v>
      </c>
      <c r="CQ1123" s="4" t="s">
        <v>269</v>
      </c>
      <c r="CR1123" s="4" t="s">
        <v>270</v>
      </c>
      <c r="CS1123" s="4" t="s">
        <v>293</v>
      </c>
      <c r="CT1123" s="4" t="s">
        <v>241</v>
      </c>
      <c r="CU1123" s="4">
        <v>5.8999999999999997E-2</v>
      </c>
      <c r="CV1123" s="4" t="s">
        <v>271</v>
      </c>
      <c r="CW1123" s="4" t="s">
        <v>415</v>
      </c>
      <c r="CX1123" s="4" t="s">
        <v>2633</v>
      </c>
      <c r="CY1123" s="6">
        <f>0</f>
        <v>0</v>
      </c>
      <c r="CZ1123" s="6">
        <f>935000</f>
        <v>935000</v>
      </c>
      <c r="DA1123" s="6">
        <f>824670</f>
        <v>824670</v>
      </c>
      <c r="DC1123" s="4" t="s">
        <v>241</v>
      </c>
      <c r="DD1123" s="4" t="s">
        <v>241</v>
      </c>
      <c r="DF1123" s="4" t="s">
        <v>241</v>
      </c>
      <c r="DG1123" s="6">
        <f>0</f>
        <v>0</v>
      </c>
      <c r="DI1123" s="4" t="s">
        <v>241</v>
      </c>
      <c r="DJ1123" s="4" t="s">
        <v>241</v>
      </c>
      <c r="DK1123" s="4" t="s">
        <v>241</v>
      </c>
      <c r="DL1123" s="4" t="s">
        <v>241</v>
      </c>
      <c r="DM1123" s="4" t="s">
        <v>278</v>
      </c>
      <c r="DN1123" s="4" t="s">
        <v>278</v>
      </c>
      <c r="DO1123" s="6" t="s">
        <v>241</v>
      </c>
      <c r="DP1123" s="4" t="s">
        <v>241</v>
      </c>
      <c r="DQ1123" s="4" t="s">
        <v>241</v>
      </c>
      <c r="DR1123" s="4" t="s">
        <v>241</v>
      </c>
      <c r="DS1123" s="4" t="s">
        <v>241</v>
      </c>
      <c r="DV1123" s="4" t="s">
        <v>1115</v>
      </c>
      <c r="DW1123" s="4" t="s">
        <v>297</v>
      </c>
      <c r="GN1123" s="4" t="s">
        <v>2665</v>
      </c>
      <c r="HO1123" s="4" t="s">
        <v>297</v>
      </c>
      <c r="HR1123" s="4" t="s">
        <v>278</v>
      </c>
      <c r="HS1123" s="4" t="s">
        <v>278</v>
      </c>
      <c r="HT1123" s="4" t="s">
        <v>241</v>
      </c>
      <c r="HU1123" s="4" t="s">
        <v>241</v>
      </c>
      <c r="HV1123" s="4" t="s">
        <v>241</v>
      </c>
      <c r="HW1123" s="4" t="s">
        <v>241</v>
      </c>
      <c r="HX1123" s="4" t="s">
        <v>241</v>
      </c>
      <c r="HY1123" s="4" t="s">
        <v>241</v>
      </c>
      <c r="HZ1123" s="4" t="s">
        <v>241</v>
      </c>
      <c r="IA1123" s="4" t="s">
        <v>241</v>
      </c>
      <c r="IB1123" s="4" t="s">
        <v>241</v>
      </c>
      <c r="IC1123" s="4" t="s">
        <v>241</v>
      </c>
      <c r="ID1123" s="4" t="s">
        <v>241</v>
      </c>
      <c r="IE1123" s="4" t="s">
        <v>241</v>
      </c>
      <c r="IF1123" s="4" t="s">
        <v>241</v>
      </c>
    </row>
    <row r="1124" spans="1:240" x14ac:dyDescent="0.4">
      <c r="A1124" s="4">
        <v>2</v>
      </c>
      <c r="B1124" s="4" t="s">
        <v>239</v>
      </c>
      <c r="C1124" s="4">
        <v>1423</v>
      </c>
      <c r="D1124" s="4">
        <v>1</v>
      </c>
      <c r="E1124" s="4">
        <v>3</v>
      </c>
      <c r="F1124" s="4" t="s">
        <v>326</v>
      </c>
      <c r="G1124" s="4" t="s">
        <v>241</v>
      </c>
      <c r="H1124" s="4" t="s">
        <v>241</v>
      </c>
      <c r="I1124" s="4" t="s">
        <v>1114</v>
      </c>
      <c r="J1124" s="4" t="s">
        <v>424</v>
      </c>
      <c r="K1124" s="4" t="s">
        <v>256</v>
      </c>
      <c r="L1124" s="4" t="s">
        <v>241</v>
      </c>
      <c r="M1124" s="5" t="s">
        <v>448</v>
      </c>
      <c r="N1124" s="4" t="s">
        <v>2662</v>
      </c>
      <c r="O1124" s="6">
        <f>0</f>
        <v>0</v>
      </c>
      <c r="P1124" s="4" t="s">
        <v>276</v>
      </c>
      <c r="Q1124" s="6">
        <f>1203125</f>
        <v>1203125</v>
      </c>
      <c r="R1124" s="6">
        <f>1375000</f>
        <v>1375000</v>
      </c>
      <c r="S1124" s="5" t="s">
        <v>1717</v>
      </c>
      <c r="T1124" s="4" t="s">
        <v>343</v>
      </c>
      <c r="U1124" s="4" t="s">
        <v>278</v>
      </c>
      <c r="V1124" s="6">
        <f>1374999</f>
        <v>1374999</v>
      </c>
      <c r="W1124" s="6">
        <f>171875</f>
        <v>171875</v>
      </c>
      <c r="X1124" s="4" t="s">
        <v>243</v>
      </c>
      <c r="Y1124" s="4" t="s">
        <v>244</v>
      </c>
      <c r="Z1124" s="4" t="s">
        <v>241</v>
      </c>
      <c r="AA1124" s="4" t="s">
        <v>241</v>
      </c>
      <c r="AD1124" s="4" t="s">
        <v>241</v>
      </c>
      <c r="AE1124" s="5" t="s">
        <v>241</v>
      </c>
      <c r="AF1124" s="5" t="s">
        <v>241</v>
      </c>
      <c r="AH1124" s="5" t="s">
        <v>241</v>
      </c>
      <c r="AI1124" s="5" t="s">
        <v>249</v>
      </c>
      <c r="AJ1124" s="4" t="s">
        <v>251</v>
      </c>
      <c r="AK1124" s="4" t="s">
        <v>252</v>
      </c>
      <c r="AQ1124" s="4" t="s">
        <v>241</v>
      </c>
      <c r="AR1124" s="4" t="s">
        <v>241</v>
      </c>
      <c r="AS1124" s="4" t="s">
        <v>241</v>
      </c>
      <c r="AT1124" s="5" t="s">
        <v>241</v>
      </c>
      <c r="AU1124" s="5" t="s">
        <v>241</v>
      </c>
      <c r="AV1124" s="5" t="s">
        <v>241</v>
      </c>
      <c r="AY1124" s="4" t="s">
        <v>286</v>
      </c>
      <c r="AZ1124" s="4" t="s">
        <v>286</v>
      </c>
      <c r="BA1124" s="4" t="s">
        <v>254</v>
      </c>
      <c r="BB1124" s="4" t="s">
        <v>287</v>
      </c>
      <c r="BC1124" s="4" t="s">
        <v>255</v>
      </c>
      <c r="BD1124" s="4" t="s">
        <v>241</v>
      </c>
      <c r="BE1124" s="4" t="s">
        <v>257</v>
      </c>
      <c r="BF1124" s="4" t="s">
        <v>241</v>
      </c>
      <c r="BJ1124" s="4" t="s">
        <v>288</v>
      </c>
      <c r="BK1124" s="5" t="s">
        <v>289</v>
      </c>
      <c r="BL1124" s="4" t="s">
        <v>290</v>
      </c>
      <c r="BM1124" s="4" t="s">
        <v>290</v>
      </c>
      <c r="BN1124" s="4" t="s">
        <v>241</v>
      </c>
      <c r="BP1124" s="6">
        <f>-171875</f>
        <v>-171875</v>
      </c>
      <c r="BQ1124" s="4" t="s">
        <v>263</v>
      </c>
      <c r="BR1124" s="4" t="s">
        <v>264</v>
      </c>
      <c r="BS1124" s="4" t="s">
        <v>241</v>
      </c>
      <c r="BT1124" s="4" t="s">
        <v>241</v>
      </c>
      <c r="BU1124" s="4" t="s">
        <v>241</v>
      </c>
      <c r="BV1124" s="4" t="s">
        <v>241</v>
      </c>
      <c r="CE1124" s="4" t="s">
        <v>264</v>
      </c>
      <c r="CF1124" s="4" t="s">
        <v>241</v>
      </c>
      <c r="CG1124" s="4" t="s">
        <v>241</v>
      </c>
      <c r="CK1124" s="4" t="s">
        <v>291</v>
      </c>
      <c r="CL1124" s="4" t="s">
        <v>266</v>
      </c>
      <c r="CM1124" s="4" t="s">
        <v>241</v>
      </c>
      <c r="CO1124" s="4" t="s">
        <v>426</v>
      </c>
      <c r="CP1124" s="5" t="s">
        <v>268</v>
      </c>
      <c r="CQ1124" s="4" t="s">
        <v>269</v>
      </c>
      <c r="CR1124" s="4" t="s">
        <v>270</v>
      </c>
      <c r="CS1124" s="4" t="s">
        <v>293</v>
      </c>
      <c r="CT1124" s="4" t="s">
        <v>241</v>
      </c>
      <c r="CU1124" s="4">
        <v>0.125</v>
      </c>
      <c r="CV1124" s="4" t="s">
        <v>271</v>
      </c>
      <c r="CW1124" s="4" t="s">
        <v>415</v>
      </c>
      <c r="CX1124" s="4" t="s">
        <v>2643</v>
      </c>
      <c r="CY1124" s="6">
        <f>0</f>
        <v>0</v>
      </c>
      <c r="CZ1124" s="6">
        <f>1375000</f>
        <v>1375000</v>
      </c>
      <c r="DA1124" s="6">
        <f>1</f>
        <v>1</v>
      </c>
      <c r="DC1124" s="4" t="s">
        <v>241</v>
      </c>
      <c r="DD1124" s="4" t="s">
        <v>241</v>
      </c>
      <c r="DF1124" s="4" t="s">
        <v>241</v>
      </c>
      <c r="DG1124" s="6">
        <f>0</f>
        <v>0</v>
      </c>
      <c r="DI1124" s="4" t="s">
        <v>241</v>
      </c>
      <c r="DJ1124" s="4" t="s">
        <v>241</v>
      </c>
      <c r="DK1124" s="4" t="s">
        <v>241</v>
      </c>
      <c r="DL1124" s="4" t="s">
        <v>241</v>
      </c>
      <c r="DM1124" s="4" t="s">
        <v>278</v>
      </c>
      <c r="DN1124" s="4" t="s">
        <v>278</v>
      </c>
      <c r="DO1124" s="6" t="s">
        <v>241</v>
      </c>
      <c r="DP1124" s="4" t="s">
        <v>241</v>
      </c>
      <c r="DQ1124" s="4" t="s">
        <v>241</v>
      </c>
      <c r="DR1124" s="4" t="s">
        <v>241</v>
      </c>
      <c r="DS1124" s="4" t="s">
        <v>241</v>
      </c>
      <c r="DV1124" s="4" t="s">
        <v>1115</v>
      </c>
      <c r="DW1124" s="4" t="s">
        <v>336</v>
      </c>
      <c r="GN1124" s="4" t="s">
        <v>2663</v>
      </c>
      <c r="HO1124" s="4" t="s">
        <v>323</v>
      </c>
      <c r="HR1124" s="4" t="s">
        <v>278</v>
      </c>
      <c r="HS1124" s="4" t="s">
        <v>278</v>
      </c>
      <c r="HT1124" s="4" t="s">
        <v>241</v>
      </c>
      <c r="HU1124" s="4" t="s">
        <v>241</v>
      </c>
      <c r="HV1124" s="4" t="s">
        <v>241</v>
      </c>
      <c r="HW1124" s="4" t="s">
        <v>241</v>
      </c>
      <c r="HX1124" s="4" t="s">
        <v>241</v>
      </c>
      <c r="HY1124" s="4" t="s">
        <v>241</v>
      </c>
      <c r="HZ1124" s="4" t="s">
        <v>241</v>
      </c>
      <c r="IA1124" s="4" t="s">
        <v>241</v>
      </c>
      <c r="IB1124" s="4" t="s">
        <v>241</v>
      </c>
      <c r="IC1124" s="4" t="s">
        <v>241</v>
      </c>
      <c r="ID1124" s="4" t="s">
        <v>241</v>
      </c>
      <c r="IE1124" s="4" t="s">
        <v>241</v>
      </c>
      <c r="IF1124" s="4" t="s">
        <v>241</v>
      </c>
    </row>
    <row r="1125" spans="1:240" x14ac:dyDescent="0.4">
      <c r="A1125" s="4">
        <v>2</v>
      </c>
      <c r="B1125" s="4" t="s">
        <v>239</v>
      </c>
      <c r="C1125" s="4">
        <v>1424</v>
      </c>
      <c r="D1125" s="4">
        <v>1</v>
      </c>
      <c r="E1125" s="4">
        <v>1</v>
      </c>
      <c r="F1125" s="4" t="s">
        <v>240</v>
      </c>
      <c r="G1125" s="4" t="s">
        <v>241</v>
      </c>
      <c r="H1125" s="4" t="s">
        <v>241</v>
      </c>
      <c r="I1125" s="4" t="s">
        <v>1056</v>
      </c>
      <c r="J1125" s="4" t="s">
        <v>424</v>
      </c>
      <c r="K1125" s="4" t="s">
        <v>256</v>
      </c>
      <c r="L1125" s="4" t="s">
        <v>1003</v>
      </c>
      <c r="M1125" s="5" t="s">
        <v>1057</v>
      </c>
      <c r="N1125" s="4" t="s">
        <v>1003</v>
      </c>
      <c r="O1125" s="6">
        <f>1031</f>
        <v>1031</v>
      </c>
      <c r="P1125" s="4" t="s">
        <v>276</v>
      </c>
      <c r="Q1125" s="6">
        <f>1</f>
        <v>1</v>
      </c>
      <c r="R1125" s="6">
        <f>92790000</f>
        <v>92790000</v>
      </c>
      <c r="S1125" s="5" t="s">
        <v>366</v>
      </c>
      <c r="T1125" s="4" t="s">
        <v>357</v>
      </c>
      <c r="U1125" s="4" t="s">
        <v>333</v>
      </c>
      <c r="W1125" s="6">
        <f>92789999</f>
        <v>92789999</v>
      </c>
      <c r="X1125" s="4" t="s">
        <v>243</v>
      </c>
      <c r="Y1125" s="4" t="s">
        <v>244</v>
      </c>
      <c r="Z1125" s="4" t="s">
        <v>465</v>
      </c>
      <c r="AA1125" s="4" t="s">
        <v>241</v>
      </c>
      <c r="AD1125" s="4" t="s">
        <v>241</v>
      </c>
      <c r="AF1125" s="5" t="s">
        <v>241</v>
      </c>
      <c r="AI1125" s="5" t="s">
        <v>249</v>
      </c>
      <c r="AJ1125" s="4" t="s">
        <v>251</v>
      </c>
      <c r="AK1125" s="4" t="s">
        <v>252</v>
      </c>
      <c r="BA1125" s="4" t="s">
        <v>254</v>
      </c>
      <c r="BB1125" s="4" t="s">
        <v>241</v>
      </c>
      <c r="BC1125" s="4" t="s">
        <v>255</v>
      </c>
      <c r="BD1125" s="4" t="s">
        <v>241</v>
      </c>
      <c r="BE1125" s="4" t="s">
        <v>257</v>
      </c>
      <c r="BF1125" s="4" t="s">
        <v>241</v>
      </c>
      <c r="BJ1125" s="4" t="s">
        <v>367</v>
      </c>
      <c r="BK1125" s="5" t="s">
        <v>249</v>
      </c>
      <c r="BL1125" s="4" t="s">
        <v>261</v>
      </c>
      <c r="BM1125" s="4" t="s">
        <v>262</v>
      </c>
      <c r="BN1125" s="4" t="s">
        <v>241</v>
      </c>
      <c r="BO1125" s="6">
        <f>0</f>
        <v>0</v>
      </c>
      <c r="BP1125" s="6">
        <f>0</f>
        <v>0</v>
      </c>
      <c r="BQ1125" s="4" t="s">
        <v>263</v>
      </c>
      <c r="BR1125" s="4" t="s">
        <v>264</v>
      </c>
      <c r="CF1125" s="4" t="s">
        <v>241</v>
      </c>
      <c r="CG1125" s="4" t="s">
        <v>241</v>
      </c>
      <c r="CK1125" s="4" t="s">
        <v>265</v>
      </c>
      <c r="CL1125" s="4" t="s">
        <v>266</v>
      </c>
      <c r="CM1125" s="4" t="s">
        <v>241</v>
      </c>
      <c r="CO1125" s="4" t="s">
        <v>368</v>
      </c>
      <c r="CP1125" s="5" t="s">
        <v>268</v>
      </c>
      <c r="CQ1125" s="4" t="s">
        <v>269</v>
      </c>
      <c r="CR1125" s="4" t="s">
        <v>270</v>
      </c>
      <c r="CS1125" s="4" t="s">
        <v>241</v>
      </c>
      <c r="CT1125" s="4" t="s">
        <v>241</v>
      </c>
      <c r="CU1125" s="4">
        <v>0</v>
      </c>
      <c r="CV1125" s="4" t="s">
        <v>271</v>
      </c>
      <c r="CW1125" s="4" t="s">
        <v>1006</v>
      </c>
      <c r="CX1125" s="4" t="s">
        <v>487</v>
      </c>
      <c r="CZ1125" s="6">
        <f>92790000</f>
        <v>92790000</v>
      </c>
      <c r="DA1125" s="6">
        <f>0</f>
        <v>0</v>
      </c>
      <c r="DC1125" s="4" t="s">
        <v>241</v>
      </c>
      <c r="DD1125" s="4" t="s">
        <v>241</v>
      </c>
      <c r="DF1125" s="4" t="s">
        <v>241</v>
      </c>
      <c r="DI1125" s="4" t="s">
        <v>241</v>
      </c>
      <c r="DJ1125" s="4" t="s">
        <v>241</v>
      </c>
      <c r="DK1125" s="4" t="s">
        <v>241</v>
      </c>
      <c r="DL1125" s="4" t="s">
        <v>241</v>
      </c>
      <c r="DM1125" s="4" t="s">
        <v>277</v>
      </c>
      <c r="DN1125" s="4" t="s">
        <v>278</v>
      </c>
      <c r="DO1125" s="6">
        <f>1031</f>
        <v>1031</v>
      </c>
      <c r="DP1125" s="4" t="s">
        <v>241</v>
      </c>
      <c r="DQ1125" s="4" t="s">
        <v>241</v>
      </c>
      <c r="DR1125" s="4" t="s">
        <v>241</v>
      </c>
      <c r="DS1125" s="4" t="s">
        <v>241</v>
      </c>
      <c r="DV1125" s="4" t="s">
        <v>1058</v>
      </c>
      <c r="DW1125" s="4" t="s">
        <v>277</v>
      </c>
      <c r="HO1125" s="4" t="s">
        <v>277</v>
      </c>
      <c r="HR1125" s="4" t="s">
        <v>278</v>
      </c>
      <c r="HS1125" s="4" t="s">
        <v>278</v>
      </c>
    </row>
    <row r="1126" spans="1:240" x14ac:dyDescent="0.4">
      <c r="A1126" s="4">
        <v>2</v>
      </c>
      <c r="B1126" s="4" t="s">
        <v>239</v>
      </c>
      <c r="C1126" s="4">
        <v>1425</v>
      </c>
      <c r="D1126" s="4">
        <v>1</v>
      </c>
      <c r="E1126" s="4">
        <v>1</v>
      </c>
      <c r="F1126" s="4" t="s">
        <v>240</v>
      </c>
      <c r="G1126" s="4" t="s">
        <v>241</v>
      </c>
      <c r="H1126" s="4" t="s">
        <v>241</v>
      </c>
      <c r="I1126" s="4" t="s">
        <v>1074</v>
      </c>
      <c r="J1126" s="4" t="s">
        <v>424</v>
      </c>
      <c r="K1126" s="4" t="s">
        <v>256</v>
      </c>
      <c r="L1126" s="4" t="s">
        <v>1003</v>
      </c>
      <c r="M1126" s="5" t="s">
        <v>1075</v>
      </c>
      <c r="N1126" s="4" t="s">
        <v>1003</v>
      </c>
      <c r="O1126" s="6">
        <f>803</f>
        <v>803</v>
      </c>
      <c r="P1126" s="4" t="s">
        <v>276</v>
      </c>
      <c r="Q1126" s="6">
        <f>1</f>
        <v>1</v>
      </c>
      <c r="R1126" s="6">
        <f>72270000</f>
        <v>72270000</v>
      </c>
      <c r="S1126" s="5" t="s">
        <v>1045</v>
      </c>
      <c r="T1126" s="4" t="s">
        <v>357</v>
      </c>
      <c r="U1126" s="4" t="s">
        <v>357</v>
      </c>
      <c r="W1126" s="6">
        <f>72269999</f>
        <v>72269999</v>
      </c>
      <c r="X1126" s="4" t="s">
        <v>243</v>
      </c>
      <c r="Y1126" s="4" t="s">
        <v>244</v>
      </c>
      <c r="Z1126" s="4" t="s">
        <v>465</v>
      </c>
      <c r="AA1126" s="4" t="s">
        <v>241</v>
      </c>
      <c r="AD1126" s="4" t="s">
        <v>241</v>
      </c>
      <c r="AF1126" s="5" t="s">
        <v>241</v>
      </c>
      <c r="AI1126" s="5" t="s">
        <v>249</v>
      </c>
      <c r="AJ1126" s="4" t="s">
        <v>251</v>
      </c>
      <c r="AK1126" s="4" t="s">
        <v>252</v>
      </c>
      <c r="BA1126" s="4" t="s">
        <v>254</v>
      </c>
      <c r="BB1126" s="4" t="s">
        <v>241</v>
      </c>
      <c r="BC1126" s="4" t="s">
        <v>255</v>
      </c>
      <c r="BD1126" s="4" t="s">
        <v>241</v>
      </c>
      <c r="BE1126" s="4" t="s">
        <v>257</v>
      </c>
      <c r="BF1126" s="4" t="s">
        <v>241</v>
      </c>
      <c r="BJ1126" s="4" t="s">
        <v>367</v>
      </c>
      <c r="BK1126" s="5" t="s">
        <v>249</v>
      </c>
      <c r="BL1126" s="4" t="s">
        <v>261</v>
      </c>
      <c r="BM1126" s="4" t="s">
        <v>290</v>
      </c>
      <c r="BN1126" s="4" t="s">
        <v>241</v>
      </c>
      <c r="BO1126" s="6">
        <f>0</f>
        <v>0</v>
      </c>
      <c r="BP1126" s="6">
        <f>0</f>
        <v>0</v>
      </c>
      <c r="BQ1126" s="4" t="s">
        <v>263</v>
      </c>
      <c r="BR1126" s="4" t="s">
        <v>264</v>
      </c>
      <c r="CF1126" s="4" t="s">
        <v>241</v>
      </c>
      <c r="CG1126" s="4" t="s">
        <v>241</v>
      </c>
      <c r="CK1126" s="4" t="s">
        <v>265</v>
      </c>
      <c r="CL1126" s="4" t="s">
        <v>266</v>
      </c>
      <c r="CM1126" s="4" t="s">
        <v>241</v>
      </c>
      <c r="CO1126" s="4" t="s">
        <v>724</v>
      </c>
      <c r="CP1126" s="5" t="s">
        <v>268</v>
      </c>
      <c r="CQ1126" s="4" t="s">
        <v>269</v>
      </c>
      <c r="CR1126" s="4" t="s">
        <v>270</v>
      </c>
      <c r="CS1126" s="4" t="s">
        <v>241</v>
      </c>
      <c r="CT1126" s="4" t="s">
        <v>241</v>
      </c>
      <c r="CU1126" s="4">
        <v>0</v>
      </c>
      <c r="CV1126" s="4" t="s">
        <v>271</v>
      </c>
      <c r="CW1126" s="4" t="s">
        <v>1006</v>
      </c>
      <c r="CX1126" s="4" t="s">
        <v>487</v>
      </c>
      <c r="CZ1126" s="6">
        <f>72270000</f>
        <v>72270000</v>
      </c>
      <c r="DA1126" s="6">
        <f>0</f>
        <v>0</v>
      </c>
      <c r="DC1126" s="4" t="s">
        <v>241</v>
      </c>
      <c r="DD1126" s="4" t="s">
        <v>241</v>
      </c>
      <c r="DF1126" s="4" t="s">
        <v>241</v>
      </c>
      <c r="DI1126" s="4" t="s">
        <v>241</v>
      </c>
      <c r="DJ1126" s="4" t="s">
        <v>241</v>
      </c>
      <c r="DK1126" s="4" t="s">
        <v>241</v>
      </c>
      <c r="DL1126" s="4" t="s">
        <v>241</v>
      </c>
      <c r="DM1126" s="4" t="s">
        <v>277</v>
      </c>
      <c r="DN1126" s="4" t="s">
        <v>278</v>
      </c>
      <c r="DO1126" s="6">
        <f>803</f>
        <v>803</v>
      </c>
      <c r="DP1126" s="4" t="s">
        <v>241</v>
      </c>
      <c r="DQ1126" s="4" t="s">
        <v>241</v>
      </c>
      <c r="DR1126" s="4" t="s">
        <v>241</v>
      </c>
      <c r="DS1126" s="4" t="s">
        <v>241</v>
      </c>
      <c r="DV1126" s="4" t="s">
        <v>1076</v>
      </c>
      <c r="DW1126" s="4" t="s">
        <v>277</v>
      </c>
      <c r="HO1126" s="4" t="s">
        <v>336</v>
      </c>
      <c r="HR1126" s="4" t="s">
        <v>278</v>
      </c>
      <c r="HS1126" s="4" t="s">
        <v>278</v>
      </c>
    </row>
    <row r="1127" spans="1:240" x14ac:dyDescent="0.4">
      <c r="A1127" s="4">
        <v>2</v>
      </c>
      <c r="B1127" s="4" t="s">
        <v>239</v>
      </c>
      <c r="C1127" s="4">
        <v>1426</v>
      </c>
      <c r="D1127" s="4">
        <v>1</v>
      </c>
      <c r="E1127" s="4">
        <v>3</v>
      </c>
      <c r="F1127" s="4" t="s">
        <v>240</v>
      </c>
      <c r="G1127" s="4" t="s">
        <v>241</v>
      </c>
      <c r="H1127" s="4" t="s">
        <v>241</v>
      </c>
      <c r="I1127" s="4" t="s">
        <v>1063</v>
      </c>
      <c r="J1127" s="4" t="s">
        <v>424</v>
      </c>
      <c r="K1127" s="4" t="s">
        <v>256</v>
      </c>
      <c r="L1127" s="4" t="s">
        <v>1003</v>
      </c>
      <c r="M1127" s="5" t="s">
        <v>304</v>
      </c>
      <c r="N1127" s="4" t="s">
        <v>1003</v>
      </c>
      <c r="O1127" s="6">
        <f>1529.57</f>
        <v>1529.57</v>
      </c>
      <c r="P1127" s="4" t="s">
        <v>276</v>
      </c>
      <c r="Q1127" s="6">
        <f>33038720</f>
        <v>33038720</v>
      </c>
      <c r="R1127" s="6">
        <f>275322600</f>
        <v>275322600</v>
      </c>
      <c r="S1127" s="5" t="s">
        <v>381</v>
      </c>
      <c r="T1127" s="4" t="s">
        <v>668</v>
      </c>
      <c r="U1127" s="4" t="s">
        <v>393</v>
      </c>
      <c r="V1127" s="6">
        <f>6057097</f>
        <v>6057097</v>
      </c>
      <c r="W1127" s="6">
        <f>242283880</f>
        <v>242283880</v>
      </c>
      <c r="X1127" s="4" t="s">
        <v>243</v>
      </c>
      <c r="Y1127" s="4" t="s">
        <v>244</v>
      </c>
      <c r="Z1127" s="4" t="s">
        <v>465</v>
      </c>
      <c r="AA1127" s="4" t="s">
        <v>241</v>
      </c>
      <c r="AD1127" s="4" t="s">
        <v>241</v>
      </c>
      <c r="AE1127" s="5" t="s">
        <v>241</v>
      </c>
      <c r="AF1127" s="5" t="s">
        <v>241</v>
      </c>
      <c r="AH1127" s="5" t="s">
        <v>241</v>
      </c>
      <c r="AI1127" s="5" t="s">
        <v>249</v>
      </c>
      <c r="AJ1127" s="4" t="s">
        <v>251</v>
      </c>
      <c r="AK1127" s="4" t="s">
        <v>252</v>
      </c>
      <c r="AQ1127" s="4" t="s">
        <v>241</v>
      </c>
      <c r="AR1127" s="4" t="s">
        <v>241</v>
      </c>
      <c r="AS1127" s="4" t="s">
        <v>241</v>
      </c>
      <c r="AT1127" s="5" t="s">
        <v>241</v>
      </c>
      <c r="AU1127" s="5" t="s">
        <v>241</v>
      </c>
      <c r="AV1127" s="5" t="s">
        <v>241</v>
      </c>
      <c r="AY1127" s="4" t="s">
        <v>286</v>
      </c>
      <c r="AZ1127" s="4" t="s">
        <v>286</v>
      </c>
      <c r="BA1127" s="4" t="s">
        <v>254</v>
      </c>
      <c r="BB1127" s="4" t="s">
        <v>287</v>
      </c>
      <c r="BC1127" s="4" t="s">
        <v>255</v>
      </c>
      <c r="BD1127" s="4" t="s">
        <v>241</v>
      </c>
      <c r="BE1127" s="4" t="s">
        <v>257</v>
      </c>
      <c r="BF1127" s="4" t="s">
        <v>241</v>
      </c>
      <c r="BJ1127" s="4" t="s">
        <v>288</v>
      </c>
      <c r="BK1127" s="5" t="s">
        <v>289</v>
      </c>
      <c r="BL1127" s="4" t="s">
        <v>290</v>
      </c>
      <c r="BM1127" s="4" t="s">
        <v>290</v>
      </c>
      <c r="BN1127" s="4" t="s">
        <v>241</v>
      </c>
      <c r="BO1127" s="6">
        <f>0</f>
        <v>0</v>
      </c>
      <c r="BP1127" s="6">
        <f>-6057097</f>
        <v>-6057097</v>
      </c>
      <c r="BQ1127" s="4" t="s">
        <v>263</v>
      </c>
      <c r="BR1127" s="4" t="s">
        <v>264</v>
      </c>
      <c r="BS1127" s="4" t="s">
        <v>241</v>
      </c>
      <c r="BT1127" s="4" t="s">
        <v>241</v>
      </c>
      <c r="BU1127" s="4" t="s">
        <v>241</v>
      </c>
      <c r="BV1127" s="4" t="s">
        <v>241</v>
      </c>
      <c r="CE1127" s="4" t="s">
        <v>264</v>
      </c>
      <c r="CF1127" s="4" t="s">
        <v>241</v>
      </c>
      <c r="CG1127" s="4" t="s">
        <v>241</v>
      </c>
      <c r="CK1127" s="4" t="s">
        <v>265</v>
      </c>
      <c r="CL1127" s="4" t="s">
        <v>266</v>
      </c>
      <c r="CM1127" s="4" t="s">
        <v>241</v>
      </c>
      <c r="CO1127" s="4" t="s">
        <v>382</v>
      </c>
      <c r="CP1127" s="5" t="s">
        <v>268</v>
      </c>
      <c r="CQ1127" s="4" t="s">
        <v>269</v>
      </c>
      <c r="CR1127" s="4" t="s">
        <v>270</v>
      </c>
      <c r="CS1127" s="4" t="s">
        <v>293</v>
      </c>
      <c r="CT1127" s="4" t="s">
        <v>241</v>
      </c>
      <c r="CU1127" s="4">
        <v>2.1999999999999999E-2</v>
      </c>
      <c r="CV1127" s="4" t="s">
        <v>271</v>
      </c>
      <c r="CW1127" s="4" t="s">
        <v>1006</v>
      </c>
      <c r="CX1127" s="4" t="s">
        <v>295</v>
      </c>
      <c r="CY1127" s="6">
        <f>0</f>
        <v>0</v>
      </c>
      <c r="CZ1127" s="6">
        <f>275322600</f>
        <v>275322600</v>
      </c>
      <c r="DA1127" s="6">
        <f>33038720</f>
        <v>33038720</v>
      </c>
      <c r="DC1127" s="4" t="s">
        <v>241</v>
      </c>
      <c r="DD1127" s="4" t="s">
        <v>241</v>
      </c>
      <c r="DF1127" s="4" t="s">
        <v>241</v>
      </c>
      <c r="DG1127" s="6">
        <f>0</f>
        <v>0</v>
      </c>
      <c r="DI1127" s="4" t="s">
        <v>241</v>
      </c>
      <c r="DJ1127" s="4" t="s">
        <v>241</v>
      </c>
      <c r="DK1127" s="4" t="s">
        <v>241</v>
      </c>
      <c r="DL1127" s="4" t="s">
        <v>241</v>
      </c>
      <c r="DM1127" s="4" t="s">
        <v>277</v>
      </c>
      <c r="DN1127" s="4" t="s">
        <v>278</v>
      </c>
      <c r="DO1127" s="6">
        <f>1529.57</f>
        <v>1529.57</v>
      </c>
      <c r="DP1127" s="4" t="s">
        <v>241</v>
      </c>
      <c r="DQ1127" s="4" t="s">
        <v>241</v>
      </c>
      <c r="DR1127" s="4" t="s">
        <v>241</v>
      </c>
      <c r="DS1127" s="4" t="s">
        <v>241</v>
      </c>
      <c r="DV1127" s="4" t="s">
        <v>1066</v>
      </c>
      <c r="DW1127" s="4" t="s">
        <v>277</v>
      </c>
      <c r="GN1127" s="4" t="s">
        <v>1107</v>
      </c>
      <c r="HO1127" s="4" t="s">
        <v>300</v>
      </c>
      <c r="HR1127" s="4" t="s">
        <v>278</v>
      </c>
      <c r="HS1127" s="4" t="s">
        <v>278</v>
      </c>
      <c r="HT1127" s="4" t="s">
        <v>241</v>
      </c>
      <c r="HU1127" s="4" t="s">
        <v>241</v>
      </c>
      <c r="HV1127" s="4" t="s">
        <v>241</v>
      </c>
      <c r="HW1127" s="4" t="s">
        <v>241</v>
      </c>
      <c r="HX1127" s="4" t="s">
        <v>241</v>
      </c>
      <c r="HY1127" s="4" t="s">
        <v>241</v>
      </c>
      <c r="HZ1127" s="4" t="s">
        <v>241</v>
      </c>
      <c r="IA1127" s="4" t="s">
        <v>241</v>
      </c>
      <c r="IB1127" s="4" t="s">
        <v>241</v>
      </c>
      <c r="IC1127" s="4" t="s">
        <v>241</v>
      </c>
      <c r="ID1127" s="4" t="s">
        <v>241</v>
      </c>
      <c r="IE1127" s="4" t="s">
        <v>241</v>
      </c>
      <c r="IF1127" s="4" t="s">
        <v>241</v>
      </c>
    </row>
    <row r="1128" spans="1:240" x14ac:dyDescent="0.4">
      <c r="A1128" s="4">
        <v>2</v>
      </c>
      <c r="B1128" s="4" t="s">
        <v>239</v>
      </c>
      <c r="C1128" s="4">
        <v>1427</v>
      </c>
      <c r="D1128" s="4">
        <v>1</v>
      </c>
      <c r="E1128" s="4">
        <v>3</v>
      </c>
      <c r="F1128" s="4" t="s">
        <v>326</v>
      </c>
      <c r="G1128" s="4" t="s">
        <v>241</v>
      </c>
      <c r="H1128" s="4" t="s">
        <v>241</v>
      </c>
      <c r="I1128" s="4" t="s">
        <v>1063</v>
      </c>
      <c r="J1128" s="4" t="s">
        <v>424</v>
      </c>
      <c r="K1128" s="4" t="s">
        <v>256</v>
      </c>
      <c r="L1128" s="4" t="s">
        <v>1065</v>
      </c>
      <c r="M1128" s="5" t="s">
        <v>304</v>
      </c>
      <c r="N1128" s="4" t="s">
        <v>1062</v>
      </c>
      <c r="O1128" s="6">
        <f>0</f>
        <v>0</v>
      </c>
      <c r="P1128" s="4" t="s">
        <v>276</v>
      </c>
      <c r="Q1128" s="6">
        <f>25195280</f>
        <v>25195280</v>
      </c>
      <c r="R1128" s="6">
        <f>27626400</f>
        <v>27626400</v>
      </c>
      <c r="S1128" s="5" t="s">
        <v>1064</v>
      </c>
      <c r="T1128" s="4" t="s">
        <v>668</v>
      </c>
      <c r="U1128" s="4" t="s">
        <v>297</v>
      </c>
      <c r="V1128" s="6">
        <f>607780</f>
        <v>607780</v>
      </c>
      <c r="W1128" s="6">
        <f>2431120</f>
        <v>2431120</v>
      </c>
      <c r="X1128" s="4" t="s">
        <v>243</v>
      </c>
      <c r="Y1128" s="4" t="s">
        <v>244</v>
      </c>
      <c r="Z1128" s="4" t="s">
        <v>465</v>
      </c>
      <c r="AA1128" s="4" t="s">
        <v>241</v>
      </c>
      <c r="AD1128" s="4" t="s">
        <v>241</v>
      </c>
      <c r="AE1128" s="5" t="s">
        <v>241</v>
      </c>
      <c r="AF1128" s="5" t="s">
        <v>241</v>
      </c>
      <c r="AH1128" s="5" t="s">
        <v>241</v>
      </c>
      <c r="AI1128" s="5" t="s">
        <v>249</v>
      </c>
      <c r="AJ1128" s="4" t="s">
        <v>251</v>
      </c>
      <c r="AK1128" s="4" t="s">
        <v>252</v>
      </c>
      <c r="AQ1128" s="4" t="s">
        <v>241</v>
      </c>
      <c r="AR1128" s="4" t="s">
        <v>241</v>
      </c>
      <c r="AS1128" s="4" t="s">
        <v>241</v>
      </c>
      <c r="AT1128" s="5" t="s">
        <v>241</v>
      </c>
      <c r="AU1128" s="5" t="s">
        <v>241</v>
      </c>
      <c r="AV1128" s="5" t="s">
        <v>241</v>
      </c>
      <c r="AY1128" s="4" t="s">
        <v>286</v>
      </c>
      <c r="AZ1128" s="4" t="s">
        <v>286</v>
      </c>
      <c r="BA1128" s="4" t="s">
        <v>254</v>
      </c>
      <c r="BB1128" s="4" t="s">
        <v>287</v>
      </c>
      <c r="BC1128" s="4" t="s">
        <v>255</v>
      </c>
      <c r="BD1128" s="4" t="s">
        <v>241</v>
      </c>
      <c r="BE1128" s="4" t="s">
        <v>257</v>
      </c>
      <c r="BF1128" s="4" t="s">
        <v>241</v>
      </c>
      <c r="BJ1128" s="4" t="s">
        <v>288</v>
      </c>
      <c r="BK1128" s="5" t="s">
        <v>289</v>
      </c>
      <c r="BL1128" s="4" t="s">
        <v>290</v>
      </c>
      <c r="BM1128" s="4" t="s">
        <v>290</v>
      </c>
      <c r="BN1128" s="4" t="s">
        <v>241</v>
      </c>
      <c r="BP1128" s="6">
        <f>-607780</f>
        <v>-607780</v>
      </c>
      <c r="BQ1128" s="4" t="s">
        <v>263</v>
      </c>
      <c r="BR1128" s="4" t="s">
        <v>264</v>
      </c>
      <c r="BS1128" s="4" t="s">
        <v>241</v>
      </c>
      <c r="BT1128" s="4" t="s">
        <v>241</v>
      </c>
      <c r="BU1128" s="4" t="s">
        <v>241</v>
      </c>
      <c r="BV1128" s="4" t="s">
        <v>241</v>
      </c>
      <c r="CE1128" s="4" t="s">
        <v>264</v>
      </c>
      <c r="CF1128" s="4" t="s">
        <v>241</v>
      </c>
      <c r="CG1128" s="4" t="s">
        <v>241</v>
      </c>
      <c r="CK1128" s="4" t="s">
        <v>291</v>
      </c>
      <c r="CL1128" s="4" t="s">
        <v>266</v>
      </c>
      <c r="CM1128" s="4" t="s">
        <v>241</v>
      </c>
      <c r="CO1128" s="4" t="s">
        <v>413</v>
      </c>
      <c r="CP1128" s="5" t="s">
        <v>268</v>
      </c>
      <c r="CQ1128" s="4" t="s">
        <v>269</v>
      </c>
      <c r="CR1128" s="4" t="s">
        <v>270</v>
      </c>
      <c r="CS1128" s="4" t="s">
        <v>293</v>
      </c>
      <c r="CT1128" s="4" t="s">
        <v>241</v>
      </c>
      <c r="CU1128" s="4">
        <v>2.1999999999999999E-2</v>
      </c>
      <c r="CV1128" s="4" t="s">
        <v>271</v>
      </c>
      <c r="CW1128" s="4" t="s">
        <v>1006</v>
      </c>
      <c r="CX1128" s="4" t="s">
        <v>295</v>
      </c>
      <c r="CY1128" s="6">
        <f>0</f>
        <v>0</v>
      </c>
      <c r="CZ1128" s="6">
        <f>27626400</f>
        <v>27626400</v>
      </c>
      <c r="DA1128" s="6">
        <f>25195280</f>
        <v>25195280</v>
      </c>
      <c r="DC1128" s="4" t="s">
        <v>241</v>
      </c>
      <c r="DD1128" s="4" t="s">
        <v>241</v>
      </c>
      <c r="DF1128" s="4" t="s">
        <v>241</v>
      </c>
      <c r="DG1128" s="6">
        <f>0</f>
        <v>0</v>
      </c>
      <c r="DI1128" s="4" t="s">
        <v>241</v>
      </c>
      <c r="DJ1128" s="4" t="s">
        <v>241</v>
      </c>
      <c r="DK1128" s="4" t="s">
        <v>241</v>
      </c>
      <c r="DL1128" s="4" t="s">
        <v>241</v>
      </c>
      <c r="DM1128" s="4" t="s">
        <v>278</v>
      </c>
      <c r="DN1128" s="4" t="s">
        <v>278</v>
      </c>
      <c r="DO1128" s="6" t="s">
        <v>241</v>
      </c>
      <c r="DP1128" s="4" t="s">
        <v>241</v>
      </c>
      <c r="DQ1128" s="4" t="s">
        <v>241</v>
      </c>
      <c r="DR1128" s="4" t="s">
        <v>241</v>
      </c>
      <c r="DS1128" s="4" t="s">
        <v>241</v>
      </c>
      <c r="DV1128" s="4" t="s">
        <v>1066</v>
      </c>
      <c r="DW1128" s="4" t="s">
        <v>323</v>
      </c>
      <c r="GN1128" s="4" t="s">
        <v>1067</v>
      </c>
      <c r="HO1128" s="4" t="s">
        <v>351</v>
      </c>
      <c r="HR1128" s="4" t="s">
        <v>278</v>
      </c>
      <c r="HS1128" s="4" t="s">
        <v>278</v>
      </c>
      <c r="HT1128" s="4" t="s">
        <v>241</v>
      </c>
      <c r="HU1128" s="4" t="s">
        <v>241</v>
      </c>
      <c r="HV1128" s="4" t="s">
        <v>241</v>
      </c>
      <c r="HW1128" s="4" t="s">
        <v>241</v>
      </c>
      <c r="HX1128" s="4" t="s">
        <v>241</v>
      </c>
      <c r="HY1128" s="4" t="s">
        <v>241</v>
      </c>
      <c r="HZ1128" s="4" t="s">
        <v>241</v>
      </c>
      <c r="IA1128" s="4" t="s">
        <v>241</v>
      </c>
      <c r="IB1128" s="4" t="s">
        <v>241</v>
      </c>
      <c r="IC1128" s="4" t="s">
        <v>241</v>
      </c>
      <c r="ID1128" s="4" t="s">
        <v>241</v>
      </c>
      <c r="IE1128" s="4" t="s">
        <v>241</v>
      </c>
      <c r="IF1128" s="4" t="s">
        <v>241</v>
      </c>
    </row>
    <row r="1129" spans="1:240" x14ac:dyDescent="0.4">
      <c r="A1129" s="4">
        <v>2</v>
      </c>
      <c r="B1129" s="4" t="s">
        <v>239</v>
      </c>
      <c r="C1129" s="4">
        <v>1428</v>
      </c>
      <c r="D1129" s="4">
        <v>1</v>
      </c>
      <c r="E1129" s="4">
        <v>3</v>
      </c>
      <c r="F1129" s="4" t="s">
        <v>240</v>
      </c>
      <c r="G1129" s="4" t="s">
        <v>241</v>
      </c>
      <c r="H1129" s="4" t="s">
        <v>241</v>
      </c>
      <c r="I1129" s="4" t="s">
        <v>1044</v>
      </c>
      <c r="J1129" s="4" t="s">
        <v>424</v>
      </c>
      <c r="K1129" s="4" t="s">
        <v>256</v>
      </c>
      <c r="L1129" s="4" t="s">
        <v>1003</v>
      </c>
      <c r="M1129" s="5" t="s">
        <v>1046</v>
      </c>
      <c r="N1129" s="4" t="s">
        <v>1003</v>
      </c>
      <c r="O1129" s="6">
        <f>1257.93</f>
        <v>1257.93</v>
      </c>
      <c r="P1129" s="4" t="s">
        <v>276</v>
      </c>
      <c r="Q1129" s="6">
        <f>42115526</f>
        <v>42115526</v>
      </c>
      <c r="R1129" s="6">
        <f>226427400</f>
        <v>226427400</v>
      </c>
      <c r="S1129" s="5" t="s">
        <v>1045</v>
      </c>
      <c r="T1129" s="4" t="s">
        <v>668</v>
      </c>
      <c r="U1129" s="4" t="s">
        <v>1042</v>
      </c>
      <c r="V1129" s="6">
        <f>4981402</f>
        <v>4981402</v>
      </c>
      <c r="W1129" s="6">
        <f>184311874</f>
        <v>184311874</v>
      </c>
      <c r="X1129" s="4" t="s">
        <v>243</v>
      </c>
      <c r="Y1129" s="4" t="s">
        <v>244</v>
      </c>
      <c r="Z1129" s="4" t="s">
        <v>465</v>
      </c>
      <c r="AA1129" s="4" t="s">
        <v>241</v>
      </c>
      <c r="AD1129" s="4" t="s">
        <v>241</v>
      </c>
      <c r="AE1129" s="5" t="s">
        <v>241</v>
      </c>
      <c r="AF1129" s="5" t="s">
        <v>241</v>
      </c>
      <c r="AH1129" s="5" t="s">
        <v>241</v>
      </c>
      <c r="AI1129" s="5" t="s">
        <v>249</v>
      </c>
      <c r="AJ1129" s="4" t="s">
        <v>251</v>
      </c>
      <c r="AK1129" s="4" t="s">
        <v>252</v>
      </c>
      <c r="AQ1129" s="4" t="s">
        <v>241</v>
      </c>
      <c r="AR1129" s="4" t="s">
        <v>241</v>
      </c>
      <c r="AS1129" s="4" t="s">
        <v>241</v>
      </c>
      <c r="AT1129" s="5" t="s">
        <v>241</v>
      </c>
      <c r="AU1129" s="5" t="s">
        <v>241</v>
      </c>
      <c r="AV1129" s="5" t="s">
        <v>241</v>
      </c>
      <c r="AY1129" s="4" t="s">
        <v>286</v>
      </c>
      <c r="AZ1129" s="4" t="s">
        <v>286</v>
      </c>
      <c r="BA1129" s="4" t="s">
        <v>254</v>
      </c>
      <c r="BB1129" s="4" t="s">
        <v>287</v>
      </c>
      <c r="BC1129" s="4" t="s">
        <v>255</v>
      </c>
      <c r="BD1129" s="4" t="s">
        <v>241</v>
      </c>
      <c r="BE1129" s="4" t="s">
        <v>257</v>
      </c>
      <c r="BF1129" s="4" t="s">
        <v>241</v>
      </c>
      <c r="BH1129" s="4" t="s">
        <v>500</v>
      </c>
      <c r="BJ1129" s="4" t="s">
        <v>288</v>
      </c>
      <c r="BK1129" s="5" t="s">
        <v>289</v>
      </c>
      <c r="BL1129" s="4" t="s">
        <v>290</v>
      </c>
      <c r="BM1129" s="4" t="s">
        <v>290</v>
      </c>
      <c r="BN1129" s="4" t="s">
        <v>241</v>
      </c>
      <c r="BO1129" s="6">
        <f>0</f>
        <v>0</v>
      </c>
      <c r="BP1129" s="6">
        <f>-4981402</f>
        <v>-4981402</v>
      </c>
      <c r="BQ1129" s="4" t="s">
        <v>263</v>
      </c>
      <c r="BR1129" s="4" t="s">
        <v>264</v>
      </c>
      <c r="BS1129" s="4" t="s">
        <v>241</v>
      </c>
      <c r="BT1129" s="4" t="s">
        <v>241</v>
      </c>
      <c r="BU1129" s="4" t="s">
        <v>241</v>
      </c>
      <c r="BV1129" s="4" t="s">
        <v>241</v>
      </c>
      <c r="CE1129" s="4" t="s">
        <v>264</v>
      </c>
      <c r="CF1129" s="4" t="s">
        <v>241</v>
      </c>
      <c r="CG1129" s="4" t="s">
        <v>241</v>
      </c>
      <c r="CK1129" s="4" t="s">
        <v>265</v>
      </c>
      <c r="CL1129" s="4" t="s">
        <v>266</v>
      </c>
      <c r="CM1129" s="4" t="s">
        <v>241</v>
      </c>
      <c r="CO1129" s="4" t="s">
        <v>724</v>
      </c>
      <c r="CP1129" s="5" t="s">
        <v>268</v>
      </c>
      <c r="CQ1129" s="4" t="s">
        <v>269</v>
      </c>
      <c r="CR1129" s="4" t="s">
        <v>270</v>
      </c>
      <c r="CS1129" s="4" t="s">
        <v>293</v>
      </c>
      <c r="CT1129" s="4" t="s">
        <v>241</v>
      </c>
      <c r="CU1129" s="4">
        <v>2.1999999999999999E-2</v>
      </c>
      <c r="CV1129" s="4" t="s">
        <v>271</v>
      </c>
      <c r="CW1129" s="4" t="s">
        <v>1006</v>
      </c>
      <c r="CX1129" s="4" t="s">
        <v>295</v>
      </c>
      <c r="CY1129" s="6">
        <f>0</f>
        <v>0</v>
      </c>
      <c r="CZ1129" s="6">
        <f>226427400</f>
        <v>226427400</v>
      </c>
      <c r="DA1129" s="6">
        <f>42115526</f>
        <v>42115526</v>
      </c>
      <c r="DC1129" s="4" t="s">
        <v>241</v>
      </c>
      <c r="DD1129" s="4" t="s">
        <v>241</v>
      </c>
      <c r="DF1129" s="4" t="s">
        <v>241</v>
      </c>
      <c r="DG1129" s="6">
        <f>0</f>
        <v>0</v>
      </c>
      <c r="DI1129" s="4" t="s">
        <v>241</v>
      </c>
      <c r="DJ1129" s="4" t="s">
        <v>241</v>
      </c>
      <c r="DK1129" s="4" t="s">
        <v>241</v>
      </c>
      <c r="DL1129" s="4" t="s">
        <v>241</v>
      </c>
      <c r="DM1129" s="4" t="s">
        <v>277</v>
      </c>
      <c r="DN1129" s="4" t="s">
        <v>278</v>
      </c>
      <c r="DO1129" s="6">
        <f>1257.93</f>
        <v>1257.93</v>
      </c>
      <c r="DP1129" s="4" t="s">
        <v>241</v>
      </c>
      <c r="DQ1129" s="4" t="s">
        <v>241</v>
      </c>
      <c r="DR1129" s="4" t="s">
        <v>241</v>
      </c>
      <c r="DS1129" s="4" t="s">
        <v>241</v>
      </c>
      <c r="DV1129" s="4" t="s">
        <v>1047</v>
      </c>
      <c r="DW1129" s="4" t="s">
        <v>277</v>
      </c>
      <c r="GN1129" s="4" t="s">
        <v>1059</v>
      </c>
      <c r="HO1129" s="4" t="s">
        <v>300</v>
      </c>
      <c r="HR1129" s="4" t="s">
        <v>278</v>
      </c>
      <c r="HS1129" s="4" t="s">
        <v>278</v>
      </c>
      <c r="HT1129" s="4" t="s">
        <v>241</v>
      </c>
      <c r="HU1129" s="4" t="s">
        <v>241</v>
      </c>
      <c r="HV1129" s="4" t="s">
        <v>241</v>
      </c>
      <c r="HW1129" s="4" t="s">
        <v>241</v>
      </c>
      <c r="HX1129" s="4" t="s">
        <v>241</v>
      </c>
      <c r="HY1129" s="4" t="s">
        <v>241</v>
      </c>
      <c r="HZ1129" s="4" t="s">
        <v>241</v>
      </c>
      <c r="IA1129" s="4" t="s">
        <v>241</v>
      </c>
      <c r="IB1129" s="4" t="s">
        <v>241</v>
      </c>
      <c r="IC1129" s="4" t="s">
        <v>241</v>
      </c>
      <c r="ID1129" s="4" t="s">
        <v>241</v>
      </c>
      <c r="IE1129" s="4" t="s">
        <v>241</v>
      </c>
      <c r="IF1129" s="4" t="s">
        <v>241</v>
      </c>
    </row>
    <row r="1130" spans="1:240" x14ac:dyDescent="0.4">
      <c r="A1130" s="4">
        <v>2</v>
      </c>
      <c r="B1130" s="4" t="s">
        <v>239</v>
      </c>
      <c r="C1130" s="4">
        <v>1429</v>
      </c>
      <c r="D1130" s="4">
        <v>1</v>
      </c>
      <c r="E1130" s="4">
        <v>3</v>
      </c>
      <c r="F1130" s="4" t="s">
        <v>240</v>
      </c>
      <c r="G1130" s="4" t="s">
        <v>241</v>
      </c>
      <c r="H1130" s="4" t="s">
        <v>241</v>
      </c>
      <c r="I1130" s="4" t="s">
        <v>1044</v>
      </c>
      <c r="J1130" s="4" t="s">
        <v>424</v>
      </c>
      <c r="K1130" s="4" t="s">
        <v>256</v>
      </c>
      <c r="L1130" s="4" t="s">
        <v>1003</v>
      </c>
      <c r="M1130" s="5" t="s">
        <v>1046</v>
      </c>
      <c r="N1130" s="4" t="s">
        <v>1003</v>
      </c>
      <c r="O1130" s="6">
        <f>15.54</f>
        <v>15.54</v>
      </c>
      <c r="P1130" s="4" t="s">
        <v>276</v>
      </c>
      <c r="Q1130" s="6">
        <f>1813</f>
        <v>1813</v>
      </c>
      <c r="R1130" s="6">
        <f>1787100</f>
        <v>1787100</v>
      </c>
      <c r="S1130" s="5" t="s">
        <v>1045</v>
      </c>
      <c r="T1130" s="4" t="s">
        <v>333</v>
      </c>
      <c r="U1130" s="4" t="s">
        <v>1042</v>
      </c>
      <c r="V1130" s="6">
        <f>48251</f>
        <v>48251</v>
      </c>
      <c r="W1130" s="6">
        <f>1785287</f>
        <v>1785287</v>
      </c>
      <c r="X1130" s="4" t="s">
        <v>243</v>
      </c>
      <c r="Y1130" s="4" t="s">
        <v>244</v>
      </c>
      <c r="Z1130" s="4" t="s">
        <v>465</v>
      </c>
      <c r="AA1130" s="4" t="s">
        <v>241</v>
      </c>
      <c r="AD1130" s="4" t="s">
        <v>241</v>
      </c>
      <c r="AE1130" s="5" t="s">
        <v>241</v>
      </c>
      <c r="AF1130" s="5" t="s">
        <v>241</v>
      </c>
      <c r="AH1130" s="5" t="s">
        <v>241</v>
      </c>
      <c r="AI1130" s="5" t="s">
        <v>249</v>
      </c>
      <c r="AJ1130" s="4" t="s">
        <v>251</v>
      </c>
      <c r="AK1130" s="4" t="s">
        <v>252</v>
      </c>
      <c r="AQ1130" s="4" t="s">
        <v>241</v>
      </c>
      <c r="AR1130" s="4" t="s">
        <v>241</v>
      </c>
      <c r="AS1130" s="4" t="s">
        <v>241</v>
      </c>
      <c r="AT1130" s="5" t="s">
        <v>241</v>
      </c>
      <c r="AU1130" s="5" t="s">
        <v>241</v>
      </c>
      <c r="AV1130" s="5" t="s">
        <v>241</v>
      </c>
      <c r="AY1130" s="4" t="s">
        <v>286</v>
      </c>
      <c r="AZ1130" s="4" t="s">
        <v>286</v>
      </c>
      <c r="BA1130" s="4" t="s">
        <v>254</v>
      </c>
      <c r="BB1130" s="4" t="s">
        <v>287</v>
      </c>
      <c r="BC1130" s="4" t="s">
        <v>255</v>
      </c>
      <c r="BD1130" s="4" t="s">
        <v>241</v>
      </c>
      <c r="BE1130" s="4" t="s">
        <v>257</v>
      </c>
      <c r="BF1130" s="4" t="s">
        <v>241</v>
      </c>
      <c r="BJ1130" s="4" t="s">
        <v>288</v>
      </c>
      <c r="BK1130" s="5" t="s">
        <v>289</v>
      </c>
      <c r="BL1130" s="4" t="s">
        <v>290</v>
      </c>
      <c r="BM1130" s="4" t="s">
        <v>290</v>
      </c>
      <c r="BN1130" s="4" t="s">
        <v>241</v>
      </c>
      <c r="BO1130" s="6">
        <f>0</f>
        <v>0</v>
      </c>
      <c r="BP1130" s="6">
        <f>-48251</f>
        <v>-48251</v>
      </c>
      <c r="BQ1130" s="4" t="s">
        <v>263</v>
      </c>
      <c r="BR1130" s="4" t="s">
        <v>264</v>
      </c>
      <c r="BS1130" s="4" t="s">
        <v>241</v>
      </c>
      <c r="BT1130" s="4" t="s">
        <v>241</v>
      </c>
      <c r="BU1130" s="4" t="s">
        <v>241</v>
      </c>
      <c r="BV1130" s="4" t="s">
        <v>241</v>
      </c>
      <c r="CE1130" s="4" t="s">
        <v>264</v>
      </c>
      <c r="CF1130" s="4" t="s">
        <v>241</v>
      </c>
      <c r="CG1130" s="4" t="s">
        <v>241</v>
      </c>
      <c r="CK1130" s="4" t="s">
        <v>265</v>
      </c>
      <c r="CL1130" s="4" t="s">
        <v>266</v>
      </c>
      <c r="CM1130" s="4" t="s">
        <v>241</v>
      </c>
      <c r="CO1130" s="4" t="s">
        <v>724</v>
      </c>
      <c r="CP1130" s="5" t="s">
        <v>268</v>
      </c>
      <c r="CQ1130" s="4" t="s">
        <v>269</v>
      </c>
      <c r="CR1130" s="4" t="s">
        <v>270</v>
      </c>
      <c r="CS1130" s="4" t="s">
        <v>293</v>
      </c>
      <c r="CT1130" s="4" t="s">
        <v>241</v>
      </c>
      <c r="CU1130" s="4">
        <v>2.7E-2</v>
      </c>
      <c r="CV1130" s="4" t="s">
        <v>271</v>
      </c>
      <c r="CW1130" s="4" t="s">
        <v>1006</v>
      </c>
      <c r="CX1130" s="4" t="s">
        <v>356</v>
      </c>
      <c r="CY1130" s="6">
        <f>0</f>
        <v>0</v>
      </c>
      <c r="CZ1130" s="6">
        <f>1787100</f>
        <v>1787100</v>
      </c>
      <c r="DA1130" s="6">
        <f>1813</f>
        <v>1813</v>
      </c>
      <c r="DC1130" s="4" t="s">
        <v>241</v>
      </c>
      <c r="DD1130" s="4" t="s">
        <v>241</v>
      </c>
      <c r="DF1130" s="4" t="s">
        <v>241</v>
      </c>
      <c r="DG1130" s="6">
        <f>0</f>
        <v>0</v>
      </c>
      <c r="DI1130" s="4" t="s">
        <v>241</v>
      </c>
      <c r="DJ1130" s="4" t="s">
        <v>241</v>
      </c>
      <c r="DK1130" s="4" t="s">
        <v>241</v>
      </c>
      <c r="DL1130" s="4" t="s">
        <v>241</v>
      </c>
      <c r="DM1130" s="4" t="s">
        <v>277</v>
      </c>
      <c r="DN1130" s="4" t="s">
        <v>278</v>
      </c>
      <c r="DO1130" s="6">
        <f>15.54</f>
        <v>15.54</v>
      </c>
      <c r="DP1130" s="4" t="s">
        <v>241</v>
      </c>
      <c r="DQ1130" s="4" t="s">
        <v>241</v>
      </c>
      <c r="DR1130" s="4" t="s">
        <v>241</v>
      </c>
      <c r="DS1130" s="4" t="s">
        <v>241</v>
      </c>
      <c r="DV1130" s="4" t="s">
        <v>1047</v>
      </c>
      <c r="DW1130" s="4" t="s">
        <v>323</v>
      </c>
      <c r="GN1130" s="4" t="s">
        <v>1050</v>
      </c>
      <c r="HO1130" s="4" t="s">
        <v>300</v>
      </c>
      <c r="HR1130" s="4" t="s">
        <v>278</v>
      </c>
      <c r="HS1130" s="4" t="s">
        <v>278</v>
      </c>
      <c r="HT1130" s="4" t="s">
        <v>241</v>
      </c>
      <c r="HU1130" s="4" t="s">
        <v>241</v>
      </c>
      <c r="HV1130" s="4" t="s">
        <v>241</v>
      </c>
      <c r="HW1130" s="4" t="s">
        <v>241</v>
      </c>
      <c r="HX1130" s="4" t="s">
        <v>241</v>
      </c>
      <c r="HY1130" s="4" t="s">
        <v>241</v>
      </c>
      <c r="HZ1130" s="4" t="s">
        <v>241</v>
      </c>
      <c r="IA1130" s="4" t="s">
        <v>241</v>
      </c>
      <c r="IB1130" s="4" t="s">
        <v>241</v>
      </c>
      <c r="IC1130" s="4" t="s">
        <v>241</v>
      </c>
      <c r="ID1130" s="4" t="s">
        <v>241</v>
      </c>
      <c r="IE1130" s="4" t="s">
        <v>241</v>
      </c>
      <c r="IF1130" s="4" t="s">
        <v>241</v>
      </c>
    </row>
    <row r="1131" spans="1:240" x14ac:dyDescent="0.4">
      <c r="A1131" s="4">
        <v>2</v>
      </c>
      <c r="B1131" s="4" t="s">
        <v>239</v>
      </c>
      <c r="C1131" s="4">
        <v>1430</v>
      </c>
      <c r="D1131" s="4">
        <v>1</v>
      </c>
      <c r="E1131" s="4">
        <v>3</v>
      </c>
      <c r="F1131" s="4" t="s">
        <v>240</v>
      </c>
      <c r="G1131" s="4" t="s">
        <v>241</v>
      </c>
      <c r="H1131" s="4" t="s">
        <v>241</v>
      </c>
      <c r="I1131" s="4" t="s">
        <v>1044</v>
      </c>
      <c r="J1131" s="4" t="s">
        <v>424</v>
      </c>
      <c r="K1131" s="4" t="s">
        <v>256</v>
      </c>
      <c r="L1131" s="4" t="s">
        <v>1003</v>
      </c>
      <c r="M1131" s="5" t="s">
        <v>1046</v>
      </c>
      <c r="N1131" s="4" t="s">
        <v>1003</v>
      </c>
      <c r="O1131" s="6">
        <f>16.2</f>
        <v>16.2</v>
      </c>
      <c r="P1131" s="4" t="s">
        <v>276</v>
      </c>
      <c r="Q1131" s="6">
        <f>1863</f>
        <v>1863</v>
      </c>
      <c r="R1131" s="6">
        <f>1863000</f>
        <v>1863000</v>
      </c>
      <c r="S1131" s="5" t="s">
        <v>1045</v>
      </c>
      <c r="T1131" s="4" t="s">
        <v>333</v>
      </c>
      <c r="U1131" s="4" t="s">
        <v>1042</v>
      </c>
      <c r="V1131" s="6">
        <f>50301</f>
        <v>50301</v>
      </c>
      <c r="W1131" s="6">
        <f>1861137</f>
        <v>1861137</v>
      </c>
      <c r="X1131" s="4" t="s">
        <v>243</v>
      </c>
      <c r="Y1131" s="4" t="s">
        <v>244</v>
      </c>
      <c r="Z1131" s="4" t="s">
        <v>465</v>
      </c>
      <c r="AA1131" s="4" t="s">
        <v>241</v>
      </c>
      <c r="AD1131" s="4" t="s">
        <v>241</v>
      </c>
      <c r="AE1131" s="5" t="s">
        <v>241</v>
      </c>
      <c r="AF1131" s="5" t="s">
        <v>241</v>
      </c>
      <c r="AH1131" s="5" t="s">
        <v>241</v>
      </c>
      <c r="AI1131" s="5" t="s">
        <v>249</v>
      </c>
      <c r="AJ1131" s="4" t="s">
        <v>251</v>
      </c>
      <c r="AK1131" s="4" t="s">
        <v>252</v>
      </c>
      <c r="AQ1131" s="4" t="s">
        <v>241</v>
      </c>
      <c r="AR1131" s="4" t="s">
        <v>241</v>
      </c>
      <c r="AS1131" s="4" t="s">
        <v>241</v>
      </c>
      <c r="AT1131" s="5" t="s">
        <v>241</v>
      </c>
      <c r="AU1131" s="5" t="s">
        <v>241</v>
      </c>
      <c r="AV1131" s="5" t="s">
        <v>241</v>
      </c>
      <c r="AY1131" s="4" t="s">
        <v>286</v>
      </c>
      <c r="AZ1131" s="4" t="s">
        <v>286</v>
      </c>
      <c r="BA1131" s="4" t="s">
        <v>254</v>
      </c>
      <c r="BB1131" s="4" t="s">
        <v>287</v>
      </c>
      <c r="BC1131" s="4" t="s">
        <v>255</v>
      </c>
      <c r="BD1131" s="4" t="s">
        <v>241</v>
      </c>
      <c r="BE1131" s="4" t="s">
        <v>257</v>
      </c>
      <c r="BF1131" s="4" t="s">
        <v>241</v>
      </c>
      <c r="BJ1131" s="4" t="s">
        <v>288</v>
      </c>
      <c r="BK1131" s="5" t="s">
        <v>289</v>
      </c>
      <c r="BL1131" s="4" t="s">
        <v>290</v>
      </c>
      <c r="BM1131" s="4" t="s">
        <v>290</v>
      </c>
      <c r="BN1131" s="4" t="s">
        <v>241</v>
      </c>
      <c r="BO1131" s="6">
        <f>0</f>
        <v>0</v>
      </c>
      <c r="BP1131" s="6">
        <f>-50301</f>
        <v>-50301</v>
      </c>
      <c r="BQ1131" s="4" t="s">
        <v>263</v>
      </c>
      <c r="BR1131" s="4" t="s">
        <v>264</v>
      </c>
      <c r="BS1131" s="4" t="s">
        <v>241</v>
      </c>
      <c r="BT1131" s="4" t="s">
        <v>241</v>
      </c>
      <c r="BU1131" s="4" t="s">
        <v>241</v>
      </c>
      <c r="BV1131" s="4" t="s">
        <v>241</v>
      </c>
      <c r="CE1131" s="4" t="s">
        <v>264</v>
      </c>
      <c r="CF1131" s="4" t="s">
        <v>241</v>
      </c>
      <c r="CG1131" s="4" t="s">
        <v>241</v>
      </c>
      <c r="CK1131" s="4" t="s">
        <v>265</v>
      </c>
      <c r="CL1131" s="4" t="s">
        <v>266</v>
      </c>
      <c r="CM1131" s="4" t="s">
        <v>241</v>
      </c>
      <c r="CO1131" s="4" t="s">
        <v>724</v>
      </c>
      <c r="CP1131" s="5" t="s">
        <v>268</v>
      </c>
      <c r="CQ1131" s="4" t="s">
        <v>269</v>
      </c>
      <c r="CR1131" s="4" t="s">
        <v>270</v>
      </c>
      <c r="CS1131" s="4" t="s">
        <v>293</v>
      </c>
      <c r="CT1131" s="4" t="s">
        <v>241</v>
      </c>
      <c r="CU1131" s="4">
        <v>2.7E-2</v>
      </c>
      <c r="CV1131" s="4" t="s">
        <v>271</v>
      </c>
      <c r="CW1131" s="4" t="s">
        <v>1006</v>
      </c>
      <c r="CX1131" s="4" t="s">
        <v>356</v>
      </c>
      <c r="CY1131" s="6">
        <f>0</f>
        <v>0</v>
      </c>
      <c r="CZ1131" s="6">
        <f>1863000</f>
        <v>1863000</v>
      </c>
      <c r="DA1131" s="6">
        <f>1863</f>
        <v>1863</v>
      </c>
      <c r="DC1131" s="4" t="s">
        <v>241</v>
      </c>
      <c r="DD1131" s="4" t="s">
        <v>241</v>
      </c>
      <c r="DF1131" s="4" t="s">
        <v>241</v>
      </c>
      <c r="DG1131" s="6">
        <f>0</f>
        <v>0</v>
      </c>
      <c r="DI1131" s="4" t="s">
        <v>241</v>
      </c>
      <c r="DJ1131" s="4" t="s">
        <v>241</v>
      </c>
      <c r="DK1131" s="4" t="s">
        <v>241</v>
      </c>
      <c r="DL1131" s="4" t="s">
        <v>241</v>
      </c>
      <c r="DM1131" s="4" t="s">
        <v>277</v>
      </c>
      <c r="DN1131" s="4" t="s">
        <v>278</v>
      </c>
      <c r="DO1131" s="6">
        <f>16.2</f>
        <v>16.2</v>
      </c>
      <c r="DP1131" s="4" t="s">
        <v>241</v>
      </c>
      <c r="DQ1131" s="4" t="s">
        <v>241</v>
      </c>
      <c r="DR1131" s="4" t="s">
        <v>241</v>
      </c>
      <c r="DS1131" s="4" t="s">
        <v>241</v>
      </c>
      <c r="DV1131" s="4" t="s">
        <v>1047</v>
      </c>
      <c r="DW1131" s="4" t="s">
        <v>297</v>
      </c>
      <c r="GN1131" s="4" t="s">
        <v>1048</v>
      </c>
      <c r="HO1131" s="4" t="s">
        <v>300</v>
      </c>
      <c r="HR1131" s="4" t="s">
        <v>278</v>
      </c>
      <c r="HS1131" s="4" t="s">
        <v>278</v>
      </c>
      <c r="HT1131" s="4" t="s">
        <v>241</v>
      </c>
      <c r="HU1131" s="4" t="s">
        <v>241</v>
      </c>
      <c r="HV1131" s="4" t="s">
        <v>241</v>
      </c>
      <c r="HW1131" s="4" t="s">
        <v>241</v>
      </c>
      <c r="HX1131" s="4" t="s">
        <v>241</v>
      </c>
      <c r="HY1131" s="4" t="s">
        <v>241</v>
      </c>
      <c r="HZ1131" s="4" t="s">
        <v>241</v>
      </c>
      <c r="IA1131" s="4" t="s">
        <v>241</v>
      </c>
      <c r="IB1131" s="4" t="s">
        <v>241</v>
      </c>
      <c r="IC1131" s="4" t="s">
        <v>241</v>
      </c>
      <c r="ID1131" s="4" t="s">
        <v>241</v>
      </c>
      <c r="IE1131" s="4" t="s">
        <v>241</v>
      </c>
      <c r="IF1131" s="4" t="s">
        <v>241</v>
      </c>
    </row>
    <row r="1132" spans="1:240" x14ac:dyDescent="0.4">
      <c r="A1132" s="4">
        <v>2</v>
      </c>
      <c r="B1132" s="4" t="s">
        <v>239</v>
      </c>
      <c r="C1132" s="4">
        <v>1431</v>
      </c>
      <c r="D1132" s="4">
        <v>1</v>
      </c>
      <c r="E1132" s="4">
        <v>1</v>
      </c>
      <c r="F1132" s="4" t="s">
        <v>240</v>
      </c>
      <c r="G1132" s="4" t="s">
        <v>241</v>
      </c>
      <c r="H1132" s="4" t="s">
        <v>241</v>
      </c>
      <c r="I1132" s="4" t="s">
        <v>1164</v>
      </c>
      <c r="J1132" s="4" t="s">
        <v>424</v>
      </c>
      <c r="K1132" s="4" t="s">
        <v>256</v>
      </c>
      <c r="L1132" s="4" t="s">
        <v>1003</v>
      </c>
      <c r="M1132" s="5" t="s">
        <v>679</v>
      </c>
      <c r="N1132" s="4" t="s">
        <v>1003</v>
      </c>
      <c r="O1132" s="6">
        <f>765</f>
        <v>765</v>
      </c>
      <c r="P1132" s="4" t="s">
        <v>276</v>
      </c>
      <c r="Q1132" s="6">
        <f>1</f>
        <v>1</v>
      </c>
      <c r="R1132" s="6">
        <f>68850000</f>
        <v>68850000</v>
      </c>
      <c r="S1132" s="5" t="s">
        <v>954</v>
      </c>
      <c r="T1132" s="4" t="s">
        <v>357</v>
      </c>
      <c r="U1132" s="4" t="s">
        <v>777</v>
      </c>
      <c r="W1132" s="6">
        <f>68849999</f>
        <v>68849999</v>
      </c>
      <c r="X1132" s="4" t="s">
        <v>243</v>
      </c>
      <c r="Y1132" s="4" t="s">
        <v>244</v>
      </c>
      <c r="Z1132" s="4" t="s">
        <v>465</v>
      </c>
      <c r="AA1132" s="4" t="s">
        <v>241</v>
      </c>
      <c r="AD1132" s="4" t="s">
        <v>241</v>
      </c>
      <c r="AF1132" s="5" t="s">
        <v>241</v>
      </c>
      <c r="AI1132" s="5" t="s">
        <v>249</v>
      </c>
      <c r="AJ1132" s="4" t="s">
        <v>251</v>
      </c>
      <c r="AK1132" s="4" t="s">
        <v>252</v>
      </c>
      <c r="BA1132" s="4" t="s">
        <v>254</v>
      </c>
      <c r="BB1132" s="4" t="s">
        <v>241</v>
      </c>
      <c r="BC1132" s="4" t="s">
        <v>255</v>
      </c>
      <c r="BD1132" s="4" t="s">
        <v>241</v>
      </c>
      <c r="BE1132" s="4" t="s">
        <v>257</v>
      </c>
      <c r="BF1132" s="4" t="s">
        <v>241</v>
      </c>
      <c r="BJ1132" s="4" t="s">
        <v>367</v>
      </c>
      <c r="BK1132" s="5" t="s">
        <v>249</v>
      </c>
      <c r="BL1132" s="4" t="s">
        <v>261</v>
      </c>
      <c r="BM1132" s="4" t="s">
        <v>262</v>
      </c>
      <c r="BN1132" s="4" t="s">
        <v>241</v>
      </c>
      <c r="BO1132" s="6">
        <f>0</f>
        <v>0</v>
      </c>
      <c r="BP1132" s="6">
        <f>0</f>
        <v>0</v>
      </c>
      <c r="BQ1132" s="4" t="s">
        <v>263</v>
      </c>
      <c r="BR1132" s="4" t="s">
        <v>264</v>
      </c>
      <c r="CF1132" s="4" t="s">
        <v>241</v>
      </c>
      <c r="CG1132" s="4" t="s">
        <v>241</v>
      </c>
      <c r="CK1132" s="4" t="s">
        <v>265</v>
      </c>
      <c r="CL1132" s="4" t="s">
        <v>266</v>
      </c>
      <c r="CM1132" s="4" t="s">
        <v>241</v>
      </c>
      <c r="CO1132" s="4" t="s">
        <v>956</v>
      </c>
      <c r="CP1132" s="5" t="s">
        <v>268</v>
      </c>
      <c r="CQ1132" s="4" t="s">
        <v>269</v>
      </c>
      <c r="CR1132" s="4" t="s">
        <v>270</v>
      </c>
      <c r="CS1132" s="4" t="s">
        <v>241</v>
      </c>
      <c r="CT1132" s="4" t="s">
        <v>241</v>
      </c>
      <c r="CU1132" s="4">
        <v>0</v>
      </c>
      <c r="CV1132" s="4" t="s">
        <v>271</v>
      </c>
      <c r="CW1132" s="4" t="s">
        <v>1006</v>
      </c>
      <c r="CX1132" s="4" t="s">
        <v>487</v>
      </c>
      <c r="CZ1132" s="6">
        <f>68850000</f>
        <v>68850000</v>
      </c>
      <c r="DA1132" s="6">
        <f>0</f>
        <v>0</v>
      </c>
      <c r="DC1132" s="4" t="s">
        <v>241</v>
      </c>
      <c r="DD1132" s="4" t="s">
        <v>241</v>
      </c>
      <c r="DF1132" s="4" t="s">
        <v>241</v>
      </c>
      <c r="DI1132" s="4" t="s">
        <v>241</v>
      </c>
      <c r="DJ1132" s="4" t="s">
        <v>241</v>
      </c>
      <c r="DK1132" s="4" t="s">
        <v>241</v>
      </c>
      <c r="DL1132" s="4" t="s">
        <v>241</v>
      </c>
      <c r="DM1132" s="4" t="s">
        <v>277</v>
      </c>
      <c r="DN1132" s="4" t="s">
        <v>278</v>
      </c>
      <c r="DO1132" s="6">
        <f>765</f>
        <v>765</v>
      </c>
      <c r="DP1132" s="4" t="s">
        <v>241</v>
      </c>
      <c r="DQ1132" s="4" t="s">
        <v>241</v>
      </c>
      <c r="DR1132" s="4" t="s">
        <v>241</v>
      </c>
      <c r="DS1132" s="4" t="s">
        <v>241</v>
      </c>
      <c r="DV1132" s="4" t="s">
        <v>1165</v>
      </c>
      <c r="DW1132" s="4" t="s">
        <v>277</v>
      </c>
      <c r="HO1132" s="4" t="s">
        <v>277</v>
      </c>
      <c r="HR1132" s="4" t="s">
        <v>278</v>
      </c>
      <c r="HS1132" s="4" t="s">
        <v>278</v>
      </c>
    </row>
    <row r="1133" spans="1:240" x14ac:dyDescent="0.4">
      <c r="A1133" s="4">
        <v>2</v>
      </c>
      <c r="B1133" s="4" t="s">
        <v>239</v>
      </c>
      <c r="C1133" s="4">
        <v>1432</v>
      </c>
      <c r="D1133" s="4">
        <v>1</v>
      </c>
      <c r="E1133" s="4">
        <v>3</v>
      </c>
      <c r="F1133" s="4" t="s">
        <v>240</v>
      </c>
      <c r="G1133" s="4" t="s">
        <v>241</v>
      </c>
      <c r="H1133" s="4" t="s">
        <v>241</v>
      </c>
      <c r="I1133" s="4" t="s">
        <v>1031</v>
      </c>
      <c r="J1133" s="4" t="s">
        <v>424</v>
      </c>
      <c r="K1133" s="4" t="s">
        <v>256</v>
      </c>
      <c r="L1133" s="4" t="s">
        <v>1003</v>
      </c>
      <c r="M1133" s="5" t="s">
        <v>1033</v>
      </c>
      <c r="N1133" s="4" t="s">
        <v>1003</v>
      </c>
      <c r="O1133" s="6">
        <f>2421.9</f>
        <v>2421.9</v>
      </c>
      <c r="P1133" s="4" t="s">
        <v>276</v>
      </c>
      <c r="Q1133" s="6">
        <f>81085212</f>
        <v>81085212</v>
      </c>
      <c r="R1133" s="6">
        <f>435942000</f>
        <v>435942000</v>
      </c>
      <c r="S1133" s="5" t="s">
        <v>1041</v>
      </c>
      <c r="T1133" s="4" t="s">
        <v>668</v>
      </c>
      <c r="U1133" s="4" t="s">
        <v>1042</v>
      </c>
      <c r="V1133" s="6">
        <f>9590724</f>
        <v>9590724</v>
      </c>
      <c r="W1133" s="6">
        <f>354856788</f>
        <v>354856788</v>
      </c>
      <c r="X1133" s="4" t="s">
        <v>243</v>
      </c>
      <c r="Y1133" s="4" t="s">
        <v>244</v>
      </c>
      <c r="Z1133" s="4" t="s">
        <v>465</v>
      </c>
      <c r="AA1133" s="4" t="s">
        <v>241</v>
      </c>
      <c r="AD1133" s="4" t="s">
        <v>241</v>
      </c>
      <c r="AE1133" s="5" t="s">
        <v>241</v>
      </c>
      <c r="AF1133" s="5" t="s">
        <v>241</v>
      </c>
      <c r="AH1133" s="5" t="s">
        <v>241</v>
      </c>
      <c r="AI1133" s="5" t="s">
        <v>249</v>
      </c>
      <c r="AJ1133" s="4" t="s">
        <v>251</v>
      </c>
      <c r="AK1133" s="4" t="s">
        <v>252</v>
      </c>
      <c r="AQ1133" s="4" t="s">
        <v>241</v>
      </c>
      <c r="AR1133" s="4" t="s">
        <v>241</v>
      </c>
      <c r="AS1133" s="4" t="s">
        <v>241</v>
      </c>
      <c r="AT1133" s="5" t="s">
        <v>241</v>
      </c>
      <c r="AU1133" s="5" t="s">
        <v>241</v>
      </c>
      <c r="AV1133" s="5" t="s">
        <v>241</v>
      </c>
      <c r="AY1133" s="4" t="s">
        <v>286</v>
      </c>
      <c r="AZ1133" s="4" t="s">
        <v>286</v>
      </c>
      <c r="BA1133" s="4" t="s">
        <v>254</v>
      </c>
      <c r="BB1133" s="4" t="s">
        <v>287</v>
      </c>
      <c r="BC1133" s="4" t="s">
        <v>255</v>
      </c>
      <c r="BD1133" s="4" t="s">
        <v>241</v>
      </c>
      <c r="BE1133" s="4" t="s">
        <v>257</v>
      </c>
      <c r="BF1133" s="4" t="s">
        <v>241</v>
      </c>
      <c r="BJ1133" s="4" t="s">
        <v>288</v>
      </c>
      <c r="BK1133" s="5" t="s">
        <v>289</v>
      </c>
      <c r="BL1133" s="4" t="s">
        <v>290</v>
      </c>
      <c r="BM1133" s="4" t="s">
        <v>290</v>
      </c>
      <c r="BN1133" s="4" t="s">
        <v>241</v>
      </c>
      <c r="BO1133" s="6">
        <f>0</f>
        <v>0</v>
      </c>
      <c r="BP1133" s="6">
        <f>-9590724</f>
        <v>-9590724</v>
      </c>
      <c r="BQ1133" s="4" t="s">
        <v>263</v>
      </c>
      <c r="BR1133" s="4" t="s">
        <v>264</v>
      </c>
      <c r="BS1133" s="4" t="s">
        <v>241</v>
      </c>
      <c r="BT1133" s="4" t="s">
        <v>241</v>
      </c>
      <c r="BU1133" s="4" t="s">
        <v>241</v>
      </c>
      <c r="BV1133" s="4" t="s">
        <v>241</v>
      </c>
      <c r="CE1133" s="4" t="s">
        <v>264</v>
      </c>
      <c r="CF1133" s="4" t="s">
        <v>241</v>
      </c>
      <c r="CG1133" s="4" t="s">
        <v>241</v>
      </c>
      <c r="CK1133" s="4" t="s">
        <v>265</v>
      </c>
      <c r="CL1133" s="4" t="s">
        <v>266</v>
      </c>
      <c r="CM1133" s="4" t="s">
        <v>241</v>
      </c>
      <c r="CO1133" s="4" t="s">
        <v>724</v>
      </c>
      <c r="CP1133" s="5" t="s">
        <v>268</v>
      </c>
      <c r="CQ1133" s="4" t="s">
        <v>269</v>
      </c>
      <c r="CR1133" s="4" t="s">
        <v>270</v>
      </c>
      <c r="CS1133" s="4" t="s">
        <v>293</v>
      </c>
      <c r="CT1133" s="4" t="s">
        <v>241</v>
      </c>
      <c r="CU1133" s="4">
        <v>2.1999999999999999E-2</v>
      </c>
      <c r="CV1133" s="4" t="s">
        <v>271</v>
      </c>
      <c r="CW1133" s="4" t="s">
        <v>1006</v>
      </c>
      <c r="CX1133" s="4" t="s">
        <v>295</v>
      </c>
      <c r="CY1133" s="6">
        <f>0</f>
        <v>0</v>
      </c>
      <c r="CZ1133" s="6">
        <f>435942000</f>
        <v>435942000</v>
      </c>
      <c r="DA1133" s="6">
        <f>81085212</f>
        <v>81085212</v>
      </c>
      <c r="DC1133" s="4" t="s">
        <v>241</v>
      </c>
      <c r="DD1133" s="4" t="s">
        <v>241</v>
      </c>
      <c r="DF1133" s="4" t="s">
        <v>241</v>
      </c>
      <c r="DG1133" s="6">
        <f>0</f>
        <v>0</v>
      </c>
      <c r="DI1133" s="4" t="s">
        <v>241</v>
      </c>
      <c r="DJ1133" s="4" t="s">
        <v>241</v>
      </c>
      <c r="DK1133" s="4" t="s">
        <v>241</v>
      </c>
      <c r="DL1133" s="4" t="s">
        <v>241</v>
      </c>
      <c r="DM1133" s="4" t="s">
        <v>323</v>
      </c>
      <c r="DN1133" s="4" t="s">
        <v>278</v>
      </c>
      <c r="DO1133" s="6">
        <f>2421.9</f>
        <v>2421.9</v>
      </c>
      <c r="DP1133" s="4" t="s">
        <v>241</v>
      </c>
      <c r="DQ1133" s="4" t="s">
        <v>241</v>
      </c>
      <c r="DR1133" s="4" t="s">
        <v>241</v>
      </c>
      <c r="DS1133" s="4" t="s">
        <v>241</v>
      </c>
      <c r="DV1133" s="4" t="s">
        <v>1034</v>
      </c>
      <c r="DW1133" s="4" t="s">
        <v>277</v>
      </c>
      <c r="GN1133" s="4" t="s">
        <v>1043</v>
      </c>
      <c r="HO1133" s="4" t="s">
        <v>300</v>
      </c>
      <c r="HR1133" s="4" t="s">
        <v>278</v>
      </c>
      <c r="HS1133" s="4" t="s">
        <v>278</v>
      </c>
      <c r="HT1133" s="4" t="s">
        <v>241</v>
      </c>
      <c r="HU1133" s="4" t="s">
        <v>241</v>
      </c>
      <c r="HV1133" s="4" t="s">
        <v>241</v>
      </c>
      <c r="HW1133" s="4" t="s">
        <v>241</v>
      </c>
      <c r="HX1133" s="4" t="s">
        <v>241</v>
      </c>
      <c r="HY1133" s="4" t="s">
        <v>241</v>
      </c>
      <c r="HZ1133" s="4" t="s">
        <v>241</v>
      </c>
      <c r="IA1133" s="4" t="s">
        <v>241</v>
      </c>
      <c r="IB1133" s="4" t="s">
        <v>241</v>
      </c>
      <c r="IC1133" s="4" t="s">
        <v>241</v>
      </c>
      <c r="ID1133" s="4" t="s">
        <v>241</v>
      </c>
      <c r="IE1133" s="4" t="s">
        <v>241</v>
      </c>
      <c r="IF1133" s="4" t="s">
        <v>241</v>
      </c>
    </row>
    <row r="1134" spans="1:240" x14ac:dyDescent="0.4">
      <c r="A1134" s="4">
        <v>2</v>
      </c>
      <c r="B1134" s="4" t="s">
        <v>239</v>
      </c>
      <c r="C1134" s="4">
        <v>1433</v>
      </c>
      <c r="D1134" s="4">
        <v>1</v>
      </c>
      <c r="E1134" s="4">
        <v>3</v>
      </c>
      <c r="F1134" s="4" t="s">
        <v>326</v>
      </c>
      <c r="G1134" s="4" t="s">
        <v>241</v>
      </c>
      <c r="H1134" s="4" t="s">
        <v>241</v>
      </c>
      <c r="I1134" s="4" t="s">
        <v>1031</v>
      </c>
      <c r="J1134" s="4" t="s">
        <v>424</v>
      </c>
      <c r="K1134" s="4" t="s">
        <v>256</v>
      </c>
      <c r="L1134" s="4" t="s">
        <v>241</v>
      </c>
      <c r="M1134" s="5" t="s">
        <v>1033</v>
      </c>
      <c r="N1134" s="4" t="s">
        <v>1030</v>
      </c>
      <c r="O1134" s="6">
        <f>0</f>
        <v>0</v>
      </c>
      <c r="P1134" s="4" t="s">
        <v>276</v>
      </c>
      <c r="Q1134" s="6">
        <f>50582624</f>
        <v>50582624</v>
      </c>
      <c r="R1134" s="6">
        <f>55463400</f>
        <v>55463400</v>
      </c>
      <c r="S1134" s="5" t="s">
        <v>1032</v>
      </c>
      <c r="T1134" s="4" t="s">
        <v>668</v>
      </c>
      <c r="U1134" s="4" t="s">
        <v>297</v>
      </c>
      <c r="V1134" s="6">
        <f>1220194</f>
        <v>1220194</v>
      </c>
      <c r="W1134" s="6">
        <f>4880776</f>
        <v>4880776</v>
      </c>
      <c r="X1134" s="4" t="s">
        <v>243</v>
      </c>
      <c r="Y1134" s="4" t="s">
        <v>244</v>
      </c>
      <c r="Z1134" s="4" t="s">
        <v>465</v>
      </c>
      <c r="AA1134" s="4" t="s">
        <v>241</v>
      </c>
      <c r="AD1134" s="4" t="s">
        <v>241</v>
      </c>
      <c r="AE1134" s="5" t="s">
        <v>241</v>
      </c>
      <c r="AF1134" s="5" t="s">
        <v>241</v>
      </c>
      <c r="AH1134" s="5" t="s">
        <v>241</v>
      </c>
      <c r="AI1134" s="5" t="s">
        <v>249</v>
      </c>
      <c r="AJ1134" s="4" t="s">
        <v>251</v>
      </c>
      <c r="AK1134" s="4" t="s">
        <v>252</v>
      </c>
      <c r="AQ1134" s="4" t="s">
        <v>241</v>
      </c>
      <c r="AR1134" s="4" t="s">
        <v>241</v>
      </c>
      <c r="AS1134" s="4" t="s">
        <v>241</v>
      </c>
      <c r="AT1134" s="5" t="s">
        <v>241</v>
      </c>
      <c r="AU1134" s="5" t="s">
        <v>241</v>
      </c>
      <c r="AV1134" s="5" t="s">
        <v>241</v>
      </c>
      <c r="AY1134" s="4" t="s">
        <v>286</v>
      </c>
      <c r="AZ1134" s="4" t="s">
        <v>286</v>
      </c>
      <c r="BA1134" s="4" t="s">
        <v>254</v>
      </c>
      <c r="BB1134" s="4" t="s">
        <v>287</v>
      </c>
      <c r="BC1134" s="4" t="s">
        <v>255</v>
      </c>
      <c r="BD1134" s="4" t="s">
        <v>241</v>
      </c>
      <c r="BE1134" s="4" t="s">
        <v>257</v>
      </c>
      <c r="BF1134" s="4" t="s">
        <v>241</v>
      </c>
      <c r="BJ1134" s="4" t="s">
        <v>288</v>
      </c>
      <c r="BK1134" s="5" t="s">
        <v>289</v>
      </c>
      <c r="BL1134" s="4" t="s">
        <v>290</v>
      </c>
      <c r="BM1134" s="4" t="s">
        <v>290</v>
      </c>
      <c r="BN1134" s="4" t="s">
        <v>241</v>
      </c>
      <c r="BP1134" s="6">
        <f>-1220194</f>
        <v>-1220194</v>
      </c>
      <c r="BQ1134" s="4" t="s">
        <v>263</v>
      </c>
      <c r="BR1134" s="4" t="s">
        <v>264</v>
      </c>
      <c r="BS1134" s="4" t="s">
        <v>241</v>
      </c>
      <c r="BT1134" s="4" t="s">
        <v>241</v>
      </c>
      <c r="BU1134" s="4" t="s">
        <v>241</v>
      </c>
      <c r="BV1134" s="4" t="s">
        <v>241</v>
      </c>
      <c r="CE1134" s="4" t="s">
        <v>264</v>
      </c>
      <c r="CF1134" s="4" t="s">
        <v>241</v>
      </c>
      <c r="CG1134" s="4" t="s">
        <v>241</v>
      </c>
      <c r="CK1134" s="4" t="s">
        <v>291</v>
      </c>
      <c r="CL1134" s="4" t="s">
        <v>266</v>
      </c>
      <c r="CM1134" s="4" t="s">
        <v>241</v>
      </c>
      <c r="CO1134" s="4" t="s">
        <v>413</v>
      </c>
      <c r="CP1134" s="5" t="s">
        <v>268</v>
      </c>
      <c r="CQ1134" s="4" t="s">
        <v>269</v>
      </c>
      <c r="CR1134" s="4" t="s">
        <v>270</v>
      </c>
      <c r="CS1134" s="4" t="s">
        <v>293</v>
      </c>
      <c r="CT1134" s="4" t="s">
        <v>241</v>
      </c>
      <c r="CU1134" s="4">
        <v>2.1999999999999999E-2</v>
      </c>
      <c r="CV1134" s="4" t="s">
        <v>271</v>
      </c>
      <c r="CW1134" s="4" t="s">
        <v>1006</v>
      </c>
      <c r="CX1134" s="4" t="s">
        <v>295</v>
      </c>
      <c r="CY1134" s="6">
        <f>0</f>
        <v>0</v>
      </c>
      <c r="CZ1134" s="6">
        <f>55463400</f>
        <v>55463400</v>
      </c>
      <c r="DA1134" s="6">
        <f>50582624</f>
        <v>50582624</v>
      </c>
      <c r="DC1134" s="4" t="s">
        <v>241</v>
      </c>
      <c r="DD1134" s="4" t="s">
        <v>241</v>
      </c>
      <c r="DF1134" s="4" t="s">
        <v>241</v>
      </c>
      <c r="DG1134" s="6">
        <f>0</f>
        <v>0</v>
      </c>
      <c r="DI1134" s="4" t="s">
        <v>241</v>
      </c>
      <c r="DJ1134" s="4" t="s">
        <v>241</v>
      </c>
      <c r="DK1134" s="4" t="s">
        <v>241</v>
      </c>
      <c r="DL1134" s="4" t="s">
        <v>241</v>
      </c>
      <c r="DM1134" s="4" t="s">
        <v>278</v>
      </c>
      <c r="DN1134" s="4" t="s">
        <v>278</v>
      </c>
      <c r="DO1134" s="6" t="s">
        <v>241</v>
      </c>
      <c r="DP1134" s="4" t="s">
        <v>241</v>
      </c>
      <c r="DQ1134" s="4" t="s">
        <v>241</v>
      </c>
      <c r="DR1134" s="4" t="s">
        <v>241</v>
      </c>
      <c r="DS1134" s="4" t="s">
        <v>241</v>
      </c>
      <c r="DV1134" s="4" t="s">
        <v>1034</v>
      </c>
      <c r="DW1134" s="4" t="s">
        <v>323</v>
      </c>
      <c r="GN1134" s="4" t="s">
        <v>1035</v>
      </c>
      <c r="HO1134" s="4" t="s">
        <v>351</v>
      </c>
      <c r="HR1134" s="4" t="s">
        <v>278</v>
      </c>
      <c r="HS1134" s="4" t="s">
        <v>278</v>
      </c>
      <c r="HT1134" s="4" t="s">
        <v>241</v>
      </c>
      <c r="HU1134" s="4" t="s">
        <v>241</v>
      </c>
      <c r="HV1134" s="4" t="s">
        <v>241</v>
      </c>
      <c r="HW1134" s="4" t="s">
        <v>241</v>
      </c>
      <c r="HX1134" s="4" t="s">
        <v>241</v>
      </c>
      <c r="HY1134" s="4" t="s">
        <v>241</v>
      </c>
      <c r="HZ1134" s="4" t="s">
        <v>241</v>
      </c>
      <c r="IA1134" s="4" t="s">
        <v>241</v>
      </c>
      <c r="IB1134" s="4" t="s">
        <v>241</v>
      </c>
      <c r="IC1134" s="4" t="s">
        <v>241</v>
      </c>
      <c r="ID1134" s="4" t="s">
        <v>241</v>
      </c>
      <c r="IE1134" s="4" t="s">
        <v>241</v>
      </c>
      <c r="IF1134" s="4" t="s">
        <v>241</v>
      </c>
    </row>
    <row r="1135" spans="1:240" x14ac:dyDescent="0.4">
      <c r="A1135" s="4">
        <v>2</v>
      </c>
      <c r="B1135" s="4" t="s">
        <v>239</v>
      </c>
      <c r="C1135" s="4">
        <v>1434</v>
      </c>
      <c r="D1135" s="4">
        <v>1</v>
      </c>
      <c r="E1135" s="4">
        <v>3</v>
      </c>
      <c r="F1135" s="4" t="s">
        <v>240</v>
      </c>
      <c r="G1135" s="4" t="s">
        <v>241</v>
      </c>
      <c r="H1135" s="4" t="s">
        <v>241</v>
      </c>
      <c r="I1135" s="4" t="s">
        <v>1344</v>
      </c>
      <c r="J1135" s="4" t="s">
        <v>424</v>
      </c>
      <c r="K1135" s="4" t="s">
        <v>256</v>
      </c>
      <c r="L1135" s="4" t="s">
        <v>1343</v>
      </c>
      <c r="M1135" s="5" t="s">
        <v>1345</v>
      </c>
      <c r="N1135" s="4" t="s">
        <v>1343</v>
      </c>
      <c r="O1135" s="6">
        <f>429.01</f>
        <v>429.01</v>
      </c>
      <c r="P1135" s="4" t="s">
        <v>276</v>
      </c>
      <c r="Q1135" s="6">
        <f>9266616</f>
        <v>9266616</v>
      </c>
      <c r="R1135" s="6">
        <f>57916350</f>
        <v>57916350</v>
      </c>
      <c r="S1135" s="5" t="s">
        <v>1088</v>
      </c>
      <c r="T1135" s="4" t="s">
        <v>296</v>
      </c>
      <c r="U1135" s="4" t="s">
        <v>373</v>
      </c>
      <c r="V1135" s="6">
        <f>1158327</f>
        <v>1158327</v>
      </c>
      <c r="W1135" s="6">
        <f>48649734</f>
        <v>48649734</v>
      </c>
      <c r="X1135" s="4" t="s">
        <v>243</v>
      </c>
      <c r="Y1135" s="4" t="s">
        <v>244</v>
      </c>
      <c r="Z1135" s="4" t="s">
        <v>465</v>
      </c>
      <c r="AA1135" s="4" t="s">
        <v>241</v>
      </c>
      <c r="AD1135" s="4" t="s">
        <v>241</v>
      </c>
      <c r="AE1135" s="5" t="s">
        <v>241</v>
      </c>
      <c r="AF1135" s="5" t="s">
        <v>241</v>
      </c>
      <c r="AH1135" s="5" t="s">
        <v>241</v>
      </c>
      <c r="AI1135" s="5" t="s">
        <v>249</v>
      </c>
      <c r="AJ1135" s="4" t="s">
        <v>251</v>
      </c>
      <c r="AK1135" s="4" t="s">
        <v>252</v>
      </c>
      <c r="AQ1135" s="4" t="s">
        <v>241</v>
      </c>
      <c r="AR1135" s="4" t="s">
        <v>241</v>
      </c>
      <c r="AS1135" s="4" t="s">
        <v>241</v>
      </c>
      <c r="AT1135" s="5" t="s">
        <v>241</v>
      </c>
      <c r="AU1135" s="5" t="s">
        <v>241</v>
      </c>
      <c r="AV1135" s="5" t="s">
        <v>241</v>
      </c>
      <c r="AY1135" s="4" t="s">
        <v>286</v>
      </c>
      <c r="AZ1135" s="4" t="s">
        <v>286</v>
      </c>
      <c r="BA1135" s="4" t="s">
        <v>254</v>
      </c>
      <c r="BB1135" s="4" t="s">
        <v>287</v>
      </c>
      <c r="BC1135" s="4" t="s">
        <v>255</v>
      </c>
      <c r="BD1135" s="4" t="s">
        <v>241</v>
      </c>
      <c r="BE1135" s="4" t="s">
        <v>257</v>
      </c>
      <c r="BF1135" s="4" t="s">
        <v>241</v>
      </c>
      <c r="BJ1135" s="4" t="s">
        <v>288</v>
      </c>
      <c r="BK1135" s="5" t="s">
        <v>289</v>
      </c>
      <c r="BL1135" s="4" t="s">
        <v>290</v>
      </c>
      <c r="BM1135" s="4" t="s">
        <v>290</v>
      </c>
      <c r="BN1135" s="4" t="s">
        <v>241</v>
      </c>
      <c r="BO1135" s="6">
        <f>0</f>
        <v>0</v>
      </c>
      <c r="BP1135" s="6">
        <f>-1158327</f>
        <v>-1158327</v>
      </c>
      <c r="BQ1135" s="4" t="s">
        <v>263</v>
      </c>
      <c r="BR1135" s="4" t="s">
        <v>264</v>
      </c>
      <c r="BS1135" s="4" t="s">
        <v>241</v>
      </c>
      <c r="BT1135" s="4" t="s">
        <v>241</v>
      </c>
      <c r="BU1135" s="4" t="s">
        <v>241</v>
      </c>
      <c r="BV1135" s="4" t="s">
        <v>241</v>
      </c>
      <c r="CE1135" s="4" t="s">
        <v>264</v>
      </c>
      <c r="CF1135" s="4" t="s">
        <v>241</v>
      </c>
      <c r="CG1135" s="4" t="s">
        <v>241</v>
      </c>
      <c r="CK1135" s="4" t="s">
        <v>265</v>
      </c>
      <c r="CL1135" s="4" t="s">
        <v>266</v>
      </c>
      <c r="CM1135" s="4" t="s">
        <v>241</v>
      </c>
      <c r="CO1135" s="4" t="s">
        <v>914</v>
      </c>
      <c r="CP1135" s="5" t="s">
        <v>268</v>
      </c>
      <c r="CQ1135" s="4" t="s">
        <v>269</v>
      </c>
      <c r="CR1135" s="4" t="s">
        <v>270</v>
      </c>
      <c r="CS1135" s="4" t="s">
        <v>293</v>
      </c>
      <c r="CT1135" s="4" t="s">
        <v>241</v>
      </c>
      <c r="CU1135" s="4">
        <v>0.02</v>
      </c>
      <c r="CV1135" s="4" t="s">
        <v>271</v>
      </c>
      <c r="CW1135" s="4" t="s">
        <v>1329</v>
      </c>
      <c r="CX1135" s="4" t="s">
        <v>295</v>
      </c>
      <c r="CY1135" s="6">
        <f>0</f>
        <v>0</v>
      </c>
      <c r="CZ1135" s="6">
        <f>57916350</f>
        <v>57916350</v>
      </c>
      <c r="DA1135" s="6">
        <f>9266616</f>
        <v>9266616</v>
      </c>
      <c r="DC1135" s="4" t="s">
        <v>241</v>
      </c>
      <c r="DD1135" s="4" t="s">
        <v>241</v>
      </c>
      <c r="DF1135" s="4" t="s">
        <v>241</v>
      </c>
      <c r="DG1135" s="6">
        <f>0</f>
        <v>0</v>
      </c>
      <c r="DI1135" s="4" t="s">
        <v>241</v>
      </c>
      <c r="DJ1135" s="4" t="s">
        <v>241</v>
      </c>
      <c r="DK1135" s="4" t="s">
        <v>241</v>
      </c>
      <c r="DL1135" s="4" t="s">
        <v>241</v>
      </c>
      <c r="DM1135" s="4" t="s">
        <v>277</v>
      </c>
      <c r="DN1135" s="4" t="s">
        <v>278</v>
      </c>
      <c r="DO1135" s="6">
        <f>429.01</f>
        <v>429.01</v>
      </c>
      <c r="DP1135" s="4" t="s">
        <v>241</v>
      </c>
      <c r="DQ1135" s="4" t="s">
        <v>241</v>
      </c>
      <c r="DR1135" s="4" t="s">
        <v>241</v>
      </c>
      <c r="DS1135" s="4" t="s">
        <v>241</v>
      </c>
      <c r="DV1135" s="4" t="s">
        <v>1346</v>
      </c>
      <c r="DW1135" s="4" t="s">
        <v>277</v>
      </c>
      <c r="GN1135" s="4" t="s">
        <v>1347</v>
      </c>
      <c r="HO1135" s="4" t="s">
        <v>300</v>
      </c>
      <c r="HR1135" s="4" t="s">
        <v>278</v>
      </c>
      <c r="HS1135" s="4" t="s">
        <v>278</v>
      </c>
      <c r="HT1135" s="4" t="s">
        <v>241</v>
      </c>
      <c r="HU1135" s="4" t="s">
        <v>241</v>
      </c>
      <c r="HV1135" s="4" t="s">
        <v>241</v>
      </c>
      <c r="HW1135" s="4" t="s">
        <v>241</v>
      </c>
      <c r="HX1135" s="4" t="s">
        <v>241</v>
      </c>
      <c r="HY1135" s="4" t="s">
        <v>241</v>
      </c>
      <c r="HZ1135" s="4" t="s">
        <v>241</v>
      </c>
      <c r="IA1135" s="4" t="s">
        <v>241</v>
      </c>
      <c r="IB1135" s="4" t="s">
        <v>241</v>
      </c>
      <c r="IC1135" s="4" t="s">
        <v>241</v>
      </c>
      <c r="ID1135" s="4" t="s">
        <v>241</v>
      </c>
      <c r="IE1135" s="4" t="s">
        <v>241</v>
      </c>
      <c r="IF1135" s="4" t="s">
        <v>241</v>
      </c>
    </row>
    <row r="1136" spans="1:240" x14ac:dyDescent="0.4">
      <c r="A1136" s="4">
        <v>2</v>
      </c>
      <c r="B1136" s="4" t="s">
        <v>239</v>
      </c>
      <c r="C1136" s="4">
        <v>1435</v>
      </c>
      <c r="D1136" s="4">
        <v>1</v>
      </c>
      <c r="E1136" s="4">
        <v>3</v>
      </c>
      <c r="F1136" s="4" t="s">
        <v>240</v>
      </c>
      <c r="G1136" s="4" t="s">
        <v>241</v>
      </c>
      <c r="H1136" s="4" t="s">
        <v>241</v>
      </c>
      <c r="I1136" s="4" t="s">
        <v>1348</v>
      </c>
      <c r="J1136" s="4" t="s">
        <v>424</v>
      </c>
      <c r="K1136" s="4" t="s">
        <v>256</v>
      </c>
      <c r="L1136" s="4" t="s">
        <v>1343</v>
      </c>
      <c r="M1136" s="5" t="s">
        <v>1089</v>
      </c>
      <c r="N1136" s="4" t="s">
        <v>1343</v>
      </c>
      <c r="O1136" s="6">
        <f>170.57</f>
        <v>170.57</v>
      </c>
      <c r="P1136" s="4" t="s">
        <v>276</v>
      </c>
      <c r="Q1136" s="6">
        <f>19895040</f>
        <v>19895040</v>
      </c>
      <c r="R1136" s="6">
        <f>41448000</f>
        <v>41448000</v>
      </c>
      <c r="S1136" s="5" t="s">
        <v>1349</v>
      </c>
      <c r="T1136" s="4" t="s">
        <v>296</v>
      </c>
      <c r="U1136" s="4" t="s">
        <v>404</v>
      </c>
      <c r="V1136" s="6">
        <f>828960</f>
        <v>828960</v>
      </c>
      <c r="W1136" s="6">
        <f>21552960</f>
        <v>21552960</v>
      </c>
      <c r="X1136" s="4" t="s">
        <v>243</v>
      </c>
      <c r="Y1136" s="4" t="s">
        <v>244</v>
      </c>
      <c r="Z1136" s="4" t="s">
        <v>465</v>
      </c>
      <c r="AA1136" s="4" t="s">
        <v>241</v>
      </c>
      <c r="AD1136" s="4" t="s">
        <v>241</v>
      </c>
      <c r="AE1136" s="5" t="s">
        <v>241</v>
      </c>
      <c r="AF1136" s="5" t="s">
        <v>241</v>
      </c>
      <c r="AH1136" s="5" t="s">
        <v>241</v>
      </c>
      <c r="AI1136" s="5" t="s">
        <v>249</v>
      </c>
      <c r="AJ1136" s="4" t="s">
        <v>251</v>
      </c>
      <c r="AK1136" s="4" t="s">
        <v>252</v>
      </c>
      <c r="AQ1136" s="4" t="s">
        <v>241</v>
      </c>
      <c r="AR1136" s="4" t="s">
        <v>241</v>
      </c>
      <c r="AS1136" s="4" t="s">
        <v>241</v>
      </c>
      <c r="AT1136" s="5" t="s">
        <v>241</v>
      </c>
      <c r="AU1136" s="5" t="s">
        <v>241</v>
      </c>
      <c r="AV1136" s="5" t="s">
        <v>241</v>
      </c>
      <c r="AY1136" s="4" t="s">
        <v>286</v>
      </c>
      <c r="AZ1136" s="4" t="s">
        <v>286</v>
      </c>
      <c r="BA1136" s="4" t="s">
        <v>254</v>
      </c>
      <c r="BB1136" s="4" t="s">
        <v>287</v>
      </c>
      <c r="BC1136" s="4" t="s">
        <v>255</v>
      </c>
      <c r="BD1136" s="4" t="s">
        <v>241</v>
      </c>
      <c r="BE1136" s="4" t="s">
        <v>257</v>
      </c>
      <c r="BF1136" s="4" t="s">
        <v>241</v>
      </c>
      <c r="BH1136" s="4" t="s">
        <v>500</v>
      </c>
      <c r="BJ1136" s="4" t="s">
        <v>288</v>
      </c>
      <c r="BK1136" s="5" t="s">
        <v>289</v>
      </c>
      <c r="BL1136" s="4" t="s">
        <v>290</v>
      </c>
      <c r="BM1136" s="4" t="s">
        <v>290</v>
      </c>
      <c r="BN1136" s="4" t="s">
        <v>241</v>
      </c>
      <c r="BO1136" s="6">
        <f>0</f>
        <v>0</v>
      </c>
      <c r="BP1136" s="6">
        <f>-828960</f>
        <v>-828960</v>
      </c>
      <c r="BQ1136" s="4" t="s">
        <v>263</v>
      </c>
      <c r="BR1136" s="4" t="s">
        <v>264</v>
      </c>
      <c r="BS1136" s="4" t="s">
        <v>241</v>
      </c>
      <c r="BT1136" s="4" t="s">
        <v>241</v>
      </c>
      <c r="BU1136" s="4" t="s">
        <v>241</v>
      </c>
      <c r="BV1136" s="4" t="s">
        <v>241</v>
      </c>
      <c r="CE1136" s="4" t="s">
        <v>264</v>
      </c>
      <c r="CF1136" s="4" t="s">
        <v>241</v>
      </c>
      <c r="CG1136" s="4" t="s">
        <v>241</v>
      </c>
      <c r="CK1136" s="4" t="s">
        <v>291</v>
      </c>
      <c r="CL1136" s="4" t="s">
        <v>266</v>
      </c>
      <c r="CM1136" s="4" t="s">
        <v>241</v>
      </c>
      <c r="CO1136" s="4" t="s">
        <v>387</v>
      </c>
      <c r="CP1136" s="5" t="s">
        <v>268</v>
      </c>
      <c r="CQ1136" s="4" t="s">
        <v>269</v>
      </c>
      <c r="CR1136" s="4" t="s">
        <v>270</v>
      </c>
      <c r="CS1136" s="4" t="s">
        <v>293</v>
      </c>
      <c r="CT1136" s="4" t="s">
        <v>241</v>
      </c>
      <c r="CU1136" s="4">
        <v>0.02</v>
      </c>
      <c r="CV1136" s="4" t="s">
        <v>271</v>
      </c>
      <c r="CW1136" s="4" t="s">
        <v>1329</v>
      </c>
      <c r="CX1136" s="4" t="s">
        <v>295</v>
      </c>
      <c r="CY1136" s="6">
        <f>0</f>
        <v>0</v>
      </c>
      <c r="CZ1136" s="6">
        <f>41448000</f>
        <v>41448000</v>
      </c>
      <c r="DA1136" s="6">
        <f>19895040</f>
        <v>19895040</v>
      </c>
      <c r="DC1136" s="4" t="s">
        <v>241</v>
      </c>
      <c r="DD1136" s="4" t="s">
        <v>241</v>
      </c>
      <c r="DF1136" s="4" t="s">
        <v>241</v>
      </c>
      <c r="DG1136" s="6">
        <f>0</f>
        <v>0</v>
      </c>
      <c r="DI1136" s="4" t="s">
        <v>241</v>
      </c>
      <c r="DJ1136" s="4" t="s">
        <v>241</v>
      </c>
      <c r="DK1136" s="4" t="s">
        <v>241</v>
      </c>
      <c r="DL1136" s="4" t="s">
        <v>241</v>
      </c>
      <c r="DM1136" s="4" t="s">
        <v>277</v>
      </c>
      <c r="DN1136" s="4" t="s">
        <v>278</v>
      </c>
      <c r="DO1136" s="6">
        <f>170.57</f>
        <v>170.57</v>
      </c>
      <c r="DP1136" s="4" t="s">
        <v>241</v>
      </c>
      <c r="DQ1136" s="4" t="s">
        <v>241</v>
      </c>
      <c r="DR1136" s="4" t="s">
        <v>241</v>
      </c>
      <c r="DS1136" s="4" t="s">
        <v>241</v>
      </c>
      <c r="DV1136" s="4" t="s">
        <v>1350</v>
      </c>
      <c r="DW1136" s="4" t="s">
        <v>277</v>
      </c>
      <c r="GN1136" s="4" t="s">
        <v>1351</v>
      </c>
      <c r="HO1136" s="4" t="s">
        <v>300</v>
      </c>
      <c r="HR1136" s="4" t="s">
        <v>278</v>
      </c>
      <c r="HS1136" s="4" t="s">
        <v>278</v>
      </c>
      <c r="HT1136" s="4" t="s">
        <v>241</v>
      </c>
      <c r="HU1136" s="4" t="s">
        <v>241</v>
      </c>
      <c r="HV1136" s="4" t="s">
        <v>241</v>
      </c>
      <c r="HW1136" s="4" t="s">
        <v>241</v>
      </c>
      <c r="HX1136" s="4" t="s">
        <v>241</v>
      </c>
      <c r="HY1136" s="4" t="s">
        <v>241</v>
      </c>
      <c r="HZ1136" s="4" t="s">
        <v>241</v>
      </c>
      <c r="IA1136" s="4" t="s">
        <v>241</v>
      </c>
      <c r="IB1136" s="4" t="s">
        <v>241</v>
      </c>
      <c r="IC1136" s="4" t="s">
        <v>241</v>
      </c>
      <c r="ID1136" s="4" t="s">
        <v>241</v>
      </c>
      <c r="IE1136" s="4" t="s">
        <v>241</v>
      </c>
      <c r="IF1136" s="4" t="s">
        <v>241</v>
      </c>
    </row>
    <row r="1137" spans="1:240" x14ac:dyDescent="0.4">
      <c r="A1137" s="4">
        <v>2</v>
      </c>
      <c r="B1137" s="4" t="s">
        <v>239</v>
      </c>
      <c r="C1137" s="4">
        <v>1436</v>
      </c>
      <c r="D1137" s="4">
        <v>1</v>
      </c>
      <c r="E1137" s="4">
        <v>3</v>
      </c>
      <c r="F1137" s="4" t="s">
        <v>240</v>
      </c>
      <c r="G1137" s="4" t="s">
        <v>241</v>
      </c>
      <c r="H1137" s="4" t="s">
        <v>241</v>
      </c>
      <c r="I1137" s="4" t="s">
        <v>1348</v>
      </c>
      <c r="J1137" s="4" t="s">
        <v>424</v>
      </c>
      <c r="K1137" s="4" t="s">
        <v>256</v>
      </c>
      <c r="L1137" s="4" t="s">
        <v>1343</v>
      </c>
      <c r="M1137" s="5" t="s">
        <v>1089</v>
      </c>
      <c r="N1137" s="4" t="s">
        <v>1343</v>
      </c>
      <c r="O1137" s="6">
        <f>43.2</f>
        <v>43.2</v>
      </c>
      <c r="P1137" s="4" t="s">
        <v>276</v>
      </c>
      <c r="Q1137" s="6">
        <f>1158624</f>
        <v>1158624</v>
      </c>
      <c r="R1137" s="6">
        <f>3888000</f>
        <v>3888000</v>
      </c>
      <c r="S1137" s="5" t="s">
        <v>1349</v>
      </c>
      <c r="T1137" s="4" t="s">
        <v>333</v>
      </c>
      <c r="U1137" s="4" t="s">
        <v>404</v>
      </c>
      <c r="V1137" s="6">
        <f>104976</f>
        <v>104976</v>
      </c>
      <c r="W1137" s="6">
        <f>2729376</f>
        <v>2729376</v>
      </c>
      <c r="X1137" s="4" t="s">
        <v>243</v>
      </c>
      <c r="Y1137" s="4" t="s">
        <v>244</v>
      </c>
      <c r="Z1137" s="4" t="s">
        <v>465</v>
      </c>
      <c r="AA1137" s="4" t="s">
        <v>241</v>
      </c>
      <c r="AD1137" s="4" t="s">
        <v>241</v>
      </c>
      <c r="AE1137" s="5" t="s">
        <v>241</v>
      </c>
      <c r="AF1137" s="5" t="s">
        <v>241</v>
      </c>
      <c r="AH1137" s="5" t="s">
        <v>241</v>
      </c>
      <c r="AI1137" s="5" t="s">
        <v>249</v>
      </c>
      <c r="AJ1137" s="4" t="s">
        <v>251</v>
      </c>
      <c r="AK1137" s="4" t="s">
        <v>252</v>
      </c>
      <c r="AQ1137" s="4" t="s">
        <v>241</v>
      </c>
      <c r="AR1137" s="4" t="s">
        <v>241</v>
      </c>
      <c r="AS1137" s="4" t="s">
        <v>241</v>
      </c>
      <c r="AT1137" s="5" t="s">
        <v>241</v>
      </c>
      <c r="AU1137" s="5" t="s">
        <v>241</v>
      </c>
      <c r="AV1137" s="5" t="s">
        <v>241</v>
      </c>
      <c r="AY1137" s="4" t="s">
        <v>286</v>
      </c>
      <c r="AZ1137" s="4" t="s">
        <v>286</v>
      </c>
      <c r="BA1137" s="4" t="s">
        <v>254</v>
      </c>
      <c r="BB1137" s="4" t="s">
        <v>287</v>
      </c>
      <c r="BC1137" s="4" t="s">
        <v>255</v>
      </c>
      <c r="BD1137" s="4" t="s">
        <v>241</v>
      </c>
      <c r="BE1137" s="4" t="s">
        <v>257</v>
      </c>
      <c r="BF1137" s="4" t="s">
        <v>241</v>
      </c>
      <c r="BJ1137" s="4" t="s">
        <v>288</v>
      </c>
      <c r="BK1137" s="5" t="s">
        <v>289</v>
      </c>
      <c r="BL1137" s="4" t="s">
        <v>290</v>
      </c>
      <c r="BM1137" s="4" t="s">
        <v>290</v>
      </c>
      <c r="BN1137" s="4" t="s">
        <v>241</v>
      </c>
      <c r="BO1137" s="6">
        <f>0</f>
        <v>0</v>
      </c>
      <c r="BP1137" s="6">
        <f>-104976</f>
        <v>-104976</v>
      </c>
      <c r="BQ1137" s="4" t="s">
        <v>263</v>
      </c>
      <c r="BR1137" s="4" t="s">
        <v>264</v>
      </c>
      <c r="BS1137" s="4" t="s">
        <v>241</v>
      </c>
      <c r="BT1137" s="4" t="s">
        <v>241</v>
      </c>
      <c r="BU1137" s="4" t="s">
        <v>241</v>
      </c>
      <c r="BV1137" s="4" t="s">
        <v>241</v>
      </c>
      <c r="CE1137" s="4" t="s">
        <v>264</v>
      </c>
      <c r="CF1137" s="4" t="s">
        <v>241</v>
      </c>
      <c r="CG1137" s="4" t="s">
        <v>241</v>
      </c>
      <c r="CK1137" s="4" t="s">
        <v>291</v>
      </c>
      <c r="CL1137" s="4" t="s">
        <v>266</v>
      </c>
      <c r="CM1137" s="4" t="s">
        <v>241</v>
      </c>
      <c r="CO1137" s="4" t="s">
        <v>387</v>
      </c>
      <c r="CP1137" s="5" t="s">
        <v>268</v>
      </c>
      <c r="CQ1137" s="4" t="s">
        <v>269</v>
      </c>
      <c r="CR1137" s="4" t="s">
        <v>270</v>
      </c>
      <c r="CS1137" s="4" t="s">
        <v>293</v>
      </c>
      <c r="CT1137" s="4" t="s">
        <v>241</v>
      </c>
      <c r="CU1137" s="4">
        <v>2.7E-2</v>
      </c>
      <c r="CV1137" s="4" t="s">
        <v>271</v>
      </c>
      <c r="CW1137" s="4" t="s">
        <v>1329</v>
      </c>
      <c r="CX1137" s="4" t="s">
        <v>487</v>
      </c>
      <c r="CY1137" s="6">
        <f>0</f>
        <v>0</v>
      </c>
      <c r="CZ1137" s="6">
        <f>3888000</f>
        <v>3888000</v>
      </c>
      <c r="DA1137" s="6">
        <f>1158624</f>
        <v>1158624</v>
      </c>
      <c r="DC1137" s="4" t="s">
        <v>241</v>
      </c>
      <c r="DD1137" s="4" t="s">
        <v>241</v>
      </c>
      <c r="DF1137" s="4" t="s">
        <v>241</v>
      </c>
      <c r="DG1137" s="6">
        <f>0</f>
        <v>0</v>
      </c>
      <c r="DI1137" s="4" t="s">
        <v>241</v>
      </c>
      <c r="DJ1137" s="4" t="s">
        <v>241</v>
      </c>
      <c r="DK1137" s="4" t="s">
        <v>241</v>
      </c>
      <c r="DL1137" s="4" t="s">
        <v>241</v>
      </c>
      <c r="DM1137" s="4" t="s">
        <v>277</v>
      </c>
      <c r="DN1137" s="4" t="s">
        <v>278</v>
      </c>
      <c r="DO1137" s="6">
        <f>43.2</f>
        <v>43.2</v>
      </c>
      <c r="DP1137" s="4" t="s">
        <v>241</v>
      </c>
      <c r="DQ1137" s="4" t="s">
        <v>241</v>
      </c>
      <c r="DR1137" s="4" t="s">
        <v>241</v>
      </c>
      <c r="DS1137" s="4" t="s">
        <v>241</v>
      </c>
      <c r="DV1137" s="4" t="s">
        <v>1350</v>
      </c>
      <c r="DW1137" s="4" t="s">
        <v>323</v>
      </c>
      <c r="GN1137" s="4" t="s">
        <v>1352</v>
      </c>
      <c r="HO1137" s="4" t="s">
        <v>300</v>
      </c>
      <c r="HR1137" s="4" t="s">
        <v>278</v>
      </c>
      <c r="HS1137" s="4" t="s">
        <v>278</v>
      </c>
      <c r="HT1137" s="4" t="s">
        <v>241</v>
      </c>
      <c r="HU1137" s="4" t="s">
        <v>241</v>
      </c>
      <c r="HV1137" s="4" t="s">
        <v>241</v>
      </c>
      <c r="HW1137" s="4" t="s">
        <v>241</v>
      </c>
      <c r="HX1137" s="4" t="s">
        <v>241</v>
      </c>
      <c r="HY1137" s="4" t="s">
        <v>241</v>
      </c>
      <c r="HZ1137" s="4" t="s">
        <v>241</v>
      </c>
      <c r="IA1137" s="4" t="s">
        <v>241</v>
      </c>
      <c r="IB1137" s="4" t="s">
        <v>241</v>
      </c>
      <c r="IC1137" s="4" t="s">
        <v>241</v>
      </c>
      <c r="ID1137" s="4" t="s">
        <v>241</v>
      </c>
      <c r="IE1137" s="4" t="s">
        <v>241</v>
      </c>
      <c r="IF1137" s="4" t="s">
        <v>241</v>
      </c>
    </row>
    <row r="1138" spans="1:240" x14ac:dyDescent="0.4">
      <c r="A1138" s="4">
        <v>2</v>
      </c>
      <c r="B1138" s="4" t="s">
        <v>239</v>
      </c>
      <c r="C1138" s="4">
        <v>1437</v>
      </c>
      <c r="D1138" s="4">
        <v>1</v>
      </c>
      <c r="E1138" s="4">
        <v>3</v>
      </c>
      <c r="F1138" s="4" t="s">
        <v>240</v>
      </c>
      <c r="G1138" s="4" t="s">
        <v>241</v>
      </c>
      <c r="H1138" s="4" t="s">
        <v>241</v>
      </c>
      <c r="I1138" s="4" t="s">
        <v>1348</v>
      </c>
      <c r="J1138" s="4" t="s">
        <v>424</v>
      </c>
      <c r="K1138" s="4" t="s">
        <v>256</v>
      </c>
      <c r="L1138" s="4" t="s">
        <v>429</v>
      </c>
      <c r="M1138" s="5" t="s">
        <v>1089</v>
      </c>
      <c r="N1138" s="4" t="s">
        <v>429</v>
      </c>
      <c r="O1138" s="6">
        <f>34.7</f>
        <v>34.700000000000003</v>
      </c>
      <c r="P1138" s="4" t="s">
        <v>276</v>
      </c>
      <c r="Q1138" s="6">
        <f>4586600</f>
        <v>4586600</v>
      </c>
      <c r="R1138" s="6">
        <f>32300000</f>
        <v>32300000</v>
      </c>
      <c r="S1138" s="5" t="s">
        <v>1349</v>
      </c>
      <c r="T1138" s="4" t="s">
        <v>441</v>
      </c>
      <c r="U1138" s="4" t="s">
        <v>404</v>
      </c>
      <c r="V1138" s="6">
        <f>1065900</f>
        <v>1065900</v>
      </c>
      <c r="W1138" s="6">
        <f>27713400</f>
        <v>27713400</v>
      </c>
      <c r="X1138" s="4" t="s">
        <v>243</v>
      </c>
      <c r="Y1138" s="4" t="s">
        <v>244</v>
      </c>
      <c r="Z1138" s="4" t="s">
        <v>465</v>
      </c>
      <c r="AA1138" s="4" t="s">
        <v>241</v>
      </c>
      <c r="AD1138" s="4" t="s">
        <v>241</v>
      </c>
      <c r="AE1138" s="5" t="s">
        <v>241</v>
      </c>
      <c r="AF1138" s="5" t="s">
        <v>241</v>
      </c>
      <c r="AH1138" s="5" t="s">
        <v>241</v>
      </c>
      <c r="AI1138" s="5" t="s">
        <v>249</v>
      </c>
      <c r="AJ1138" s="4" t="s">
        <v>251</v>
      </c>
      <c r="AK1138" s="4" t="s">
        <v>252</v>
      </c>
      <c r="AQ1138" s="4" t="s">
        <v>241</v>
      </c>
      <c r="AR1138" s="4" t="s">
        <v>241</v>
      </c>
      <c r="AS1138" s="4" t="s">
        <v>241</v>
      </c>
      <c r="AT1138" s="5" t="s">
        <v>241</v>
      </c>
      <c r="AU1138" s="5" t="s">
        <v>241</v>
      </c>
      <c r="AV1138" s="5" t="s">
        <v>241</v>
      </c>
      <c r="AY1138" s="4" t="s">
        <v>286</v>
      </c>
      <c r="AZ1138" s="4" t="s">
        <v>286</v>
      </c>
      <c r="BA1138" s="4" t="s">
        <v>254</v>
      </c>
      <c r="BB1138" s="4" t="s">
        <v>287</v>
      </c>
      <c r="BC1138" s="4" t="s">
        <v>255</v>
      </c>
      <c r="BD1138" s="4" t="s">
        <v>241</v>
      </c>
      <c r="BE1138" s="4" t="s">
        <v>257</v>
      </c>
      <c r="BF1138" s="4" t="s">
        <v>241</v>
      </c>
      <c r="BJ1138" s="4" t="s">
        <v>288</v>
      </c>
      <c r="BK1138" s="5" t="s">
        <v>289</v>
      </c>
      <c r="BL1138" s="4" t="s">
        <v>290</v>
      </c>
      <c r="BM1138" s="4" t="s">
        <v>290</v>
      </c>
      <c r="BN1138" s="4" t="s">
        <v>241</v>
      </c>
      <c r="BO1138" s="6">
        <f>0</f>
        <v>0</v>
      </c>
      <c r="BP1138" s="6">
        <f>-1065900</f>
        <v>-1065900</v>
      </c>
      <c r="BQ1138" s="4" t="s">
        <v>263</v>
      </c>
      <c r="BR1138" s="4" t="s">
        <v>264</v>
      </c>
      <c r="BS1138" s="4" t="s">
        <v>241</v>
      </c>
      <c r="BT1138" s="4" t="s">
        <v>241</v>
      </c>
      <c r="BU1138" s="4" t="s">
        <v>241</v>
      </c>
      <c r="BV1138" s="4" t="s">
        <v>241</v>
      </c>
      <c r="CE1138" s="4" t="s">
        <v>264</v>
      </c>
      <c r="CF1138" s="4" t="s">
        <v>241</v>
      </c>
      <c r="CG1138" s="4" t="s">
        <v>241</v>
      </c>
      <c r="CK1138" s="4" t="s">
        <v>291</v>
      </c>
      <c r="CL1138" s="4" t="s">
        <v>266</v>
      </c>
      <c r="CM1138" s="4" t="s">
        <v>241</v>
      </c>
      <c r="CO1138" s="4" t="s">
        <v>387</v>
      </c>
      <c r="CP1138" s="5" t="s">
        <v>268</v>
      </c>
      <c r="CQ1138" s="4" t="s">
        <v>269</v>
      </c>
      <c r="CR1138" s="4" t="s">
        <v>270</v>
      </c>
      <c r="CS1138" s="4" t="s">
        <v>293</v>
      </c>
      <c r="CT1138" s="4" t="s">
        <v>241</v>
      </c>
      <c r="CU1138" s="4">
        <v>3.3000000000000002E-2</v>
      </c>
      <c r="CV1138" s="4" t="s">
        <v>271</v>
      </c>
      <c r="CW1138" s="4" t="s">
        <v>272</v>
      </c>
      <c r="CX1138" s="4" t="s">
        <v>487</v>
      </c>
      <c r="CY1138" s="6">
        <f>0</f>
        <v>0</v>
      </c>
      <c r="CZ1138" s="6">
        <f>32300000</f>
        <v>32300000</v>
      </c>
      <c r="DA1138" s="6">
        <f>4586600</f>
        <v>4586600</v>
      </c>
      <c r="DC1138" s="4" t="s">
        <v>241</v>
      </c>
      <c r="DD1138" s="4" t="s">
        <v>241</v>
      </c>
      <c r="DF1138" s="4" t="s">
        <v>241</v>
      </c>
      <c r="DG1138" s="6">
        <f>0</f>
        <v>0</v>
      </c>
      <c r="DI1138" s="4" t="s">
        <v>241</v>
      </c>
      <c r="DJ1138" s="4" t="s">
        <v>241</v>
      </c>
      <c r="DK1138" s="4" t="s">
        <v>241</v>
      </c>
      <c r="DL1138" s="4" t="s">
        <v>241</v>
      </c>
      <c r="DM1138" s="4" t="s">
        <v>277</v>
      </c>
      <c r="DN1138" s="4" t="s">
        <v>278</v>
      </c>
      <c r="DO1138" s="6">
        <f>34.7</f>
        <v>34.700000000000003</v>
      </c>
      <c r="DP1138" s="4" t="s">
        <v>241</v>
      </c>
      <c r="DQ1138" s="4" t="s">
        <v>241</v>
      </c>
      <c r="DR1138" s="4" t="s">
        <v>241</v>
      </c>
      <c r="DS1138" s="4" t="s">
        <v>241</v>
      </c>
      <c r="DV1138" s="4" t="s">
        <v>1350</v>
      </c>
      <c r="DW1138" s="4" t="s">
        <v>297</v>
      </c>
      <c r="GN1138" s="4" t="s">
        <v>3749</v>
      </c>
      <c r="HO1138" s="4" t="s">
        <v>300</v>
      </c>
      <c r="HR1138" s="4" t="s">
        <v>278</v>
      </c>
      <c r="HS1138" s="4" t="s">
        <v>278</v>
      </c>
      <c r="HT1138" s="4" t="s">
        <v>241</v>
      </c>
      <c r="HU1138" s="4" t="s">
        <v>241</v>
      </c>
      <c r="HV1138" s="4" t="s">
        <v>241</v>
      </c>
      <c r="HW1138" s="4" t="s">
        <v>241</v>
      </c>
      <c r="HX1138" s="4" t="s">
        <v>241</v>
      </c>
      <c r="HY1138" s="4" t="s">
        <v>241</v>
      </c>
      <c r="HZ1138" s="4" t="s">
        <v>241</v>
      </c>
      <c r="IA1138" s="4" t="s">
        <v>241</v>
      </c>
      <c r="IB1138" s="4" t="s">
        <v>241</v>
      </c>
      <c r="IC1138" s="4" t="s">
        <v>241</v>
      </c>
      <c r="ID1138" s="4" t="s">
        <v>241</v>
      </c>
      <c r="IE1138" s="4" t="s">
        <v>241</v>
      </c>
      <c r="IF1138" s="4" t="s">
        <v>241</v>
      </c>
    </row>
    <row r="1139" spans="1:240" x14ac:dyDescent="0.4">
      <c r="A1139" s="4">
        <v>2</v>
      </c>
      <c r="B1139" s="4" t="s">
        <v>239</v>
      </c>
      <c r="C1139" s="4">
        <v>1438</v>
      </c>
      <c r="D1139" s="4">
        <v>1</v>
      </c>
      <c r="E1139" s="4">
        <v>3</v>
      </c>
      <c r="F1139" s="4" t="s">
        <v>240</v>
      </c>
      <c r="G1139" s="4" t="s">
        <v>241</v>
      </c>
      <c r="H1139" s="4" t="s">
        <v>241</v>
      </c>
      <c r="I1139" s="4" t="s">
        <v>1353</v>
      </c>
      <c r="J1139" s="4" t="s">
        <v>424</v>
      </c>
      <c r="K1139" s="4" t="s">
        <v>256</v>
      </c>
      <c r="L1139" s="4" t="s">
        <v>1343</v>
      </c>
      <c r="M1139" s="5" t="s">
        <v>1268</v>
      </c>
      <c r="N1139" s="4" t="s">
        <v>1343</v>
      </c>
      <c r="O1139" s="6">
        <f>322.16</f>
        <v>322.16000000000003</v>
      </c>
      <c r="P1139" s="4" t="s">
        <v>276</v>
      </c>
      <c r="Q1139" s="6">
        <f>42041880</f>
        <v>42041880</v>
      </c>
      <c r="R1139" s="6">
        <f>72486000</f>
        <v>72486000</v>
      </c>
      <c r="S1139" s="5" t="s">
        <v>447</v>
      </c>
      <c r="T1139" s="4" t="s">
        <v>296</v>
      </c>
      <c r="U1139" s="4" t="s">
        <v>335</v>
      </c>
      <c r="V1139" s="6">
        <f>1449720</f>
        <v>1449720</v>
      </c>
      <c r="W1139" s="6">
        <f>30444120</f>
        <v>30444120</v>
      </c>
      <c r="X1139" s="4" t="s">
        <v>243</v>
      </c>
      <c r="Y1139" s="4" t="s">
        <v>244</v>
      </c>
      <c r="Z1139" s="4" t="s">
        <v>465</v>
      </c>
      <c r="AA1139" s="4" t="s">
        <v>241</v>
      </c>
      <c r="AD1139" s="4" t="s">
        <v>241</v>
      </c>
      <c r="AE1139" s="5" t="s">
        <v>241</v>
      </c>
      <c r="AF1139" s="5" t="s">
        <v>241</v>
      </c>
      <c r="AH1139" s="5" t="s">
        <v>241</v>
      </c>
      <c r="AI1139" s="5" t="s">
        <v>249</v>
      </c>
      <c r="AJ1139" s="4" t="s">
        <v>251</v>
      </c>
      <c r="AK1139" s="4" t="s">
        <v>252</v>
      </c>
      <c r="AQ1139" s="4" t="s">
        <v>241</v>
      </c>
      <c r="AR1139" s="4" t="s">
        <v>241</v>
      </c>
      <c r="AS1139" s="4" t="s">
        <v>241</v>
      </c>
      <c r="AT1139" s="5" t="s">
        <v>241</v>
      </c>
      <c r="AU1139" s="5" t="s">
        <v>241</v>
      </c>
      <c r="AV1139" s="5" t="s">
        <v>241</v>
      </c>
      <c r="AY1139" s="4" t="s">
        <v>286</v>
      </c>
      <c r="AZ1139" s="4" t="s">
        <v>286</v>
      </c>
      <c r="BA1139" s="4" t="s">
        <v>254</v>
      </c>
      <c r="BB1139" s="4" t="s">
        <v>287</v>
      </c>
      <c r="BC1139" s="4" t="s">
        <v>255</v>
      </c>
      <c r="BD1139" s="4" t="s">
        <v>241</v>
      </c>
      <c r="BE1139" s="4" t="s">
        <v>257</v>
      </c>
      <c r="BF1139" s="4" t="s">
        <v>241</v>
      </c>
      <c r="BJ1139" s="4" t="s">
        <v>288</v>
      </c>
      <c r="BK1139" s="5" t="s">
        <v>289</v>
      </c>
      <c r="BL1139" s="4" t="s">
        <v>290</v>
      </c>
      <c r="BM1139" s="4" t="s">
        <v>290</v>
      </c>
      <c r="BN1139" s="4" t="s">
        <v>241</v>
      </c>
      <c r="BO1139" s="6">
        <f>0</f>
        <v>0</v>
      </c>
      <c r="BP1139" s="6">
        <f>-1449720</f>
        <v>-1449720</v>
      </c>
      <c r="BQ1139" s="4" t="s">
        <v>263</v>
      </c>
      <c r="BR1139" s="4" t="s">
        <v>264</v>
      </c>
      <c r="BS1139" s="4" t="s">
        <v>241</v>
      </c>
      <c r="BT1139" s="4" t="s">
        <v>241</v>
      </c>
      <c r="BU1139" s="4" t="s">
        <v>241</v>
      </c>
      <c r="BV1139" s="4" t="s">
        <v>241</v>
      </c>
      <c r="CE1139" s="4" t="s">
        <v>264</v>
      </c>
      <c r="CF1139" s="4" t="s">
        <v>241</v>
      </c>
      <c r="CG1139" s="4" t="s">
        <v>241</v>
      </c>
      <c r="CK1139" s="4" t="s">
        <v>291</v>
      </c>
      <c r="CL1139" s="4" t="s">
        <v>266</v>
      </c>
      <c r="CM1139" s="4" t="s">
        <v>241</v>
      </c>
      <c r="CO1139" s="4" t="s">
        <v>449</v>
      </c>
      <c r="CP1139" s="5" t="s">
        <v>268</v>
      </c>
      <c r="CQ1139" s="4" t="s">
        <v>269</v>
      </c>
      <c r="CR1139" s="4" t="s">
        <v>270</v>
      </c>
      <c r="CS1139" s="4" t="s">
        <v>293</v>
      </c>
      <c r="CT1139" s="4" t="s">
        <v>241</v>
      </c>
      <c r="CU1139" s="4">
        <v>0.02</v>
      </c>
      <c r="CV1139" s="4" t="s">
        <v>271</v>
      </c>
      <c r="CW1139" s="4" t="s">
        <v>1329</v>
      </c>
      <c r="CX1139" s="4" t="s">
        <v>295</v>
      </c>
      <c r="CY1139" s="6">
        <f>0</f>
        <v>0</v>
      </c>
      <c r="CZ1139" s="6">
        <f>72486000</f>
        <v>72486000</v>
      </c>
      <c r="DA1139" s="6">
        <f>42041880</f>
        <v>42041880</v>
      </c>
      <c r="DC1139" s="4" t="s">
        <v>241</v>
      </c>
      <c r="DD1139" s="4" t="s">
        <v>241</v>
      </c>
      <c r="DF1139" s="4" t="s">
        <v>241</v>
      </c>
      <c r="DG1139" s="6">
        <f>0</f>
        <v>0</v>
      </c>
      <c r="DI1139" s="4" t="s">
        <v>241</v>
      </c>
      <c r="DJ1139" s="4" t="s">
        <v>241</v>
      </c>
      <c r="DK1139" s="4" t="s">
        <v>241</v>
      </c>
      <c r="DL1139" s="4" t="s">
        <v>241</v>
      </c>
      <c r="DM1139" s="4" t="s">
        <v>277</v>
      </c>
      <c r="DN1139" s="4" t="s">
        <v>278</v>
      </c>
      <c r="DO1139" s="6">
        <f>322.16</f>
        <v>322.16000000000003</v>
      </c>
      <c r="DP1139" s="4" t="s">
        <v>241</v>
      </c>
      <c r="DQ1139" s="4" t="s">
        <v>241</v>
      </c>
      <c r="DR1139" s="4" t="s">
        <v>241</v>
      </c>
      <c r="DS1139" s="4" t="s">
        <v>241</v>
      </c>
      <c r="DV1139" s="4" t="s">
        <v>1354</v>
      </c>
      <c r="DW1139" s="4" t="s">
        <v>277</v>
      </c>
      <c r="GN1139" s="4" t="s">
        <v>1355</v>
      </c>
      <c r="HO1139" s="4" t="s">
        <v>300</v>
      </c>
      <c r="HR1139" s="4" t="s">
        <v>278</v>
      </c>
      <c r="HS1139" s="4" t="s">
        <v>278</v>
      </c>
      <c r="HT1139" s="4" t="s">
        <v>241</v>
      </c>
      <c r="HU1139" s="4" t="s">
        <v>241</v>
      </c>
      <c r="HV1139" s="4" t="s">
        <v>241</v>
      </c>
      <c r="HW1139" s="4" t="s">
        <v>241</v>
      </c>
      <c r="HX1139" s="4" t="s">
        <v>241</v>
      </c>
      <c r="HY1139" s="4" t="s">
        <v>241</v>
      </c>
      <c r="HZ1139" s="4" t="s">
        <v>241</v>
      </c>
      <c r="IA1139" s="4" t="s">
        <v>241</v>
      </c>
      <c r="IB1139" s="4" t="s">
        <v>241</v>
      </c>
      <c r="IC1139" s="4" t="s">
        <v>241</v>
      </c>
      <c r="ID1139" s="4" t="s">
        <v>241</v>
      </c>
      <c r="IE1139" s="4" t="s">
        <v>241</v>
      </c>
      <c r="IF1139" s="4" t="s">
        <v>241</v>
      </c>
    </row>
    <row r="1140" spans="1:240" x14ac:dyDescent="0.4">
      <c r="A1140" s="4">
        <v>2</v>
      </c>
      <c r="B1140" s="4" t="s">
        <v>239</v>
      </c>
      <c r="C1140" s="4">
        <v>1439</v>
      </c>
      <c r="D1140" s="4">
        <v>1</v>
      </c>
      <c r="E1140" s="4">
        <v>3</v>
      </c>
      <c r="F1140" s="4" t="s">
        <v>326</v>
      </c>
      <c r="G1140" s="4" t="s">
        <v>241</v>
      </c>
      <c r="H1140" s="4" t="s">
        <v>241</v>
      </c>
      <c r="I1140" s="4" t="s">
        <v>1353</v>
      </c>
      <c r="J1140" s="4" t="s">
        <v>424</v>
      </c>
      <c r="K1140" s="4" t="s">
        <v>256</v>
      </c>
      <c r="L1140" s="4" t="s">
        <v>241</v>
      </c>
      <c r="M1140" s="5" t="s">
        <v>1268</v>
      </c>
      <c r="N1140" s="4" t="s">
        <v>423</v>
      </c>
      <c r="O1140" s="6">
        <f>0</f>
        <v>0</v>
      </c>
      <c r="P1140" s="4" t="s">
        <v>276</v>
      </c>
      <c r="Q1140" s="6">
        <f>1753738</f>
        <v>1753738</v>
      </c>
      <c r="R1140" s="6">
        <f>2025100</f>
        <v>2025100</v>
      </c>
      <c r="S1140" s="5" t="s">
        <v>2660</v>
      </c>
      <c r="T1140" s="4" t="s">
        <v>348</v>
      </c>
      <c r="U1140" s="4" t="s">
        <v>277</v>
      </c>
      <c r="V1140" s="6">
        <f>135681</f>
        <v>135681</v>
      </c>
      <c r="W1140" s="6">
        <f>271362</f>
        <v>271362</v>
      </c>
      <c r="X1140" s="4" t="s">
        <v>243</v>
      </c>
      <c r="Y1140" s="4" t="s">
        <v>244</v>
      </c>
      <c r="Z1140" s="4" t="s">
        <v>241</v>
      </c>
      <c r="AA1140" s="4" t="s">
        <v>241</v>
      </c>
      <c r="AD1140" s="4" t="s">
        <v>241</v>
      </c>
      <c r="AE1140" s="5" t="s">
        <v>241</v>
      </c>
      <c r="AF1140" s="5" t="s">
        <v>241</v>
      </c>
      <c r="AH1140" s="5" t="s">
        <v>241</v>
      </c>
      <c r="AI1140" s="5" t="s">
        <v>249</v>
      </c>
      <c r="AJ1140" s="4" t="s">
        <v>251</v>
      </c>
      <c r="AK1140" s="4" t="s">
        <v>252</v>
      </c>
      <c r="AQ1140" s="4" t="s">
        <v>241</v>
      </c>
      <c r="AR1140" s="4" t="s">
        <v>241</v>
      </c>
      <c r="AS1140" s="4" t="s">
        <v>241</v>
      </c>
      <c r="AT1140" s="5" t="s">
        <v>241</v>
      </c>
      <c r="AU1140" s="5" t="s">
        <v>241</v>
      </c>
      <c r="AV1140" s="5" t="s">
        <v>241</v>
      </c>
      <c r="AY1140" s="4" t="s">
        <v>286</v>
      </c>
      <c r="AZ1140" s="4" t="s">
        <v>286</v>
      </c>
      <c r="BA1140" s="4" t="s">
        <v>254</v>
      </c>
      <c r="BB1140" s="4" t="s">
        <v>287</v>
      </c>
      <c r="BC1140" s="4" t="s">
        <v>255</v>
      </c>
      <c r="BD1140" s="4" t="s">
        <v>241</v>
      </c>
      <c r="BE1140" s="4" t="s">
        <v>257</v>
      </c>
      <c r="BF1140" s="4" t="s">
        <v>241</v>
      </c>
      <c r="BJ1140" s="4" t="s">
        <v>288</v>
      </c>
      <c r="BK1140" s="5" t="s">
        <v>289</v>
      </c>
      <c r="BL1140" s="4" t="s">
        <v>290</v>
      </c>
      <c r="BM1140" s="4" t="s">
        <v>290</v>
      </c>
      <c r="BN1140" s="4" t="s">
        <v>241</v>
      </c>
      <c r="BP1140" s="6">
        <f>-135681</f>
        <v>-135681</v>
      </c>
      <c r="BQ1140" s="4" t="s">
        <v>263</v>
      </c>
      <c r="BR1140" s="4" t="s">
        <v>264</v>
      </c>
      <c r="BS1140" s="4" t="s">
        <v>241</v>
      </c>
      <c r="BT1140" s="4" t="s">
        <v>241</v>
      </c>
      <c r="BU1140" s="4" t="s">
        <v>241</v>
      </c>
      <c r="BV1140" s="4" t="s">
        <v>241</v>
      </c>
      <c r="CE1140" s="4" t="s">
        <v>264</v>
      </c>
      <c r="CF1140" s="4" t="s">
        <v>241</v>
      </c>
      <c r="CG1140" s="4" t="s">
        <v>241</v>
      </c>
      <c r="CK1140" s="4" t="s">
        <v>291</v>
      </c>
      <c r="CL1140" s="4" t="s">
        <v>266</v>
      </c>
      <c r="CM1140" s="4" t="s">
        <v>241</v>
      </c>
      <c r="CO1140" s="4" t="s">
        <v>331</v>
      </c>
      <c r="CP1140" s="5" t="s">
        <v>268</v>
      </c>
      <c r="CQ1140" s="4" t="s">
        <v>269</v>
      </c>
      <c r="CR1140" s="4" t="s">
        <v>270</v>
      </c>
      <c r="CS1140" s="4" t="s">
        <v>293</v>
      </c>
      <c r="CT1140" s="4" t="s">
        <v>241</v>
      </c>
      <c r="CU1140" s="4">
        <v>6.7000000000000004E-2</v>
      </c>
      <c r="CV1140" s="4" t="s">
        <v>271</v>
      </c>
      <c r="CW1140" s="4" t="s">
        <v>415</v>
      </c>
      <c r="CX1140" s="4" t="s">
        <v>422</v>
      </c>
      <c r="CY1140" s="6">
        <f>0</f>
        <v>0</v>
      </c>
      <c r="CZ1140" s="6">
        <f>2025100</f>
        <v>2025100</v>
      </c>
      <c r="DA1140" s="6">
        <f>1753738</f>
        <v>1753738</v>
      </c>
      <c r="DC1140" s="4" t="s">
        <v>241</v>
      </c>
      <c r="DD1140" s="4" t="s">
        <v>241</v>
      </c>
      <c r="DF1140" s="4" t="s">
        <v>241</v>
      </c>
      <c r="DG1140" s="6">
        <f>0</f>
        <v>0</v>
      </c>
      <c r="DI1140" s="4" t="s">
        <v>241</v>
      </c>
      <c r="DJ1140" s="4" t="s">
        <v>241</v>
      </c>
      <c r="DK1140" s="4" t="s">
        <v>241</v>
      </c>
      <c r="DL1140" s="4" t="s">
        <v>241</v>
      </c>
      <c r="DM1140" s="4" t="s">
        <v>278</v>
      </c>
      <c r="DN1140" s="4" t="s">
        <v>278</v>
      </c>
      <c r="DO1140" s="6" t="s">
        <v>241</v>
      </c>
      <c r="DP1140" s="4" t="s">
        <v>241</v>
      </c>
      <c r="DQ1140" s="4" t="s">
        <v>241</v>
      </c>
      <c r="DR1140" s="4" t="s">
        <v>241</v>
      </c>
      <c r="DS1140" s="4" t="s">
        <v>241</v>
      </c>
      <c r="DV1140" s="4" t="s">
        <v>1354</v>
      </c>
      <c r="DW1140" s="4" t="s">
        <v>323</v>
      </c>
      <c r="GN1140" s="4" t="s">
        <v>2661</v>
      </c>
      <c r="HO1140" s="4" t="s">
        <v>297</v>
      </c>
      <c r="HR1140" s="4" t="s">
        <v>278</v>
      </c>
      <c r="HS1140" s="4" t="s">
        <v>278</v>
      </c>
      <c r="HT1140" s="4" t="s">
        <v>241</v>
      </c>
      <c r="HU1140" s="4" t="s">
        <v>241</v>
      </c>
      <c r="HV1140" s="4" t="s">
        <v>241</v>
      </c>
      <c r="HW1140" s="4" t="s">
        <v>241</v>
      </c>
      <c r="HX1140" s="4" t="s">
        <v>241</v>
      </c>
      <c r="HY1140" s="4" t="s">
        <v>241</v>
      </c>
      <c r="HZ1140" s="4" t="s">
        <v>241</v>
      </c>
      <c r="IA1140" s="4" t="s">
        <v>241</v>
      </c>
      <c r="IB1140" s="4" t="s">
        <v>241</v>
      </c>
      <c r="IC1140" s="4" t="s">
        <v>241</v>
      </c>
      <c r="ID1140" s="4" t="s">
        <v>241</v>
      </c>
      <c r="IE1140" s="4" t="s">
        <v>241</v>
      </c>
      <c r="IF1140" s="4" t="s">
        <v>241</v>
      </c>
    </row>
    <row r="1141" spans="1:240" x14ac:dyDescent="0.4">
      <c r="A1141" s="4">
        <v>2</v>
      </c>
      <c r="B1141" s="4" t="s">
        <v>239</v>
      </c>
      <c r="C1141" s="4">
        <v>1440</v>
      </c>
      <c r="D1141" s="4">
        <v>1</v>
      </c>
      <c r="E1141" s="4">
        <v>3</v>
      </c>
      <c r="F1141" s="4" t="s">
        <v>240</v>
      </c>
      <c r="G1141" s="4" t="s">
        <v>241</v>
      </c>
      <c r="H1141" s="4" t="s">
        <v>241</v>
      </c>
      <c r="I1141" s="4" t="s">
        <v>1024</v>
      </c>
      <c r="J1141" s="4" t="s">
        <v>424</v>
      </c>
      <c r="K1141" s="4" t="s">
        <v>256</v>
      </c>
      <c r="L1141" s="4" t="s">
        <v>1023</v>
      </c>
      <c r="M1141" s="5" t="s">
        <v>1025</v>
      </c>
      <c r="N1141" s="4" t="s">
        <v>1023</v>
      </c>
      <c r="O1141" s="6">
        <f>2528.22</f>
        <v>2528.2199999999998</v>
      </c>
      <c r="P1141" s="4" t="s">
        <v>276</v>
      </c>
      <c r="Q1141" s="6">
        <f>253580490</f>
        <v>253580490</v>
      </c>
      <c r="R1141" s="6">
        <f>745824900</f>
        <v>745824900</v>
      </c>
      <c r="S1141" s="5" t="s">
        <v>438</v>
      </c>
      <c r="T1141" s="4" t="s">
        <v>668</v>
      </c>
      <c r="U1141" s="4" t="s">
        <v>399</v>
      </c>
      <c r="V1141" s="6">
        <f>16408147</f>
        <v>16408147</v>
      </c>
      <c r="W1141" s="6">
        <f>492244410</f>
        <v>492244410</v>
      </c>
      <c r="X1141" s="4" t="s">
        <v>243</v>
      </c>
      <c r="Y1141" s="4" t="s">
        <v>244</v>
      </c>
      <c r="Z1141" s="4" t="s">
        <v>465</v>
      </c>
      <c r="AA1141" s="4" t="s">
        <v>241</v>
      </c>
      <c r="AD1141" s="4" t="s">
        <v>241</v>
      </c>
      <c r="AE1141" s="5" t="s">
        <v>241</v>
      </c>
      <c r="AF1141" s="5" t="s">
        <v>241</v>
      </c>
      <c r="AH1141" s="5" t="s">
        <v>241</v>
      </c>
      <c r="AI1141" s="5" t="s">
        <v>249</v>
      </c>
      <c r="AJ1141" s="4" t="s">
        <v>251</v>
      </c>
      <c r="AK1141" s="4" t="s">
        <v>252</v>
      </c>
      <c r="AQ1141" s="4" t="s">
        <v>241</v>
      </c>
      <c r="AR1141" s="4" t="s">
        <v>241</v>
      </c>
      <c r="AS1141" s="4" t="s">
        <v>241</v>
      </c>
      <c r="AT1141" s="5" t="s">
        <v>241</v>
      </c>
      <c r="AU1141" s="5" t="s">
        <v>241</v>
      </c>
      <c r="AV1141" s="5" t="s">
        <v>241</v>
      </c>
      <c r="AY1141" s="4" t="s">
        <v>286</v>
      </c>
      <c r="AZ1141" s="4" t="s">
        <v>286</v>
      </c>
      <c r="BA1141" s="4" t="s">
        <v>254</v>
      </c>
      <c r="BB1141" s="4" t="s">
        <v>287</v>
      </c>
      <c r="BC1141" s="4" t="s">
        <v>255</v>
      </c>
      <c r="BD1141" s="4" t="s">
        <v>241</v>
      </c>
      <c r="BE1141" s="4" t="s">
        <v>257</v>
      </c>
      <c r="BF1141" s="4" t="s">
        <v>241</v>
      </c>
      <c r="BJ1141" s="4" t="s">
        <v>288</v>
      </c>
      <c r="BK1141" s="5" t="s">
        <v>289</v>
      </c>
      <c r="BL1141" s="4" t="s">
        <v>290</v>
      </c>
      <c r="BM1141" s="4" t="s">
        <v>290</v>
      </c>
      <c r="BN1141" s="4" t="s">
        <v>241</v>
      </c>
      <c r="BO1141" s="6">
        <f>0</f>
        <v>0</v>
      </c>
      <c r="BP1141" s="6">
        <f>-16408147</f>
        <v>-16408147</v>
      </c>
      <c r="BQ1141" s="4" t="s">
        <v>263</v>
      </c>
      <c r="BR1141" s="4" t="s">
        <v>264</v>
      </c>
      <c r="BS1141" s="4" t="s">
        <v>241</v>
      </c>
      <c r="BT1141" s="4" t="s">
        <v>241</v>
      </c>
      <c r="BU1141" s="4" t="s">
        <v>241</v>
      </c>
      <c r="BV1141" s="4" t="s">
        <v>241</v>
      </c>
      <c r="CE1141" s="4" t="s">
        <v>264</v>
      </c>
      <c r="CF1141" s="4" t="s">
        <v>241</v>
      </c>
      <c r="CG1141" s="4" t="s">
        <v>241</v>
      </c>
      <c r="CK1141" s="4" t="s">
        <v>291</v>
      </c>
      <c r="CL1141" s="4" t="s">
        <v>266</v>
      </c>
      <c r="CM1141" s="4" t="s">
        <v>241</v>
      </c>
      <c r="CO1141" s="4" t="s">
        <v>439</v>
      </c>
      <c r="CP1141" s="5" t="s">
        <v>268</v>
      </c>
      <c r="CQ1141" s="4" t="s">
        <v>269</v>
      </c>
      <c r="CR1141" s="4" t="s">
        <v>270</v>
      </c>
      <c r="CS1141" s="4" t="s">
        <v>293</v>
      </c>
      <c r="CT1141" s="4" t="s">
        <v>241</v>
      </c>
      <c r="CU1141" s="4">
        <v>2.1999999999999999E-2</v>
      </c>
      <c r="CV1141" s="4" t="s">
        <v>271</v>
      </c>
      <c r="CW1141" s="4" t="s">
        <v>1006</v>
      </c>
      <c r="CX1141" s="4" t="s">
        <v>295</v>
      </c>
      <c r="CY1141" s="6">
        <f>0</f>
        <v>0</v>
      </c>
      <c r="CZ1141" s="6">
        <f>745824900</f>
        <v>745824900</v>
      </c>
      <c r="DA1141" s="6">
        <f>253580490</f>
        <v>253580490</v>
      </c>
      <c r="DC1141" s="4" t="s">
        <v>241</v>
      </c>
      <c r="DD1141" s="4" t="s">
        <v>241</v>
      </c>
      <c r="DF1141" s="4" t="s">
        <v>241</v>
      </c>
      <c r="DG1141" s="6">
        <f>0</f>
        <v>0</v>
      </c>
      <c r="DI1141" s="4" t="s">
        <v>241</v>
      </c>
      <c r="DJ1141" s="4" t="s">
        <v>241</v>
      </c>
      <c r="DK1141" s="4" t="s">
        <v>241</v>
      </c>
      <c r="DL1141" s="4" t="s">
        <v>241</v>
      </c>
      <c r="DM1141" s="4" t="s">
        <v>323</v>
      </c>
      <c r="DN1141" s="4" t="s">
        <v>278</v>
      </c>
      <c r="DO1141" s="6">
        <f>2528.22</f>
        <v>2528.2199999999998</v>
      </c>
      <c r="DP1141" s="4" t="s">
        <v>241</v>
      </c>
      <c r="DQ1141" s="4" t="s">
        <v>241</v>
      </c>
      <c r="DR1141" s="4" t="s">
        <v>241</v>
      </c>
      <c r="DS1141" s="4" t="s">
        <v>241</v>
      </c>
      <c r="DV1141" s="4" t="s">
        <v>1026</v>
      </c>
      <c r="DW1141" s="4" t="s">
        <v>277</v>
      </c>
      <c r="GN1141" s="4" t="s">
        <v>1027</v>
      </c>
      <c r="HO1141" s="4" t="s">
        <v>300</v>
      </c>
      <c r="HR1141" s="4" t="s">
        <v>278</v>
      </c>
      <c r="HS1141" s="4" t="s">
        <v>278</v>
      </c>
      <c r="HT1141" s="4" t="s">
        <v>241</v>
      </c>
      <c r="HU1141" s="4" t="s">
        <v>241</v>
      </c>
      <c r="HV1141" s="4" t="s">
        <v>241</v>
      </c>
      <c r="HW1141" s="4" t="s">
        <v>241</v>
      </c>
      <c r="HX1141" s="4" t="s">
        <v>241</v>
      </c>
      <c r="HY1141" s="4" t="s">
        <v>241</v>
      </c>
      <c r="HZ1141" s="4" t="s">
        <v>241</v>
      </c>
      <c r="IA1141" s="4" t="s">
        <v>241</v>
      </c>
      <c r="IB1141" s="4" t="s">
        <v>241</v>
      </c>
      <c r="IC1141" s="4" t="s">
        <v>241</v>
      </c>
      <c r="ID1141" s="4" t="s">
        <v>241</v>
      </c>
      <c r="IE1141" s="4" t="s">
        <v>241</v>
      </c>
      <c r="IF1141" s="4" t="s">
        <v>241</v>
      </c>
    </row>
    <row r="1142" spans="1:240" x14ac:dyDescent="0.4">
      <c r="A1142" s="4">
        <v>2</v>
      </c>
      <c r="B1142" s="4" t="s">
        <v>239</v>
      </c>
      <c r="C1142" s="4">
        <v>1441</v>
      </c>
      <c r="D1142" s="4">
        <v>1</v>
      </c>
      <c r="E1142" s="4">
        <v>3</v>
      </c>
      <c r="F1142" s="4" t="s">
        <v>326</v>
      </c>
      <c r="G1142" s="4" t="s">
        <v>241</v>
      </c>
      <c r="H1142" s="4" t="s">
        <v>241</v>
      </c>
      <c r="I1142" s="4" t="s">
        <v>1024</v>
      </c>
      <c r="J1142" s="4" t="s">
        <v>424</v>
      </c>
      <c r="K1142" s="4" t="s">
        <v>256</v>
      </c>
      <c r="L1142" s="4" t="s">
        <v>2658</v>
      </c>
      <c r="M1142" s="5" t="s">
        <v>1025</v>
      </c>
      <c r="N1142" s="4" t="s">
        <v>2656</v>
      </c>
      <c r="O1142" s="6">
        <f>0</f>
        <v>0</v>
      </c>
      <c r="P1142" s="4" t="s">
        <v>276</v>
      </c>
      <c r="Q1142" s="6">
        <f>1452600</f>
        <v>1452600</v>
      </c>
      <c r="R1142" s="6">
        <f>2905200</f>
        <v>2905200</v>
      </c>
      <c r="S1142" s="5" t="s">
        <v>2657</v>
      </c>
      <c r="T1142" s="4" t="s">
        <v>343</v>
      </c>
      <c r="U1142" s="4" t="s">
        <v>297</v>
      </c>
      <c r="V1142" s="6">
        <f>363150</f>
        <v>363150</v>
      </c>
      <c r="W1142" s="6">
        <f>1452600</f>
        <v>1452600</v>
      </c>
      <c r="X1142" s="4" t="s">
        <v>243</v>
      </c>
      <c r="Y1142" s="4" t="s">
        <v>244</v>
      </c>
      <c r="Z1142" s="4" t="s">
        <v>465</v>
      </c>
      <c r="AA1142" s="4" t="s">
        <v>241</v>
      </c>
      <c r="AD1142" s="4" t="s">
        <v>241</v>
      </c>
      <c r="AE1142" s="5" t="s">
        <v>241</v>
      </c>
      <c r="AF1142" s="5" t="s">
        <v>241</v>
      </c>
      <c r="AH1142" s="5" t="s">
        <v>241</v>
      </c>
      <c r="AI1142" s="5" t="s">
        <v>249</v>
      </c>
      <c r="AJ1142" s="4" t="s">
        <v>251</v>
      </c>
      <c r="AK1142" s="4" t="s">
        <v>252</v>
      </c>
      <c r="AQ1142" s="4" t="s">
        <v>241</v>
      </c>
      <c r="AR1142" s="4" t="s">
        <v>241</v>
      </c>
      <c r="AS1142" s="4" t="s">
        <v>241</v>
      </c>
      <c r="AT1142" s="5" t="s">
        <v>241</v>
      </c>
      <c r="AU1142" s="5" t="s">
        <v>241</v>
      </c>
      <c r="AV1142" s="5" t="s">
        <v>241</v>
      </c>
      <c r="AY1142" s="4" t="s">
        <v>286</v>
      </c>
      <c r="AZ1142" s="4" t="s">
        <v>286</v>
      </c>
      <c r="BA1142" s="4" t="s">
        <v>254</v>
      </c>
      <c r="BB1142" s="4" t="s">
        <v>287</v>
      </c>
      <c r="BC1142" s="4" t="s">
        <v>255</v>
      </c>
      <c r="BD1142" s="4" t="s">
        <v>241</v>
      </c>
      <c r="BE1142" s="4" t="s">
        <v>257</v>
      </c>
      <c r="BF1142" s="4" t="s">
        <v>241</v>
      </c>
      <c r="BJ1142" s="4" t="s">
        <v>288</v>
      </c>
      <c r="BK1142" s="5" t="s">
        <v>289</v>
      </c>
      <c r="BL1142" s="4" t="s">
        <v>290</v>
      </c>
      <c r="BM1142" s="4" t="s">
        <v>290</v>
      </c>
      <c r="BN1142" s="4" t="s">
        <v>241</v>
      </c>
      <c r="BP1142" s="6">
        <f>-363150</f>
        <v>-363150</v>
      </c>
      <c r="BQ1142" s="4" t="s">
        <v>263</v>
      </c>
      <c r="BR1142" s="4" t="s">
        <v>264</v>
      </c>
      <c r="BS1142" s="4" t="s">
        <v>241</v>
      </c>
      <c r="BT1142" s="4" t="s">
        <v>241</v>
      </c>
      <c r="BU1142" s="4" t="s">
        <v>241</v>
      </c>
      <c r="BV1142" s="4" t="s">
        <v>241</v>
      </c>
      <c r="CE1142" s="4" t="s">
        <v>264</v>
      </c>
      <c r="CF1142" s="4" t="s">
        <v>241</v>
      </c>
      <c r="CG1142" s="4" t="s">
        <v>241</v>
      </c>
      <c r="CK1142" s="4" t="s">
        <v>291</v>
      </c>
      <c r="CL1142" s="4" t="s">
        <v>266</v>
      </c>
      <c r="CM1142" s="4" t="s">
        <v>241</v>
      </c>
      <c r="CO1142" s="4" t="s">
        <v>413</v>
      </c>
      <c r="CP1142" s="5" t="s">
        <v>268</v>
      </c>
      <c r="CQ1142" s="4" t="s">
        <v>269</v>
      </c>
      <c r="CR1142" s="4" t="s">
        <v>270</v>
      </c>
      <c r="CS1142" s="4" t="s">
        <v>293</v>
      </c>
      <c r="CT1142" s="4" t="s">
        <v>241</v>
      </c>
      <c r="CU1142" s="4">
        <v>0.125</v>
      </c>
      <c r="CV1142" s="4" t="s">
        <v>271</v>
      </c>
      <c r="CW1142" s="4" t="s">
        <v>415</v>
      </c>
      <c r="CX1142" s="4" t="s">
        <v>2643</v>
      </c>
      <c r="CY1142" s="6">
        <f>0</f>
        <v>0</v>
      </c>
      <c r="CZ1142" s="6">
        <f>2905200</f>
        <v>2905200</v>
      </c>
      <c r="DA1142" s="6">
        <f>1452600</f>
        <v>1452600</v>
      </c>
      <c r="DC1142" s="4" t="s">
        <v>241</v>
      </c>
      <c r="DD1142" s="4" t="s">
        <v>241</v>
      </c>
      <c r="DF1142" s="4" t="s">
        <v>241</v>
      </c>
      <c r="DG1142" s="6">
        <f>0</f>
        <v>0</v>
      </c>
      <c r="DI1142" s="4" t="s">
        <v>241</v>
      </c>
      <c r="DJ1142" s="4" t="s">
        <v>241</v>
      </c>
      <c r="DK1142" s="4" t="s">
        <v>241</v>
      </c>
      <c r="DL1142" s="4" t="s">
        <v>241</v>
      </c>
      <c r="DM1142" s="4" t="s">
        <v>278</v>
      </c>
      <c r="DN1142" s="4" t="s">
        <v>278</v>
      </c>
      <c r="DO1142" s="6" t="s">
        <v>241</v>
      </c>
      <c r="DP1142" s="4" t="s">
        <v>241</v>
      </c>
      <c r="DQ1142" s="4" t="s">
        <v>241</v>
      </c>
      <c r="DR1142" s="4" t="s">
        <v>241</v>
      </c>
      <c r="DS1142" s="4" t="s">
        <v>241</v>
      </c>
      <c r="DV1142" s="4" t="s">
        <v>1026</v>
      </c>
      <c r="DW1142" s="4" t="s">
        <v>323</v>
      </c>
      <c r="GN1142" s="4" t="s">
        <v>2659</v>
      </c>
      <c r="HO1142" s="4" t="s">
        <v>351</v>
      </c>
      <c r="HR1142" s="4" t="s">
        <v>278</v>
      </c>
      <c r="HS1142" s="4" t="s">
        <v>278</v>
      </c>
      <c r="HT1142" s="4" t="s">
        <v>241</v>
      </c>
      <c r="HU1142" s="4" t="s">
        <v>241</v>
      </c>
      <c r="HV1142" s="4" t="s">
        <v>241</v>
      </c>
      <c r="HW1142" s="4" t="s">
        <v>241</v>
      </c>
      <c r="HX1142" s="4" t="s">
        <v>241</v>
      </c>
      <c r="HY1142" s="4" t="s">
        <v>241</v>
      </c>
      <c r="HZ1142" s="4" t="s">
        <v>241</v>
      </c>
      <c r="IA1142" s="4" t="s">
        <v>241</v>
      </c>
      <c r="IB1142" s="4" t="s">
        <v>241</v>
      </c>
      <c r="IC1142" s="4" t="s">
        <v>241</v>
      </c>
      <c r="ID1142" s="4" t="s">
        <v>241</v>
      </c>
      <c r="IE1142" s="4" t="s">
        <v>241</v>
      </c>
      <c r="IF1142" s="4" t="s">
        <v>241</v>
      </c>
    </row>
    <row r="1143" spans="1:240" x14ac:dyDescent="0.4">
      <c r="A1143" s="4">
        <v>2</v>
      </c>
      <c r="B1143" s="4" t="s">
        <v>239</v>
      </c>
      <c r="C1143" s="4">
        <v>1442</v>
      </c>
      <c r="D1143" s="4">
        <v>1</v>
      </c>
      <c r="E1143" s="4">
        <v>3</v>
      </c>
      <c r="F1143" s="4" t="s">
        <v>326</v>
      </c>
      <c r="G1143" s="4" t="s">
        <v>241</v>
      </c>
      <c r="H1143" s="4" t="s">
        <v>241</v>
      </c>
      <c r="I1143" s="4" t="s">
        <v>1024</v>
      </c>
      <c r="J1143" s="4" t="s">
        <v>424</v>
      </c>
      <c r="K1143" s="4" t="s">
        <v>256</v>
      </c>
      <c r="L1143" s="4" t="s">
        <v>241</v>
      </c>
      <c r="M1143" s="5" t="s">
        <v>1025</v>
      </c>
      <c r="N1143" s="4" t="s">
        <v>1103</v>
      </c>
      <c r="O1143" s="6">
        <f>0</f>
        <v>0</v>
      </c>
      <c r="P1143" s="4" t="s">
        <v>276</v>
      </c>
      <c r="Q1143" s="6">
        <f>7326498</f>
        <v>7326498</v>
      </c>
      <c r="R1143" s="6">
        <f>7663700</f>
        <v>7663700</v>
      </c>
      <c r="S1143" s="5" t="s">
        <v>1104</v>
      </c>
      <c r="T1143" s="4" t="s">
        <v>668</v>
      </c>
      <c r="U1143" s="4" t="s">
        <v>277</v>
      </c>
      <c r="V1143" s="6">
        <f>168601</f>
        <v>168601</v>
      </c>
      <c r="W1143" s="6">
        <f>337202</f>
        <v>337202</v>
      </c>
      <c r="X1143" s="4" t="s">
        <v>243</v>
      </c>
      <c r="Y1143" s="4" t="s">
        <v>244</v>
      </c>
      <c r="Z1143" s="4" t="s">
        <v>241</v>
      </c>
      <c r="AA1143" s="4" t="s">
        <v>241</v>
      </c>
      <c r="AD1143" s="4" t="s">
        <v>241</v>
      </c>
      <c r="AE1143" s="5" t="s">
        <v>241</v>
      </c>
      <c r="AF1143" s="5" t="s">
        <v>241</v>
      </c>
      <c r="AH1143" s="5" t="s">
        <v>241</v>
      </c>
      <c r="AI1143" s="5" t="s">
        <v>249</v>
      </c>
      <c r="AJ1143" s="4" t="s">
        <v>251</v>
      </c>
      <c r="AK1143" s="4" t="s">
        <v>252</v>
      </c>
      <c r="AQ1143" s="4" t="s">
        <v>241</v>
      </c>
      <c r="AR1143" s="4" t="s">
        <v>241</v>
      </c>
      <c r="AS1143" s="4" t="s">
        <v>241</v>
      </c>
      <c r="AT1143" s="5" t="s">
        <v>241</v>
      </c>
      <c r="AU1143" s="5" t="s">
        <v>241</v>
      </c>
      <c r="AV1143" s="5" t="s">
        <v>241</v>
      </c>
      <c r="AY1143" s="4" t="s">
        <v>286</v>
      </c>
      <c r="AZ1143" s="4" t="s">
        <v>286</v>
      </c>
      <c r="BA1143" s="4" t="s">
        <v>254</v>
      </c>
      <c r="BB1143" s="4" t="s">
        <v>287</v>
      </c>
      <c r="BC1143" s="4" t="s">
        <v>255</v>
      </c>
      <c r="BD1143" s="4" t="s">
        <v>241</v>
      </c>
      <c r="BE1143" s="4" t="s">
        <v>257</v>
      </c>
      <c r="BF1143" s="4" t="s">
        <v>241</v>
      </c>
      <c r="BJ1143" s="4" t="s">
        <v>288</v>
      </c>
      <c r="BK1143" s="5" t="s">
        <v>289</v>
      </c>
      <c r="BL1143" s="4" t="s">
        <v>290</v>
      </c>
      <c r="BM1143" s="4" t="s">
        <v>290</v>
      </c>
      <c r="BN1143" s="4" t="s">
        <v>241</v>
      </c>
      <c r="BP1143" s="6">
        <f>-168601</f>
        <v>-168601</v>
      </c>
      <c r="BQ1143" s="4" t="s">
        <v>263</v>
      </c>
      <c r="BR1143" s="4" t="s">
        <v>264</v>
      </c>
      <c r="BS1143" s="4" t="s">
        <v>241</v>
      </c>
      <c r="BT1143" s="4" t="s">
        <v>241</v>
      </c>
      <c r="BU1143" s="4" t="s">
        <v>241</v>
      </c>
      <c r="BV1143" s="4" t="s">
        <v>241</v>
      </c>
      <c r="CE1143" s="4" t="s">
        <v>264</v>
      </c>
      <c r="CF1143" s="4" t="s">
        <v>241</v>
      </c>
      <c r="CG1143" s="4" t="s">
        <v>241</v>
      </c>
      <c r="CK1143" s="4" t="s">
        <v>291</v>
      </c>
      <c r="CL1143" s="4" t="s">
        <v>266</v>
      </c>
      <c r="CM1143" s="4" t="s">
        <v>241</v>
      </c>
      <c r="CO1143" s="4" t="s">
        <v>331</v>
      </c>
      <c r="CP1143" s="5" t="s">
        <v>268</v>
      </c>
      <c r="CQ1143" s="4" t="s">
        <v>269</v>
      </c>
      <c r="CR1143" s="4" t="s">
        <v>270</v>
      </c>
      <c r="CS1143" s="4" t="s">
        <v>293</v>
      </c>
      <c r="CT1143" s="4" t="s">
        <v>241</v>
      </c>
      <c r="CU1143" s="4">
        <v>2.1999999999999999E-2</v>
      </c>
      <c r="CV1143" s="4" t="s">
        <v>271</v>
      </c>
      <c r="CW1143" s="4" t="s">
        <v>1006</v>
      </c>
      <c r="CX1143" s="4" t="s">
        <v>295</v>
      </c>
      <c r="CY1143" s="6">
        <f>0</f>
        <v>0</v>
      </c>
      <c r="CZ1143" s="6">
        <f>7663700</f>
        <v>7663700</v>
      </c>
      <c r="DA1143" s="6">
        <f>7326498</f>
        <v>7326498</v>
      </c>
      <c r="DC1143" s="4" t="s">
        <v>241</v>
      </c>
      <c r="DD1143" s="4" t="s">
        <v>241</v>
      </c>
      <c r="DF1143" s="4" t="s">
        <v>241</v>
      </c>
      <c r="DG1143" s="6">
        <f>0</f>
        <v>0</v>
      </c>
      <c r="DI1143" s="4" t="s">
        <v>241</v>
      </c>
      <c r="DJ1143" s="4" t="s">
        <v>241</v>
      </c>
      <c r="DK1143" s="4" t="s">
        <v>241</v>
      </c>
      <c r="DL1143" s="4" t="s">
        <v>241</v>
      </c>
      <c r="DM1143" s="4" t="s">
        <v>278</v>
      </c>
      <c r="DN1143" s="4" t="s">
        <v>278</v>
      </c>
      <c r="DO1143" s="6" t="s">
        <v>241</v>
      </c>
      <c r="DP1143" s="4" t="s">
        <v>241</v>
      </c>
      <c r="DQ1143" s="4" t="s">
        <v>241</v>
      </c>
      <c r="DR1143" s="4" t="s">
        <v>241</v>
      </c>
      <c r="DS1143" s="4" t="s">
        <v>241</v>
      </c>
      <c r="DV1143" s="4" t="s">
        <v>1026</v>
      </c>
      <c r="DW1143" s="4" t="s">
        <v>297</v>
      </c>
      <c r="GN1143" s="4" t="s">
        <v>1105</v>
      </c>
      <c r="HO1143" s="4" t="s">
        <v>297</v>
      </c>
      <c r="HR1143" s="4" t="s">
        <v>278</v>
      </c>
      <c r="HS1143" s="4" t="s">
        <v>278</v>
      </c>
      <c r="HT1143" s="4" t="s">
        <v>241</v>
      </c>
      <c r="HU1143" s="4" t="s">
        <v>241</v>
      </c>
      <c r="HV1143" s="4" t="s">
        <v>241</v>
      </c>
      <c r="HW1143" s="4" t="s">
        <v>241</v>
      </c>
      <c r="HX1143" s="4" t="s">
        <v>241</v>
      </c>
      <c r="HY1143" s="4" t="s">
        <v>241</v>
      </c>
      <c r="HZ1143" s="4" t="s">
        <v>241</v>
      </c>
      <c r="IA1143" s="4" t="s">
        <v>241</v>
      </c>
      <c r="IB1143" s="4" t="s">
        <v>241</v>
      </c>
      <c r="IC1143" s="4" t="s">
        <v>241</v>
      </c>
      <c r="ID1143" s="4" t="s">
        <v>241</v>
      </c>
      <c r="IE1143" s="4" t="s">
        <v>241</v>
      </c>
      <c r="IF1143" s="4" t="s">
        <v>241</v>
      </c>
    </row>
    <row r="1144" spans="1:240" x14ac:dyDescent="0.4">
      <c r="A1144" s="4">
        <v>2</v>
      </c>
      <c r="B1144" s="4" t="s">
        <v>239</v>
      </c>
      <c r="C1144" s="4">
        <v>1443</v>
      </c>
      <c r="D1144" s="4">
        <v>1</v>
      </c>
      <c r="E1144" s="4">
        <v>3</v>
      </c>
      <c r="F1144" s="4" t="s">
        <v>326</v>
      </c>
      <c r="G1144" s="4" t="s">
        <v>241</v>
      </c>
      <c r="H1144" s="4" t="s">
        <v>241</v>
      </c>
      <c r="I1144" s="4" t="s">
        <v>1024</v>
      </c>
      <c r="J1144" s="4" t="s">
        <v>424</v>
      </c>
      <c r="K1144" s="4" t="s">
        <v>256</v>
      </c>
      <c r="L1144" s="4" t="s">
        <v>241</v>
      </c>
      <c r="M1144" s="5" t="s">
        <v>1025</v>
      </c>
      <c r="N1144" s="4" t="s">
        <v>1117</v>
      </c>
      <c r="O1144" s="6">
        <f>0</f>
        <v>0</v>
      </c>
      <c r="P1144" s="4" t="s">
        <v>276</v>
      </c>
      <c r="Q1144" s="6">
        <f>2352430</f>
        <v>2352430</v>
      </c>
      <c r="R1144" s="6">
        <f>2460700</f>
        <v>2460700</v>
      </c>
      <c r="S1144" s="5" t="s">
        <v>1104</v>
      </c>
      <c r="T1144" s="4" t="s">
        <v>668</v>
      </c>
      <c r="U1144" s="4" t="s">
        <v>277</v>
      </c>
      <c r="V1144" s="6">
        <f>54135</f>
        <v>54135</v>
      </c>
      <c r="W1144" s="6">
        <f>108270</f>
        <v>108270</v>
      </c>
      <c r="X1144" s="4" t="s">
        <v>243</v>
      </c>
      <c r="Y1144" s="4" t="s">
        <v>244</v>
      </c>
      <c r="Z1144" s="4" t="s">
        <v>241</v>
      </c>
      <c r="AA1144" s="4" t="s">
        <v>241</v>
      </c>
      <c r="AD1144" s="4" t="s">
        <v>241</v>
      </c>
      <c r="AE1144" s="5" t="s">
        <v>241</v>
      </c>
      <c r="AF1144" s="5" t="s">
        <v>241</v>
      </c>
      <c r="AH1144" s="5" t="s">
        <v>241</v>
      </c>
      <c r="AI1144" s="5" t="s">
        <v>249</v>
      </c>
      <c r="AJ1144" s="4" t="s">
        <v>251</v>
      </c>
      <c r="AK1144" s="4" t="s">
        <v>252</v>
      </c>
      <c r="AQ1144" s="4" t="s">
        <v>241</v>
      </c>
      <c r="AR1144" s="4" t="s">
        <v>241</v>
      </c>
      <c r="AS1144" s="4" t="s">
        <v>241</v>
      </c>
      <c r="AT1144" s="5" t="s">
        <v>241</v>
      </c>
      <c r="AU1144" s="5" t="s">
        <v>241</v>
      </c>
      <c r="AV1144" s="5" t="s">
        <v>241</v>
      </c>
      <c r="AY1144" s="4" t="s">
        <v>286</v>
      </c>
      <c r="AZ1144" s="4" t="s">
        <v>286</v>
      </c>
      <c r="BA1144" s="4" t="s">
        <v>254</v>
      </c>
      <c r="BB1144" s="4" t="s">
        <v>287</v>
      </c>
      <c r="BC1144" s="4" t="s">
        <v>255</v>
      </c>
      <c r="BD1144" s="4" t="s">
        <v>241</v>
      </c>
      <c r="BE1144" s="4" t="s">
        <v>257</v>
      </c>
      <c r="BF1144" s="4" t="s">
        <v>241</v>
      </c>
      <c r="BJ1144" s="4" t="s">
        <v>288</v>
      </c>
      <c r="BK1144" s="5" t="s">
        <v>289</v>
      </c>
      <c r="BL1144" s="4" t="s">
        <v>290</v>
      </c>
      <c r="BM1144" s="4" t="s">
        <v>290</v>
      </c>
      <c r="BN1144" s="4" t="s">
        <v>241</v>
      </c>
      <c r="BP1144" s="6">
        <f>-54135</f>
        <v>-54135</v>
      </c>
      <c r="BQ1144" s="4" t="s">
        <v>263</v>
      </c>
      <c r="BR1144" s="4" t="s">
        <v>264</v>
      </c>
      <c r="BS1144" s="4" t="s">
        <v>241</v>
      </c>
      <c r="BT1144" s="4" t="s">
        <v>241</v>
      </c>
      <c r="BU1144" s="4" t="s">
        <v>241</v>
      </c>
      <c r="BV1144" s="4" t="s">
        <v>241</v>
      </c>
      <c r="CE1144" s="4" t="s">
        <v>264</v>
      </c>
      <c r="CF1144" s="4" t="s">
        <v>241</v>
      </c>
      <c r="CG1144" s="4" t="s">
        <v>241</v>
      </c>
      <c r="CK1144" s="4" t="s">
        <v>291</v>
      </c>
      <c r="CL1144" s="4" t="s">
        <v>266</v>
      </c>
      <c r="CM1144" s="4" t="s">
        <v>241</v>
      </c>
      <c r="CO1144" s="4" t="s">
        <v>331</v>
      </c>
      <c r="CP1144" s="5" t="s">
        <v>268</v>
      </c>
      <c r="CQ1144" s="4" t="s">
        <v>269</v>
      </c>
      <c r="CR1144" s="4" t="s">
        <v>270</v>
      </c>
      <c r="CS1144" s="4" t="s">
        <v>293</v>
      </c>
      <c r="CT1144" s="4" t="s">
        <v>241</v>
      </c>
      <c r="CU1144" s="4">
        <v>2.1999999999999999E-2</v>
      </c>
      <c r="CV1144" s="4" t="s">
        <v>271</v>
      </c>
      <c r="CW1144" s="4" t="s">
        <v>1006</v>
      </c>
      <c r="CX1144" s="4" t="s">
        <v>295</v>
      </c>
      <c r="CY1144" s="6">
        <f>0</f>
        <v>0</v>
      </c>
      <c r="CZ1144" s="6">
        <f>2460700</f>
        <v>2460700</v>
      </c>
      <c r="DA1144" s="6">
        <f>2352430</f>
        <v>2352430</v>
      </c>
      <c r="DC1144" s="4" t="s">
        <v>241</v>
      </c>
      <c r="DD1144" s="4" t="s">
        <v>241</v>
      </c>
      <c r="DF1144" s="4" t="s">
        <v>241</v>
      </c>
      <c r="DG1144" s="6">
        <f>0</f>
        <v>0</v>
      </c>
      <c r="DI1144" s="4" t="s">
        <v>241</v>
      </c>
      <c r="DJ1144" s="4" t="s">
        <v>241</v>
      </c>
      <c r="DK1144" s="4" t="s">
        <v>241</v>
      </c>
      <c r="DL1144" s="4" t="s">
        <v>241</v>
      </c>
      <c r="DM1144" s="4" t="s">
        <v>278</v>
      </c>
      <c r="DN1144" s="4" t="s">
        <v>278</v>
      </c>
      <c r="DO1144" s="6" t="s">
        <v>241</v>
      </c>
      <c r="DP1144" s="4" t="s">
        <v>241</v>
      </c>
      <c r="DQ1144" s="4" t="s">
        <v>241</v>
      </c>
      <c r="DR1144" s="4" t="s">
        <v>241</v>
      </c>
      <c r="DS1144" s="4" t="s">
        <v>241</v>
      </c>
      <c r="DV1144" s="4" t="s">
        <v>1026</v>
      </c>
      <c r="DW1144" s="4" t="s">
        <v>336</v>
      </c>
      <c r="GN1144" s="4" t="s">
        <v>1118</v>
      </c>
      <c r="HO1144" s="4" t="s">
        <v>297</v>
      </c>
      <c r="HR1144" s="4" t="s">
        <v>278</v>
      </c>
      <c r="HS1144" s="4" t="s">
        <v>278</v>
      </c>
      <c r="HT1144" s="4" t="s">
        <v>241</v>
      </c>
      <c r="HU1144" s="4" t="s">
        <v>241</v>
      </c>
      <c r="HV1144" s="4" t="s">
        <v>241</v>
      </c>
      <c r="HW1144" s="4" t="s">
        <v>241</v>
      </c>
      <c r="HX1144" s="4" t="s">
        <v>241</v>
      </c>
      <c r="HY1144" s="4" t="s">
        <v>241</v>
      </c>
      <c r="HZ1144" s="4" t="s">
        <v>241</v>
      </c>
      <c r="IA1144" s="4" t="s">
        <v>241</v>
      </c>
      <c r="IB1144" s="4" t="s">
        <v>241</v>
      </c>
      <c r="IC1144" s="4" t="s">
        <v>241</v>
      </c>
      <c r="ID1144" s="4" t="s">
        <v>241</v>
      </c>
      <c r="IE1144" s="4" t="s">
        <v>241</v>
      </c>
      <c r="IF1144" s="4" t="s">
        <v>241</v>
      </c>
    </row>
    <row r="1145" spans="1:240" x14ac:dyDescent="0.4">
      <c r="A1145" s="4">
        <v>2</v>
      </c>
      <c r="B1145" s="4" t="s">
        <v>239</v>
      </c>
      <c r="C1145" s="4">
        <v>1444</v>
      </c>
      <c r="D1145" s="4">
        <v>1</v>
      </c>
      <c r="E1145" s="4">
        <v>1</v>
      </c>
      <c r="F1145" s="4" t="s">
        <v>240</v>
      </c>
      <c r="G1145" s="4" t="s">
        <v>241</v>
      </c>
      <c r="H1145" s="4" t="s">
        <v>241</v>
      </c>
      <c r="I1145" s="4" t="s">
        <v>1083</v>
      </c>
      <c r="J1145" s="4" t="s">
        <v>424</v>
      </c>
      <c r="K1145" s="4" t="s">
        <v>256</v>
      </c>
      <c r="L1145" s="4" t="s">
        <v>1012</v>
      </c>
      <c r="M1145" s="5" t="s">
        <v>1085</v>
      </c>
      <c r="N1145" s="4" t="s">
        <v>1012</v>
      </c>
      <c r="O1145" s="6">
        <f>1062.27</f>
        <v>1062.27</v>
      </c>
      <c r="P1145" s="4" t="s">
        <v>276</v>
      </c>
      <c r="Q1145" s="6">
        <f>1</f>
        <v>1</v>
      </c>
      <c r="R1145" s="6">
        <f>169963200</f>
        <v>169963200</v>
      </c>
      <c r="S1145" s="5" t="s">
        <v>1084</v>
      </c>
      <c r="T1145" s="4" t="s">
        <v>357</v>
      </c>
      <c r="U1145" s="4" t="s">
        <v>357</v>
      </c>
      <c r="W1145" s="6">
        <f>169963199</f>
        <v>169963199</v>
      </c>
      <c r="X1145" s="4" t="s">
        <v>243</v>
      </c>
      <c r="Y1145" s="4" t="s">
        <v>244</v>
      </c>
      <c r="Z1145" s="4" t="s">
        <v>465</v>
      </c>
      <c r="AA1145" s="4" t="s">
        <v>241</v>
      </c>
      <c r="AD1145" s="4" t="s">
        <v>241</v>
      </c>
      <c r="AF1145" s="5" t="s">
        <v>241</v>
      </c>
      <c r="AI1145" s="5" t="s">
        <v>249</v>
      </c>
      <c r="AJ1145" s="4" t="s">
        <v>251</v>
      </c>
      <c r="AK1145" s="4" t="s">
        <v>252</v>
      </c>
      <c r="BA1145" s="4" t="s">
        <v>254</v>
      </c>
      <c r="BB1145" s="4" t="s">
        <v>241</v>
      </c>
      <c r="BC1145" s="4" t="s">
        <v>255</v>
      </c>
      <c r="BD1145" s="4" t="s">
        <v>241</v>
      </c>
      <c r="BE1145" s="4" t="s">
        <v>257</v>
      </c>
      <c r="BF1145" s="4" t="s">
        <v>241</v>
      </c>
      <c r="BJ1145" s="4" t="s">
        <v>259</v>
      </c>
      <c r="BK1145" s="5" t="s">
        <v>494</v>
      </c>
      <c r="BL1145" s="4" t="s">
        <v>261</v>
      </c>
      <c r="BM1145" s="4" t="s">
        <v>290</v>
      </c>
      <c r="BN1145" s="4" t="s">
        <v>241</v>
      </c>
      <c r="BO1145" s="6">
        <f>0</f>
        <v>0</v>
      </c>
      <c r="BP1145" s="6">
        <f>0</f>
        <v>0</v>
      </c>
      <c r="BQ1145" s="4" t="s">
        <v>263</v>
      </c>
      <c r="BR1145" s="4" t="s">
        <v>264</v>
      </c>
      <c r="CF1145" s="4" t="s">
        <v>241</v>
      </c>
      <c r="CG1145" s="4" t="s">
        <v>241</v>
      </c>
      <c r="CK1145" s="4" t="s">
        <v>291</v>
      </c>
      <c r="CL1145" s="4" t="s">
        <v>266</v>
      </c>
      <c r="CM1145" s="4" t="s">
        <v>241</v>
      </c>
      <c r="CO1145" s="4" t="s">
        <v>667</v>
      </c>
      <c r="CP1145" s="5" t="s">
        <v>268</v>
      </c>
      <c r="CQ1145" s="4" t="s">
        <v>269</v>
      </c>
      <c r="CR1145" s="4" t="s">
        <v>270</v>
      </c>
      <c r="CS1145" s="4" t="s">
        <v>241</v>
      </c>
      <c r="CT1145" s="4" t="s">
        <v>241</v>
      </c>
      <c r="CU1145" s="4">
        <v>0</v>
      </c>
      <c r="CV1145" s="4" t="s">
        <v>271</v>
      </c>
      <c r="CW1145" s="4" t="s">
        <v>1006</v>
      </c>
      <c r="CX1145" s="4" t="s">
        <v>487</v>
      </c>
      <c r="CZ1145" s="6">
        <f>169963200</f>
        <v>169963200</v>
      </c>
      <c r="DA1145" s="6">
        <f>0</f>
        <v>0</v>
      </c>
      <c r="DC1145" s="4" t="s">
        <v>241</v>
      </c>
      <c r="DD1145" s="4" t="s">
        <v>241</v>
      </c>
      <c r="DF1145" s="4" t="s">
        <v>241</v>
      </c>
      <c r="DI1145" s="4" t="s">
        <v>241</v>
      </c>
      <c r="DJ1145" s="4" t="s">
        <v>241</v>
      </c>
      <c r="DK1145" s="4" t="s">
        <v>241</v>
      </c>
      <c r="DL1145" s="4" t="s">
        <v>241</v>
      </c>
      <c r="DM1145" s="4" t="s">
        <v>277</v>
      </c>
      <c r="DN1145" s="4" t="s">
        <v>278</v>
      </c>
      <c r="DO1145" s="6">
        <f>1062.27</f>
        <v>1062.27</v>
      </c>
      <c r="DP1145" s="4" t="s">
        <v>241</v>
      </c>
      <c r="DQ1145" s="4" t="s">
        <v>241</v>
      </c>
      <c r="DR1145" s="4" t="s">
        <v>241</v>
      </c>
      <c r="DS1145" s="4" t="s">
        <v>241</v>
      </c>
      <c r="DV1145" s="4" t="s">
        <v>1086</v>
      </c>
      <c r="DW1145" s="4" t="s">
        <v>277</v>
      </c>
      <c r="HO1145" s="4" t="s">
        <v>351</v>
      </c>
      <c r="HR1145" s="4" t="s">
        <v>278</v>
      </c>
      <c r="HS1145" s="4" t="s">
        <v>278</v>
      </c>
    </row>
    <row r="1146" spans="1:240" x14ac:dyDescent="0.4">
      <c r="A1146" s="4">
        <v>2</v>
      </c>
      <c r="B1146" s="4" t="s">
        <v>239</v>
      </c>
      <c r="C1146" s="4">
        <v>1445</v>
      </c>
      <c r="D1146" s="4">
        <v>1</v>
      </c>
      <c r="E1146" s="4">
        <v>1</v>
      </c>
      <c r="F1146" s="4" t="s">
        <v>240</v>
      </c>
      <c r="G1146" s="4" t="s">
        <v>241</v>
      </c>
      <c r="H1146" s="4" t="s">
        <v>241</v>
      </c>
      <c r="I1146" s="4" t="s">
        <v>1097</v>
      </c>
      <c r="J1146" s="4" t="s">
        <v>424</v>
      </c>
      <c r="K1146" s="4" t="s">
        <v>256</v>
      </c>
      <c r="L1146" s="4" t="s">
        <v>1012</v>
      </c>
      <c r="M1146" s="5" t="s">
        <v>1099</v>
      </c>
      <c r="N1146" s="4" t="s">
        <v>1012</v>
      </c>
      <c r="O1146" s="6">
        <f>563.8</f>
        <v>563.79999999999995</v>
      </c>
      <c r="P1146" s="4" t="s">
        <v>276</v>
      </c>
      <c r="Q1146" s="6">
        <f>1</f>
        <v>1</v>
      </c>
      <c r="R1146" s="6">
        <f>82772760</f>
        <v>82772760</v>
      </c>
      <c r="S1146" s="5" t="s">
        <v>1098</v>
      </c>
      <c r="T1146" s="4" t="s">
        <v>314</v>
      </c>
      <c r="U1146" s="4" t="s">
        <v>314</v>
      </c>
      <c r="W1146" s="6">
        <f>82772759</f>
        <v>82772759</v>
      </c>
      <c r="X1146" s="4" t="s">
        <v>243</v>
      </c>
      <c r="Y1146" s="4" t="s">
        <v>244</v>
      </c>
      <c r="Z1146" s="4" t="s">
        <v>465</v>
      </c>
      <c r="AA1146" s="4" t="s">
        <v>241</v>
      </c>
      <c r="AD1146" s="4" t="s">
        <v>241</v>
      </c>
      <c r="AF1146" s="5" t="s">
        <v>241</v>
      </c>
      <c r="AI1146" s="5" t="s">
        <v>249</v>
      </c>
      <c r="AJ1146" s="4" t="s">
        <v>251</v>
      </c>
      <c r="AK1146" s="4" t="s">
        <v>252</v>
      </c>
      <c r="BA1146" s="4" t="s">
        <v>254</v>
      </c>
      <c r="BB1146" s="4" t="s">
        <v>241</v>
      </c>
      <c r="BC1146" s="4" t="s">
        <v>255</v>
      </c>
      <c r="BD1146" s="4" t="s">
        <v>241</v>
      </c>
      <c r="BE1146" s="4" t="s">
        <v>257</v>
      </c>
      <c r="BF1146" s="4" t="s">
        <v>241</v>
      </c>
      <c r="BH1146" s="4" t="s">
        <v>500</v>
      </c>
      <c r="BJ1146" s="4" t="s">
        <v>367</v>
      </c>
      <c r="BK1146" s="5" t="s">
        <v>249</v>
      </c>
      <c r="BL1146" s="4" t="s">
        <v>261</v>
      </c>
      <c r="BM1146" s="4" t="s">
        <v>290</v>
      </c>
      <c r="BN1146" s="4" t="s">
        <v>241</v>
      </c>
      <c r="BO1146" s="6">
        <f>0</f>
        <v>0</v>
      </c>
      <c r="BP1146" s="6">
        <f>0</f>
        <v>0</v>
      </c>
      <c r="BQ1146" s="4" t="s">
        <v>263</v>
      </c>
      <c r="BR1146" s="4" t="s">
        <v>264</v>
      </c>
      <c r="CF1146" s="4" t="s">
        <v>241</v>
      </c>
      <c r="CG1146" s="4" t="s">
        <v>241</v>
      </c>
      <c r="CK1146" s="4" t="s">
        <v>291</v>
      </c>
      <c r="CL1146" s="4" t="s">
        <v>266</v>
      </c>
      <c r="CM1146" s="4" t="s">
        <v>241</v>
      </c>
      <c r="CO1146" s="4" t="s">
        <v>387</v>
      </c>
      <c r="CP1146" s="5" t="s">
        <v>268</v>
      </c>
      <c r="CQ1146" s="4" t="s">
        <v>269</v>
      </c>
      <c r="CR1146" s="4" t="s">
        <v>270</v>
      </c>
      <c r="CS1146" s="4" t="s">
        <v>241</v>
      </c>
      <c r="CT1146" s="4" t="s">
        <v>241</v>
      </c>
      <c r="CU1146" s="4">
        <v>0</v>
      </c>
      <c r="CV1146" s="4" t="s">
        <v>271</v>
      </c>
      <c r="CW1146" s="4" t="s">
        <v>1006</v>
      </c>
      <c r="CX1146" s="4" t="s">
        <v>347</v>
      </c>
      <c r="CZ1146" s="6">
        <f>82772760</f>
        <v>82772760</v>
      </c>
      <c r="DA1146" s="6">
        <f>0</f>
        <v>0</v>
      </c>
      <c r="DC1146" s="4" t="s">
        <v>241</v>
      </c>
      <c r="DD1146" s="4" t="s">
        <v>241</v>
      </c>
      <c r="DF1146" s="4" t="s">
        <v>241</v>
      </c>
      <c r="DI1146" s="4" t="s">
        <v>241</v>
      </c>
      <c r="DJ1146" s="4" t="s">
        <v>241</v>
      </c>
      <c r="DK1146" s="4" t="s">
        <v>241</v>
      </c>
      <c r="DL1146" s="4" t="s">
        <v>241</v>
      </c>
      <c r="DM1146" s="4" t="s">
        <v>277</v>
      </c>
      <c r="DN1146" s="4" t="s">
        <v>278</v>
      </c>
      <c r="DO1146" s="6">
        <f>563.8</f>
        <v>563.79999999999995</v>
      </c>
      <c r="DP1146" s="4" t="s">
        <v>241</v>
      </c>
      <c r="DQ1146" s="4" t="s">
        <v>241</v>
      </c>
      <c r="DR1146" s="4" t="s">
        <v>241</v>
      </c>
      <c r="DS1146" s="4" t="s">
        <v>241</v>
      </c>
      <c r="DV1146" s="4" t="s">
        <v>1100</v>
      </c>
      <c r="DW1146" s="4" t="s">
        <v>277</v>
      </c>
      <c r="HO1146" s="4" t="s">
        <v>297</v>
      </c>
      <c r="HR1146" s="4" t="s">
        <v>278</v>
      </c>
      <c r="HS1146" s="4" t="s">
        <v>278</v>
      </c>
    </row>
    <row r="1147" spans="1:240" x14ac:dyDescent="0.4">
      <c r="A1147" s="4">
        <v>2</v>
      </c>
      <c r="B1147" s="4" t="s">
        <v>239</v>
      </c>
      <c r="C1147" s="4">
        <v>1446</v>
      </c>
      <c r="D1147" s="4">
        <v>1</v>
      </c>
      <c r="E1147" s="4">
        <v>3</v>
      </c>
      <c r="F1147" s="4" t="s">
        <v>240</v>
      </c>
      <c r="G1147" s="4" t="s">
        <v>241</v>
      </c>
      <c r="H1147" s="4" t="s">
        <v>241</v>
      </c>
      <c r="I1147" s="4" t="s">
        <v>1013</v>
      </c>
      <c r="J1147" s="4" t="s">
        <v>424</v>
      </c>
      <c r="K1147" s="4" t="s">
        <v>256</v>
      </c>
      <c r="L1147" s="4" t="s">
        <v>1012</v>
      </c>
      <c r="M1147" s="5" t="s">
        <v>1014</v>
      </c>
      <c r="N1147" s="4" t="s">
        <v>1012</v>
      </c>
      <c r="O1147" s="6">
        <f>1699.09</f>
        <v>1699.09</v>
      </c>
      <c r="P1147" s="4" t="s">
        <v>276</v>
      </c>
      <c r="Q1147" s="6">
        <f>127856540</f>
        <v>127856540</v>
      </c>
      <c r="R1147" s="6">
        <f>511426090</f>
        <v>511426090</v>
      </c>
      <c r="S1147" s="5" t="s">
        <v>339</v>
      </c>
      <c r="T1147" s="4" t="s">
        <v>357</v>
      </c>
      <c r="U1147" s="4" t="s">
        <v>274</v>
      </c>
      <c r="V1147" s="6">
        <f>15342782</f>
        <v>15342782</v>
      </c>
      <c r="W1147" s="6">
        <f>383569550</f>
        <v>383569550</v>
      </c>
      <c r="X1147" s="4" t="s">
        <v>243</v>
      </c>
      <c r="Y1147" s="4" t="s">
        <v>244</v>
      </c>
      <c r="Z1147" s="4" t="s">
        <v>465</v>
      </c>
      <c r="AA1147" s="4" t="s">
        <v>241</v>
      </c>
      <c r="AD1147" s="4" t="s">
        <v>241</v>
      </c>
      <c r="AE1147" s="5" t="s">
        <v>241</v>
      </c>
      <c r="AF1147" s="5" t="s">
        <v>241</v>
      </c>
      <c r="AH1147" s="5" t="s">
        <v>241</v>
      </c>
      <c r="AI1147" s="5" t="s">
        <v>249</v>
      </c>
      <c r="AJ1147" s="4" t="s">
        <v>251</v>
      </c>
      <c r="AK1147" s="4" t="s">
        <v>252</v>
      </c>
      <c r="AQ1147" s="4" t="s">
        <v>241</v>
      </c>
      <c r="AR1147" s="4" t="s">
        <v>241</v>
      </c>
      <c r="AS1147" s="4" t="s">
        <v>241</v>
      </c>
      <c r="AT1147" s="5" t="s">
        <v>241</v>
      </c>
      <c r="AU1147" s="5" t="s">
        <v>241</v>
      </c>
      <c r="AV1147" s="5" t="s">
        <v>241</v>
      </c>
      <c r="AY1147" s="4" t="s">
        <v>286</v>
      </c>
      <c r="AZ1147" s="4" t="s">
        <v>286</v>
      </c>
      <c r="BA1147" s="4" t="s">
        <v>254</v>
      </c>
      <c r="BB1147" s="4" t="s">
        <v>287</v>
      </c>
      <c r="BC1147" s="4" t="s">
        <v>255</v>
      </c>
      <c r="BD1147" s="4" t="s">
        <v>241</v>
      </c>
      <c r="BE1147" s="4" t="s">
        <v>257</v>
      </c>
      <c r="BF1147" s="4" t="s">
        <v>241</v>
      </c>
      <c r="BH1147" s="4" t="s">
        <v>500</v>
      </c>
      <c r="BJ1147" s="4" t="s">
        <v>288</v>
      </c>
      <c r="BK1147" s="5" t="s">
        <v>289</v>
      </c>
      <c r="BL1147" s="4" t="s">
        <v>290</v>
      </c>
      <c r="BM1147" s="4" t="s">
        <v>290</v>
      </c>
      <c r="BN1147" s="4" t="s">
        <v>241</v>
      </c>
      <c r="BO1147" s="6">
        <f>0</f>
        <v>0</v>
      </c>
      <c r="BP1147" s="6">
        <f>-15342782</f>
        <v>-15342782</v>
      </c>
      <c r="BQ1147" s="4" t="s">
        <v>263</v>
      </c>
      <c r="BR1147" s="4" t="s">
        <v>264</v>
      </c>
      <c r="BS1147" s="4" t="s">
        <v>241</v>
      </c>
      <c r="BT1147" s="4" t="s">
        <v>241</v>
      </c>
      <c r="BU1147" s="4" t="s">
        <v>241</v>
      </c>
      <c r="BV1147" s="4" t="s">
        <v>241</v>
      </c>
      <c r="CE1147" s="4" t="s">
        <v>264</v>
      </c>
      <c r="CF1147" s="4" t="s">
        <v>241</v>
      </c>
      <c r="CG1147" s="4" t="s">
        <v>241</v>
      </c>
      <c r="CK1147" s="4" t="s">
        <v>291</v>
      </c>
      <c r="CL1147" s="4" t="s">
        <v>266</v>
      </c>
      <c r="CM1147" s="4" t="s">
        <v>241</v>
      </c>
      <c r="CO1147" s="4" t="s">
        <v>292</v>
      </c>
      <c r="CP1147" s="5" t="s">
        <v>268</v>
      </c>
      <c r="CQ1147" s="4" t="s">
        <v>269</v>
      </c>
      <c r="CR1147" s="4" t="s">
        <v>270</v>
      </c>
      <c r="CS1147" s="4" t="s">
        <v>293</v>
      </c>
      <c r="CT1147" s="4" t="s">
        <v>241</v>
      </c>
      <c r="CU1147" s="4">
        <v>0.03</v>
      </c>
      <c r="CV1147" s="4" t="s">
        <v>271</v>
      </c>
      <c r="CW1147" s="4" t="s">
        <v>1006</v>
      </c>
      <c r="CX1147" s="4" t="s">
        <v>487</v>
      </c>
      <c r="CY1147" s="6">
        <f>0</f>
        <v>0</v>
      </c>
      <c r="CZ1147" s="6">
        <f>511426090</f>
        <v>511426090</v>
      </c>
      <c r="DA1147" s="6">
        <f>127856540</f>
        <v>127856540</v>
      </c>
      <c r="DC1147" s="4" t="s">
        <v>241</v>
      </c>
      <c r="DD1147" s="4" t="s">
        <v>241</v>
      </c>
      <c r="DF1147" s="4" t="s">
        <v>241</v>
      </c>
      <c r="DG1147" s="6">
        <f>0</f>
        <v>0</v>
      </c>
      <c r="DI1147" s="4" t="s">
        <v>241</v>
      </c>
      <c r="DJ1147" s="4" t="s">
        <v>241</v>
      </c>
      <c r="DK1147" s="4" t="s">
        <v>241</v>
      </c>
      <c r="DL1147" s="4" t="s">
        <v>241</v>
      </c>
      <c r="DM1147" s="4" t="s">
        <v>277</v>
      </c>
      <c r="DN1147" s="4" t="s">
        <v>278</v>
      </c>
      <c r="DO1147" s="6">
        <f>1699.09</f>
        <v>1699.09</v>
      </c>
      <c r="DP1147" s="4" t="s">
        <v>241</v>
      </c>
      <c r="DQ1147" s="4" t="s">
        <v>241</v>
      </c>
      <c r="DR1147" s="4" t="s">
        <v>241</v>
      </c>
      <c r="DS1147" s="4" t="s">
        <v>241</v>
      </c>
      <c r="DV1147" s="4" t="s">
        <v>1015</v>
      </c>
      <c r="DW1147" s="4" t="s">
        <v>277</v>
      </c>
      <c r="GN1147" s="4" t="s">
        <v>1016</v>
      </c>
      <c r="HO1147" s="4" t="s">
        <v>300</v>
      </c>
      <c r="HR1147" s="4" t="s">
        <v>278</v>
      </c>
      <c r="HS1147" s="4" t="s">
        <v>278</v>
      </c>
      <c r="HT1147" s="4" t="s">
        <v>241</v>
      </c>
      <c r="HU1147" s="4" t="s">
        <v>241</v>
      </c>
      <c r="HV1147" s="4" t="s">
        <v>241</v>
      </c>
      <c r="HW1147" s="4" t="s">
        <v>241</v>
      </c>
      <c r="HX1147" s="4" t="s">
        <v>241</v>
      </c>
      <c r="HY1147" s="4" t="s">
        <v>241</v>
      </c>
      <c r="HZ1147" s="4" t="s">
        <v>241</v>
      </c>
      <c r="IA1147" s="4" t="s">
        <v>241</v>
      </c>
      <c r="IB1147" s="4" t="s">
        <v>241</v>
      </c>
      <c r="IC1147" s="4" t="s">
        <v>241</v>
      </c>
      <c r="ID1147" s="4" t="s">
        <v>241</v>
      </c>
      <c r="IE1147" s="4" t="s">
        <v>241</v>
      </c>
      <c r="IF1147" s="4" t="s">
        <v>241</v>
      </c>
    </row>
    <row r="1148" spans="1:240" x14ac:dyDescent="0.4">
      <c r="A1148" s="4">
        <v>2</v>
      </c>
      <c r="B1148" s="4" t="s">
        <v>239</v>
      </c>
      <c r="C1148" s="4">
        <v>1447</v>
      </c>
      <c r="D1148" s="4">
        <v>1</v>
      </c>
      <c r="E1148" s="4">
        <v>3</v>
      </c>
      <c r="F1148" s="4" t="s">
        <v>326</v>
      </c>
      <c r="G1148" s="4" t="s">
        <v>241</v>
      </c>
      <c r="H1148" s="4" t="s">
        <v>241</v>
      </c>
      <c r="I1148" s="4" t="s">
        <v>1013</v>
      </c>
      <c r="J1148" s="4" t="s">
        <v>424</v>
      </c>
      <c r="K1148" s="4" t="s">
        <v>256</v>
      </c>
      <c r="L1148" s="4" t="s">
        <v>241</v>
      </c>
      <c r="M1148" s="5" t="s">
        <v>1014</v>
      </c>
      <c r="N1148" s="4" t="s">
        <v>423</v>
      </c>
      <c r="O1148" s="6">
        <f>0</f>
        <v>0</v>
      </c>
      <c r="P1148" s="4" t="s">
        <v>276</v>
      </c>
      <c r="Q1148" s="6">
        <f>582818</f>
        <v>582818</v>
      </c>
      <c r="R1148" s="6">
        <f>673000</f>
        <v>673000</v>
      </c>
      <c r="S1148" s="5" t="s">
        <v>2652</v>
      </c>
      <c r="T1148" s="4" t="s">
        <v>348</v>
      </c>
      <c r="U1148" s="4" t="s">
        <v>277</v>
      </c>
      <c r="V1148" s="6">
        <f>45091</f>
        <v>45091</v>
      </c>
      <c r="W1148" s="6">
        <f>90182</f>
        <v>90182</v>
      </c>
      <c r="X1148" s="4" t="s">
        <v>243</v>
      </c>
      <c r="Y1148" s="4" t="s">
        <v>244</v>
      </c>
      <c r="Z1148" s="4" t="s">
        <v>241</v>
      </c>
      <c r="AA1148" s="4" t="s">
        <v>241</v>
      </c>
      <c r="AD1148" s="4" t="s">
        <v>241</v>
      </c>
      <c r="AE1148" s="5" t="s">
        <v>241</v>
      </c>
      <c r="AF1148" s="5" t="s">
        <v>241</v>
      </c>
      <c r="AH1148" s="5" t="s">
        <v>241</v>
      </c>
      <c r="AI1148" s="5" t="s">
        <v>249</v>
      </c>
      <c r="AJ1148" s="4" t="s">
        <v>251</v>
      </c>
      <c r="AK1148" s="4" t="s">
        <v>252</v>
      </c>
      <c r="AQ1148" s="4" t="s">
        <v>241</v>
      </c>
      <c r="AR1148" s="4" t="s">
        <v>241</v>
      </c>
      <c r="AS1148" s="4" t="s">
        <v>241</v>
      </c>
      <c r="AT1148" s="5" t="s">
        <v>241</v>
      </c>
      <c r="AU1148" s="5" t="s">
        <v>241</v>
      </c>
      <c r="AV1148" s="5" t="s">
        <v>241</v>
      </c>
      <c r="AY1148" s="4" t="s">
        <v>286</v>
      </c>
      <c r="AZ1148" s="4" t="s">
        <v>286</v>
      </c>
      <c r="BA1148" s="4" t="s">
        <v>254</v>
      </c>
      <c r="BB1148" s="4" t="s">
        <v>287</v>
      </c>
      <c r="BC1148" s="4" t="s">
        <v>255</v>
      </c>
      <c r="BD1148" s="4" t="s">
        <v>241</v>
      </c>
      <c r="BE1148" s="4" t="s">
        <v>257</v>
      </c>
      <c r="BF1148" s="4" t="s">
        <v>241</v>
      </c>
      <c r="BJ1148" s="4" t="s">
        <v>288</v>
      </c>
      <c r="BK1148" s="5" t="s">
        <v>289</v>
      </c>
      <c r="BL1148" s="4" t="s">
        <v>290</v>
      </c>
      <c r="BM1148" s="4" t="s">
        <v>290</v>
      </c>
      <c r="BN1148" s="4" t="s">
        <v>241</v>
      </c>
      <c r="BP1148" s="6">
        <f>-45091</f>
        <v>-45091</v>
      </c>
      <c r="BQ1148" s="4" t="s">
        <v>263</v>
      </c>
      <c r="BR1148" s="4" t="s">
        <v>264</v>
      </c>
      <c r="BS1148" s="4" t="s">
        <v>241</v>
      </c>
      <c r="BT1148" s="4" t="s">
        <v>241</v>
      </c>
      <c r="BU1148" s="4" t="s">
        <v>241</v>
      </c>
      <c r="BV1148" s="4" t="s">
        <v>241</v>
      </c>
      <c r="CE1148" s="4" t="s">
        <v>264</v>
      </c>
      <c r="CF1148" s="4" t="s">
        <v>241</v>
      </c>
      <c r="CG1148" s="4" t="s">
        <v>241</v>
      </c>
      <c r="CK1148" s="4" t="s">
        <v>291</v>
      </c>
      <c r="CL1148" s="4" t="s">
        <v>266</v>
      </c>
      <c r="CM1148" s="4" t="s">
        <v>241</v>
      </c>
      <c r="CO1148" s="4" t="s">
        <v>331</v>
      </c>
      <c r="CP1148" s="5" t="s">
        <v>268</v>
      </c>
      <c r="CQ1148" s="4" t="s">
        <v>269</v>
      </c>
      <c r="CR1148" s="4" t="s">
        <v>270</v>
      </c>
      <c r="CS1148" s="4" t="s">
        <v>293</v>
      </c>
      <c r="CT1148" s="4" t="s">
        <v>241</v>
      </c>
      <c r="CU1148" s="4">
        <v>6.7000000000000004E-2</v>
      </c>
      <c r="CV1148" s="4" t="s">
        <v>271</v>
      </c>
      <c r="CW1148" s="4" t="s">
        <v>415</v>
      </c>
      <c r="CX1148" s="4" t="s">
        <v>422</v>
      </c>
      <c r="CY1148" s="6">
        <f>0</f>
        <v>0</v>
      </c>
      <c r="CZ1148" s="6">
        <f>673000</f>
        <v>673000</v>
      </c>
      <c r="DA1148" s="6">
        <f>582818</f>
        <v>582818</v>
      </c>
      <c r="DC1148" s="4" t="s">
        <v>241</v>
      </c>
      <c r="DD1148" s="4" t="s">
        <v>241</v>
      </c>
      <c r="DF1148" s="4" t="s">
        <v>241</v>
      </c>
      <c r="DG1148" s="6">
        <f>0</f>
        <v>0</v>
      </c>
      <c r="DI1148" s="4" t="s">
        <v>241</v>
      </c>
      <c r="DJ1148" s="4" t="s">
        <v>241</v>
      </c>
      <c r="DK1148" s="4" t="s">
        <v>241</v>
      </c>
      <c r="DL1148" s="4" t="s">
        <v>241</v>
      </c>
      <c r="DM1148" s="4" t="s">
        <v>278</v>
      </c>
      <c r="DN1148" s="4" t="s">
        <v>278</v>
      </c>
      <c r="DO1148" s="6" t="s">
        <v>241</v>
      </c>
      <c r="DP1148" s="4" t="s">
        <v>241</v>
      </c>
      <c r="DQ1148" s="4" t="s">
        <v>241</v>
      </c>
      <c r="DR1148" s="4" t="s">
        <v>241</v>
      </c>
      <c r="DS1148" s="4" t="s">
        <v>241</v>
      </c>
      <c r="DV1148" s="4" t="s">
        <v>1015</v>
      </c>
      <c r="DW1148" s="4" t="s">
        <v>323</v>
      </c>
      <c r="GN1148" s="4" t="s">
        <v>2655</v>
      </c>
      <c r="HO1148" s="4" t="s">
        <v>297</v>
      </c>
      <c r="HR1148" s="4" t="s">
        <v>278</v>
      </c>
      <c r="HS1148" s="4" t="s">
        <v>278</v>
      </c>
      <c r="HT1148" s="4" t="s">
        <v>241</v>
      </c>
      <c r="HU1148" s="4" t="s">
        <v>241</v>
      </c>
      <c r="HV1148" s="4" t="s">
        <v>241</v>
      </c>
      <c r="HW1148" s="4" t="s">
        <v>241</v>
      </c>
      <c r="HX1148" s="4" t="s">
        <v>241</v>
      </c>
      <c r="HY1148" s="4" t="s">
        <v>241</v>
      </c>
      <c r="HZ1148" s="4" t="s">
        <v>241</v>
      </c>
      <c r="IA1148" s="4" t="s">
        <v>241</v>
      </c>
      <c r="IB1148" s="4" t="s">
        <v>241</v>
      </c>
      <c r="IC1148" s="4" t="s">
        <v>241</v>
      </c>
      <c r="ID1148" s="4" t="s">
        <v>241</v>
      </c>
      <c r="IE1148" s="4" t="s">
        <v>241</v>
      </c>
      <c r="IF1148" s="4" t="s">
        <v>241</v>
      </c>
    </row>
    <row r="1149" spans="1:240" x14ac:dyDescent="0.4">
      <c r="A1149" s="4">
        <v>2</v>
      </c>
      <c r="B1149" s="4" t="s">
        <v>239</v>
      </c>
      <c r="C1149" s="4">
        <v>1448</v>
      </c>
      <c r="D1149" s="4">
        <v>1</v>
      </c>
      <c r="E1149" s="4">
        <v>3</v>
      </c>
      <c r="F1149" s="4" t="s">
        <v>240</v>
      </c>
      <c r="G1149" s="4" t="s">
        <v>241</v>
      </c>
      <c r="H1149" s="4" t="s">
        <v>241</v>
      </c>
      <c r="I1149" s="4" t="s">
        <v>1356</v>
      </c>
      <c r="J1149" s="4" t="s">
        <v>424</v>
      </c>
      <c r="K1149" s="4" t="s">
        <v>256</v>
      </c>
      <c r="L1149" s="4" t="s">
        <v>1336</v>
      </c>
      <c r="M1149" s="5" t="s">
        <v>1357</v>
      </c>
      <c r="N1149" s="4" t="s">
        <v>1336</v>
      </c>
      <c r="O1149" s="6">
        <f>56</f>
        <v>56</v>
      </c>
      <c r="P1149" s="4" t="s">
        <v>276</v>
      </c>
      <c r="Q1149" s="6">
        <f>936768</f>
        <v>936768</v>
      </c>
      <c r="R1149" s="6">
        <f>11424000</f>
        <v>11424000</v>
      </c>
      <c r="S1149" s="5" t="s">
        <v>900</v>
      </c>
      <c r="T1149" s="4" t="s">
        <v>333</v>
      </c>
      <c r="U1149" s="4" t="s">
        <v>473</v>
      </c>
      <c r="V1149" s="6">
        <f>308448</f>
        <v>308448</v>
      </c>
      <c r="W1149" s="6">
        <f>10487232</f>
        <v>10487232</v>
      </c>
      <c r="X1149" s="4" t="s">
        <v>243</v>
      </c>
      <c r="Y1149" s="4" t="s">
        <v>244</v>
      </c>
      <c r="Z1149" s="4" t="s">
        <v>465</v>
      </c>
      <c r="AA1149" s="4" t="s">
        <v>241</v>
      </c>
      <c r="AD1149" s="4" t="s">
        <v>241</v>
      </c>
      <c r="AE1149" s="5" t="s">
        <v>241</v>
      </c>
      <c r="AF1149" s="5" t="s">
        <v>241</v>
      </c>
      <c r="AH1149" s="5" t="s">
        <v>241</v>
      </c>
      <c r="AI1149" s="5" t="s">
        <v>249</v>
      </c>
      <c r="AJ1149" s="4" t="s">
        <v>251</v>
      </c>
      <c r="AK1149" s="4" t="s">
        <v>252</v>
      </c>
      <c r="AQ1149" s="4" t="s">
        <v>241</v>
      </c>
      <c r="AR1149" s="4" t="s">
        <v>241</v>
      </c>
      <c r="AS1149" s="4" t="s">
        <v>241</v>
      </c>
      <c r="AT1149" s="5" t="s">
        <v>241</v>
      </c>
      <c r="AU1149" s="5" t="s">
        <v>241</v>
      </c>
      <c r="AV1149" s="5" t="s">
        <v>241</v>
      </c>
      <c r="AY1149" s="4" t="s">
        <v>286</v>
      </c>
      <c r="AZ1149" s="4" t="s">
        <v>286</v>
      </c>
      <c r="BA1149" s="4" t="s">
        <v>254</v>
      </c>
      <c r="BB1149" s="4" t="s">
        <v>287</v>
      </c>
      <c r="BC1149" s="4" t="s">
        <v>255</v>
      </c>
      <c r="BD1149" s="4" t="s">
        <v>241</v>
      </c>
      <c r="BE1149" s="4" t="s">
        <v>257</v>
      </c>
      <c r="BF1149" s="4" t="s">
        <v>241</v>
      </c>
      <c r="BH1149" s="4" t="s">
        <v>500</v>
      </c>
      <c r="BJ1149" s="4" t="s">
        <v>288</v>
      </c>
      <c r="BK1149" s="5" t="s">
        <v>289</v>
      </c>
      <c r="BL1149" s="4" t="s">
        <v>290</v>
      </c>
      <c r="BM1149" s="4" t="s">
        <v>290</v>
      </c>
      <c r="BN1149" s="4" t="s">
        <v>241</v>
      </c>
      <c r="BO1149" s="6">
        <f>0</f>
        <v>0</v>
      </c>
      <c r="BP1149" s="6">
        <f>-308448</f>
        <v>-308448</v>
      </c>
      <c r="BQ1149" s="4" t="s">
        <v>263</v>
      </c>
      <c r="BR1149" s="4" t="s">
        <v>264</v>
      </c>
      <c r="BS1149" s="4" t="s">
        <v>241</v>
      </c>
      <c r="BT1149" s="4" t="s">
        <v>241</v>
      </c>
      <c r="BU1149" s="4" t="s">
        <v>241</v>
      </c>
      <c r="BV1149" s="4" t="s">
        <v>241</v>
      </c>
      <c r="CE1149" s="4" t="s">
        <v>264</v>
      </c>
      <c r="CF1149" s="4" t="s">
        <v>241</v>
      </c>
      <c r="CG1149" s="4" t="s">
        <v>241</v>
      </c>
      <c r="CK1149" s="4" t="s">
        <v>291</v>
      </c>
      <c r="CL1149" s="4" t="s">
        <v>266</v>
      </c>
      <c r="CM1149" s="4" t="s">
        <v>241</v>
      </c>
      <c r="CO1149" s="4" t="s">
        <v>390</v>
      </c>
      <c r="CP1149" s="5" t="s">
        <v>268</v>
      </c>
      <c r="CQ1149" s="4" t="s">
        <v>269</v>
      </c>
      <c r="CR1149" s="4" t="s">
        <v>270</v>
      </c>
      <c r="CS1149" s="4" t="s">
        <v>293</v>
      </c>
      <c r="CT1149" s="4" t="s">
        <v>241</v>
      </c>
      <c r="CU1149" s="4">
        <v>2.7E-2</v>
      </c>
      <c r="CV1149" s="4" t="s">
        <v>271</v>
      </c>
      <c r="CW1149" s="4" t="s">
        <v>1329</v>
      </c>
      <c r="CX1149" s="4" t="s">
        <v>487</v>
      </c>
      <c r="CY1149" s="6">
        <f>0</f>
        <v>0</v>
      </c>
      <c r="CZ1149" s="6">
        <f>11424000</f>
        <v>11424000</v>
      </c>
      <c r="DA1149" s="6">
        <f>936768</f>
        <v>936768</v>
      </c>
      <c r="DC1149" s="4" t="s">
        <v>241</v>
      </c>
      <c r="DD1149" s="4" t="s">
        <v>241</v>
      </c>
      <c r="DF1149" s="4" t="s">
        <v>241</v>
      </c>
      <c r="DG1149" s="6">
        <f>0</f>
        <v>0</v>
      </c>
      <c r="DI1149" s="4" t="s">
        <v>241</v>
      </c>
      <c r="DJ1149" s="4" t="s">
        <v>241</v>
      </c>
      <c r="DK1149" s="4" t="s">
        <v>241</v>
      </c>
      <c r="DL1149" s="4" t="s">
        <v>241</v>
      </c>
      <c r="DM1149" s="4" t="s">
        <v>277</v>
      </c>
      <c r="DN1149" s="4" t="s">
        <v>278</v>
      </c>
      <c r="DO1149" s="6">
        <f>56</f>
        <v>56</v>
      </c>
      <c r="DP1149" s="4" t="s">
        <v>241</v>
      </c>
      <c r="DQ1149" s="4" t="s">
        <v>241</v>
      </c>
      <c r="DR1149" s="4" t="s">
        <v>241</v>
      </c>
      <c r="DS1149" s="4" t="s">
        <v>241</v>
      </c>
      <c r="DV1149" s="4" t="s">
        <v>1358</v>
      </c>
      <c r="DW1149" s="4" t="s">
        <v>277</v>
      </c>
      <c r="GN1149" s="4" t="s">
        <v>1359</v>
      </c>
      <c r="HO1149" s="4" t="s">
        <v>300</v>
      </c>
      <c r="HR1149" s="4" t="s">
        <v>278</v>
      </c>
      <c r="HS1149" s="4" t="s">
        <v>278</v>
      </c>
      <c r="HT1149" s="4" t="s">
        <v>241</v>
      </c>
      <c r="HU1149" s="4" t="s">
        <v>241</v>
      </c>
      <c r="HV1149" s="4" t="s">
        <v>241</v>
      </c>
      <c r="HW1149" s="4" t="s">
        <v>241</v>
      </c>
      <c r="HX1149" s="4" t="s">
        <v>241</v>
      </c>
      <c r="HY1149" s="4" t="s">
        <v>241</v>
      </c>
      <c r="HZ1149" s="4" t="s">
        <v>241</v>
      </c>
      <c r="IA1149" s="4" t="s">
        <v>241</v>
      </c>
      <c r="IB1149" s="4" t="s">
        <v>241</v>
      </c>
      <c r="IC1149" s="4" t="s">
        <v>241</v>
      </c>
      <c r="ID1149" s="4" t="s">
        <v>241</v>
      </c>
      <c r="IE1149" s="4" t="s">
        <v>241</v>
      </c>
      <c r="IF1149" s="4" t="s">
        <v>241</v>
      </c>
    </row>
    <row r="1150" spans="1:240" x14ac:dyDescent="0.4">
      <c r="A1150" s="4">
        <v>2</v>
      </c>
      <c r="B1150" s="4" t="s">
        <v>239</v>
      </c>
      <c r="C1150" s="4">
        <v>1449</v>
      </c>
      <c r="D1150" s="4">
        <v>1</v>
      </c>
      <c r="E1150" s="4">
        <v>1</v>
      </c>
      <c r="F1150" s="4" t="s">
        <v>240</v>
      </c>
      <c r="G1150" s="4" t="s">
        <v>241</v>
      </c>
      <c r="H1150" s="4" t="s">
        <v>241</v>
      </c>
      <c r="I1150" s="4" t="s">
        <v>1356</v>
      </c>
      <c r="J1150" s="4" t="s">
        <v>424</v>
      </c>
      <c r="K1150" s="4" t="s">
        <v>256</v>
      </c>
      <c r="L1150" s="4" t="s">
        <v>340</v>
      </c>
      <c r="M1150" s="5" t="s">
        <v>1357</v>
      </c>
      <c r="N1150" s="4" t="s">
        <v>340</v>
      </c>
      <c r="O1150" s="6">
        <f>10</f>
        <v>10</v>
      </c>
      <c r="P1150" s="4" t="s">
        <v>276</v>
      </c>
      <c r="Q1150" s="6">
        <f>1</f>
        <v>1</v>
      </c>
      <c r="R1150" s="6">
        <f>3210000</f>
        <v>3210000</v>
      </c>
      <c r="S1150" s="5" t="s">
        <v>900</v>
      </c>
      <c r="T1150" s="4" t="s">
        <v>348</v>
      </c>
      <c r="U1150" s="4" t="s">
        <v>391</v>
      </c>
      <c r="W1150" s="6">
        <f>3209999</f>
        <v>3209999</v>
      </c>
      <c r="X1150" s="4" t="s">
        <v>243</v>
      </c>
      <c r="Y1150" s="4" t="s">
        <v>244</v>
      </c>
      <c r="Z1150" s="4" t="s">
        <v>465</v>
      </c>
      <c r="AA1150" s="4" t="s">
        <v>241</v>
      </c>
      <c r="AD1150" s="4" t="s">
        <v>241</v>
      </c>
      <c r="AF1150" s="5" t="s">
        <v>241</v>
      </c>
      <c r="AI1150" s="5" t="s">
        <v>249</v>
      </c>
      <c r="AJ1150" s="4" t="s">
        <v>251</v>
      </c>
      <c r="AK1150" s="4" t="s">
        <v>252</v>
      </c>
      <c r="BA1150" s="4" t="s">
        <v>254</v>
      </c>
      <c r="BB1150" s="4" t="s">
        <v>241</v>
      </c>
      <c r="BC1150" s="4" t="s">
        <v>255</v>
      </c>
      <c r="BD1150" s="4" t="s">
        <v>241</v>
      </c>
      <c r="BE1150" s="4" t="s">
        <v>257</v>
      </c>
      <c r="BF1150" s="4" t="s">
        <v>241</v>
      </c>
      <c r="BJ1150" s="4" t="s">
        <v>259</v>
      </c>
      <c r="BK1150" s="5" t="s">
        <v>494</v>
      </c>
      <c r="BL1150" s="4" t="s">
        <v>261</v>
      </c>
      <c r="BM1150" s="4" t="s">
        <v>262</v>
      </c>
      <c r="BN1150" s="4" t="s">
        <v>241</v>
      </c>
      <c r="BO1150" s="6">
        <f>0</f>
        <v>0</v>
      </c>
      <c r="BP1150" s="6">
        <f>0</f>
        <v>0</v>
      </c>
      <c r="BQ1150" s="4" t="s">
        <v>263</v>
      </c>
      <c r="BR1150" s="4" t="s">
        <v>264</v>
      </c>
      <c r="CF1150" s="4" t="s">
        <v>241</v>
      </c>
      <c r="CG1150" s="4" t="s">
        <v>241</v>
      </c>
      <c r="CK1150" s="4" t="s">
        <v>291</v>
      </c>
      <c r="CL1150" s="4" t="s">
        <v>266</v>
      </c>
      <c r="CM1150" s="4" t="s">
        <v>241</v>
      </c>
      <c r="CO1150" s="4" t="s">
        <v>390</v>
      </c>
      <c r="CP1150" s="5" t="s">
        <v>268</v>
      </c>
      <c r="CQ1150" s="4" t="s">
        <v>269</v>
      </c>
      <c r="CR1150" s="4" t="s">
        <v>270</v>
      </c>
      <c r="CS1150" s="4" t="s">
        <v>241</v>
      </c>
      <c r="CT1150" s="4" t="s">
        <v>241</v>
      </c>
      <c r="CU1150" s="4">
        <v>0</v>
      </c>
      <c r="CV1150" s="4" t="s">
        <v>271</v>
      </c>
      <c r="CW1150" s="4" t="s">
        <v>332</v>
      </c>
      <c r="CX1150" s="4" t="s">
        <v>347</v>
      </c>
      <c r="CZ1150" s="6">
        <f>3210000</f>
        <v>3210000</v>
      </c>
      <c r="DA1150" s="6">
        <f>0</f>
        <v>0</v>
      </c>
      <c r="DC1150" s="4" t="s">
        <v>241</v>
      </c>
      <c r="DD1150" s="4" t="s">
        <v>241</v>
      </c>
      <c r="DF1150" s="4" t="s">
        <v>241</v>
      </c>
      <c r="DI1150" s="4" t="s">
        <v>241</v>
      </c>
      <c r="DJ1150" s="4" t="s">
        <v>241</v>
      </c>
      <c r="DK1150" s="4" t="s">
        <v>241</v>
      </c>
      <c r="DL1150" s="4" t="s">
        <v>241</v>
      </c>
      <c r="DM1150" s="4" t="s">
        <v>277</v>
      </c>
      <c r="DN1150" s="4" t="s">
        <v>278</v>
      </c>
      <c r="DO1150" s="6">
        <f>10</f>
        <v>10</v>
      </c>
      <c r="DP1150" s="4" t="s">
        <v>241</v>
      </c>
      <c r="DQ1150" s="4" t="s">
        <v>241</v>
      </c>
      <c r="DR1150" s="4" t="s">
        <v>241</v>
      </c>
      <c r="DS1150" s="4" t="s">
        <v>241</v>
      </c>
      <c r="DV1150" s="4" t="s">
        <v>1358</v>
      </c>
      <c r="DW1150" s="4" t="s">
        <v>323</v>
      </c>
      <c r="HO1150" s="4" t="s">
        <v>277</v>
      </c>
      <c r="HR1150" s="4" t="s">
        <v>278</v>
      </c>
      <c r="HS1150" s="4" t="s">
        <v>278</v>
      </c>
    </row>
    <row r="1151" spans="1:240" x14ac:dyDescent="0.4">
      <c r="A1151" s="4">
        <v>2</v>
      </c>
      <c r="B1151" s="4" t="s">
        <v>239</v>
      </c>
      <c r="C1151" s="4">
        <v>1450</v>
      </c>
      <c r="D1151" s="4">
        <v>1</v>
      </c>
      <c r="E1151" s="4">
        <v>3</v>
      </c>
      <c r="F1151" s="4" t="s">
        <v>326</v>
      </c>
      <c r="G1151" s="4" t="s">
        <v>241</v>
      </c>
      <c r="H1151" s="4" t="s">
        <v>241</v>
      </c>
      <c r="I1151" s="4" t="s">
        <v>1356</v>
      </c>
      <c r="J1151" s="4" t="s">
        <v>424</v>
      </c>
      <c r="K1151" s="4" t="s">
        <v>256</v>
      </c>
      <c r="L1151" s="4" t="s">
        <v>340</v>
      </c>
      <c r="M1151" s="5" t="s">
        <v>1357</v>
      </c>
      <c r="N1151" s="4" t="s">
        <v>1802</v>
      </c>
      <c r="O1151" s="6">
        <f>0</f>
        <v>0</v>
      </c>
      <c r="P1151" s="4" t="s">
        <v>276</v>
      </c>
      <c r="Q1151" s="6">
        <f>10383340</f>
        <v>10383340</v>
      </c>
      <c r="R1151" s="6">
        <f>11990000</f>
        <v>11990000</v>
      </c>
      <c r="S1151" s="5" t="s">
        <v>329</v>
      </c>
      <c r="T1151" s="4" t="s">
        <v>348</v>
      </c>
      <c r="U1151" s="4" t="s">
        <v>277</v>
      </c>
      <c r="V1151" s="6">
        <f>803330</f>
        <v>803330</v>
      </c>
      <c r="W1151" s="6">
        <f>1606660</f>
        <v>1606660</v>
      </c>
      <c r="X1151" s="4" t="s">
        <v>243</v>
      </c>
      <c r="Y1151" s="4" t="s">
        <v>244</v>
      </c>
      <c r="Z1151" s="4" t="s">
        <v>465</v>
      </c>
      <c r="AA1151" s="4" t="s">
        <v>241</v>
      </c>
      <c r="AD1151" s="4" t="s">
        <v>241</v>
      </c>
      <c r="AE1151" s="5" t="s">
        <v>241</v>
      </c>
      <c r="AF1151" s="5" t="s">
        <v>241</v>
      </c>
      <c r="AH1151" s="5" t="s">
        <v>241</v>
      </c>
      <c r="AI1151" s="5" t="s">
        <v>249</v>
      </c>
      <c r="AJ1151" s="4" t="s">
        <v>251</v>
      </c>
      <c r="AK1151" s="4" t="s">
        <v>252</v>
      </c>
      <c r="AQ1151" s="4" t="s">
        <v>241</v>
      </c>
      <c r="AR1151" s="4" t="s">
        <v>241</v>
      </c>
      <c r="AS1151" s="4" t="s">
        <v>241</v>
      </c>
      <c r="AT1151" s="5" t="s">
        <v>241</v>
      </c>
      <c r="AU1151" s="5" t="s">
        <v>241</v>
      </c>
      <c r="AV1151" s="5" t="s">
        <v>241</v>
      </c>
      <c r="AY1151" s="4" t="s">
        <v>286</v>
      </c>
      <c r="AZ1151" s="4" t="s">
        <v>286</v>
      </c>
      <c r="BA1151" s="4" t="s">
        <v>254</v>
      </c>
      <c r="BB1151" s="4" t="s">
        <v>287</v>
      </c>
      <c r="BC1151" s="4" t="s">
        <v>255</v>
      </c>
      <c r="BD1151" s="4" t="s">
        <v>241</v>
      </c>
      <c r="BE1151" s="4" t="s">
        <v>257</v>
      </c>
      <c r="BF1151" s="4" t="s">
        <v>241</v>
      </c>
      <c r="BJ1151" s="4" t="s">
        <v>288</v>
      </c>
      <c r="BK1151" s="5" t="s">
        <v>289</v>
      </c>
      <c r="BL1151" s="4" t="s">
        <v>290</v>
      </c>
      <c r="BM1151" s="4" t="s">
        <v>290</v>
      </c>
      <c r="BN1151" s="4" t="s">
        <v>241</v>
      </c>
      <c r="BP1151" s="6">
        <f>-803330</f>
        <v>-803330</v>
      </c>
      <c r="BQ1151" s="4" t="s">
        <v>263</v>
      </c>
      <c r="BR1151" s="4" t="s">
        <v>264</v>
      </c>
      <c r="BS1151" s="4" t="s">
        <v>241</v>
      </c>
      <c r="BT1151" s="4" t="s">
        <v>241</v>
      </c>
      <c r="BU1151" s="4" t="s">
        <v>241</v>
      </c>
      <c r="BV1151" s="4" t="s">
        <v>241</v>
      </c>
      <c r="CE1151" s="4" t="s">
        <v>264</v>
      </c>
      <c r="CF1151" s="4" t="s">
        <v>241</v>
      </c>
      <c r="CG1151" s="4" t="s">
        <v>241</v>
      </c>
      <c r="CK1151" s="4" t="s">
        <v>291</v>
      </c>
      <c r="CL1151" s="4" t="s">
        <v>266</v>
      </c>
      <c r="CM1151" s="4" t="s">
        <v>241</v>
      </c>
      <c r="CO1151" s="4" t="s">
        <v>331</v>
      </c>
      <c r="CP1151" s="5" t="s">
        <v>268</v>
      </c>
      <c r="CQ1151" s="4" t="s">
        <v>269</v>
      </c>
      <c r="CR1151" s="4" t="s">
        <v>270</v>
      </c>
      <c r="CS1151" s="4" t="s">
        <v>293</v>
      </c>
      <c r="CT1151" s="4" t="s">
        <v>241</v>
      </c>
      <c r="CU1151" s="4">
        <v>6.7000000000000004E-2</v>
      </c>
      <c r="CV1151" s="4" t="s">
        <v>271</v>
      </c>
      <c r="CW1151" s="4" t="s">
        <v>332</v>
      </c>
      <c r="CX1151" s="4" t="s">
        <v>347</v>
      </c>
      <c r="CY1151" s="6">
        <f>0</f>
        <v>0</v>
      </c>
      <c r="CZ1151" s="6">
        <f>11990000</f>
        <v>11990000</v>
      </c>
      <c r="DA1151" s="6">
        <f>10383340</f>
        <v>10383340</v>
      </c>
      <c r="DC1151" s="4" t="s">
        <v>241</v>
      </c>
      <c r="DD1151" s="4" t="s">
        <v>241</v>
      </c>
      <c r="DF1151" s="4" t="s">
        <v>241</v>
      </c>
      <c r="DG1151" s="6">
        <f>0</f>
        <v>0</v>
      </c>
      <c r="DI1151" s="4" t="s">
        <v>241</v>
      </c>
      <c r="DJ1151" s="4" t="s">
        <v>241</v>
      </c>
      <c r="DK1151" s="4" t="s">
        <v>241</v>
      </c>
      <c r="DL1151" s="4" t="s">
        <v>241</v>
      </c>
      <c r="DM1151" s="4" t="s">
        <v>278</v>
      </c>
      <c r="DN1151" s="4" t="s">
        <v>278</v>
      </c>
      <c r="DO1151" s="6" t="s">
        <v>241</v>
      </c>
      <c r="DP1151" s="4" t="s">
        <v>241</v>
      </c>
      <c r="DQ1151" s="4" t="s">
        <v>241</v>
      </c>
      <c r="DR1151" s="4" t="s">
        <v>241</v>
      </c>
      <c r="DS1151" s="4" t="s">
        <v>241</v>
      </c>
      <c r="DV1151" s="4" t="s">
        <v>1358</v>
      </c>
      <c r="DW1151" s="4" t="s">
        <v>297</v>
      </c>
      <c r="GN1151" s="4" t="s">
        <v>1803</v>
      </c>
      <c r="HO1151" s="4" t="s">
        <v>297</v>
      </c>
      <c r="HR1151" s="4" t="s">
        <v>278</v>
      </c>
      <c r="HS1151" s="4" t="s">
        <v>278</v>
      </c>
      <c r="HT1151" s="4" t="s">
        <v>241</v>
      </c>
      <c r="HU1151" s="4" t="s">
        <v>241</v>
      </c>
      <c r="HV1151" s="4" t="s">
        <v>241</v>
      </c>
      <c r="HW1151" s="4" t="s">
        <v>241</v>
      </c>
      <c r="HX1151" s="4" t="s">
        <v>241</v>
      </c>
      <c r="HY1151" s="4" t="s">
        <v>241</v>
      </c>
      <c r="HZ1151" s="4" t="s">
        <v>241</v>
      </c>
      <c r="IA1151" s="4" t="s">
        <v>241</v>
      </c>
      <c r="IB1151" s="4" t="s">
        <v>241</v>
      </c>
      <c r="IC1151" s="4" t="s">
        <v>241</v>
      </c>
      <c r="ID1151" s="4" t="s">
        <v>241</v>
      </c>
      <c r="IE1151" s="4" t="s">
        <v>241</v>
      </c>
      <c r="IF1151" s="4" t="s">
        <v>241</v>
      </c>
    </row>
    <row r="1152" spans="1:240" x14ac:dyDescent="0.4">
      <c r="A1152" s="4">
        <v>2</v>
      </c>
      <c r="B1152" s="4" t="s">
        <v>239</v>
      </c>
      <c r="C1152" s="4">
        <v>1451</v>
      </c>
      <c r="D1152" s="4">
        <v>1</v>
      </c>
      <c r="E1152" s="4">
        <v>3</v>
      </c>
      <c r="F1152" s="4" t="s">
        <v>240</v>
      </c>
      <c r="G1152" s="4" t="s">
        <v>241</v>
      </c>
      <c r="H1152" s="4" t="s">
        <v>241</v>
      </c>
      <c r="I1152" s="4" t="s">
        <v>1798</v>
      </c>
      <c r="J1152" s="4" t="s">
        <v>424</v>
      </c>
      <c r="K1152" s="4" t="s">
        <v>256</v>
      </c>
      <c r="L1152" s="4" t="s">
        <v>429</v>
      </c>
      <c r="M1152" s="5" t="s">
        <v>1799</v>
      </c>
      <c r="N1152" s="4" t="s">
        <v>429</v>
      </c>
      <c r="O1152" s="6">
        <f>20.01</f>
        <v>20.010000000000002</v>
      </c>
      <c r="P1152" s="4" t="s">
        <v>276</v>
      </c>
      <c r="Q1152" s="6">
        <f>224331</f>
        <v>224331</v>
      </c>
      <c r="R1152" s="6">
        <f>1900950</f>
        <v>1900950</v>
      </c>
      <c r="S1152" s="5" t="s">
        <v>447</v>
      </c>
      <c r="T1152" s="4" t="s">
        <v>274</v>
      </c>
      <c r="U1152" s="4" t="s">
        <v>335</v>
      </c>
      <c r="V1152" s="6">
        <f>79839</f>
        <v>79839</v>
      </c>
      <c r="W1152" s="6">
        <f>1676619</f>
        <v>1676619</v>
      </c>
      <c r="X1152" s="4" t="s">
        <v>243</v>
      </c>
      <c r="Y1152" s="4" t="s">
        <v>244</v>
      </c>
      <c r="Z1152" s="4" t="s">
        <v>465</v>
      </c>
      <c r="AA1152" s="4" t="s">
        <v>241</v>
      </c>
      <c r="AD1152" s="4" t="s">
        <v>241</v>
      </c>
      <c r="AE1152" s="5" t="s">
        <v>241</v>
      </c>
      <c r="AF1152" s="5" t="s">
        <v>241</v>
      </c>
      <c r="AH1152" s="5" t="s">
        <v>241</v>
      </c>
      <c r="AI1152" s="5" t="s">
        <v>249</v>
      </c>
      <c r="AJ1152" s="4" t="s">
        <v>251</v>
      </c>
      <c r="AK1152" s="4" t="s">
        <v>252</v>
      </c>
      <c r="AQ1152" s="4" t="s">
        <v>241</v>
      </c>
      <c r="AR1152" s="4" t="s">
        <v>241</v>
      </c>
      <c r="AS1152" s="4" t="s">
        <v>241</v>
      </c>
      <c r="AT1152" s="5" t="s">
        <v>241</v>
      </c>
      <c r="AU1152" s="5" t="s">
        <v>241</v>
      </c>
      <c r="AV1152" s="5" t="s">
        <v>241</v>
      </c>
      <c r="AY1152" s="4" t="s">
        <v>286</v>
      </c>
      <c r="AZ1152" s="4" t="s">
        <v>286</v>
      </c>
      <c r="BA1152" s="4" t="s">
        <v>254</v>
      </c>
      <c r="BB1152" s="4" t="s">
        <v>287</v>
      </c>
      <c r="BC1152" s="4" t="s">
        <v>255</v>
      </c>
      <c r="BD1152" s="4" t="s">
        <v>241</v>
      </c>
      <c r="BE1152" s="4" t="s">
        <v>257</v>
      </c>
      <c r="BF1152" s="4" t="s">
        <v>241</v>
      </c>
      <c r="BH1152" s="4" t="s">
        <v>500</v>
      </c>
      <c r="BJ1152" s="4" t="s">
        <v>288</v>
      </c>
      <c r="BK1152" s="5" t="s">
        <v>289</v>
      </c>
      <c r="BL1152" s="4" t="s">
        <v>290</v>
      </c>
      <c r="BM1152" s="4" t="s">
        <v>290</v>
      </c>
      <c r="BN1152" s="4" t="s">
        <v>241</v>
      </c>
      <c r="BO1152" s="6">
        <f>0</f>
        <v>0</v>
      </c>
      <c r="BP1152" s="6">
        <f>-79839</f>
        <v>-79839</v>
      </c>
      <c r="BQ1152" s="4" t="s">
        <v>263</v>
      </c>
      <c r="BR1152" s="4" t="s">
        <v>264</v>
      </c>
      <c r="BS1152" s="4" t="s">
        <v>241</v>
      </c>
      <c r="BT1152" s="4" t="s">
        <v>241</v>
      </c>
      <c r="BU1152" s="4" t="s">
        <v>241</v>
      </c>
      <c r="BV1152" s="4" t="s">
        <v>241</v>
      </c>
      <c r="CE1152" s="4" t="s">
        <v>264</v>
      </c>
      <c r="CF1152" s="4" t="s">
        <v>241</v>
      </c>
      <c r="CG1152" s="4" t="s">
        <v>241</v>
      </c>
      <c r="CK1152" s="4" t="s">
        <v>291</v>
      </c>
      <c r="CL1152" s="4" t="s">
        <v>266</v>
      </c>
      <c r="CM1152" s="4" t="s">
        <v>241</v>
      </c>
      <c r="CO1152" s="4" t="s">
        <v>449</v>
      </c>
      <c r="CP1152" s="5" t="s">
        <v>268</v>
      </c>
      <c r="CQ1152" s="4" t="s">
        <v>269</v>
      </c>
      <c r="CR1152" s="4" t="s">
        <v>270</v>
      </c>
      <c r="CS1152" s="4" t="s">
        <v>293</v>
      </c>
      <c r="CT1152" s="4" t="s">
        <v>241</v>
      </c>
      <c r="CU1152" s="4">
        <v>4.2000000000000003E-2</v>
      </c>
      <c r="CV1152" s="4" t="s">
        <v>271</v>
      </c>
      <c r="CW1152" s="4" t="s">
        <v>272</v>
      </c>
      <c r="CX1152" s="4" t="s">
        <v>273</v>
      </c>
      <c r="CY1152" s="6">
        <f>0</f>
        <v>0</v>
      </c>
      <c r="CZ1152" s="6">
        <f>1900950</f>
        <v>1900950</v>
      </c>
      <c r="DA1152" s="6">
        <f>224331</f>
        <v>224331</v>
      </c>
      <c r="DC1152" s="4" t="s">
        <v>241</v>
      </c>
      <c r="DD1152" s="4" t="s">
        <v>241</v>
      </c>
      <c r="DF1152" s="4" t="s">
        <v>241</v>
      </c>
      <c r="DG1152" s="6">
        <f>0</f>
        <v>0</v>
      </c>
      <c r="DI1152" s="4" t="s">
        <v>241</v>
      </c>
      <c r="DJ1152" s="4" t="s">
        <v>241</v>
      </c>
      <c r="DK1152" s="4" t="s">
        <v>241</v>
      </c>
      <c r="DL1152" s="4" t="s">
        <v>241</v>
      </c>
      <c r="DM1152" s="4" t="s">
        <v>277</v>
      </c>
      <c r="DN1152" s="4" t="s">
        <v>278</v>
      </c>
      <c r="DO1152" s="6">
        <f>20.01</f>
        <v>20.010000000000002</v>
      </c>
      <c r="DP1152" s="4" t="s">
        <v>241</v>
      </c>
      <c r="DQ1152" s="4" t="s">
        <v>241</v>
      </c>
      <c r="DR1152" s="4" t="s">
        <v>241</v>
      </c>
      <c r="DS1152" s="4" t="s">
        <v>241</v>
      </c>
      <c r="DV1152" s="4" t="s">
        <v>1800</v>
      </c>
      <c r="DW1152" s="4" t="s">
        <v>277</v>
      </c>
      <c r="GN1152" s="4" t="s">
        <v>3750</v>
      </c>
      <c r="HO1152" s="4" t="s">
        <v>300</v>
      </c>
      <c r="HR1152" s="4" t="s">
        <v>278</v>
      </c>
      <c r="HS1152" s="4" t="s">
        <v>278</v>
      </c>
      <c r="HT1152" s="4" t="s">
        <v>241</v>
      </c>
      <c r="HU1152" s="4" t="s">
        <v>241</v>
      </c>
      <c r="HV1152" s="4" t="s">
        <v>241</v>
      </c>
      <c r="HW1152" s="4" t="s">
        <v>241</v>
      </c>
      <c r="HX1152" s="4" t="s">
        <v>241</v>
      </c>
      <c r="HY1152" s="4" t="s">
        <v>241</v>
      </c>
      <c r="HZ1152" s="4" t="s">
        <v>241</v>
      </c>
      <c r="IA1152" s="4" t="s">
        <v>241</v>
      </c>
      <c r="IB1152" s="4" t="s">
        <v>241</v>
      </c>
      <c r="IC1152" s="4" t="s">
        <v>241</v>
      </c>
      <c r="ID1152" s="4" t="s">
        <v>241</v>
      </c>
      <c r="IE1152" s="4" t="s">
        <v>241</v>
      </c>
      <c r="IF1152" s="4" t="s">
        <v>241</v>
      </c>
    </row>
    <row r="1153" spans="1:240" x14ac:dyDescent="0.4">
      <c r="A1153" s="4">
        <v>2</v>
      </c>
      <c r="B1153" s="4" t="s">
        <v>239</v>
      </c>
      <c r="C1153" s="4">
        <v>1452</v>
      </c>
      <c r="D1153" s="4">
        <v>1</v>
      </c>
      <c r="E1153" s="4">
        <v>3</v>
      </c>
      <c r="F1153" s="4" t="s">
        <v>240</v>
      </c>
      <c r="G1153" s="4" t="s">
        <v>241</v>
      </c>
      <c r="H1153" s="4" t="s">
        <v>241</v>
      </c>
      <c r="I1153" s="4" t="s">
        <v>1798</v>
      </c>
      <c r="J1153" s="4" t="s">
        <v>424</v>
      </c>
      <c r="K1153" s="4" t="s">
        <v>256</v>
      </c>
      <c r="L1153" s="4" t="s">
        <v>340</v>
      </c>
      <c r="M1153" s="5" t="s">
        <v>1799</v>
      </c>
      <c r="N1153" s="4" t="s">
        <v>340</v>
      </c>
      <c r="O1153" s="6">
        <f>11.52</f>
        <v>11.52</v>
      </c>
      <c r="P1153" s="4" t="s">
        <v>276</v>
      </c>
      <c r="Q1153" s="6">
        <f>473892</f>
        <v>473892</v>
      </c>
      <c r="R1153" s="6">
        <f>1094400</f>
        <v>1094400</v>
      </c>
      <c r="S1153" s="5" t="s">
        <v>447</v>
      </c>
      <c r="T1153" s="4" t="s">
        <v>333</v>
      </c>
      <c r="U1153" s="4" t="s">
        <v>335</v>
      </c>
      <c r="V1153" s="6">
        <f>29548</f>
        <v>29548</v>
      </c>
      <c r="W1153" s="6">
        <f>620508</f>
        <v>620508</v>
      </c>
      <c r="X1153" s="4" t="s">
        <v>243</v>
      </c>
      <c r="Y1153" s="4" t="s">
        <v>244</v>
      </c>
      <c r="Z1153" s="4" t="s">
        <v>465</v>
      </c>
      <c r="AA1153" s="4" t="s">
        <v>241</v>
      </c>
      <c r="AD1153" s="4" t="s">
        <v>241</v>
      </c>
      <c r="AE1153" s="5" t="s">
        <v>241</v>
      </c>
      <c r="AF1153" s="5" t="s">
        <v>241</v>
      </c>
      <c r="AH1153" s="5" t="s">
        <v>241</v>
      </c>
      <c r="AI1153" s="5" t="s">
        <v>249</v>
      </c>
      <c r="AJ1153" s="4" t="s">
        <v>251</v>
      </c>
      <c r="AK1153" s="4" t="s">
        <v>252</v>
      </c>
      <c r="AQ1153" s="4" t="s">
        <v>241</v>
      </c>
      <c r="AR1153" s="4" t="s">
        <v>241</v>
      </c>
      <c r="AS1153" s="4" t="s">
        <v>241</v>
      </c>
      <c r="AT1153" s="5" t="s">
        <v>241</v>
      </c>
      <c r="AU1153" s="5" t="s">
        <v>241</v>
      </c>
      <c r="AV1153" s="5" t="s">
        <v>241</v>
      </c>
      <c r="AY1153" s="4" t="s">
        <v>286</v>
      </c>
      <c r="AZ1153" s="4" t="s">
        <v>286</v>
      </c>
      <c r="BA1153" s="4" t="s">
        <v>254</v>
      </c>
      <c r="BB1153" s="4" t="s">
        <v>287</v>
      </c>
      <c r="BC1153" s="4" t="s">
        <v>255</v>
      </c>
      <c r="BD1153" s="4" t="s">
        <v>241</v>
      </c>
      <c r="BE1153" s="4" t="s">
        <v>257</v>
      </c>
      <c r="BF1153" s="4" t="s">
        <v>241</v>
      </c>
      <c r="BJ1153" s="4" t="s">
        <v>288</v>
      </c>
      <c r="BK1153" s="5" t="s">
        <v>289</v>
      </c>
      <c r="BL1153" s="4" t="s">
        <v>290</v>
      </c>
      <c r="BM1153" s="4" t="s">
        <v>290</v>
      </c>
      <c r="BN1153" s="4" t="s">
        <v>241</v>
      </c>
      <c r="BO1153" s="6">
        <f>0</f>
        <v>0</v>
      </c>
      <c r="BP1153" s="6">
        <f>-29548</f>
        <v>-29548</v>
      </c>
      <c r="BQ1153" s="4" t="s">
        <v>263</v>
      </c>
      <c r="BR1153" s="4" t="s">
        <v>264</v>
      </c>
      <c r="BS1153" s="4" t="s">
        <v>241</v>
      </c>
      <c r="BT1153" s="4" t="s">
        <v>241</v>
      </c>
      <c r="BU1153" s="4" t="s">
        <v>241</v>
      </c>
      <c r="BV1153" s="4" t="s">
        <v>241</v>
      </c>
      <c r="CE1153" s="4" t="s">
        <v>264</v>
      </c>
      <c r="CF1153" s="4" t="s">
        <v>241</v>
      </c>
      <c r="CG1153" s="4" t="s">
        <v>241</v>
      </c>
      <c r="CK1153" s="4" t="s">
        <v>291</v>
      </c>
      <c r="CL1153" s="4" t="s">
        <v>266</v>
      </c>
      <c r="CM1153" s="4" t="s">
        <v>241</v>
      </c>
      <c r="CO1153" s="4" t="s">
        <v>449</v>
      </c>
      <c r="CP1153" s="5" t="s">
        <v>268</v>
      </c>
      <c r="CQ1153" s="4" t="s">
        <v>269</v>
      </c>
      <c r="CR1153" s="4" t="s">
        <v>270</v>
      </c>
      <c r="CS1153" s="4" t="s">
        <v>293</v>
      </c>
      <c r="CT1153" s="4" t="s">
        <v>241</v>
      </c>
      <c r="CU1153" s="4">
        <v>2.7E-2</v>
      </c>
      <c r="CV1153" s="4" t="s">
        <v>271</v>
      </c>
      <c r="CW1153" s="4" t="s">
        <v>332</v>
      </c>
      <c r="CX1153" s="4" t="s">
        <v>295</v>
      </c>
      <c r="CY1153" s="6">
        <f>0</f>
        <v>0</v>
      </c>
      <c r="CZ1153" s="6">
        <f>1094400</f>
        <v>1094400</v>
      </c>
      <c r="DA1153" s="6">
        <f>473892</f>
        <v>473892</v>
      </c>
      <c r="DC1153" s="4" t="s">
        <v>241</v>
      </c>
      <c r="DD1153" s="4" t="s">
        <v>241</v>
      </c>
      <c r="DF1153" s="4" t="s">
        <v>241</v>
      </c>
      <c r="DG1153" s="6">
        <f>0</f>
        <v>0</v>
      </c>
      <c r="DI1153" s="4" t="s">
        <v>241</v>
      </c>
      <c r="DJ1153" s="4" t="s">
        <v>241</v>
      </c>
      <c r="DK1153" s="4" t="s">
        <v>241</v>
      </c>
      <c r="DL1153" s="4" t="s">
        <v>241</v>
      </c>
      <c r="DM1153" s="4" t="s">
        <v>277</v>
      </c>
      <c r="DN1153" s="4" t="s">
        <v>278</v>
      </c>
      <c r="DO1153" s="6">
        <f>11.52</f>
        <v>11.52</v>
      </c>
      <c r="DP1153" s="4" t="s">
        <v>241</v>
      </c>
      <c r="DQ1153" s="4" t="s">
        <v>241</v>
      </c>
      <c r="DR1153" s="4" t="s">
        <v>241</v>
      </c>
      <c r="DS1153" s="4" t="s">
        <v>241</v>
      </c>
      <c r="DV1153" s="4" t="s">
        <v>1800</v>
      </c>
      <c r="DW1153" s="4" t="s">
        <v>323</v>
      </c>
      <c r="GN1153" s="4" t="s">
        <v>1801</v>
      </c>
      <c r="HO1153" s="4" t="s">
        <v>300</v>
      </c>
      <c r="HR1153" s="4" t="s">
        <v>278</v>
      </c>
      <c r="HS1153" s="4" t="s">
        <v>278</v>
      </c>
      <c r="HT1153" s="4" t="s">
        <v>241</v>
      </c>
      <c r="HU1153" s="4" t="s">
        <v>241</v>
      </c>
      <c r="HV1153" s="4" t="s">
        <v>241</v>
      </c>
      <c r="HW1153" s="4" t="s">
        <v>241</v>
      </c>
      <c r="HX1153" s="4" t="s">
        <v>241</v>
      </c>
      <c r="HY1153" s="4" t="s">
        <v>241</v>
      </c>
      <c r="HZ1153" s="4" t="s">
        <v>241</v>
      </c>
      <c r="IA1153" s="4" t="s">
        <v>241</v>
      </c>
      <c r="IB1153" s="4" t="s">
        <v>241</v>
      </c>
      <c r="IC1153" s="4" t="s">
        <v>241</v>
      </c>
      <c r="ID1153" s="4" t="s">
        <v>241</v>
      </c>
      <c r="IE1153" s="4" t="s">
        <v>241</v>
      </c>
      <c r="IF1153" s="4" t="s">
        <v>241</v>
      </c>
    </row>
    <row r="1154" spans="1:240" x14ac:dyDescent="0.4">
      <c r="A1154" s="4">
        <v>2</v>
      </c>
      <c r="B1154" s="4" t="s">
        <v>239</v>
      </c>
      <c r="C1154" s="4">
        <v>1453</v>
      </c>
      <c r="D1154" s="4">
        <v>1</v>
      </c>
      <c r="E1154" s="4">
        <v>3</v>
      </c>
      <c r="F1154" s="4" t="s">
        <v>326</v>
      </c>
      <c r="G1154" s="4" t="s">
        <v>241</v>
      </c>
      <c r="H1154" s="4" t="s">
        <v>241</v>
      </c>
      <c r="I1154" s="4" t="s">
        <v>2651</v>
      </c>
      <c r="J1154" s="4" t="s">
        <v>424</v>
      </c>
      <c r="K1154" s="4" t="s">
        <v>256</v>
      </c>
      <c r="L1154" s="4" t="s">
        <v>241</v>
      </c>
      <c r="M1154" s="5" t="s">
        <v>1089</v>
      </c>
      <c r="N1154" s="4" t="s">
        <v>423</v>
      </c>
      <c r="O1154" s="6">
        <f>0</f>
        <v>0</v>
      </c>
      <c r="P1154" s="4" t="s">
        <v>276</v>
      </c>
      <c r="Q1154" s="6">
        <f>2651260</f>
        <v>2651260</v>
      </c>
      <c r="R1154" s="6">
        <f>3061500</f>
        <v>3061500</v>
      </c>
      <c r="S1154" s="5" t="s">
        <v>2652</v>
      </c>
      <c r="T1154" s="4" t="s">
        <v>348</v>
      </c>
      <c r="U1154" s="4" t="s">
        <v>277</v>
      </c>
      <c r="V1154" s="6">
        <f>205120</f>
        <v>205120</v>
      </c>
      <c r="W1154" s="6">
        <f>410240</f>
        <v>410240</v>
      </c>
      <c r="X1154" s="4" t="s">
        <v>243</v>
      </c>
      <c r="Y1154" s="4" t="s">
        <v>244</v>
      </c>
      <c r="Z1154" s="4" t="s">
        <v>241</v>
      </c>
      <c r="AA1154" s="4" t="s">
        <v>241</v>
      </c>
      <c r="AD1154" s="4" t="s">
        <v>241</v>
      </c>
      <c r="AE1154" s="5" t="s">
        <v>241</v>
      </c>
      <c r="AF1154" s="5" t="s">
        <v>241</v>
      </c>
      <c r="AH1154" s="5" t="s">
        <v>241</v>
      </c>
      <c r="AI1154" s="5" t="s">
        <v>249</v>
      </c>
      <c r="AJ1154" s="4" t="s">
        <v>251</v>
      </c>
      <c r="AK1154" s="4" t="s">
        <v>252</v>
      </c>
      <c r="AQ1154" s="4" t="s">
        <v>241</v>
      </c>
      <c r="AR1154" s="4" t="s">
        <v>241</v>
      </c>
      <c r="AS1154" s="4" t="s">
        <v>241</v>
      </c>
      <c r="AT1154" s="5" t="s">
        <v>241</v>
      </c>
      <c r="AU1154" s="5" t="s">
        <v>241</v>
      </c>
      <c r="AV1154" s="5" t="s">
        <v>241</v>
      </c>
      <c r="AY1154" s="4" t="s">
        <v>286</v>
      </c>
      <c r="AZ1154" s="4" t="s">
        <v>286</v>
      </c>
      <c r="BA1154" s="4" t="s">
        <v>254</v>
      </c>
      <c r="BB1154" s="4" t="s">
        <v>287</v>
      </c>
      <c r="BC1154" s="4" t="s">
        <v>255</v>
      </c>
      <c r="BD1154" s="4" t="s">
        <v>241</v>
      </c>
      <c r="BE1154" s="4" t="s">
        <v>257</v>
      </c>
      <c r="BF1154" s="4" t="s">
        <v>241</v>
      </c>
      <c r="BJ1154" s="4" t="s">
        <v>288</v>
      </c>
      <c r="BK1154" s="5" t="s">
        <v>289</v>
      </c>
      <c r="BL1154" s="4" t="s">
        <v>290</v>
      </c>
      <c r="BM1154" s="4" t="s">
        <v>290</v>
      </c>
      <c r="BN1154" s="4" t="s">
        <v>241</v>
      </c>
      <c r="BP1154" s="6">
        <f>-205120</f>
        <v>-205120</v>
      </c>
      <c r="BQ1154" s="4" t="s">
        <v>263</v>
      </c>
      <c r="BR1154" s="4" t="s">
        <v>264</v>
      </c>
      <c r="BS1154" s="4" t="s">
        <v>241</v>
      </c>
      <c r="BT1154" s="4" t="s">
        <v>241</v>
      </c>
      <c r="BU1154" s="4" t="s">
        <v>241</v>
      </c>
      <c r="BV1154" s="4" t="s">
        <v>241</v>
      </c>
      <c r="CE1154" s="4" t="s">
        <v>264</v>
      </c>
      <c r="CF1154" s="4" t="s">
        <v>241</v>
      </c>
      <c r="CG1154" s="4" t="s">
        <v>241</v>
      </c>
      <c r="CK1154" s="4" t="s">
        <v>291</v>
      </c>
      <c r="CL1154" s="4" t="s">
        <v>266</v>
      </c>
      <c r="CM1154" s="4" t="s">
        <v>241</v>
      </c>
      <c r="CO1154" s="4" t="s">
        <v>331</v>
      </c>
      <c r="CP1154" s="5" t="s">
        <v>268</v>
      </c>
      <c r="CQ1154" s="4" t="s">
        <v>269</v>
      </c>
      <c r="CR1154" s="4" t="s">
        <v>270</v>
      </c>
      <c r="CS1154" s="4" t="s">
        <v>293</v>
      </c>
      <c r="CT1154" s="4" t="s">
        <v>241</v>
      </c>
      <c r="CU1154" s="4">
        <v>6.7000000000000004E-2</v>
      </c>
      <c r="CV1154" s="4" t="s">
        <v>271</v>
      </c>
      <c r="CW1154" s="4" t="s">
        <v>415</v>
      </c>
      <c r="CX1154" s="4" t="s">
        <v>422</v>
      </c>
      <c r="CY1154" s="6">
        <f>0</f>
        <v>0</v>
      </c>
      <c r="CZ1154" s="6">
        <f>3061500</f>
        <v>3061500</v>
      </c>
      <c r="DA1154" s="6">
        <f>2651260</f>
        <v>2651260</v>
      </c>
      <c r="DC1154" s="4" t="s">
        <v>241</v>
      </c>
      <c r="DD1154" s="4" t="s">
        <v>241</v>
      </c>
      <c r="DF1154" s="4" t="s">
        <v>241</v>
      </c>
      <c r="DG1154" s="6">
        <f>0</f>
        <v>0</v>
      </c>
      <c r="DI1154" s="4" t="s">
        <v>241</v>
      </c>
      <c r="DJ1154" s="4" t="s">
        <v>241</v>
      </c>
      <c r="DK1154" s="4" t="s">
        <v>241</v>
      </c>
      <c r="DL1154" s="4" t="s">
        <v>241</v>
      </c>
      <c r="DM1154" s="4" t="s">
        <v>278</v>
      </c>
      <c r="DN1154" s="4" t="s">
        <v>278</v>
      </c>
      <c r="DO1154" s="6" t="s">
        <v>241</v>
      </c>
      <c r="DP1154" s="4" t="s">
        <v>241</v>
      </c>
      <c r="DQ1154" s="4" t="s">
        <v>241</v>
      </c>
      <c r="DR1154" s="4" t="s">
        <v>241</v>
      </c>
      <c r="DS1154" s="4" t="s">
        <v>241</v>
      </c>
      <c r="DV1154" s="4" t="s">
        <v>2653</v>
      </c>
      <c r="DW1154" s="4" t="s">
        <v>277</v>
      </c>
      <c r="GN1154" s="4" t="s">
        <v>2654</v>
      </c>
      <c r="HO1154" s="4" t="s">
        <v>297</v>
      </c>
      <c r="HR1154" s="4" t="s">
        <v>278</v>
      </c>
      <c r="HS1154" s="4" t="s">
        <v>278</v>
      </c>
      <c r="HT1154" s="4" t="s">
        <v>241</v>
      </c>
      <c r="HU1154" s="4" t="s">
        <v>241</v>
      </c>
      <c r="HV1154" s="4" t="s">
        <v>241</v>
      </c>
      <c r="HW1154" s="4" t="s">
        <v>241</v>
      </c>
      <c r="HX1154" s="4" t="s">
        <v>241</v>
      </c>
      <c r="HY1154" s="4" t="s">
        <v>241</v>
      </c>
      <c r="HZ1154" s="4" t="s">
        <v>241</v>
      </c>
      <c r="IA1154" s="4" t="s">
        <v>241</v>
      </c>
      <c r="IB1154" s="4" t="s">
        <v>241</v>
      </c>
      <c r="IC1154" s="4" t="s">
        <v>241</v>
      </c>
      <c r="ID1154" s="4" t="s">
        <v>241</v>
      </c>
      <c r="IE1154" s="4" t="s">
        <v>241</v>
      </c>
      <c r="IF1154" s="4" t="s">
        <v>241</v>
      </c>
    </row>
    <row r="1155" spans="1:240" x14ac:dyDescent="0.4">
      <c r="A1155" s="4">
        <v>2</v>
      </c>
      <c r="B1155" s="4" t="s">
        <v>239</v>
      </c>
      <c r="C1155" s="4">
        <v>1454</v>
      </c>
      <c r="D1155" s="4">
        <v>1</v>
      </c>
      <c r="E1155" s="4">
        <v>1</v>
      </c>
      <c r="F1155" s="4" t="s">
        <v>240</v>
      </c>
      <c r="G1155" s="4" t="s">
        <v>241</v>
      </c>
      <c r="H1155" s="4" t="s">
        <v>241</v>
      </c>
      <c r="I1155" s="4" t="s">
        <v>1817</v>
      </c>
      <c r="J1155" s="4" t="s">
        <v>424</v>
      </c>
      <c r="K1155" s="4" t="s">
        <v>256</v>
      </c>
      <c r="L1155" s="4" t="s">
        <v>429</v>
      </c>
      <c r="M1155" s="5" t="s">
        <v>1089</v>
      </c>
      <c r="N1155" s="4" t="s">
        <v>429</v>
      </c>
      <c r="O1155" s="6">
        <f>24.75</f>
        <v>24.75</v>
      </c>
      <c r="P1155" s="4" t="s">
        <v>276</v>
      </c>
      <c r="Q1155" s="6">
        <f>1</f>
        <v>1</v>
      </c>
      <c r="R1155" s="6">
        <f>1485000</f>
        <v>1485000</v>
      </c>
      <c r="S1155" s="5" t="s">
        <v>954</v>
      </c>
      <c r="T1155" s="4" t="s">
        <v>348</v>
      </c>
      <c r="U1155" s="4" t="s">
        <v>777</v>
      </c>
      <c r="W1155" s="6">
        <f>1484999</f>
        <v>1484999</v>
      </c>
      <c r="X1155" s="4" t="s">
        <v>243</v>
      </c>
      <c r="Y1155" s="4" t="s">
        <v>244</v>
      </c>
      <c r="Z1155" s="4" t="s">
        <v>465</v>
      </c>
      <c r="AA1155" s="4" t="s">
        <v>241</v>
      </c>
      <c r="AD1155" s="4" t="s">
        <v>241</v>
      </c>
      <c r="AF1155" s="5" t="s">
        <v>241</v>
      </c>
      <c r="AI1155" s="5" t="s">
        <v>249</v>
      </c>
      <c r="AJ1155" s="4" t="s">
        <v>251</v>
      </c>
      <c r="AK1155" s="4" t="s">
        <v>252</v>
      </c>
      <c r="BA1155" s="4" t="s">
        <v>254</v>
      </c>
      <c r="BB1155" s="4" t="s">
        <v>241</v>
      </c>
      <c r="BC1155" s="4" t="s">
        <v>255</v>
      </c>
      <c r="BD1155" s="4" t="s">
        <v>241</v>
      </c>
      <c r="BE1155" s="4" t="s">
        <v>257</v>
      </c>
      <c r="BF1155" s="4" t="s">
        <v>241</v>
      </c>
      <c r="BH1155" s="4" t="s">
        <v>500</v>
      </c>
      <c r="BJ1155" s="4" t="s">
        <v>367</v>
      </c>
      <c r="BK1155" s="5" t="s">
        <v>249</v>
      </c>
      <c r="BL1155" s="4" t="s">
        <v>261</v>
      </c>
      <c r="BM1155" s="4" t="s">
        <v>262</v>
      </c>
      <c r="BN1155" s="4" t="s">
        <v>241</v>
      </c>
      <c r="BO1155" s="6">
        <f>0</f>
        <v>0</v>
      </c>
      <c r="BP1155" s="6">
        <f>0</f>
        <v>0</v>
      </c>
      <c r="BQ1155" s="4" t="s">
        <v>263</v>
      </c>
      <c r="BR1155" s="4" t="s">
        <v>264</v>
      </c>
      <c r="CF1155" s="4" t="s">
        <v>241</v>
      </c>
      <c r="CG1155" s="4" t="s">
        <v>241</v>
      </c>
      <c r="CK1155" s="4" t="s">
        <v>265</v>
      </c>
      <c r="CL1155" s="4" t="s">
        <v>266</v>
      </c>
      <c r="CM1155" s="4" t="s">
        <v>241</v>
      </c>
      <c r="CO1155" s="4" t="s">
        <v>956</v>
      </c>
      <c r="CP1155" s="5" t="s">
        <v>268</v>
      </c>
      <c r="CQ1155" s="4" t="s">
        <v>269</v>
      </c>
      <c r="CR1155" s="4" t="s">
        <v>270</v>
      </c>
      <c r="CS1155" s="4" t="s">
        <v>241</v>
      </c>
      <c r="CT1155" s="4" t="s">
        <v>241</v>
      </c>
      <c r="CU1155" s="4">
        <v>0</v>
      </c>
      <c r="CV1155" s="4" t="s">
        <v>271</v>
      </c>
      <c r="CW1155" s="4" t="s">
        <v>272</v>
      </c>
      <c r="CX1155" s="4" t="s">
        <v>347</v>
      </c>
      <c r="CZ1155" s="6">
        <f>1485000</f>
        <v>1485000</v>
      </c>
      <c r="DA1155" s="6">
        <f>0</f>
        <v>0</v>
      </c>
      <c r="DC1155" s="4" t="s">
        <v>241</v>
      </c>
      <c r="DD1155" s="4" t="s">
        <v>241</v>
      </c>
      <c r="DF1155" s="4" t="s">
        <v>241</v>
      </c>
      <c r="DI1155" s="4" t="s">
        <v>241</v>
      </c>
      <c r="DJ1155" s="4" t="s">
        <v>241</v>
      </c>
      <c r="DK1155" s="4" t="s">
        <v>241</v>
      </c>
      <c r="DL1155" s="4" t="s">
        <v>241</v>
      </c>
      <c r="DM1155" s="4" t="s">
        <v>277</v>
      </c>
      <c r="DN1155" s="4" t="s">
        <v>278</v>
      </c>
      <c r="DO1155" s="6">
        <f>24.75</f>
        <v>24.75</v>
      </c>
      <c r="DP1155" s="4" t="s">
        <v>241</v>
      </c>
      <c r="DQ1155" s="4" t="s">
        <v>241</v>
      </c>
      <c r="DR1155" s="4" t="s">
        <v>241</v>
      </c>
      <c r="DS1155" s="4" t="s">
        <v>241</v>
      </c>
      <c r="DV1155" s="4" t="s">
        <v>1818</v>
      </c>
      <c r="DW1155" s="4" t="s">
        <v>277</v>
      </c>
      <c r="HO1155" s="4" t="s">
        <v>277</v>
      </c>
      <c r="HR1155" s="4" t="s">
        <v>278</v>
      </c>
      <c r="HS1155" s="4" t="s">
        <v>278</v>
      </c>
    </row>
    <row r="1156" spans="1:240" x14ac:dyDescent="0.4">
      <c r="A1156" s="4">
        <v>2</v>
      </c>
      <c r="B1156" s="4" t="s">
        <v>239</v>
      </c>
      <c r="C1156" s="4">
        <v>1455</v>
      </c>
      <c r="D1156" s="4">
        <v>1</v>
      </c>
      <c r="E1156" s="4">
        <v>1</v>
      </c>
      <c r="F1156" s="4" t="s">
        <v>240</v>
      </c>
      <c r="G1156" s="4" t="s">
        <v>241</v>
      </c>
      <c r="H1156" s="4" t="s">
        <v>241</v>
      </c>
      <c r="I1156" s="4" t="s">
        <v>1817</v>
      </c>
      <c r="J1156" s="4" t="s">
        <v>424</v>
      </c>
      <c r="K1156" s="4" t="s">
        <v>256</v>
      </c>
      <c r="L1156" s="4" t="s">
        <v>340</v>
      </c>
      <c r="M1156" s="5" t="s">
        <v>1089</v>
      </c>
      <c r="N1156" s="4" t="s">
        <v>340</v>
      </c>
      <c r="O1156" s="6">
        <f>8</f>
        <v>8</v>
      </c>
      <c r="P1156" s="4" t="s">
        <v>276</v>
      </c>
      <c r="Q1156" s="6">
        <f>1</f>
        <v>1</v>
      </c>
      <c r="R1156" s="6">
        <f>760000</f>
        <v>760000</v>
      </c>
      <c r="S1156" s="5" t="s">
        <v>1088</v>
      </c>
      <c r="T1156" s="4" t="s">
        <v>348</v>
      </c>
      <c r="U1156" s="4" t="s">
        <v>1042</v>
      </c>
      <c r="W1156" s="6">
        <f>759999</f>
        <v>759999</v>
      </c>
      <c r="X1156" s="4" t="s">
        <v>243</v>
      </c>
      <c r="Y1156" s="4" t="s">
        <v>244</v>
      </c>
      <c r="Z1156" s="4" t="s">
        <v>465</v>
      </c>
      <c r="AA1156" s="4" t="s">
        <v>241</v>
      </c>
      <c r="AD1156" s="4" t="s">
        <v>241</v>
      </c>
      <c r="AF1156" s="5" t="s">
        <v>241</v>
      </c>
      <c r="AI1156" s="5" t="s">
        <v>249</v>
      </c>
      <c r="AJ1156" s="4" t="s">
        <v>251</v>
      </c>
      <c r="AK1156" s="4" t="s">
        <v>252</v>
      </c>
      <c r="BA1156" s="4" t="s">
        <v>254</v>
      </c>
      <c r="BB1156" s="4" t="s">
        <v>241</v>
      </c>
      <c r="BC1156" s="4" t="s">
        <v>255</v>
      </c>
      <c r="BD1156" s="4" t="s">
        <v>241</v>
      </c>
      <c r="BE1156" s="4" t="s">
        <v>257</v>
      </c>
      <c r="BF1156" s="4" t="s">
        <v>241</v>
      </c>
      <c r="BJ1156" s="4" t="s">
        <v>374</v>
      </c>
      <c r="BK1156" s="5" t="s">
        <v>375</v>
      </c>
      <c r="BL1156" s="4" t="s">
        <v>261</v>
      </c>
      <c r="BM1156" s="4" t="s">
        <v>262</v>
      </c>
      <c r="BN1156" s="4" t="s">
        <v>241</v>
      </c>
      <c r="BO1156" s="6">
        <f>0</f>
        <v>0</v>
      </c>
      <c r="BP1156" s="6">
        <f>0</f>
        <v>0</v>
      </c>
      <c r="BQ1156" s="4" t="s">
        <v>263</v>
      </c>
      <c r="BR1156" s="4" t="s">
        <v>264</v>
      </c>
      <c r="CF1156" s="4" t="s">
        <v>241</v>
      </c>
      <c r="CG1156" s="4" t="s">
        <v>241</v>
      </c>
      <c r="CK1156" s="4" t="s">
        <v>265</v>
      </c>
      <c r="CL1156" s="4" t="s">
        <v>266</v>
      </c>
      <c r="CM1156" s="4" t="s">
        <v>241</v>
      </c>
      <c r="CO1156" s="4" t="s">
        <v>914</v>
      </c>
      <c r="CP1156" s="5" t="s">
        <v>268</v>
      </c>
      <c r="CQ1156" s="4" t="s">
        <v>269</v>
      </c>
      <c r="CR1156" s="4" t="s">
        <v>270</v>
      </c>
      <c r="CS1156" s="4" t="s">
        <v>241</v>
      </c>
      <c r="CT1156" s="4" t="s">
        <v>241</v>
      </c>
      <c r="CU1156" s="4">
        <v>0</v>
      </c>
      <c r="CV1156" s="4" t="s">
        <v>271</v>
      </c>
      <c r="CW1156" s="4" t="s">
        <v>332</v>
      </c>
      <c r="CX1156" s="4" t="s">
        <v>347</v>
      </c>
      <c r="CZ1156" s="6">
        <f>760000</f>
        <v>760000</v>
      </c>
      <c r="DA1156" s="6">
        <f>0</f>
        <v>0</v>
      </c>
      <c r="DC1156" s="4" t="s">
        <v>241</v>
      </c>
      <c r="DD1156" s="4" t="s">
        <v>241</v>
      </c>
      <c r="DF1156" s="4" t="s">
        <v>241</v>
      </c>
      <c r="DI1156" s="4" t="s">
        <v>241</v>
      </c>
      <c r="DJ1156" s="4" t="s">
        <v>241</v>
      </c>
      <c r="DK1156" s="4" t="s">
        <v>241</v>
      </c>
      <c r="DL1156" s="4" t="s">
        <v>241</v>
      </c>
      <c r="DM1156" s="4" t="s">
        <v>277</v>
      </c>
      <c r="DN1156" s="4" t="s">
        <v>278</v>
      </c>
      <c r="DO1156" s="6">
        <f>8</f>
        <v>8</v>
      </c>
      <c r="DP1156" s="4" t="s">
        <v>241</v>
      </c>
      <c r="DQ1156" s="4" t="s">
        <v>241</v>
      </c>
      <c r="DR1156" s="4" t="s">
        <v>241</v>
      </c>
      <c r="DS1156" s="4" t="s">
        <v>241</v>
      </c>
      <c r="DV1156" s="4" t="s">
        <v>1818</v>
      </c>
      <c r="DW1156" s="4" t="s">
        <v>323</v>
      </c>
      <c r="HO1156" s="4" t="s">
        <v>277</v>
      </c>
      <c r="HR1156" s="4" t="s">
        <v>278</v>
      </c>
      <c r="HS1156" s="4" t="s">
        <v>278</v>
      </c>
    </row>
    <row r="1157" spans="1:240" x14ac:dyDescent="0.4">
      <c r="A1157" s="4">
        <v>2</v>
      </c>
      <c r="B1157" s="4" t="s">
        <v>239</v>
      </c>
      <c r="C1157" s="4">
        <v>1456</v>
      </c>
      <c r="D1157" s="4">
        <v>1</v>
      </c>
      <c r="E1157" s="4">
        <v>1</v>
      </c>
      <c r="F1157" s="4" t="s">
        <v>240</v>
      </c>
      <c r="G1157" s="4" t="s">
        <v>241</v>
      </c>
      <c r="H1157" s="4" t="s">
        <v>241</v>
      </c>
      <c r="I1157" s="4" t="s">
        <v>1756</v>
      </c>
      <c r="J1157" s="4" t="s">
        <v>424</v>
      </c>
      <c r="K1157" s="4" t="s">
        <v>256</v>
      </c>
      <c r="L1157" s="4" t="s">
        <v>429</v>
      </c>
      <c r="M1157" s="5" t="s">
        <v>1757</v>
      </c>
      <c r="N1157" s="4" t="s">
        <v>429</v>
      </c>
      <c r="O1157" s="6">
        <f>16.56</f>
        <v>16.559999999999999</v>
      </c>
      <c r="P1157" s="4" t="s">
        <v>276</v>
      </c>
      <c r="Q1157" s="6">
        <f>1</f>
        <v>1</v>
      </c>
      <c r="R1157" s="6">
        <f>993600</f>
        <v>993600</v>
      </c>
      <c r="S1157" s="5" t="s">
        <v>774</v>
      </c>
      <c r="T1157" s="4" t="s">
        <v>348</v>
      </c>
      <c r="U1157" s="4" t="s">
        <v>552</v>
      </c>
      <c r="W1157" s="6">
        <f>993599</f>
        <v>993599</v>
      </c>
      <c r="X1157" s="4" t="s">
        <v>243</v>
      </c>
      <c r="Y1157" s="4" t="s">
        <v>244</v>
      </c>
      <c r="Z1157" s="4" t="s">
        <v>465</v>
      </c>
      <c r="AA1157" s="4" t="s">
        <v>241</v>
      </c>
      <c r="AD1157" s="4" t="s">
        <v>241</v>
      </c>
      <c r="AF1157" s="5" t="s">
        <v>241</v>
      </c>
      <c r="AI1157" s="5" t="s">
        <v>249</v>
      </c>
      <c r="AJ1157" s="4" t="s">
        <v>251</v>
      </c>
      <c r="AK1157" s="4" t="s">
        <v>252</v>
      </c>
      <c r="BA1157" s="4" t="s">
        <v>254</v>
      </c>
      <c r="BB1157" s="4" t="s">
        <v>241</v>
      </c>
      <c r="BC1157" s="4" t="s">
        <v>255</v>
      </c>
      <c r="BD1157" s="4" t="s">
        <v>241</v>
      </c>
      <c r="BE1157" s="4" t="s">
        <v>257</v>
      </c>
      <c r="BF1157" s="4" t="s">
        <v>241</v>
      </c>
      <c r="BH1157" s="4" t="s">
        <v>500</v>
      </c>
      <c r="BJ1157" s="4" t="s">
        <v>367</v>
      </c>
      <c r="BK1157" s="5" t="s">
        <v>249</v>
      </c>
      <c r="BL1157" s="4" t="s">
        <v>261</v>
      </c>
      <c r="BM1157" s="4" t="s">
        <v>262</v>
      </c>
      <c r="BN1157" s="4" t="s">
        <v>241</v>
      </c>
      <c r="BO1157" s="6">
        <f>0</f>
        <v>0</v>
      </c>
      <c r="BP1157" s="6">
        <f>0</f>
        <v>0</v>
      </c>
      <c r="BQ1157" s="4" t="s">
        <v>263</v>
      </c>
      <c r="BR1157" s="4" t="s">
        <v>264</v>
      </c>
      <c r="CF1157" s="4" t="s">
        <v>241</v>
      </c>
      <c r="CG1157" s="4" t="s">
        <v>241</v>
      </c>
      <c r="CK1157" s="4" t="s">
        <v>265</v>
      </c>
      <c r="CL1157" s="4" t="s">
        <v>266</v>
      </c>
      <c r="CM1157" s="4" t="s">
        <v>241</v>
      </c>
      <c r="CO1157" s="4" t="s">
        <v>662</v>
      </c>
      <c r="CP1157" s="5" t="s">
        <v>268</v>
      </c>
      <c r="CQ1157" s="4" t="s">
        <v>269</v>
      </c>
      <c r="CR1157" s="4" t="s">
        <v>270</v>
      </c>
      <c r="CS1157" s="4" t="s">
        <v>241</v>
      </c>
      <c r="CT1157" s="4" t="s">
        <v>241</v>
      </c>
      <c r="CU1157" s="4">
        <v>0</v>
      </c>
      <c r="CV1157" s="4" t="s">
        <v>271</v>
      </c>
      <c r="CW1157" s="4" t="s">
        <v>272</v>
      </c>
      <c r="CX1157" s="4" t="s">
        <v>347</v>
      </c>
      <c r="CZ1157" s="6">
        <f>993600</f>
        <v>993600</v>
      </c>
      <c r="DA1157" s="6">
        <f>0</f>
        <v>0</v>
      </c>
      <c r="DC1157" s="4" t="s">
        <v>241</v>
      </c>
      <c r="DD1157" s="4" t="s">
        <v>241</v>
      </c>
      <c r="DF1157" s="4" t="s">
        <v>241</v>
      </c>
      <c r="DI1157" s="4" t="s">
        <v>241</v>
      </c>
      <c r="DJ1157" s="4" t="s">
        <v>241</v>
      </c>
      <c r="DK1157" s="4" t="s">
        <v>241</v>
      </c>
      <c r="DL1157" s="4" t="s">
        <v>241</v>
      </c>
      <c r="DM1157" s="4" t="s">
        <v>277</v>
      </c>
      <c r="DN1157" s="4" t="s">
        <v>278</v>
      </c>
      <c r="DO1157" s="6">
        <f>16.56</f>
        <v>16.559999999999999</v>
      </c>
      <c r="DP1157" s="4" t="s">
        <v>241</v>
      </c>
      <c r="DQ1157" s="4" t="s">
        <v>241</v>
      </c>
      <c r="DR1157" s="4" t="s">
        <v>241</v>
      </c>
      <c r="DS1157" s="4" t="s">
        <v>241</v>
      </c>
      <c r="DV1157" s="4" t="s">
        <v>1758</v>
      </c>
      <c r="DW1157" s="4" t="s">
        <v>277</v>
      </c>
      <c r="HO1157" s="4" t="s">
        <v>277</v>
      </c>
      <c r="HR1157" s="4" t="s">
        <v>278</v>
      </c>
      <c r="HS1157" s="4" t="s">
        <v>278</v>
      </c>
    </row>
    <row r="1158" spans="1:240" x14ac:dyDescent="0.4">
      <c r="A1158" s="4">
        <v>2</v>
      </c>
      <c r="B1158" s="4" t="s">
        <v>239</v>
      </c>
      <c r="C1158" s="4">
        <v>1457</v>
      </c>
      <c r="D1158" s="4">
        <v>1</v>
      </c>
      <c r="E1158" s="4">
        <v>1</v>
      </c>
      <c r="F1158" s="4" t="s">
        <v>240</v>
      </c>
      <c r="G1158" s="4" t="s">
        <v>241</v>
      </c>
      <c r="H1158" s="4" t="s">
        <v>241</v>
      </c>
      <c r="I1158" s="4" t="s">
        <v>1756</v>
      </c>
      <c r="J1158" s="4" t="s">
        <v>424</v>
      </c>
      <c r="K1158" s="4" t="s">
        <v>256</v>
      </c>
      <c r="L1158" s="4" t="s">
        <v>340</v>
      </c>
      <c r="M1158" s="5" t="s">
        <v>1757</v>
      </c>
      <c r="N1158" s="4" t="s">
        <v>340</v>
      </c>
      <c r="O1158" s="6">
        <f>8.4</f>
        <v>8.4</v>
      </c>
      <c r="P1158" s="4" t="s">
        <v>276</v>
      </c>
      <c r="Q1158" s="6">
        <f>1</f>
        <v>1</v>
      </c>
      <c r="R1158" s="6">
        <f>840000</f>
        <v>840000</v>
      </c>
      <c r="S1158" s="5" t="s">
        <v>774</v>
      </c>
      <c r="T1158" s="4" t="s">
        <v>357</v>
      </c>
      <c r="U1158" s="4" t="s">
        <v>357</v>
      </c>
      <c r="W1158" s="6">
        <f>839999</f>
        <v>839999</v>
      </c>
      <c r="X1158" s="4" t="s">
        <v>243</v>
      </c>
      <c r="Y1158" s="4" t="s">
        <v>244</v>
      </c>
      <c r="Z1158" s="4" t="s">
        <v>465</v>
      </c>
      <c r="AA1158" s="4" t="s">
        <v>241</v>
      </c>
      <c r="AD1158" s="4" t="s">
        <v>241</v>
      </c>
      <c r="AF1158" s="5" t="s">
        <v>241</v>
      </c>
      <c r="AI1158" s="5" t="s">
        <v>249</v>
      </c>
      <c r="AJ1158" s="4" t="s">
        <v>251</v>
      </c>
      <c r="AK1158" s="4" t="s">
        <v>252</v>
      </c>
      <c r="BA1158" s="4" t="s">
        <v>254</v>
      </c>
      <c r="BB1158" s="4" t="s">
        <v>241</v>
      </c>
      <c r="BC1158" s="4" t="s">
        <v>255</v>
      </c>
      <c r="BD1158" s="4" t="s">
        <v>241</v>
      </c>
      <c r="BE1158" s="4" t="s">
        <v>257</v>
      </c>
      <c r="BF1158" s="4" t="s">
        <v>241</v>
      </c>
      <c r="BJ1158" s="4" t="s">
        <v>374</v>
      </c>
      <c r="BK1158" s="5" t="s">
        <v>375</v>
      </c>
      <c r="BL1158" s="4" t="s">
        <v>261</v>
      </c>
      <c r="BM1158" s="4" t="s">
        <v>290</v>
      </c>
      <c r="BN1158" s="4" t="s">
        <v>241</v>
      </c>
      <c r="BO1158" s="6">
        <f>0</f>
        <v>0</v>
      </c>
      <c r="BP1158" s="6">
        <f>0</f>
        <v>0</v>
      </c>
      <c r="BQ1158" s="4" t="s">
        <v>263</v>
      </c>
      <c r="BR1158" s="4" t="s">
        <v>264</v>
      </c>
      <c r="CF1158" s="4" t="s">
        <v>241</v>
      </c>
      <c r="CG1158" s="4" t="s">
        <v>241</v>
      </c>
      <c r="CK1158" s="4" t="s">
        <v>265</v>
      </c>
      <c r="CL1158" s="4" t="s">
        <v>266</v>
      </c>
      <c r="CM1158" s="4" t="s">
        <v>241</v>
      </c>
      <c r="CO1158" s="4" t="s">
        <v>662</v>
      </c>
      <c r="CP1158" s="5" t="s">
        <v>268</v>
      </c>
      <c r="CQ1158" s="4" t="s">
        <v>269</v>
      </c>
      <c r="CR1158" s="4" t="s">
        <v>270</v>
      </c>
      <c r="CS1158" s="4" t="s">
        <v>241</v>
      </c>
      <c r="CT1158" s="4" t="s">
        <v>241</v>
      </c>
      <c r="CU1158" s="4">
        <v>0</v>
      </c>
      <c r="CV1158" s="4" t="s">
        <v>271</v>
      </c>
      <c r="CW1158" s="4" t="s">
        <v>332</v>
      </c>
      <c r="CX1158" s="4" t="s">
        <v>356</v>
      </c>
      <c r="CZ1158" s="6">
        <f>840000</f>
        <v>840000</v>
      </c>
      <c r="DA1158" s="6">
        <f>0</f>
        <v>0</v>
      </c>
      <c r="DC1158" s="4" t="s">
        <v>241</v>
      </c>
      <c r="DD1158" s="4" t="s">
        <v>241</v>
      </c>
      <c r="DF1158" s="4" t="s">
        <v>241</v>
      </c>
      <c r="DI1158" s="4" t="s">
        <v>241</v>
      </c>
      <c r="DJ1158" s="4" t="s">
        <v>241</v>
      </c>
      <c r="DK1158" s="4" t="s">
        <v>241</v>
      </c>
      <c r="DL1158" s="4" t="s">
        <v>241</v>
      </c>
      <c r="DM1158" s="4" t="s">
        <v>277</v>
      </c>
      <c r="DN1158" s="4" t="s">
        <v>278</v>
      </c>
      <c r="DO1158" s="6">
        <f>8.4</f>
        <v>8.4</v>
      </c>
      <c r="DP1158" s="4" t="s">
        <v>241</v>
      </c>
      <c r="DQ1158" s="4" t="s">
        <v>241</v>
      </c>
      <c r="DR1158" s="4" t="s">
        <v>241</v>
      </c>
      <c r="DS1158" s="4" t="s">
        <v>241</v>
      </c>
      <c r="DV1158" s="4" t="s">
        <v>1758</v>
      </c>
      <c r="DW1158" s="4" t="s">
        <v>323</v>
      </c>
      <c r="HO1158" s="4" t="s">
        <v>297</v>
      </c>
      <c r="HR1158" s="4" t="s">
        <v>278</v>
      </c>
      <c r="HS1158" s="4" t="s">
        <v>278</v>
      </c>
    </row>
    <row r="1159" spans="1:240" x14ac:dyDescent="0.4">
      <c r="A1159" s="4">
        <v>2</v>
      </c>
      <c r="B1159" s="4" t="s">
        <v>239</v>
      </c>
      <c r="C1159" s="4">
        <v>1458</v>
      </c>
      <c r="D1159" s="4">
        <v>1</v>
      </c>
      <c r="E1159" s="4">
        <v>3</v>
      </c>
      <c r="F1159" s="4" t="s">
        <v>240</v>
      </c>
      <c r="G1159" s="4" t="s">
        <v>241</v>
      </c>
      <c r="H1159" s="4" t="s">
        <v>241</v>
      </c>
      <c r="I1159" s="4" t="s">
        <v>1361</v>
      </c>
      <c r="J1159" s="4" t="s">
        <v>424</v>
      </c>
      <c r="K1159" s="4" t="s">
        <v>256</v>
      </c>
      <c r="L1159" s="4" t="s">
        <v>1336</v>
      </c>
      <c r="M1159" s="5" t="s">
        <v>486</v>
      </c>
      <c r="N1159" s="4" t="s">
        <v>1360</v>
      </c>
      <c r="O1159" s="6">
        <f>145.74</f>
        <v>145.74</v>
      </c>
      <c r="P1159" s="4" t="s">
        <v>276</v>
      </c>
      <c r="Q1159" s="6">
        <f>10137675</f>
        <v>10137675</v>
      </c>
      <c r="R1159" s="6">
        <f>27399120</f>
        <v>27399120</v>
      </c>
      <c r="S1159" s="5" t="s">
        <v>1362</v>
      </c>
      <c r="T1159" s="4" t="s">
        <v>274</v>
      </c>
      <c r="U1159" s="4" t="s">
        <v>349</v>
      </c>
      <c r="V1159" s="6">
        <f>1150763</f>
        <v>1150763</v>
      </c>
      <c r="W1159" s="6">
        <f>17261445</f>
        <v>17261445</v>
      </c>
      <c r="X1159" s="4" t="s">
        <v>243</v>
      </c>
      <c r="Y1159" s="4" t="s">
        <v>244</v>
      </c>
      <c r="Z1159" s="4" t="s">
        <v>465</v>
      </c>
      <c r="AA1159" s="4" t="s">
        <v>241</v>
      </c>
      <c r="AD1159" s="4" t="s">
        <v>241</v>
      </c>
      <c r="AE1159" s="5" t="s">
        <v>241</v>
      </c>
      <c r="AF1159" s="5" t="s">
        <v>241</v>
      </c>
      <c r="AH1159" s="5" t="s">
        <v>241</v>
      </c>
      <c r="AI1159" s="5" t="s">
        <v>249</v>
      </c>
      <c r="AJ1159" s="4" t="s">
        <v>251</v>
      </c>
      <c r="AK1159" s="4" t="s">
        <v>252</v>
      </c>
      <c r="AQ1159" s="4" t="s">
        <v>241</v>
      </c>
      <c r="AR1159" s="4" t="s">
        <v>241</v>
      </c>
      <c r="AS1159" s="4" t="s">
        <v>241</v>
      </c>
      <c r="AT1159" s="5" t="s">
        <v>241</v>
      </c>
      <c r="AU1159" s="5" t="s">
        <v>241</v>
      </c>
      <c r="AV1159" s="5" t="s">
        <v>241</v>
      </c>
      <c r="AY1159" s="4" t="s">
        <v>286</v>
      </c>
      <c r="AZ1159" s="4" t="s">
        <v>286</v>
      </c>
      <c r="BA1159" s="4" t="s">
        <v>254</v>
      </c>
      <c r="BB1159" s="4" t="s">
        <v>287</v>
      </c>
      <c r="BC1159" s="4" t="s">
        <v>255</v>
      </c>
      <c r="BD1159" s="4" t="s">
        <v>241</v>
      </c>
      <c r="BE1159" s="4" t="s">
        <v>257</v>
      </c>
      <c r="BF1159" s="4" t="s">
        <v>241</v>
      </c>
      <c r="BH1159" s="4" t="s">
        <v>500</v>
      </c>
      <c r="BJ1159" s="4" t="s">
        <v>288</v>
      </c>
      <c r="BK1159" s="5" t="s">
        <v>289</v>
      </c>
      <c r="BL1159" s="4" t="s">
        <v>290</v>
      </c>
      <c r="BM1159" s="4" t="s">
        <v>290</v>
      </c>
      <c r="BN1159" s="4" t="s">
        <v>241</v>
      </c>
      <c r="BO1159" s="6">
        <f>0</f>
        <v>0</v>
      </c>
      <c r="BP1159" s="6">
        <f>-1150763</f>
        <v>-1150763</v>
      </c>
      <c r="BQ1159" s="4" t="s">
        <v>263</v>
      </c>
      <c r="BR1159" s="4" t="s">
        <v>264</v>
      </c>
      <c r="BS1159" s="4" t="s">
        <v>241</v>
      </c>
      <c r="BT1159" s="4" t="s">
        <v>241</v>
      </c>
      <c r="BU1159" s="4" t="s">
        <v>241</v>
      </c>
      <c r="BV1159" s="4" t="s">
        <v>241</v>
      </c>
      <c r="CE1159" s="4" t="s">
        <v>264</v>
      </c>
      <c r="CF1159" s="4" t="s">
        <v>241</v>
      </c>
      <c r="CG1159" s="4" t="s">
        <v>241</v>
      </c>
      <c r="CK1159" s="4" t="s">
        <v>291</v>
      </c>
      <c r="CL1159" s="4" t="s">
        <v>266</v>
      </c>
      <c r="CM1159" s="4" t="s">
        <v>241</v>
      </c>
      <c r="CO1159" s="4" t="s">
        <v>346</v>
      </c>
      <c r="CP1159" s="5" t="s">
        <v>268</v>
      </c>
      <c r="CQ1159" s="4" t="s">
        <v>269</v>
      </c>
      <c r="CR1159" s="4" t="s">
        <v>270</v>
      </c>
      <c r="CS1159" s="4" t="s">
        <v>293</v>
      </c>
      <c r="CT1159" s="4" t="s">
        <v>241</v>
      </c>
      <c r="CU1159" s="4">
        <v>4.2000000000000003E-2</v>
      </c>
      <c r="CV1159" s="4" t="s">
        <v>271</v>
      </c>
      <c r="CW1159" s="4" t="s">
        <v>1329</v>
      </c>
      <c r="CX1159" s="4" t="s">
        <v>347</v>
      </c>
      <c r="CY1159" s="6">
        <f>0</f>
        <v>0</v>
      </c>
      <c r="CZ1159" s="6">
        <f>27399120</f>
        <v>27399120</v>
      </c>
      <c r="DA1159" s="6">
        <f>10137675</f>
        <v>10137675</v>
      </c>
      <c r="DC1159" s="4" t="s">
        <v>241</v>
      </c>
      <c r="DD1159" s="4" t="s">
        <v>241</v>
      </c>
      <c r="DF1159" s="4" t="s">
        <v>241</v>
      </c>
      <c r="DG1159" s="6">
        <f>0</f>
        <v>0</v>
      </c>
      <c r="DI1159" s="4" t="s">
        <v>241</v>
      </c>
      <c r="DJ1159" s="4" t="s">
        <v>241</v>
      </c>
      <c r="DK1159" s="4" t="s">
        <v>241</v>
      </c>
      <c r="DL1159" s="4" t="s">
        <v>241</v>
      </c>
      <c r="DM1159" s="4" t="s">
        <v>277</v>
      </c>
      <c r="DN1159" s="4" t="s">
        <v>278</v>
      </c>
      <c r="DO1159" s="6">
        <f>145.74</f>
        <v>145.74</v>
      </c>
      <c r="DP1159" s="4" t="s">
        <v>241</v>
      </c>
      <c r="DQ1159" s="4" t="s">
        <v>241</v>
      </c>
      <c r="DR1159" s="4" t="s">
        <v>241</v>
      </c>
      <c r="DS1159" s="4" t="s">
        <v>241</v>
      </c>
      <c r="DV1159" s="4" t="s">
        <v>1363</v>
      </c>
      <c r="DW1159" s="4" t="s">
        <v>277</v>
      </c>
      <c r="GN1159" s="4" t="s">
        <v>1364</v>
      </c>
      <c r="HO1159" s="4" t="s">
        <v>300</v>
      </c>
      <c r="HR1159" s="4" t="s">
        <v>278</v>
      </c>
      <c r="HS1159" s="4" t="s">
        <v>278</v>
      </c>
      <c r="HT1159" s="4" t="s">
        <v>241</v>
      </c>
      <c r="HU1159" s="4" t="s">
        <v>241</v>
      </c>
      <c r="HV1159" s="4" t="s">
        <v>241</v>
      </c>
      <c r="HW1159" s="4" t="s">
        <v>241</v>
      </c>
      <c r="HX1159" s="4" t="s">
        <v>241</v>
      </c>
      <c r="HY1159" s="4" t="s">
        <v>241</v>
      </c>
      <c r="HZ1159" s="4" t="s">
        <v>241</v>
      </c>
      <c r="IA1159" s="4" t="s">
        <v>241</v>
      </c>
      <c r="IB1159" s="4" t="s">
        <v>241</v>
      </c>
      <c r="IC1159" s="4" t="s">
        <v>241</v>
      </c>
      <c r="ID1159" s="4" t="s">
        <v>241</v>
      </c>
      <c r="IE1159" s="4" t="s">
        <v>241</v>
      </c>
      <c r="IF1159" s="4" t="s">
        <v>241</v>
      </c>
    </row>
    <row r="1160" spans="1:240" x14ac:dyDescent="0.4">
      <c r="A1160" s="4">
        <v>2</v>
      </c>
      <c r="B1160" s="4" t="s">
        <v>239</v>
      </c>
      <c r="C1160" s="4">
        <v>1459</v>
      </c>
      <c r="D1160" s="4">
        <v>1</v>
      </c>
      <c r="E1160" s="4">
        <v>3</v>
      </c>
      <c r="F1160" s="4" t="s">
        <v>240</v>
      </c>
      <c r="G1160" s="4" t="s">
        <v>241</v>
      </c>
      <c r="H1160" s="4" t="s">
        <v>241</v>
      </c>
      <c r="I1160" s="4" t="s">
        <v>3001</v>
      </c>
      <c r="J1160" s="4" t="s">
        <v>424</v>
      </c>
      <c r="K1160" s="4" t="s">
        <v>256</v>
      </c>
      <c r="L1160" s="4" t="s">
        <v>444</v>
      </c>
      <c r="M1160" s="5" t="s">
        <v>3002</v>
      </c>
      <c r="N1160" s="4" t="s">
        <v>1374</v>
      </c>
      <c r="O1160" s="6">
        <f>382</f>
        <v>382</v>
      </c>
      <c r="P1160" s="4" t="s">
        <v>276</v>
      </c>
      <c r="Q1160" s="6">
        <f>3997248</f>
        <v>3997248</v>
      </c>
      <c r="R1160" s="6">
        <f>36672000</f>
        <v>36672000</v>
      </c>
      <c r="S1160" s="5" t="s">
        <v>2124</v>
      </c>
      <c r="T1160" s="4" t="s">
        <v>441</v>
      </c>
      <c r="U1160" s="4" t="s">
        <v>384</v>
      </c>
      <c r="V1160" s="6">
        <f>1210176</f>
        <v>1210176</v>
      </c>
      <c r="W1160" s="6">
        <f>32674752</f>
        <v>32674752</v>
      </c>
      <c r="X1160" s="4" t="s">
        <v>243</v>
      </c>
      <c r="Y1160" s="4" t="s">
        <v>244</v>
      </c>
      <c r="Z1160" s="4" t="s">
        <v>465</v>
      </c>
      <c r="AA1160" s="4" t="s">
        <v>241</v>
      </c>
      <c r="AD1160" s="4" t="s">
        <v>241</v>
      </c>
      <c r="AE1160" s="5" t="s">
        <v>241</v>
      </c>
      <c r="AF1160" s="5" t="s">
        <v>241</v>
      </c>
      <c r="AH1160" s="5" t="s">
        <v>241</v>
      </c>
      <c r="AI1160" s="5" t="s">
        <v>249</v>
      </c>
      <c r="AJ1160" s="4" t="s">
        <v>251</v>
      </c>
      <c r="AK1160" s="4" t="s">
        <v>252</v>
      </c>
      <c r="AQ1160" s="4" t="s">
        <v>241</v>
      </c>
      <c r="AR1160" s="4" t="s">
        <v>241</v>
      </c>
      <c r="AS1160" s="4" t="s">
        <v>241</v>
      </c>
      <c r="AT1160" s="5" t="s">
        <v>241</v>
      </c>
      <c r="AU1160" s="5" t="s">
        <v>241</v>
      </c>
      <c r="AV1160" s="5" t="s">
        <v>241</v>
      </c>
      <c r="AY1160" s="4" t="s">
        <v>286</v>
      </c>
      <c r="AZ1160" s="4" t="s">
        <v>286</v>
      </c>
      <c r="BA1160" s="4" t="s">
        <v>254</v>
      </c>
      <c r="BB1160" s="4" t="s">
        <v>287</v>
      </c>
      <c r="BC1160" s="4" t="s">
        <v>255</v>
      </c>
      <c r="BD1160" s="4" t="s">
        <v>241</v>
      </c>
      <c r="BE1160" s="4" t="s">
        <v>257</v>
      </c>
      <c r="BF1160" s="4" t="s">
        <v>241</v>
      </c>
      <c r="BJ1160" s="4" t="s">
        <v>288</v>
      </c>
      <c r="BK1160" s="5" t="s">
        <v>289</v>
      </c>
      <c r="BL1160" s="4" t="s">
        <v>290</v>
      </c>
      <c r="BM1160" s="4" t="s">
        <v>290</v>
      </c>
      <c r="BN1160" s="4" t="s">
        <v>241</v>
      </c>
      <c r="BO1160" s="6">
        <f>0</f>
        <v>0</v>
      </c>
      <c r="BP1160" s="6">
        <f>-1210176</f>
        <v>-1210176</v>
      </c>
      <c r="BQ1160" s="4" t="s">
        <v>263</v>
      </c>
      <c r="BR1160" s="4" t="s">
        <v>264</v>
      </c>
      <c r="BS1160" s="4" t="s">
        <v>241</v>
      </c>
      <c r="BT1160" s="4" t="s">
        <v>241</v>
      </c>
      <c r="BU1160" s="4" t="s">
        <v>241</v>
      </c>
      <c r="BV1160" s="4" t="s">
        <v>241</v>
      </c>
      <c r="CE1160" s="4" t="s">
        <v>264</v>
      </c>
      <c r="CF1160" s="4" t="s">
        <v>241</v>
      </c>
      <c r="CG1160" s="4" t="s">
        <v>241</v>
      </c>
      <c r="CK1160" s="4" t="s">
        <v>291</v>
      </c>
      <c r="CL1160" s="4" t="s">
        <v>266</v>
      </c>
      <c r="CM1160" s="4" t="s">
        <v>241</v>
      </c>
      <c r="CO1160" s="4" t="s">
        <v>376</v>
      </c>
      <c r="CP1160" s="5" t="s">
        <v>268</v>
      </c>
      <c r="CQ1160" s="4" t="s">
        <v>269</v>
      </c>
      <c r="CR1160" s="4" t="s">
        <v>270</v>
      </c>
      <c r="CS1160" s="4" t="s">
        <v>293</v>
      </c>
      <c r="CT1160" s="4" t="s">
        <v>241</v>
      </c>
      <c r="CU1160" s="4">
        <v>3.3000000000000002E-2</v>
      </c>
      <c r="CV1160" s="4" t="s">
        <v>271</v>
      </c>
      <c r="CW1160" s="4" t="s">
        <v>455</v>
      </c>
      <c r="CX1160" s="4" t="s">
        <v>487</v>
      </c>
      <c r="CY1160" s="6">
        <f>0</f>
        <v>0</v>
      </c>
      <c r="CZ1160" s="6">
        <f>36672000</f>
        <v>36672000</v>
      </c>
      <c r="DA1160" s="6">
        <f>3997248</f>
        <v>3997248</v>
      </c>
      <c r="DC1160" s="4" t="s">
        <v>241</v>
      </c>
      <c r="DD1160" s="4" t="s">
        <v>241</v>
      </c>
      <c r="DF1160" s="4" t="s">
        <v>241</v>
      </c>
      <c r="DG1160" s="6">
        <f>0</f>
        <v>0</v>
      </c>
      <c r="DI1160" s="4" t="s">
        <v>241</v>
      </c>
      <c r="DJ1160" s="4" t="s">
        <v>241</v>
      </c>
      <c r="DK1160" s="4" t="s">
        <v>241</v>
      </c>
      <c r="DL1160" s="4" t="s">
        <v>241</v>
      </c>
      <c r="DM1160" s="4" t="s">
        <v>277</v>
      </c>
      <c r="DN1160" s="4" t="s">
        <v>278</v>
      </c>
      <c r="DO1160" s="6">
        <f>382</f>
        <v>382</v>
      </c>
      <c r="DP1160" s="4" t="s">
        <v>241</v>
      </c>
      <c r="DQ1160" s="4" t="s">
        <v>241</v>
      </c>
      <c r="DR1160" s="4" t="s">
        <v>241</v>
      </c>
      <c r="DS1160" s="4" t="s">
        <v>241</v>
      </c>
      <c r="DV1160" s="4" t="s">
        <v>3003</v>
      </c>
      <c r="DW1160" s="4" t="s">
        <v>277</v>
      </c>
      <c r="GN1160" s="4" t="s">
        <v>3868</v>
      </c>
      <c r="HO1160" s="4" t="s">
        <v>300</v>
      </c>
      <c r="HR1160" s="4" t="s">
        <v>278</v>
      </c>
      <c r="HS1160" s="4" t="s">
        <v>278</v>
      </c>
      <c r="HT1160" s="4" t="s">
        <v>241</v>
      </c>
      <c r="HU1160" s="4" t="s">
        <v>241</v>
      </c>
      <c r="HV1160" s="4" t="s">
        <v>241</v>
      </c>
      <c r="HW1160" s="4" t="s">
        <v>241</v>
      </c>
      <c r="HX1160" s="4" t="s">
        <v>241</v>
      </c>
      <c r="HY1160" s="4" t="s">
        <v>241</v>
      </c>
      <c r="HZ1160" s="4" t="s">
        <v>241</v>
      </c>
      <c r="IA1160" s="4" t="s">
        <v>241</v>
      </c>
      <c r="IB1160" s="4" t="s">
        <v>241</v>
      </c>
      <c r="IC1160" s="4" t="s">
        <v>241</v>
      </c>
      <c r="ID1160" s="4" t="s">
        <v>241</v>
      </c>
      <c r="IE1160" s="4" t="s">
        <v>241</v>
      </c>
      <c r="IF1160" s="4" t="s">
        <v>241</v>
      </c>
    </row>
    <row r="1161" spans="1:240" x14ac:dyDescent="0.4">
      <c r="A1161" s="4">
        <v>2</v>
      </c>
      <c r="B1161" s="4" t="s">
        <v>239</v>
      </c>
      <c r="C1161" s="4">
        <v>1460</v>
      </c>
      <c r="D1161" s="4">
        <v>1</v>
      </c>
      <c r="E1161" s="4">
        <v>1</v>
      </c>
      <c r="F1161" s="4" t="s">
        <v>240</v>
      </c>
      <c r="G1161" s="4" t="s">
        <v>241</v>
      </c>
      <c r="H1161" s="4" t="s">
        <v>241</v>
      </c>
      <c r="I1161" s="4" t="s">
        <v>3001</v>
      </c>
      <c r="J1161" s="4" t="s">
        <v>424</v>
      </c>
      <c r="K1161" s="4" t="s">
        <v>256</v>
      </c>
      <c r="L1161" s="4" t="s">
        <v>429</v>
      </c>
      <c r="M1161" s="5" t="s">
        <v>3002</v>
      </c>
      <c r="N1161" s="4" t="s">
        <v>429</v>
      </c>
      <c r="O1161" s="6">
        <f>32</f>
        <v>32</v>
      </c>
      <c r="P1161" s="4" t="s">
        <v>276</v>
      </c>
      <c r="Q1161" s="6">
        <f>1</f>
        <v>1</v>
      </c>
      <c r="R1161" s="6">
        <f>3072000</f>
        <v>3072000</v>
      </c>
      <c r="S1161" s="5" t="s">
        <v>2124</v>
      </c>
      <c r="T1161" s="4" t="s">
        <v>274</v>
      </c>
      <c r="U1161" s="4" t="s">
        <v>274</v>
      </c>
      <c r="W1161" s="6">
        <f>3071999</f>
        <v>3071999</v>
      </c>
      <c r="X1161" s="4" t="s">
        <v>243</v>
      </c>
      <c r="Y1161" s="4" t="s">
        <v>244</v>
      </c>
      <c r="Z1161" s="4" t="s">
        <v>465</v>
      </c>
      <c r="AA1161" s="4" t="s">
        <v>241</v>
      </c>
      <c r="AD1161" s="4" t="s">
        <v>241</v>
      </c>
      <c r="AF1161" s="5" t="s">
        <v>241</v>
      </c>
      <c r="AI1161" s="5" t="s">
        <v>249</v>
      </c>
      <c r="AJ1161" s="4" t="s">
        <v>251</v>
      </c>
      <c r="AK1161" s="4" t="s">
        <v>252</v>
      </c>
      <c r="BA1161" s="4" t="s">
        <v>254</v>
      </c>
      <c r="BB1161" s="4" t="s">
        <v>241</v>
      </c>
      <c r="BC1161" s="4" t="s">
        <v>255</v>
      </c>
      <c r="BD1161" s="4" t="s">
        <v>241</v>
      </c>
      <c r="BE1161" s="4" t="s">
        <v>257</v>
      </c>
      <c r="BF1161" s="4" t="s">
        <v>241</v>
      </c>
      <c r="BH1161" s="4" t="s">
        <v>500</v>
      </c>
      <c r="BJ1161" s="4" t="s">
        <v>367</v>
      </c>
      <c r="BK1161" s="5" t="s">
        <v>249</v>
      </c>
      <c r="BL1161" s="4" t="s">
        <v>261</v>
      </c>
      <c r="BM1161" s="4" t="s">
        <v>290</v>
      </c>
      <c r="BN1161" s="4" t="s">
        <v>241</v>
      </c>
      <c r="BO1161" s="6">
        <f>0</f>
        <v>0</v>
      </c>
      <c r="BP1161" s="6">
        <f>0</f>
        <v>0</v>
      </c>
      <c r="BQ1161" s="4" t="s">
        <v>263</v>
      </c>
      <c r="BR1161" s="4" t="s">
        <v>264</v>
      </c>
      <c r="CF1161" s="4" t="s">
        <v>241</v>
      </c>
      <c r="CG1161" s="4" t="s">
        <v>241</v>
      </c>
      <c r="CK1161" s="4" t="s">
        <v>291</v>
      </c>
      <c r="CL1161" s="4" t="s">
        <v>266</v>
      </c>
      <c r="CM1161" s="4" t="s">
        <v>241</v>
      </c>
      <c r="CO1161" s="4" t="s">
        <v>376</v>
      </c>
      <c r="CP1161" s="5" t="s">
        <v>268</v>
      </c>
      <c r="CQ1161" s="4" t="s">
        <v>269</v>
      </c>
      <c r="CR1161" s="4" t="s">
        <v>270</v>
      </c>
      <c r="CS1161" s="4" t="s">
        <v>241</v>
      </c>
      <c r="CT1161" s="4" t="s">
        <v>241</v>
      </c>
      <c r="CU1161" s="4">
        <v>0</v>
      </c>
      <c r="CV1161" s="4" t="s">
        <v>271</v>
      </c>
      <c r="CW1161" s="4" t="s">
        <v>272</v>
      </c>
      <c r="CX1161" s="4" t="s">
        <v>273</v>
      </c>
      <c r="CZ1161" s="6">
        <f>3072000</f>
        <v>3072000</v>
      </c>
      <c r="DA1161" s="6">
        <f>0</f>
        <v>0</v>
      </c>
      <c r="DC1161" s="4" t="s">
        <v>241</v>
      </c>
      <c r="DD1161" s="4" t="s">
        <v>241</v>
      </c>
      <c r="DF1161" s="4" t="s">
        <v>241</v>
      </c>
      <c r="DI1161" s="4" t="s">
        <v>241</v>
      </c>
      <c r="DJ1161" s="4" t="s">
        <v>241</v>
      </c>
      <c r="DK1161" s="4" t="s">
        <v>241</v>
      </c>
      <c r="DL1161" s="4" t="s">
        <v>241</v>
      </c>
      <c r="DM1161" s="4" t="s">
        <v>277</v>
      </c>
      <c r="DN1161" s="4" t="s">
        <v>278</v>
      </c>
      <c r="DO1161" s="6">
        <f>32</f>
        <v>32</v>
      </c>
      <c r="DP1161" s="4" t="s">
        <v>241</v>
      </c>
      <c r="DQ1161" s="4" t="s">
        <v>241</v>
      </c>
      <c r="DR1161" s="4" t="s">
        <v>241</v>
      </c>
      <c r="DS1161" s="4" t="s">
        <v>241</v>
      </c>
      <c r="DV1161" s="4" t="s">
        <v>3003</v>
      </c>
      <c r="DW1161" s="4" t="s">
        <v>323</v>
      </c>
      <c r="HO1161" s="4" t="s">
        <v>336</v>
      </c>
      <c r="HR1161" s="4" t="s">
        <v>278</v>
      </c>
      <c r="HS1161" s="4" t="s">
        <v>278</v>
      </c>
    </row>
    <row r="1162" spans="1:240" x14ac:dyDescent="0.4">
      <c r="A1162" s="4">
        <v>2</v>
      </c>
      <c r="B1162" s="4" t="s">
        <v>239</v>
      </c>
      <c r="C1162" s="4">
        <v>1461</v>
      </c>
      <c r="D1162" s="4">
        <v>1</v>
      </c>
      <c r="E1162" s="4">
        <v>3</v>
      </c>
      <c r="F1162" s="4" t="s">
        <v>240</v>
      </c>
      <c r="G1162" s="4" t="s">
        <v>241</v>
      </c>
      <c r="H1162" s="4" t="s">
        <v>241</v>
      </c>
      <c r="I1162" s="4" t="s">
        <v>1167</v>
      </c>
      <c r="J1162" s="4" t="s">
        <v>424</v>
      </c>
      <c r="K1162" s="4" t="s">
        <v>256</v>
      </c>
      <c r="L1162" s="4" t="s">
        <v>1003</v>
      </c>
      <c r="M1162" s="5" t="s">
        <v>1169</v>
      </c>
      <c r="N1162" s="4" t="s">
        <v>1003</v>
      </c>
      <c r="O1162" s="6">
        <f>1627.8</f>
        <v>1627.8</v>
      </c>
      <c r="P1162" s="4" t="s">
        <v>276</v>
      </c>
      <c r="Q1162" s="6">
        <f>15822216</f>
        <v>15822216</v>
      </c>
      <c r="R1162" s="6">
        <f>293004000</f>
        <v>293004000</v>
      </c>
      <c r="S1162" s="5" t="s">
        <v>1168</v>
      </c>
      <c r="T1162" s="4" t="s">
        <v>668</v>
      </c>
      <c r="U1162" s="4" t="s">
        <v>437</v>
      </c>
      <c r="V1162" s="6">
        <f>6446088</f>
        <v>6446088</v>
      </c>
      <c r="W1162" s="6">
        <f>277181784</f>
        <v>277181784</v>
      </c>
      <c r="X1162" s="4" t="s">
        <v>243</v>
      </c>
      <c r="Y1162" s="4" t="s">
        <v>244</v>
      </c>
      <c r="Z1162" s="4" t="s">
        <v>465</v>
      </c>
      <c r="AA1162" s="4" t="s">
        <v>241</v>
      </c>
      <c r="AD1162" s="4" t="s">
        <v>241</v>
      </c>
      <c r="AE1162" s="5" t="s">
        <v>241</v>
      </c>
      <c r="AF1162" s="5" t="s">
        <v>241</v>
      </c>
      <c r="AH1162" s="5" t="s">
        <v>241</v>
      </c>
      <c r="AI1162" s="5" t="s">
        <v>249</v>
      </c>
      <c r="AJ1162" s="4" t="s">
        <v>251</v>
      </c>
      <c r="AK1162" s="4" t="s">
        <v>252</v>
      </c>
      <c r="AQ1162" s="4" t="s">
        <v>241</v>
      </c>
      <c r="AR1162" s="4" t="s">
        <v>241</v>
      </c>
      <c r="AS1162" s="4" t="s">
        <v>241</v>
      </c>
      <c r="AT1162" s="5" t="s">
        <v>241</v>
      </c>
      <c r="AU1162" s="5" t="s">
        <v>241</v>
      </c>
      <c r="AV1162" s="5" t="s">
        <v>241</v>
      </c>
      <c r="AY1162" s="4" t="s">
        <v>286</v>
      </c>
      <c r="AZ1162" s="4" t="s">
        <v>286</v>
      </c>
      <c r="BA1162" s="4" t="s">
        <v>254</v>
      </c>
      <c r="BB1162" s="4" t="s">
        <v>287</v>
      </c>
      <c r="BC1162" s="4" t="s">
        <v>255</v>
      </c>
      <c r="BD1162" s="4" t="s">
        <v>241</v>
      </c>
      <c r="BE1162" s="4" t="s">
        <v>257</v>
      </c>
      <c r="BF1162" s="4" t="s">
        <v>241</v>
      </c>
      <c r="BJ1162" s="4" t="s">
        <v>288</v>
      </c>
      <c r="BK1162" s="5" t="s">
        <v>289</v>
      </c>
      <c r="BL1162" s="4" t="s">
        <v>290</v>
      </c>
      <c r="BM1162" s="4" t="s">
        <v>290</v>
      </c>
      <c r="BN1162" s="4" t="s">
        <v>241</v>
      </c>
      <c r="BO1162" s="6">
        <f>0</f>
        <v>0</v>
      </c>
      <c r="BP1162" s="6">
        <f>-6446088</f>
        <v>-6446088</v>
      </c>
      <c r="BQ1162" s="4" t="s">
        <v>263</v>
      </c>
      <c r="BR1162" s="4" t="s">
        <v>264</v>
      </c>
      <c r="BS1162" s="4" t="s">
        <v>241</v>
      </c>
      <c r="BT1162" s="4" t="s">
        <v>241</v>
      </c>
      <c r="BU1162" s="4" t="s">
        <v>241</v>
      </c>
      <c r="BV1162" s="4" t="s">
        <v>241</v>
      </c>
      <c r="CE1162" s="4" t="s">
        <v>264</v>
      </c>
      <c r="CF1162" s="4" t="s">
        <v>241</v>
      </c>
      <c r="CG1162" s="4" t="s">
        <v>241</v>
      </c>
      <c r="CK1162" s="4" t="s">
        <v>265</v>
      </c>
      <c r="CL1162" s="4" t="s">
        <v>266</v>
      </c>
      <c r="CM1162" s="4" t="s">
        <v>241</v>
      </c>
      <c r="CO1162" s="4" t="s">
        <v>956</v>
      </c>
      <c r="CP1162" s="5" t="s">
        <v>268</v>
      </c>
      <c r="CQ1162" s="4" t="s">
        <v>269</v>
      </c>
      <c r="CR1162" s="4" t="s">
        <v>270</v>
      </c>
      <c r="CS1162" s="4" t="s">
        <v>293</v>
      </c>
      <c r="CT1162" s="4" t="s">
        <v>241</v>
      </c>
      <c r="CU1162" s="4">
        <v>2.1999999999999999E-2</v>
      </c>
      <c r="CV1162" s="4" t="s">
        <v>271</v>
      </c>
      <c r="CW1162" s="4" t="s">
        <v>1006</v>
      </c>
      <c r="CX1162" s="4" t="s">
        <v>295</v>
      </c>
      <c r="CY1162" s="6">
        <f>0</f>
        <v>0</v>
      </c>
      <c r="CZ1162" s="6">
        <f>293004000</f>
        <v>293004000</v>
      </c>
      <c r="DA1162" s="6">
        <f>15822216</f>
        <v>15822216</v>
      </c>
      <c r="DC1162" s="4" t="s">
        <v>241</v>
      </c>
      <c r="DD1162" s="4" t="s">
        <v>241</v>
      </c>
      <c r="DF1162" s="4" t="s">
        <v>241</v>
      </c>
      <c r="DG1162" s="6">
        <f>0</f>
        <v>0</v>
      </c>
      <c r="DI1162" s="4" t="s">
        <v>241</v>
      </c>
      <c r="DJ1162" s="4" t="s">
        <v>241</v>
      </c>
      <c r="DK1162" s="4" t="s">
        <v>241</v>
      </c>
      <c r="DL1162" s="4" t="s">
        <v>241</v>
      </c>
      <c r="DM1162" s="4" t="s">
        <v>277</v>
      </c>
      <c r="DN1162" s="4" t="s">
        <v>278</v>
      </c>
      <c r="DO1162" s="6">
        <f>1627.8</f>
        <v>1627.8</v>
      </c>
      <c r="DP1162" s="4" t="s">
        <v>241</v>
      </c>
      <c r="DQ1162" s="4" t="s">
        <v>241</v>
      </c>
      <c r="DR1162" s="4" t="s">
        <v>241</v>
      </c>
      <c r="DS1162" s="4" t="s">
        <v>241</v>
      </c>
      <c r="DV1162" s="4" t="s">
        <v>1170</v>
      </c>
      <c r="DW1162" s="4" t="s">
        <v>277</v>
      </c>
      <c r="GN1162" s="4" t="s">
        <v>1171</v>
      </c>
      <c r="HO1162" s="4" t="s">
        <v>300</v>
      </c>
      <c r="HR1162" s="4" t="s">
        <v>278</v>
      </c>
      <c r="HS1162" s="4" t="s">
        <v>278</v>
      </c>
      <c r="HT1162" s="4" t="s">
        <v>241</v>
      </c>
      <c r="HU1162" s="4" t="s">
        <v>241</v>
      </c>
      <c r="HV1162" s="4" t="s">
        <v>241</v>
      </c>
      <c r="HW1162" s="4" t="s">
        <v>241</v>
      </c>
      <c r="HX1162" s="4" t="s">
        <v>241</v>
      </c>
      <c r="HY1162" s="4" t="s">
        <v>241</v>
      </c>
      <c r="HZ1162" s="4" t="s">
        <v>241</v>
      </c>
      <c r="IA1162" s="4" t="s">
        <v>241</v>
      </c>
      <c r="IB1162" s="4" t="s">
        <v>241</v>
      </c>
      <c r="IC1162" s="4" t="s">
        <v>241</v>
      </c>
      <c r="ID1162" s="4" t="s">
        <v>241</v>
      </c>
      <c r="IE1162" s="4" t="s">
        <v>241</v>
      </c>
      <c r="IF1162" s="4" t="s">
        <v>241</v>
      </c>
    </row>
    <row r="1163" spans="1:240" x14ac:dyDescent="0.4">
      <c r="A1163" s="4">
        <v>2</v>
      </c>
      <c r="B1163" s="4" t="s">
        <v>239</v>
      </c>
      <c r="C1163" s="4">
        <v>1462</v>
      </c>
      <c r="D1163" s="4">
        <v>1</v>
      </c>
      <c r="E1163" s="4">
        <v>3</v>
      </c>
      <c r="F1163" s="4" t="s">
        <v>240</v>
      </c>
      <c r="G1163" s="4" t="s">
        <v>241</v>
      </c>
      <c r="H1163" s="4" t="s">
        <v>241</v>
      </c>
      <c r="I1163" s="4" t="s">
        <v>1167</v>
      </c>
      <c r="J1163" s="4" t="s">
        <v>424</v>
      </c>
      <c r="K1163" s="4" t="s">
        <v>256</v>
      </c>
      <c r="L1163" s="4" t="s">
        <v>444</v>
      </c>
      <c r="M1163" s="5" t="s">
        <v>1169</v>
      </c>
      <c r="N1163" s="4" t="s">
        <v>1374</v>
      </c>
      <c r="O1163" s="6">
        <f>450</f>
        <v>450</v>
      </c>
      <c r="P1163" s="4" t="s">
        <v>276</v>
      </c>
      <c r="Q1163" s="6">
        <f>8190000</f>
        <v>8190000</v>
      </c>
      <c r="R1163" s="6">
        <f>58500000</f>
        <v>58500000</v>
      </c>
      <c r="S1163" s="5" t="s">
        <v>954</v>
      </c>
      <c r="T1163" s="4" t="s">
        <v>296</v>
      </c>
      <c r="U1163" s="4" t="s">
        <v>437</v>
      </c>
      <c r="V1163" s="6">
        <f>1170000</f>
        <v>1170000</v>
      </c>
      <c r="W1163" s="6">
        <f>50310000</f>
        <v>50310000</v>
      </c>
      <c r="X1163" s="4" t="s">
        <v>243</v>
      </c>
      <c r="Y1163" s="4" t="s">
        <v>244</v>
      </c>
      <c r="Z1163" s="4" t="s">
        <v>465</v>
      </c>
      <c r="AA1163" s="4" t="s">
        <v>241</v>
      </c>
      <c r="AD1163" s="4" t="s">
        <v>241</v>
      </c>
      <c r="AE1163" s="5" t="s">
        <v>241</v>
      </c>
      <c r="AF1163" s="5" t="s">
        <v>241</v>
      </c>
      <c r="AH1163" s="5" t="s">
        <v>241</v>
      </c>
      <c r="AI1163" s="5" t="s">
        <v>249</v>
      </c>
      <c r="AJ1163" s="4" t="s">
        <v>251</v>
      </c>
      <c r="AK1163" s="4" t="s">
        <v>252</v>
      </c>
      <c r="AQ1163" s="4" t="s">
        <v>241</v>
      </c>
      <c r="AR1163" s="4" t="s">
        <v>241</v>
      </c>
      <c r="AS1163" s="4" t="s">
        <v>241</v>
      </c>
      <c r="AT1163" s="5" t="s">
        <v>241</v>
      </c>
      <c r="AU1163" s="5" t="s">
        <v>241</v>
      </c>
      <c r="AV1163" s="5" t="s">
        <v>241</v>
      </c>
      <c r="AY1163" s="4" t="s">
        <v>286</v>
      </c>
      <c r="AZ1163" s="4" t="s">
        <v>286</v>
      </c>
      <c r="BA1163" s="4" t="s">
        <v>254</v>
      </c>
      <c r="BB1163" s="4" t="s">
        <v>287</v>
      </c>
      <c r="BC1163" s="4" t="s">
        <v>255</v>
      </c>
      <c r="BD1163" s="4" t="s">
        <v>241</v>
      </c>
      <c r="BE1163" s="4" t="s">
        <v>257</v>
      </c>
      <c r="BF1163" s="4" t="s">
        <v>241</v>
      </c>
      <c r="BJ1163" s="4" t="s">
        <v>288</v>
      </c>
      <c r="BK1163" s="5" t="s">
        <v>289</v>
      </c>
      <c r="BL1163" s="4" t="s">
        <v>290</v>
      </c>
      <c r="BM1163" s="4" t="s">
        <v>290</v>
      </c>
      <c r="BN1163" s="4" t="s">
        <v>241</v>
      </c>
      <c r="BO1163" s="6">
        <f>0</f>
        <v>0</v>
      </c>
      <c r="BP1163" s="6">
        <f>-1170000</f>
        <v>-1170000</v>
      </c>
      <c r="BQ1163" s="4" t="s">
        <v>263</v>
      </c>
      <c r="BR1163" s="4" t="s">
        <v>264</v>
      </c>
      <c r="BS1163" s="4" t="s">
        <v>241</v>
      </c>
      <c r="BT1163" s="4" t="s">
        <v>241</v>
      </c>
      <c r="BU1163" s="4" t="s">
        <v>241</v>
      </c>
      <c r="BV1163" s="4" t="s">
        <v>241</v>
      </c>
      <c r="CE1163" s="4" t="s">
        <v>264</v>
      </c>
      <c r="CF1163" s="4" t="s">
        <v>241</v>
      </c>
      <c r="CG1163" s="4" t="s">
        <v>241</v>
      </c>
      <c r="CK1163" s="4" t="s">
        <v>265</v>
      </c>
      <c r="CL1163" s="4" t="s">
        <v>266</v>
      </c>
      <c r="CM1163" s="4" t="s">
        <v>241</v>
      </c>
      <c r="CO1163" s="4" t="s">
        <v>956</v>
      </c>
      <c r="CP1163" s="5" t="s">
        <v>268</v>
      </c>
      <c r="CQ1163" s="4" t="s">
        <v>269</v>
      </c>
      <c r="CR1163" s="4" t="s">
        <v>270</v>
      </c>
      <c r="CS1163" s="4" t="s">
        <v>293</v>
      </c>
      <c r="CT1163" s="4" t="s">
        <v>241</v>
      </c>
      <c r="CU1163" s="4">
        <v>0.02</v>
      </c>
      <c r="CV1163" s="4" t="s">
        <v>271</v>
      </c>
      <c r="CW1163" s="4" t="s">
        <v>1329</v>
      </c>
      <c r="CX1163" s="4" t="s">
        <v>295</v>
      </c>
      <c r="CY1163" s="6">
        <f>0</f>
        <v>0</v>
      </c>
      <c r="CZ1163" s="6">
        <f>58500000</f>
        <v>58500000</v>
      </c>
      <c r="DA1163" s="6">
        <f>8190000</f>
        <v>8190000</v>
      </c>
      <c r="DC1163" s="4" t="s">
        <v>241</v>
      </c>
      <c r="DD1163" s="4" t="s">
        <v>241</v>
      </c>
      <c r="DF1163" s="4" t="s">
        <v>241</v>
      </c>
      <c r="DG1163" s="6">
        <f>0</f>
        <v>0</v>
      </c>
      <c r="DI1163" s="4" t="s">
        <v>241</v>
      </c>
      <c r="DJ1163" s="4" t="s">
        <v>241</v>
      </c>
      <c r="DK1163" s="4" t="s">
        <v>241</v>
      </c>
      <c r="DL1163" s="4" t="s">
        <v>241</v>
      </c>
      <c r="DM1163" s="4" t="s">
        <v>277</v>
      </c>
      <c r="DN1163" s="4" t="s">
        <v>278</v>
      </c>
      <c r="DO1163" s="6">
        <f>450</f>
        <v>450</v>
      </c>
      <c r="DP1163" s="4" t="s">
        <v>241</v>
      </c>
      <c r="DQ1163" s="4" t="s">
        <v>241</v>
      </c>
      <c r="DR1163" s="4" t="s">
        <v>241</v>
      </c>
      <c r="DS1163" s="4" t="s">
        <v>241</v>
      </c>
      <c r="DV1163" s="4" t="s">
        <v>1170</v>
      </c>
      <c r="DW1163" s="4" t="s">
        <v>323</v>
      </c>
      <c r="GN1163" s="4" t="s">
        <v>1375</v>
      </c>
      <c r="HO1163" s="4" t="s">
        <v>300</v>
      </c>
      <c r="HR1163" s="4" t="s">
        <v>278</v>
      </c>
      <c r="HS1163" s="4" t="s">
        <v>278</v>
      </c>
      <c r="HT1163" s="4" t="s">
        <v>241</v>
      </c>
      <c r="HU1163" s="4" t="s">
        <v>241</v>
      </c>
      <c r="HV1163" s="4" t="s">
        <v>241</v>
      </c>
      <c r="HW1163" s="4" t="s">
        <v>241</v>
      </c>
      <c r="HX1163" s="4" t="s">
        <v>241</v>
      </c>
      <c r="HY1163" s="4" t="s">
        <v>241</v>
      </c>
      <c r="HZ1163" s="4" t="s">
        <v>241</v>
      </c>
      <c r="IA1163" s="4" t="s">
        <v>241</v>
      </c>
      <c r="IB1163" s="4" t="s">
        <v>241</v>
      </c>
      <c r="IC1163" s="4" t="s">
        <v>241</v>
      </c>
      <c r="ID1163" s="4" t="s">
        <v>241</v>
      </c>
      <c r="IE1163" s="4" t="s">
        <v>241</v>
      </c>
      <c r="IF1163" s="4" t="s">
        <v>241</v>
      </c>
    </row>
    <row r="1164" spans="1:240" x14ac:dyDescent="0.4">
      <c r="A1164" s="4">
        <v>2</v>
      </c>
      <c r="B1164" s="4" t="s">
        <v>239</v>
      </c>
      <c r="C1164" s="4">
        <v>1463</v>
      </c>
      <c r="D1164" s="4">
        <v>1</v>
      </c>
      <c r="E1164" s="4">
        <v>3</v>
      </c>
      <c r="F1164" s="4" t="s">
        <v>240</v>
      </c>
      <c r="G1164" s="4" t="s">
        <v>241</v>
      </c>
      <c r="H1164" s="4" t="s">
        <v>241</v>
      </c>
      <c r="I1164" s="4" t="s">
        <v>1004</v>
      </c>
      <c r="J1164" s="4" t="s">
        <v>424</v>
      </c>
      <c r="K1164" s="4" t="s">
        <v>256</v>
      </c>
      <c r="L1164" s="4" t="s">
        <v>1003</v>
      </c>
      <c r="M1164" s="5" t="s">
        <v>1005</v>
      </c>
      <c r="N1164" s="4" t="s">
        <v>1003</v>
      </c>
      <c r="O1164" s="6">
        <f>1102.27</f>
        <v>1102.27</v>
      </c>
      <c r="P1164" s="4" t="s">
        <v>276</v>
      </c>
      <c r="Q1164" s="6">
        <f>23809040</f>
        <v>23809040</v>
      </c>
      <c r="R1164" s="6">
        <f>198408600</f>
        <v>198408600</v>
      </c>
      <c r="S1164" s="5" t="s">
        <v>381</v>
      </c>
      <c r="T1164" s="4" t="s">
        <v>668</v>
      </c>
      <c r="U1164" s="4" t="s">
        <v>393</v>
      </c>
      <c r="V1164" s="6">
        <f>4364989</f>
        <v>4364989</v>
      </c>
      <c r="W1164" s="6">
        <f>174599560</f>
        <v>174599560</v>
      </c>
      <c r="X1164" s="4" t="s">
        <v>243</v>
      </c>
      <c r="Y1164" s="4" t="s">
        <v>244</v>
      </c>
      <c r="Z1164" s="4" t="s">
        <v>465</v>
      </c>
      <c r="AA1164" s="4" t="s">
        <v>241</v>
      </c>
      <c r="AD1164" s="4" t="s">
        <v>241</v>
      </c>
      <c r="AE1164" s="5" t="s">
        <v>241</v>
      </c>
      <c r="AF1164" s="5" t="s">
        <v>241</v>
      </c>
      <c r="AH1164" s="5" t="s">
        <v>241</v>
      </c>
      <c r="AI1164" s="5" t="s">
        <v>249</v>
      </c>
      <c r="AJ1164" s="4" t="s">
        <v>251</v>
      </c>
      <c r="AK1164" s="4" t="s">
        <v>252</v>
      </c>
      <c r="AQ1164" s="4" t="s">
        <v>241</v>
      </c>
      <c r="AR1164" s="4" t="s">
        <v>241</v>
      </c>
      <c r="AS1164" s="4" t="s">
        <v>241</v>
      </c>
      <c r="AT1164" s="5" t="s">
        <v>241</v>
      </c>
      <c r="AU1164" s="5" t="s">
        <v>241</v>
      </c>
      <c r="AV1164" s="5" t="s">
        <v>241</v>
      </c>
      <c r="AY1164" s="4" t="s">
        <v>286</v>
      </c>
      <c r="AZ1164" s="4" t="s">
        <v>286</v>
      </c>
      <c r="BA1164" s="4" t="s">
        <v>254</v>
      </c>
      <c r="BB1164" s="4" t="s">
        <v>287</v>
      </c>
      <c r="BC1164" s="4" t="s">
        <v>255</v>
      </c>
      <c r="BD1164" s="4" t="s">
        <v>241</v>
      </c>
      <c r="BE1164" s="4" t="s">
        <v>257</v>
      </c>
      <c r="BF1164" s="4" t="s">
        <v>241</v>
      </c>
      <c r="BJ1164" s="4" t="s">
        <v>288</v>
      </c>
      <c r="BK1164" s="5" t="s">
        <v>289</v>
      </c>
      <c r="BL1164" s="4" t="s">
        <v>290</v>
      </c>
      <c r="BM1164" s="4" t="s">
        <v>290</v>
      </c>
      <c r="BN1164" s="4" t="s">
        <v>241</v>
      </c>
      <c r="BO1164" s="6">
        <f>0</f>
        <v>0</v>
      </c>
      <c r="BP1164" s="6">
        <f>-4364989</f>
        <v>-4364989</v>
      </c>
      <c r="BQ1164" s="4" t="s">
        <v>263</v>
      </c>
      <c r="BR1164" s="4" t="s">
        <v>264</v>
      </c>
      <c r="BS1164" s="4" t="s">
        <v>241</v>
      </c>
      <c r="BT1164" s="4" t="s">
        <v>241</v>
      </c>
      <c r="BU1164" s="4" t="s">
        <v>241</v>
      </c>
      <c r="BV1164" s="4" t="s">
        <v>241</v>
      </c>
      <c r="CE1164" s="4" t="s">
        <v>264</v>
      </c>
      <c r="CF1164" s="4" t="s">
        <v>241</v>
      </c>
      <c r="CG1164" s="4" t="s">
        <v>241</v>
      </c>
      <c r="CK1164" s="4" t="s">
        <v>265</v>
      </c>
      <c r="CL1164" s="4" t="s">
        <v>266</v>
      </c>
      <c r="CM1164" s="4" t="s">
        <v>241</v>
      </c>
      <c r="CO1164" s="4" t="s">
        <v>382</v>
      </c>
      <c r="CP1164" s="5" t="s">
        <v>268</v>
      </c>
      <c r="CQ1164" s="4" t="s">
        <v>269</v>
      </c>
      <c r="CR1164" s="4" t="s">
        <v>270</v>
      </c>
      <c r="CS1164" s="4" t="s">
        <v>293</v>
      </c>
      <c r="CT1164" s="4" t="s">
        <v>241</v>
      </c>
      <c r="CU1164" s="4">
        <v>2.1999999999999999E-2</v>
      </c>
      <c r="CV1164" s="4" t="s">
        <v>271</v>
      </c>
      <c r="CW1164" s="4" t="s">
        <v>1006</v>
      </c>
      <c r="CX1164" s="4" t="s">
        <v>295</v>
      </c>
      <c r="CY1164" s="6">
        <f>0</f>
        <v>0</v>
      </c>
      <c r="CZ1164" s="6">
        <f>198408600</f>
        <v>198408600</v>
      </c>
      <c r="DA1164" s="6">
        <f>23809040</f>
        <v>23809040</v>
      </c>
      <c r="DC1164" s="4" t="s">
        <v>241</v>
      </c>
      <c r="DD1164" s="4" t="s">
        <v>241</v>
      </c>
      <c r="DF1164" s="4" t="s">
        <v>241</v>
      </c>
      <c r="DG1164" s="6">
        <f>0</f>
        <v>0</v>
      </c>
      <c r="DI1164" s="4" t="s">
        <v>241</v>
      </c>
      <c r="DJ1164" s="4" t="s">
        <v>241</v>
      </c>
      <c r="DK1164" s="4" t="s">
        <v>241</v>
      </c>
      <c r="DL1164" s="4" t="s">
        <v>241</v>
      </c>
      <c r="DM1164" s="4" t="s">
        <v>277</v>
      </c>
      <c r="DN1164" s="4" t="s">
        <v>278</v>
      </c>
      <c r="DO1164" s="6">
        <f>1102.27</f>
        <v>1102.27</v>
      </c>
      <c r="DP1164" s="4" t="s">
        <v>241</v>
      </c>
      <c r="DQ1164" s="4" t="s">
        <v>241</v>
      </c>
      <c r="DR1164" s="4" t="s">
        <v>241</v>
      </c>
      <c r="DS1164" s="4" t="s">
        <v>241</v>
      </c>
      <c r="DV1164" s="4" t="s">
        <v>1007</v>
      </c>
      <c r="DW1164" s="4" t="s">
        <v>277</v>
      </c>
      <c r="GN1164" s="4" t="s">
        <v>1008</v>
      </c>
      <c r="HO1164" s="4" t="s">
        <v>300</v>
      </c>
      <c r="HR1164" s="4" t="s">
        <v>278</v>
      </c>
      <c r="HS1164" s="4" t="s">
        <v>278</v>
      </c>
      <c r="HT1164" s="4" t="s">
        <v>241</v>
      </c>
      <c r="HU1164" s="4" t="s">
        <v>241</v>
      </c>
      <c r="HV1164" s="4" t="s">
        <v>241</v>
      </c>
      <c r="HW1164" s="4" t="s">
        <v>241</v>
      </c>
      <c r="HX1164" s="4" t="s">
        <v>241</v>
      </c>
      <c r="HY1164" s="4" t="s">
        <v>241</v>
      </c>
      <c r="HZ1164" s="4" t="s">
        <v>241</v>
      </c>
      <c r="IA1164" s="4" t="s">
        <v>241</v>
      </c>
      <c r="IB1164" s="4" t="s">
        <v>241</v>
      </c>
      <c r="IC1164" s="4" t="s">
        <v>241</v>
      </c>
      <c r="ID1164" s="4" t="s">
        <v>241</v>
      </c>
      <c r="IE1164" s="4" t="s">
        <v>241</v>
      </c>
      <c r="IF1164" s="4" t="s">
        <v>241</v>
      </c>
    </row>
    <row r="1165" spans="1:240" x14ac:dyDescent="0.4">
      <c r="A1165" s="4">
        <v>2</v>
      </c>
      <c r="B1165" s="4" t="s">
        <v>239</v>
      </c>
      <c r="C1165" s="4">
        <v>1464</v>
      </c>
      <c r="D1165" s="4">
        <v>1</v>
      </c>
      <c r="E1165" s="4">
        <v>1</v>
      </c>
      <c r="F1165" s="4" t="s">
        <v>240</v>
      </c>
      <c r="G1165" s="4" t="s">
        <v>241</v>
      </c>
      <c r="H1165" s="4" t="s">
        <v>241</v>
      </c>
      <c r="I1165" s="4" t="s">
        <v>1004</v>
      </c>
      <c r="J1165" s="4" t="s">
        <v>424</v>
      </c>
      <c r="K1165" s="4" t="s">
        <v>256</v>
      </c>
      <c r="L1165" s="4" t="s">
        <v>444</v>
      </c>
      <c r="M1165" s="5" t="s">
        <v>1005</v>
      </c>
      <c r="N1165" s="4" t="s">
        <v>1374</v>
      </c>
      <c r="O1165" s="6">
        <f>199.98</f>
        <v>199.98</v>
      </c>
      <c r="P1165" s="4" t="s">
        <v>276</v>
      </c>
      <c r="Q1165" s="6">
        <f>1</f>
        <v>1</v>
      </c>
      <c r="R1165" s="6">
        <f>11998800</f>
        <v>11998800</v>
      </c>
      <c r="S1165" s="5" t="s">
        <v>905</v>
      </c>
      <c r="T1165" s="4" t="s">
        <v>441</v>
      </c>
      <c r="U1165" s="4" t="s">
        <v>473</v>
      </c>
      <c r="W1165" s="6">
        <f>11998799</f>
        <v>11998799</v>
      </c>
      <c r="X1165" s="4" t="s">
        <v>243</v>
      </c>
      <c r="Y1165" s="4" t="s">
        <v>244</v>
      </c>
      <c r="Z1165" s="4" t="s">
        <v>465</v>
      </c>
      <c r="AA1165" s="4" t="s">
        <v>241</v>
      </c>
      <c r="AD1165" s="4" t="s">
        <v>241</v>
      </c>
      <c r="AF1165" s="5" t="s">
        <v>241</v>
      </c>
      <c r="AI1165" s="5" t="s">
        <v>249</v>
      </c>
      <c r="AJ1165" s="4" t="s">
        <v>251</v>
      </c>
      <c r="AK1165" s="4" t="s">
        <v>252</v>
      </c>
      <c r="BA1165" s="4" t="s">
        <v>254</v>
      </c>
      <c r="BB1165" s="4" t="s">
        <v>241</v>
      </c>
      <c r="BC1165" s="4" t="s">
        <v>255</v>
      </c>
      <c r="BD1165" s="4" t="s">
        <v>241</v>
      </c>
      <c r="BE1165" s="4" t="s">
        <v>257</v>
      </c>
      <c r="BF1165" s="4" t="s">
        <v>241</v>
      </c>
      <c r="BJ1165" s="4" t="s">
        <v>377</v>
      </c>
      <c r="BK1165" s="5" t="s">
        <v>378</v>
      </c>
      <c r="BL1165" s="4" t="s">
        <v>261</v>
      </c>
      <c r="BM1165" s="4" t="s">
        <v>262</v>
      </c>
      <c r="BN1165" s="4" t="s">
        <v>241</v>
      </c>
      <c r="BO1165" s="6">
        <f>0</f>
        <v>0</v>
      </c>
      <c r="BP1165" s="6">
        <f>0</f>
        <v>0</v>
      </c>
      <c r="BQ1165" s="4" t="s">
        <v>263</v>
      </c>
      <c r="BR1165" s="4" t="s">
        <v>264</v>
      </c>
      <c r="CF1165" s="4" t="s">
        <v>241</v>
      </c>
      <c r="CG1165" s="4" t="s">
        <v>241</v>
      </c>
      <c r="CK1165" s="4" t="s">
        <v>265</v>
      </c>
      <c r="CL1165" s="4" t="s">
        <v>266</v>
      </c>
      <c r="CM1165" s="4" t="s">
        <v>241</v>
      </c>
      <c r="CO1165" s="4" t="s">
        <v>710</v>
      </c>
      <c r="CP1165" s="5" t="s">
        <v>268</v>
      </c>
      <c r="CQ1165" s="4" t="s">
        <v>269</v>
      </c>
      <c r="CR1165" s="4" t="s">
        <v>270</v>
      </c>
      <c r="CS1165" s="4" t="s">
        <v>241</v>
      </c>
      <c r="CT1165" s="4" t="s">
        <v>241</v>
      </c>
      <c r="CU1165" s="4">
        <v>0</v>
      </c>
      <c r="CV1165" s="4" t="s">
        <v>271</v>
      </c>
      <c r="CW1165" s="4" t="s">
        <v>455</v>
      </c>
      <c r="CX1165" s="4" t="s">
        <v>487</v>
      </c>
      <c r="CZ1165" s="6">
        <f>11998800</f>
        <v>11998800</v>
      </c>
      <c r="DA1165" s="6">
        <f>0</f>
        <v>0</v>
      </c>
      <c r="DC1165" s="4" t="s">
        <v>241</v>
      </c>
      <c r="DD1165" s="4" t="s">
        <v>241</v>
      </c>
      <c r="DF1165" s="4" t="s">
        <v>241</v>
      </c>
      <c r="DI1165" s="4" t="s">
        <v>241</v>
      </c>
      <c r="DJ1165" s="4" t="s">
        <v>241</v>
      </c>
      <c r="DK1165" s="4" t="s">
        <v>241</v>
      </c>
      <c r="DL1165" s="4" t="s">
        <v>241</v>
      </c>
      <c r="DM1165" s="4" t="s">
        <v>277</v>
      </c>
      <c r="DN1165" s="4" t="s">
        <v>278</v>
      </c>
      <c r="DO1165" s="6">
        <f>199.98</f>
        <v>199.98</v>
      </c>
      <c r="DP1165" s="4" t="s">
        <v>241</v>
      </c>
      <c r="DQ1165" s="4" t="s">
        <v>241</v>
      </c>
      <c r="DR1165" s="4" t="s">
        <v>241</v>
      </c>
      <c r="DS1165" s="4" t="s">
        <v>241</v>
      </c>
      <c r="DV1165" s="4" t="s">
        <v>1007</v>
      </c>
      <c r="DW1165" s="4" t="s">
        <v>323</v>
      </c>
      <c r="HO1165" s="4" t="s">
        <v>277</v>
      </c>
      <c r="HR1165" s="4" t="s">
        <v>278</v>
      </c>
      <c r="HS1165" s="4" t="s">
        <v>278</v>
      </c>
    </row>
    <row r="1166" spans="1:240" x14ac:dyDescent="0.4">
      <c r="A1166" s="4">
        <v>2</v>
      </c>
      <c r="B1166" s="4" t="s">
        <v>239</v>
      </c>
      <c r="C1166" s="4">
        <v>1465</v>
      </c>
      <c r="D1166" s="4">
        <v>1</v>
      </c>
      <c r="E1166" s="4">
        <v>1</v>
      </c>
      <c r="F1166" s="4" t="s">
        <v>240</v>
      </c>
      <c r="G1166" s="4" t="s">
        <v>241</v>
      </c>
      <c r="H1166" s="4" t="s">
        <v>241</v>
      </c>
      <c r="I1166" s="4" t="s">
        <v>1004</v>
      </c>
      <c r="J1166" s="4" t="s">
        <v>424</v>
      </c>
      <c r="K1166" s="4" t="s">
        <v>256</v>
      </c>
      <c r="L1166" s="4" t="s">
        <v>340</v>
      </c>
      <c r="M1166" s="5" t="s">
        <v>1005</v>
      </c>
      <c r="N1166" s="4" t="s">
        <v>340</v>
      </c>
      <c r="O1166" s="6">
        <f>9.94</f>
        <v>9.94</v>
      </c>
      <c r="P1166" s="4" t="s">
        <v>276</v>
      </c>
      <c r="Q1166" s="6">
        <f>1</f>
        <v>1</v>
      </c>
      <c r="R1166" s="6">
        <f>944300</f>
        <v>944300</v>
      </c>
      <c r="S1166" s="5" t="s">
        <v>905</v>
      </c>
      <c r="T1166" s="4" t="s">
        <v>348</v>
      </c>
      <c r="U1166" s="4" t="s">
        <v>473</v>
      </c>
      <c r="W1166" s="6">
        <f>944299</f>
        <v>944299</v>
      </c>
      <c r="X1166" s="4" t="s">
        <v>243</v>
      </c>
      <c r="Y1166" s="4" t="s">
        <v>244</v>
      </c>
      <c r="Z1166" s="4" t="s">
        <v>465</v>
      </c>
      <c r="AA1166" s="4" t="s">
        <v>241</v>
      </c>
      <c r="AD1166" s="4" t="s">
        <v>241</v>
      </c>
      <c r="AF1166" s="5" t="s">
        <v>241</v>
      </c>
      <c r="AI1166" s="5" t="s">
        <v>249</v>
      </c>
      <c r="AJ1166" s="4" t="s">
        <v>251</v>
      </c>
      <c r="AK1166" s="4" t="s">
        <v>252</v>
      </c>
      <c r="BA1166" s="4" t="s">
        <v>254</v>
      </c>
      <c r="BB1166" s="4" t="s">
        <v>241</v>
      </c>
      <c r="BC1166" s="4" t="s">
        <v>255</v>
      </c>
      <c r="BD1166" s="4" t="s">
        <v>241</v>
      </c>
      <c r="BE1166" s="4" t="s">
        <v>257</v>
      </c>
      <c r="BF1166" s="4" t="s">
        <v>241</v>
      </c>
      <c r="BJ1166" s="4" t="s">
        <v>259</v>
      </c>
      <c r="BK1166" s="5" t="s">
        <v>260</v>
      </c>
      <c r="BL1166" s="4" t="s">
        <v>261</v>
      </c>
      <c r="BM1166" s="4" t="s">
        <v>262</v>
      </c>
      <c r="BN1166" s="4" t="s">
        <v>241</v>
      </c>
      <c r="BO1166" s="6">
        <f>0</f>
        <v>0</v>
      </c>
      <c r="BP1166" s="6">
        <f>0</f>
        <v>0</v>
      </c>
      <c r="BQ1166" s="4" t="s">
        <v>263</v>
      </c>
      <c r="BR1166" s="4" t="s">
        <v>264</v>
      </c>
      <c r="CF1166" s="4" t="s">
        <v>241</v>
      </c>
      <c r="CG1166" s="4" t="s">
        <v>241</v>
      </c>
      <c r="CK1166" s="4" t="s">
        <v>265</v>
      </c>
      <c r="CL1166" s="4" t="s">
        <v>266</v>
      </c>
      <c r="CM1166" s="4" t="s">
        <v>241</v>
      </c>
      <c r="CO1166" s="4" t="s">
        <v>710</v>
      </c>
      <c r="CP1166" s="5" t="s">
        <v>268</v>
      </c>
      <c r="CQ1166" s="4" t="s">
        <v>269</v>
      </c>
      <c r="CR1166" s="4" t="s">
        <v>270</v>
      </c>
      <c r="CS1166" s="4" t="s">
        <v>241</v>
      </c>
      <c r="CT1166" s="4" t="s">
        <v>241</v>
      </c>
      <c r="CU1166" s="4">
        <v>0</v>
      </c>
      <c r="CV1166" s="4" t="s">
        <v>271</v>
      </c>
      <c r="CW1166" s="4" t="s">
        <v>332</v>
      </c>
      <c r="CX1166" s="4" t="s">
        <v>347</v>
      </c>
      <c r="CZ1166" s="6">
        <f>944300</f>
        <v>944300</v>
      </c>
      <c r="DA1166" s="6">
        <f>0</f>
        <v>0</v>
      </c>
      <c r="DC1166" s="4" t="s">
        <v>241</v>
      </c>
      <c r="DD1166" s="4" t="s">
        <v>241</v>
      </c>
      <c r="DF1166" s="4" t="s">
        <v>241</v>
      </c>
      <c r="DI1166" s="4" t="s">
        <v>241</v>
      </c>
      <c r="DJ1166" s="4" t="s">
        <v>241</v>
      </c>
      <c r="DK1166" s="4" t="s">
        <v>241</v>
      </c>
      <c r="DL1166" s="4" t="s">
        <v>241</v>
      </c>
      <c r="DM1166" s="4" t="s">
        <v>277</v>
      </c>
      <c r="DN1166" s="4" t="s">
        <v>278</v>
      </c>
      <c r="DO1166" s="6">
        <f>9.94</f>
        <v>9.94</v>
      </c>
      <c r="DP1166" s="4" t="s">
        <v>241</v>
      </c>
      <c r="DQ1166" s="4" t="s">
        <v>241</v>
      </c>
      <c r="DR1166" s="4" t="s">
        <v>241</v>
      </c>
      <c r="DS1166" s="4" t="s">
        <v>241</v>
      </c>
      <c r="DV1166" s="4" t="s">
        <v>1007</v>
      </c>
      <c r="DW1166" s="4" t="s">
        <v>297</v>
      </c>
      <c r="HO1166" s="4" t="s">
        <v>277</v>
      </c>
      <c r="HR1166" s="4" t="s">
        <v>278</v>
      </c>
      <c r="HS1166" s="4" t="s">
        <v>278</v>
      </c>
    </row>
    <row r="1167" spans="1:240" x14ac:dyDescent="0.4">
      <c r="A1167" s="4">
        <v>2</v>
      </c>
      <c r="B1167" s="4" t="s">
        <v>239</v>
      </c>
      <c r="C1167" s="4">
        <v>1466</v>
      </c>
      <c r="D1167" s="4">
        <v>1</v>
      </c>
      <c r="E1167" s="4">
        <v>3</v>
      </c>
      <c r="F1167" s="4" t="s">
        <v>240</v>
      </c>
      <c r="G1167" s="4" t="s">
        <v>241</v>
      </c>
      <c r="H1167" s="4" t="s">
        <v>241</v>
      </c>
      <c r="I1167" s="4" t="s">
        <v>1384</v>
      </c>
      <c r="J1167" s="4" t="s">
        <v>424</v>
      </c>
      <c r="K1167" s="4" t="s">
        <v>256</v>
      </c>
      <c r="L1167" s="4" t="s">
        <v>1336</v>
      </c>
      <c r="M1167" s="5" t="s">
        <v>1334</v>
      </c>
      <c r="N1167" s="4" t="s">
        <v>1336</v>
      </c>
      <c r="O1167" s="6">
        <f>786</f>
        <v>786</v>
      </c>
      <c r="P1167" s="4" t="s">
        <v>276</v>
      </c>
      <c r="Q1167" s="6">
        <f>1</f>
        <v>1</v>
      </c>
      <c r="R1167" s="6">
        <f>70740000</f>
        <v>70740000</v>
      </c>
      <c r="S1167" s="5" t="s">
        <v>774</v>
      </c>
      <c r="T1167" s="4" t="s">
        <v>333</v>
      </c>
      <c r="U1167" s="4" t="s">
        <v>777</v>
      </c>
      <c r="V1167" s="6">
        <f>70739</f>
        <v>70739</v>
      </c>
      <c r="W1167" s="6">
        <f>70739999</f>
        <v>70739999</v>
      </c>
      <c r="X1167" s="4" t="s">
        <v>243</v>
      </c>
      <c r="Y1167" s="4" t="s">
        <v>244</v>
      </c>
      <c r="Z1167" s="4" t="s">
        <v>465</v>
      </c>
      <c r="AA1167" s="4" t="s">
        <v>241</v>
      </c>
      <c r="AD1167" s="4" t="s">
        <v>241</v>
      </c>
      <c r="AE1167" s="5" t="s">
        <v>241</v>
      </c>
      <c r="AF1167" s="5" t="s">
        <v>241</v>
      </c>
      <c r="AH1167" s="5" t="s">
        <v>241</v>
      </c>
      <c r="AI1167" s="5" t="s">
        <v>249</v>
      </c>
      <c r="AJ1167" s="4" t="s">
        <v>251</v>
      </c>
      <c r="AK1167" s="4" t="s">
        <v>252</v>
      </c>
      <c r="AQ1167" s="4" t="s">
        <v>241</v>
      </c>
      <c r="AR1167" s="4" t="s">
        <v>241</v>
      </c>
      <c r="AS1167" s="4" t="s">
        <v>241</v>
      </c>
      <c r="AT1167" s="5" t="s">
        <v>241</v>
      </c>
      <c r="AU1167" s="5" t="s">
        <v>241</v>
      </c>
      <c r="AV1167" s="5" t="s">
        <v>241</v>
      </c>
      <c r="AY1167" s="4" t="s">
        <v>286</v>
      </c>
      <c r="AZ1167" s="4" t="s">
        <v>286</v>
      </c>
      <c r="BA1167" s="4" t="s">
        <v>254</v>
      </c>
      <c r="BB1167" s="4" t="s">
        <v>287</v>
      </c>
      <c r="BC1167" s="4" t="s">
        <v>255</v>
      </c>
      <c r="BD1167" s="4" t="s">
        <v>241</v>
      </c>
      <c r="BE1167" s="4" t="s">
        <v>257</v>
      </c>
      <c r="BF1167" s="4" t="s">
        <v>241</v>
      </c>
      <c r="BJ1167" s="4" t="s">
        <v>288</v>
      </c>
      <c r="BK1167" s="5" t="s">
        <v>289</v>
      </c>
      <c r="BL1167" s="4" t="s">
        <v>290</v>
      </c>
      <c r="BM1167" s="4" t="s">
        <v>290</v>
      </c>
      <c r="BN1167" s="4" t="s">
        <v>241</v>
      </c>
      <c r="BO1167" s="6">
        <f>0</f>
        <v>0</v>
      </c>
      <c r="BP1167" s="6">
        <f>-70739</f>
        <v>-70739</v>
      </c>
      <c r="BQ1167" s="4" t="s">
        <v>263</v>
      </c>
      <c r="BR1167" s="4" t="s">
        <v>264</v>
      </c>
      <c r="BS1167" s="4" t="s">
        <v>241</v>
      </c>
      <c r="BT1167" s="4" t="s">
        <v>241</v>
      </c>
      <c r="BU1167" s="4" t="s">
        <v>241</v>
      </c>
      <c r="BV1167" s="4" t="s">
        <v>241</v>
      </c>
      <c r="CE1167" s="4" t="s">
        <v>264</v>
      </c>
      <c r="CF1167" s="4" t="s">
        <v>241</v>
      </c>
      <c r="CG1167" s="4" t="s">
        <v>241</v>
      </c>
      <c r="CK1167" s="4" t="s">
        <v>265</v>
      </c>
      <c r="CL1167" s="4" t="s">
        <v>266</v>
      </c>
      <c r="CM1167" s="4" t="s">
        <v>241</v>
      </c>
      <c r="CO1167" s="4" t="s">
        <v>662</v>
      </c>
      <c r="CP1167" s="5" t="s">
        <v>268</v>
      </c>
      <c r="CQ1167" s="4" t="s">
        <v>269</v>
      </c>
      <c r="CR1167" s="4" t="s">
        <v>270</v>
      </c>
      <c r="CS1167" s="4" t="s">
        <v>293</v>
      </c>
      <c r="CT1167" s="4" t="s">
        <v>241</v>
      </c>
      <c r="CU1167" s="4">
        <v>2.7E-2</v>
      </c>
      <c r="CV1167" s="4" t="s">
        <v>271</v>
      </c>
      <c r="CW1167" s="4" t="s">
        <v>1329</v>
      </c>
      <c r="CX1167" s="4" t="s">
        <v>487</v>
      </c>
      <c r="CY1167" s="6">
        <f>0</f>
        <v>0</v>
      </c>
      <c r="CZ1167" s="6">
        <f>70740000</f>
        <v>70740000</v>
      </c>
      <c r="DA1167" s="6">
        <f>1</f>
        <v>1</v>
      </c>
      <c r="DC1167" s="4" t="s">
        <v>241</v>
      </c>
      <c r="DD1167" s="4" t="s">
        <v>241</v>
      </c>
      <c r="DF1167" s="4" t="s">
        <v>241</v>
      </c>
      <c r="DG1167" s="6">
        <f>0</f>
        <v>0</v>
      </c>
      <c r="DI1167" s="4" t="s">
        <v>241</v>
      </c>
      <c r="DJ1167" s="4" t="s">
        <v>241</v>
      </c>
      <c r="DK1167" s="4" t="s">
        <v>241</v>
      </c>
      <c r="DL1167" s="4" t="s">
        <v>241</v>
      </c>
      <c r="DM1167" s="4" t="s">
        <v>277</v>
      </c>
      <c r="DN1167" s="4" t="s">
        <v>278</v>
      </c>
      <c r="DO1167" s="6">
        <f>786</f>
        <v>786</v>
      </c>
      <c r="DP1167" s="4" t="s">
        <v>241</v>
      </c>
      <c r="DQ1167" s="4" t="s">
        <v>241</v>
      </c>
      <c r="DR1167" s="4" t="s">
        <v>241</v>
      </c>
      <c r="DS1167" s="4" t="s">
        <v>241</v>
      </c>
      <c r="DV1167" s="4" t="s">
        <v>1385</v>
      </c>
      <c r="DW1167" s="4" t="s">
        <v>277</v>
      </c>
      <c r="GN1167" s="4" t="s">
        <v>1386</v>
      </c>
      <c r="HO1167" s="4" t="s">
        <v>300</v>
      </c>
      <c r="HR1167" s="4" t="s">
        <v>278</v>
      </c>
      <c r="HS1167" s="4" t="s">
        <v>278</v>
      </c>
      <c r="HT1167" s="4" t="s">
        <v>241</v>
      </c>
      <c r="HU1167" s="4" t="s">
        <v>241</v>
      </c>
      <c r="HV1167" s="4" t="s">
        <v>241</v>
      </c>
      <c r="HW1167" s="4" t="s">
        <v>241</v>
      </c>
      <c r="HX1167" s="4" t="s">
        <v>241</v>
      </c>
      <c r="HY1167" s="4" t="s">
        <v>241</v>
      </c>
      <c r="HZ1167" s="4" t="s">
        <v>241</v>
      </c>
      <c r="IA1167" s="4" t="s">
        <v>241</v>
      </c>
      <c r="IB1167" s="4" t="s">
        <v>241</v>
      </c>
      <c r="IC1167" s="4" t="s">
        <v>241</v>
      </c>
      <c r="ID1167" s="4" t="s">
        <v>241</v>
      </c>
      <c r="IE1167" s="4" t="s">
        <v>241</v>
      </c>
      <c r="IF1167" s="4" t="s">
        <v>241</v>
      </c>
    </row>
    <row r="1168" spans="1:240" x14ac:dyDescent="0.4">
      <c r="A1168" s="4">
        <v>2</v>
      </c>
      <c r="B1168" s="4" t="s">
        <v>239</v>
      </c>
      <c r="C1168" s="4">
        <v>1467</v>
      </c>
      <c r="D1168" s="4">
        <v>1</v>
      </c>
      <c r="E1168" s="4">
        <v>3</v>
      </c>
      <c r="F1168" s="4" t="s">
        <v>326</v>
      </c>
      <c r="G1168" s="4" t="s">
        <v>241</v>
      </c>
      <c r="H1168" s="4" t="s">
        <v>241</v>
      </c>
      <c r="I1168" s="4" t="s">
        <v>1384</v>
      </c>
      <c r="J1168" s="4" t="s">
        <v>424</v>
      </c>
      <c r="K1168" s="4" t="s">
        <v>256</v>
      </c>
      <c r="L1168" s="4" t="s">
        <v>2620</v>
      </c>
      <c r="M1168" s="5" t="s">
        <v>1334</v>
      </c>
      <c r="N1168" s="4" t="s">
        <v>2648</v>
      </c>
      <c r="O1168" s="6">
        <f>0</f>
        <v>0</v>
      </c>
      <c r="P1168" s="4" t="s">
        <v>276</v>
      </c>
      <c r="Q1168" s="6">
        <f>368554</f>
        <v>368554</v>
      </c>
      <c r="R1168" s="6">
        <f>399300</f>
        <v>399300</v>
      </c>
      <c r="S1168" s="5" t="s">
        <v>2649</v>
      </c>
      <c r="T1168" s="4" t="s">
        <v>322</v>
      </c>
      <c r="U1168" s="4" t="s">
        <v>278</v>
      </c>
      <c r="V1168" s="6">
        <f>399299</f>
        <v>399299</v>
      </c>
      <c r="W1168" s="6">
        <f>30746</f>
        <v>30746</v>
      </c>
      <c r="X1168" s="4" t="s">
        <v>243</v>
      </c>
      <c r="Y1168" s="4" t="s">
        <v>244</v>
      </c>
      <c r="Z1168" s="4" t="s">
        <v>241</v>
      </c>
      <c r="AA1168" s="4" t="s">
        <v>241</v>
      </c>
      <c r="AD1168" s="4" t="s">
        <v>241</v>
      </c>
      <c r="AE1168" s="5" t="s">
        <v>241</v>
      </c>
      <c r="AF1168" s="5" t="s">
        <v>241</v>
      </c>
      <c r="AH1168" s="5" t="s">
        <v>241</v>
      </c>
      <c r="AI1168" s="5" t="s">
        <v>249</v>
      </c>
      <c r="AJ1168" s="4" t="s">
        <v>251</v>
      </c>
      <c r="AK1168" s="4" t="s">
        <v>252</v>
      </c>
      <c r="AQ1168" s="4" t="s">
        <v>241</v>
      </c>
      <c r="AR1168" s="4" t="s">
        <v>241</v>
      </c>
      <c r="AS1168" s="4" t="s">
        <v>241</v>
      </c>
      <c r="AT1168" s="5" t="s">
        <v>241</v>
      </c>
      <c r="AU1168" s="5" t="s">
        <v>241</v>
      </c>
      <c r="AV1168" s="5" t="s">
        <v>241</v>
      </c>
      <c r="AY1168" s="4" t="s">
        <v>286</v>
      </c>
      <c r="AZ1168" s="4" t="s">
        <v>286</v>
      </c>
      <c r="BA1168" s="4" t="s">
        <v>254</v>
      </c>
      <c r="BB1168" s="4" t="s">
        <v>287</v>
      </c>
      <c r="BC1168" s="4" t="s">
        <v>255</v>
      </c>
      <c r="BD1168" s="4" t="s">
        <v>241</v>
      </c>
      <c r="BE1168" s="4" t="s">
        <v>257</v>
      </c>
      <c r="BF1168" s="4" t="s">
        <v>241</v>
      </c>
      <c r="BJ1168" s="4" t="s">
        <v>288</v>
      </c>
      <c r="BK1168" s="5" t="s">
        <v>289</v>
      </c>
      <c r="BL1168" s="4" t="s">
        <v>290</v>
      </c>
      <c r="BM1168" s="4" t="s">
        <v>290</v>
      </c>
      <c r="BN1168" s="4" t="s">
        <v>241</v>
      </c>
      <c r="BP1168" s="6">
        <f>-30746</f>
        <v>-30746</v>
      </c>
      <c r="BQ1168" s="4" t="s">
        <v>263</v>
      </c>
      <c r="BR1168" s="4" t="s">
        <v>264</v>
      </c>
      <c r="BS1168" s="4" t="s">
        <v>241</v>
      </c>
      <c r="BT1168" s="4" t="s">
        <v>241</v>
      </c>
      <c r="BU1168" s="4" t="s">
        <v>241</v>
      </c>
      <c r="BV1168" s="4" t="s">
        <v>241</v>
      </c>
      <c r="CE1168" s="4" t="s">
        <v>264</v>
      </c>
      <c r="CF1168" s="4" t="s">
        <v>241</v>
      </c>
      <c r="CG1168" s="4" t="s">
        <v>241</v>
      </c>
      <c r="CK1168" s="4" t="s">
        <v>291</v>
      </c>
      <c r="CL1168" s="4" t="s">
        <v>266</v>
      </c>
      <c r="CM1168" s="4" t="s">
        <v>241</v>
      </c>
      <c r="CO1168" s="4" t="s">
        <v>426</v>
      </c>
      <c r="CP1168" s="5" t="s">
        <v>268</v>
      </c>
      <c r="CQ1168" s="4" t="s">
        <v>269</v>
      </c>
      <c r="CR1168" s="4" t="s">
        <v>270</v>
      </c>
      <c r="CS1168" s="4" t="s">
        <v>293</v>
      </c>
      <c r="CT1168" s="4" t="s">
        <v>241</v>
      </c>
      <c r="CU1168" s="4">
        <v>7.6999999999999999E-2</v>
      </c>
      <c r="CV1168" s="4" t="s">
        <v>271</v>
      </c>
      <c r="CW1168" s="4" t="s">
        <v>415</v>
      </c>
      <c r="CX1168" s="4" t="s">
        <v>428</v>
      </c>
      <c r="CY1168" s="6">
        <f>0</f>
        <v>0</v>
      </c>
      <c r="CZ1168" s="6">
        <f>399300</f>
        <v>399300</v>
      </c>
      <c r="DA1168" s="6">
        <f>1</f>
        <v>1</v>
      </c>
      <c r="DC1168" s="4" t="s">
        <v>241</v>
      </c>
      <c r="DD1168" s="4" t="s">
        <v>241</v>
      </c>
      <c r="DF1168" s="4" t="s">
        <v>241</v>
      </c>
      <c r="DG1168" s="6">
        <f>0</f>
        <v>0</v>
      </c>
      <c r="DI1168" s="4" t="s">
        <v>241</v>
      </c>
      <c r="DJ1168" s="4" t="s">
        <v>241</v>
      </c>
      <c r="DK1168" s="4" t="s">
        <v>241</v>
      </c>
      <c r="DL1168" s="4" t="s">
        <v>241</v>
      </c>
      <c r="DM1168" s="4" t="s">
        <v>278</v>
      </c>
      <c r="DN1168" s="4" t="s">
        <v>278</v>
      </c>
      <c r="DO1168" s="6" t="s">
        <v>241</v>
      </c>
      <c r="DP1168" s="4" t="s">
        <v>241</v>
      </c>
      <c r="DQ1168" s="4" t="s">
        <v>241</v>
      </c>
      <c r="DR1168" s="4" t="s">
        <v>241</v>
      </c>
      <c r="DS1168" s="4" t="s">
        <v>241</v>
      </c>
      <c r="DV1168" s="4" t="s">
        <v>1385</v>
      </c>
      <c r="DW1168" s="4" t="s">
        <v>323</v>
      </c>
      <c r="GN1168" s="4" t="s">
        <v>2650</v>
      </c>
      <c r="HO1168" s="4" t="s">
        <v>323</v>
      </c>
      <c r="HR1168" s="4" t="s">
        <v>278</v>
      </c>
      <c r="HS1168" s="4" t="s">
        <v>278</v>
      </c>
      <c r="HT1168" s="4" t="s">
        <v>241</v>
      </c>
      <c r="HU1168" s="4" t="s">
        <v>241</v>
      </c>
      <c r="HV1168" s="4" t="s">
        <v>241</v>
      </c>
      <c r="HW1168" s="4" t="s">
        <v>241</v>
      </c>
      <c r="HX1168" s="4" t="s">
        <v>241</v>
      </c>
      <c r="HY1168" s="4" t="s">
        <v>241</v>
      </c>
      <c r="HZ1168" s="4" t="s">
        <v>241</v>
      </c>
      <c r="IA1168" s="4" t="s">
        <v>241</v>
      </c>
      <c r="IB1168" s="4" t="s">
        <v>241</v>
      </c>
      <c r="IC1168" s="4" t="s">
        <v>241</v>
      </c>
      <c r="ID1168" s="4" t="s">
        <v>241</v>
      </c>
      <c r="IE1168" s="4" t="s">
        <v>241</v>
      </c>
      <c r="IF1168" s="4" t="s">
        <v>241</v>
      </c>
    </row>
    <row r="1169" spans="1:240" x14ac:dyDescent="0.4">
      <c r="A1169" s="4">
        <v>2</v>
      </c>
      <c r="B1169" s="4" t="s">
        <v>239</v>
      </c>
      <c r="C1169" s="4">
        <v>1468</v>
      </c>
      <c r="D1169" s="4">
        <v>1</v>
      </c>
      <c r="E1169" s="4">
        <v>1</v>
      </c>
      <c r="F1169" s="4" t="s">
        <v>240</v>
      </c>
      <c r="G1169" s="4" t="s">
        <v>241</v>
      </c>
      <c r="H1169" s="4" t="s">
        <v>241</v>
      </c>
      <c r="I1169" s="4" t="s">
        <v>1261</v>
      </c>
      <c r="J1169" s="4" t="s">
        <v>424</v>
      </c>
      <c r="K1169" s="4" t="s">
        <v>256</v>
      </c>
      <c r="L1169" s="4" t="s">
        <v>1854</v>
      </c>
      <c r="M1169" s="5" t="s">
        <v>1263</v>
      </c>
      <c r="N1169" s="4" t="s">
        <v>1885</v>
      </c>
      <c r="O1169" s="6">
        <f>66.25</f>
        <v>66.25</v>
      </c>
      <c r="P1169" s="4" t="s">
        <v>276</v>
      </c>
      <c r="Q1169" s="6">
        <f>1</f>
        <v>1</v>
      </c>
      <c r="R1169" s="6">
        <f>6293750</f>
        <v>6293750</v>
      </c>
      <c r="S1169" s="5" t="s">
        <v>1262</v>
      </c>
      <c r="T1169" s="4" t="s">
        <v>348</v>
      </c>
      <c r="U1169" s="4" t="s">
        <v>333</v>
      </c>
      <c r="W1169" s="6">
        <f>6293749</f>
        <v>6293749</v>
      </c>
      <c r="X1169" s="4" t="s">
        <v>243</v>
      </c>
      <c r="Y1169" s="4" t="s">
        <v>244</v>
      </c>
      <c r="Z1169" s="4" t="s">
        <v>465</v>
      </c>
      <c r="AA1169" s="4" t="s">
        <v>241</v>
      </c>
      <c r="AD1169" s="4" t="s">
        <v>241</v>
      </c>
      <c r="AF1169" s="5" t="s">
        <v>241</v>
      </c>
      <c r="AI1169" s="5" t="s">
        <v>249</v>
      </c>
      <c r="AJ1169" s="4" t="s">
        <v>251</v>
      </c>
      <c r="AK1169" s="4" t="s">
        <v>252</v>
      </c>
      <c r="BA1169" s="4" t="s">
        <v>254</v>
      </c>
      <c r="BB1169" s="4" t="s">
        <v>241</v>
      </c>
      <c r="BC1169" s="4" t="s">
        <v>255</v>
      </c>
      <c r="BD1169" s="4" t="s">
        <v>241</v>
      </c>
      <c r="BE1169" s="4" t="s">
        <v>257</v>
      </c>
      <c r="BF1169" s="4" t="s">
        <v>241</v>
      </c>
      <c r="BJ1169" s="4" t="s">
        <v>377</v>
      </c>
      <c r="BK1169" s="5" t="s">
        <v>378</v>
      </c>
      <c r="BL1169" s="4" t="s">
        <v>261</v>
      </c>
      <c r="BM1169" s="4" t="s">
        <v>262</v>
      </c>
      <c r="BN1169" s="4" t="s">
        <v>241</v>
      </c>
      <c r="BO1169" s="6">
        <f>0</f>
        <v>0</v>
      </c>
      <c r="BP1169" s="6">
        <f>0</f>
        <v>0</v>
      </c>
      <c r="BQ1169" s="4" t="s">
        <v>263</v>
      </c>
      <c r="BR1169" s="4" t="s">
        <v>264</v>
      </c>
      <c r="CF1169" s="4" t="s">
        <v>241</v>
      </c>
      <c r="CG1169" s="4" t="s">
        <v>241</v>
      </c>
      <c r="CK1169" s="4" t="s">
        <v>265</v>
      </c>
      <c r="CL1169" s="4" t="s">
        <v>266</v>
      </c>
      <c r="CM1169" s="4" t="s">
        <v>241</v>
      </c>
      <c r="CO1169" s="4" t="s">
        <v>368</v>
      </c>
      <c r="CP1169" s="5" t="s">
        <v>268</v>
      </c>
      <c r="CQ1169" s="4" t="s">
        <v>269</v>
      </c>
      <c r="CR1169" s="4" t="s">
        <v>270</v>
      </c>
      <c r="CS1169" s="4" t="s">
        <v>241</v>
      </c>
      <c r="CT1169" s="4" t="s">
        <v>241</v>
      </c>
      <c r="CU1169" s="4">
        <v>0</v>
      </c>
      <c r="CV1169" s="4" t="s">
        <v>271</v>
      </c>
      <c r="CW1169" s="4" t="s">
        <v>1830</v>
      </c>
      <c r="CX1169" s="4" t="s">
        <v>347</v>
      </c>
      <c r="CZ1169" s="6">
        <f>6293750</f>
        <v>6293750</v>
      </c>
      <c r="DA1169" s="6">
        <f>0</f>
        <v>0</v>
      </c>
      <c r="DC1169" s="4" t="s">
        <v>241</v>
      </c>
      <c r="DD1169" s="4" t="s">
        <v>241</v>
      </c>
      <c r="DF1169" s="4" t="s">
        <v>241</v>
      </c>
      <c r="DI1169" s="4" t="s">
        <v>241</v>
      </c>
      <c r="DJ1169" s="4" t="s">
        <v>241</v>
      </c>
      <c r="DK1169" s="4" t="s">
        <v>241</v>
      </c>
      <c r="DL1169" s="4" t="s">
        <v>241</v>
      </c>
      <c r="DM1169" s="4" t="s">
        <v>277</v>
      </c>
      <c r="DN1169" s="4" t="s">
        <v>278</v>
      </c>
      <c r="DO1169" s="6">
        <f>66.25</f>
        <v>66.25</v>
      </c>
      <c r="DP1169" s="4" t="s">
        <v>241</v>
      </c>
      <c r="DQ1169" s="4" t="s">
        <v>241</v>
      </c>
      <c r="DR1169" s="4" t="s">
        <v>241</v>
      </c>
      <c r="DS1169" s="4" t="s">
        <v>241</v>
      </c>
      <c r="DV1169" s="4" t="s">
        <v>1886</v>
      </c>
      <c r="DW1169" s="4" t="s">
        <v>277</v>
      </c>
      <c r="HO1169" s="4" t="s">
        <v>277</v>
      </c>
      <c r="HR1169" s="4" t="s">
        <v>278</v>
      </c>
      <c r="HS1169" s="4" t="s">
        <v>278</v>
      </c>
    </row>
    <row r="1170" spans="1:240" x14ac:dyDescent="0.4">
      <c r="A1170" s="4">
        <v>2</v>
      </c>
      <c r="B1170" s="4" t="s">
        <v>239</v>
      </c>
      <c r="C1170" s="4">
        <v>1469</v>
      </c>
      <c r="D1170" s="4">
        <v>1</v>
      </c>
      <c r="E1170" s="4">
        <v>3</v>
      </c>
      <c r="F1170" s="4" t="s">
        <v>326</v>
      </c>
      <c r="G1170" s="4" t="s">
        <v>241</v>
      </c>
      <c r="H1170" s="4" t="s">
        <v>241</v>
      </c>
      <c r="I1170" s="4" t="s">
        <v>639</v>
      </c>
      <c r="J1170" s="4" t="s">
        <v>424</v>
      </c>
      <c r="K1170" s="4" t="s">
        <v>256</v>
      </c>
      <c r="L1170" s="4" t="s">
        <v>241</v>
      </c>
      <c r="M1170" s="5" t="s">
        <v>402</v>
      </c>
      <c r="N1170" s="4" t="s">
        <v>1796</v>
      </c>
      <c r="O1170" s="6">
        <f>15.08</f>
        <v>15.08</v>
      </c>
      <c r="P1170" s="4" t="s">
        <v>276</v>
      </c>
      <c r="Q1170" s="6">
        <f>3050541</f>
        <v>3050541</v>
      </c>
      <c r="R1170" s="6">
        <f>3319413</f>
        <v>3319413</v>
      </c>
      <c r="S1170" s="5" t="s">
        <v>370</v>
      </c>
      <c r="T1170" s="4" t="s">
        <v>333</v>
      </c>
      <c r="U1170" s="4" t="s">
        <v>323</v>
      </c>
      <c r="V1170" s="6">
        <f>89624</f>
        <v>89624</v>
      </c>
      <c r="W1170" s="6">
        <f>268872</f>
        <v>268872</v>
      </c>
      <c r="X1170" s="4" t="s">
        <v>243</v>
      </c>
      <c r="Y1170" s="4" t="s">
        <v>244</v>
      </c>
      <c r="Z1170" s="4" t="s">
        <v>241</v>
      </c>
      <c r="AA1170" s="4" t="s">
        <v>241</v>
      </c>
      <c r="AD1170" s="4" t="s">
        <v>241</v>
      </c>
      <c r="AE1170" s="5" t="s">
        <v>241</v>
      </c>
      <c r="AF1170" s="5" t="s">
        <v>241</v>
      </c>
      <c r="AH1170" s="5" t="s">
        <v>241</v>
      </c>
      <c r="AI1170" s="5" t="s">
        <v>249</v>
      </c>
      <c r="AJ1170" s="4" t="s">
        <v>251</v>
      </c>
      <c r="AK1170" s="4" t="s">
        <v>252</v>
      </c>
      <c r="AQ1170" s="4" t="s">
        <v>241</v>
      </c>
      <c r="AR1170" s="4" t="s">
        <v>241</v>
      </c>
      <c r="AS1170" s="4" t="s">
        <v>241</v>
      </c>
      <c r="AT1170" s="5" t="s">
        <v>241</v>
      </c>
      <c r="AU1170" s="5" t="s">
        <v>241</v>
      </c>
      <c r="AV1170" s="5" t="s">
        <v>241</v>
      </c>
      <c r="AY1170" s="4" t="s">
        <v>286</v>
      </c>
      <c r="AZ1170" s="4" t="s">
        <v>286</v>
      </c>
      <c r="BA1170" s="4" t="s">
        <v>254</v>
      </c>
      <c r="BB1170" s="4" t="s">
        <v>287</v>
      </c>
      <c r="BC1170" s="4" t="s">
        <v>255</v>
      </c>
      <c r="BD1170" s="4" t="s">
        <v>241</v>
      </c>
      <c r="BE1170" s="4" t="s">
        <v>257</v>
      </c>
      <c r="BF1170" s="4" t="s">
        <v>241</v>
      </c>
      <c r="BJ1170" s="4" t="s">
        <v>288</v>
      </c>
      <c r="BK1170" s="5" t="s">
        <v>289</v>
      </c>
      <c r="BL1170" s="4" t="s">
        <v>290</v>
      </c>
      <c r="BM1170" s="4" t="s">
        <v>290</v>
      </c>
      <c r="BN1170" s="4" t="s">
        <v>241</v>
      </c>
      <c r="BO1170" s="6">
        <f>0</f>
        <v>0</v>
      </c>
      <c r="BP1170" s="6">
        <f>-89624</f>
        <v>-89624</v>
      </c>
      <c r="BQ1170" s="4" t="s">
        <v>263</v>
      </c>
      <c r="BR1170" s="4" t="s">
        <v>264</v>
      </c>
      <c r="BS1170" s="4" t="s">
        <v>241</v>
      </c>
      <c r="BT1170" s="4" t="s">
        <v>241</v>
      </c>
      <c r="BU1170" s="4" t="s">
        <v>241</v>
      </c>
      <c r="BV1170" s="4" t="s">
        <v>241</v>
      </c>
      <c r="CE1170" s="4" t="s">
        <v>264</v>
      </c>
      <c r="CF1170" s="4" t="s">
        <v>241</v>
      </c>
      <c r="CG1170" s="4" t="s">
        <v>241</v>
      </c>
      <c r="CK1170" s="4" t="s">
        <v>291</v>
      </c>
      <c r="CL1170" s="4" t="s">
        <v>266</v>
      </c>
      <c r="CM1170" s="4" t="s">
        <v>241</v>
      </c>
      <c r="CO1170" s="4" t="s">
        <v>421</v>
      </c>
      <c r="CP1170" s="5" t="s">
        <v>268</v>
      </c>
      <c r="CQ1170" s="4" t="s">
        <v>269</v>
      </c>
      <c r="CR1170" s="4" t="s">
        <v>270</v>
      </c>
      <c r="CS1170" s="4" t="s">
        <v>293</v>
      </c>
      <c r="CT1170" s="4" t="s">
        <v>241</v>
      </c>
      <c r="CU1170" s="4">
        <v>2.7E-2</v>
      </c>
      <c r="CV1170" s="4" t="s">
        <v>271</v>
      </c>
      <c r="CW1170" s="4" t="s">
        <v>332</v>
      </c>
      <c r="CX1170" s="4" t="s">
        <v>295</v>
      </c>
      <c r="CY1170" s="6">
        <f>0</f>
        <v>0</v>
      </c>
      <c r="CZ1170" s="6">
        <f>3319413</f>
        <v>3319413</v>
      </c>
      <c r="DA1170" s="6">
        <f>3050541</f>
        <v>3050541</v>
      </c>
      <c r="DC1170" s="4" t="s">
        <v>241</v>
      </c>
      <c r="DD1170" s="4" t="s">
        <v>241</v>
      </c>
      <c r="DF1170" s="4" t="s">
        <v>241</v>
      </c>
      <c r="DG1170" s="6">
        <f>0</f>
        <v>0</v>
      </c>
      <c r="DI1170" s="4" t="s">
        <v>241</v>
      </c>
      <c r="DJ1170" s="4" t="s">
        <v>241</v>
      </c>
      <c r="DK1170" s="4" t="s">
        <v>241</v>
      </c>
      <c r="DL1170" s="4" t="s">
        <v>241</v>
      </c>
      <c r="DM1170" s="4" t="s">
        <v>277</v>
      </c>
      <c r="DN1170" s="4" t="s">
        <v>278</v>
      </c>
      <c r="DO1170" s="6">
        <f>15.08</f>
        <v>15.08</v>
      </c>
      <c r="DP1170" s="4" t="s">
        <v>241</v>
      </c>
      <c r="DQ1170" s="4" t="s">
        <v>241</v>
      </c>
      <c r="DR1170" s="4" t="s">
        <v>241</v>
      </c>
      <c r="DS1170" s="4" t="s">
        <v>241</v>
      </c>
      <c r="DV1170" s="4" t="s">
        <v>641</v>
      </c>
      <c r="DW1170" s="4" t="s">
        <v>277</v>
      </c>
      <c r="GN1170" s="4" t="s">
        <v>1797</v>
      </c>
      <c r="HO1170" s="4" t="s">
        <v>336</v>
      </c>
      <c r="HR1170" s="4" t="s">
        <v>278</v>
      </c>
      <c r="HS1170" s="4" t="s">
        <v>278</v>
      </c>
      <c r="HT1170" s="4" t="s">
        <v>241</v>
      </c>
      <c r="HU1170" s="4" t="s">
        <v>241</v>
      </c>
      <c r="HV1170" s="4" t="s">
        <v>241</v>
      </c>
      <c r="HW1170" s="4" t="s">
        <v>241</v>
      </c>
      <c r="HX1170" s="4" t="s">
        <v>241</v>
      </c>
      <c r="HY1170" s="4" t="s">
        <v>241</v>
      </c>
      <c r="HZ1170" s="4" t="s">
        <v>241</v>
      </c>
      <c r="IA1170" s="4" t="s">
        <v>241</v>
      </c>
      <c r="IB1170" s="4" t="s">
        <v>241</v>
      </c>
      <c r="IC1170" s="4" t="s">
        <v>241</v>
      </c>
      <c r="ID1170" s="4" t="s">
        <v>241</v>
      </c>
      <c r="IE1170" s="4" t="s">
        <v>241</v>
      </c>
      <c r="IF1170" s="4" t="s">
        <v>241</v>
      </c>
    </row>
    <row r="1171" spans="1:240" x14ac:dyDescent="0.4">
      <c r="A1171" s="4">
        <v>2</v>
      </c>
      <c r="B1171" s="4" t="s">
        <v>239</v>
      </c>
      <c r="C1171" s="4">
        <v>1470</v>
      </c>
      <c r="D1171" s="4">
        <v>1</v>
      </c>
      <c r="E1171" s="4">
        <v>3</v>
      </c>
      <c r="F1171" s="4" t="s">
        <v>326</v>
      </c>
      <c r="G1171" s="4" t="s">
        <v>241</v>
      </c>
      <c r="H1171" s="4" t="s">
        <v>241</v>
      </c>
      <c r="I1171" s="4" t="s">
        <v>639</v>
      </c>
      <c r="J1171" s="4" t="s">
        <v>424</v>
      </c>
      <c r="K1171" s="4" t="s">
        <v>256</v>
      </c>
      <c r="L1171" s="4" t="s">
        <v>241</v>
      </c>
      <c r="M1171" s="5" t="s">
        <v>402</v>
      </c>
      <c r="N1171" s="4" t="s">
        <v>1794</v>
      </c>
      <c r="O1171" s="6">
        <f>26.09</f>
        <v>26.09</v>
      </c>
      <c r="P1171" s="4" t="s">
        <v>276</v>
      </c>
      <c r="Q1171" s="6">
        <f>23066551</f>
        <v>23066551</v>
      </c>
      <c r="R1171" s="6">
        <f>26391934</f>
        <v>26391934</v>
      </c>
      <c r="S1171" s="5" t="s">
        <v>370</v>
      </c>
      <c r="T1171" s="4" t="s">
        <v>274</v>
      </c>
      <c r="U1171" s="4" t="s">
        <v>323</v>
      </c>
      <c r="V1171" s="6">
        <f>1108461</f>
        <v>1108461</v>
      </c>
      <c r="W1171" s="6">
        <f>3325383</f>
        <v>3325383</v>
      </c>
      <c r="X1171" s="4" t="s">
        <v>243</v>
      </c>
      <c r="Y1171" s="4" t="s">
        <v>244</v>
      </c>
      <c r="Z1171" s="4" t="s">
        <v>241</v>
      </c>
      <c r="AA1171" s="4" t="s">
        <v>241</v>
      </c>
      <c r="AD1171" s="4" t="s">
        <v>241</v>
      </c>
      <c r="AE1171" s="5" t="s">
        <v>241</v>
      </c>
      <c r="AF1171" s="5" t="s">
        <v>241</v>
      </c>
      <c r="AH1171" s="5" t="s">
        <v>241</v>
      </c>
      <c r="AI1171" s="5" t="s">
        <v>249</v>
      </c>
      <c r="AJ1171" s="4" t="s">
        <v>251</v>
      </c>
      <c r="AK1171" s="4" t="s">
        <v>252</v>
      </c>
      <c r="AQ1171" s="4" t="s">
        <v>241</v>
      </c>
      <c r="AR1171" s="4" t="s">
        <v>241</v>
      </c>
      <c r="AS1171" s="4" t="s">
        <v>241</v>
      </c>
      <c r="AT1171" s="5" t="s">
        <v>241</v>
      </c>
      <c r="AU1171" s="5" t="s">
        <v>241</v>
      </c>
      <c r="AV1171" s="5" t="s">
        <v>241</v>
      </c>
      <c r="AY1171" s="4" t="s">
        <v>286</v>
      </c>
      <c r="AZ1171" s="4" t="s">
        <v>286</v>
      </c>
      <c r="BA1171" s="4" t="s">
        <v>254</v>
      </c>
      <c r="BB1171" s="4" t="s">
        <v>287</v>
      </c>
      <c r="BC1171" s="4" t="s">
        <v>255</v>
      </c>
      <c r="BD1171" s="4" t="s">
        <v>241</v>
      </c>
      <c r="BE1171" s="4" t="s">
        <v>257</v>
      </c>
      <c r="BF1171" s="4" t="s">
        <v>241</v>
      </c>
      <c r="BJ1171" s="4" t="s">
        <v>288</v>
      </c>
      <c r="BK1171" s="5" t="s">
        <v>289</v>
      </c>
      <c r="BL1171" s="4" t="s">
        <v>290</v>
      </c>
      <c r="BM1171" s="4" t="s">
        <v>290</v>
      </c>
      <c r="BN1171" s="4" t="s">
        <v>241</v>
      </c>
      <c r="BO1171" s="6">
        <f>0</f>
        <v>0</v>
      </c>
      <c r="BP1171" s="6">
        <f>-1108461</f>
        <v>-1108461</v>
      </c>
      <c r="BQ1171" s="4" t="s">
        <v>263</v>
      </c>
      <c r="BR1171" s="4" t="s">
        <v>264</v>
      </c>
      <c r="BS1171" s="4" t="s">
        <v>241</v>
      </c>
      <c r="BT1171" s="4" t="s">
        <v>241</v>
      </c>
      <c r="BU1171" s="4" t="s">
        <v>241</v>
      </c>
      <c r="BV1171" s="4" t="s">
        <v>241</v>
      </c>
      <c r="CE1171" s="4" t="s">
        <v>264</v>
      </c>
      <c r="CF1171" s="4" t="s">
        <v>241</v>
      </c>
      <c r="CG1171" s="4" t="s">
        <v>241</v>
      </c>
      <c r="CK1171" s="4" t="s">
        <v>291</v>
      </c>
      <c r="CL1171" s="4" t="s">
        <v>266</v>
      </c>
      <c r="CM1171" s="4" t="s">
        <v>241</v>
      </c>
      <c r="CO1171" s="4" t="s">
        <v>421</v>
      </c>
      <c r="CP1171" s="5" t="s">
        <v>268</v>
      </c>
      <c r="CQ1171" s="4" t="s">
        <v>269</v>
      </c>
      <c r="CR1171" s="4" t="s">
        <v>270</v>
      </c>
      <c r="CS1171" s="4" t="s">
        <v>293</v>
      </c>
      <c r="CT1171" s="4" t="s">
        <v>241</v>
      </c>
      <c r="CU1171" s="4">
        <v>4.2000000000000003E-2</v>
      </c>
      <c r="CV1171" s="4" t="s">
        <v>271</v>
      </c>
      <c r="CW1171" s="4" t="s">
        <v>332</v>
      </c>
      <c r="CX1171" s="4" t="s">
        <v>273</v>
      </c>
      <c r="CY1171" s="6">
        <f>0</f>
        <v>0</v>
      </c>
      <c r="CZ1171" s="6">
        <f>26391934</f>
        <v>26391934</v>
      </c>
      <c r="DA1171" s="6">
        <f>23066551</f>
        <v>23066551</v>
      </c>
      <c r="DC1171" s="4" t="s">
        <v>241</v>
      </c>
      <c r="DD1171" s="4" t="s">
        <v>241</v>
      </c>
      <c r="DF1171" s="4" t="s">
        <v>241</v>
      </c>
      <c r="DG1171" s="6">
        <f>0</f>
        <v>0</v>
      </c>
      <c r="DI1171" s="4" t="s">
        <v>241</v>
      </c>
      <c r="DJ1171" s="4" t="s">
        <v>241</v>
      </c>
      <c r="DK1171" s="4" t="s">
        <v>241</v>
      </c>
      <c r="DL1171" s="4" t="s">
        <v>241</v>
      </c>
      <c r="DM1171" s="4" t="s">
        <v>277</v>
      </c>
      <c r="DN1171" s="4" t="s">
        <v>278</v>
      </c>
      <c r="DO1171" s="6">
        <f>26.09</f>
        <v>26.09</v>
      </c>
      <c r="DP1171" s="4" t="s">
        <v>241</v>
      </c>
      <c r="DQ1171" s="4" t="s">
        <v>241</v>
      </c>
      <c r="DR1171" s="4" t="s">
        <v>241</v>
      </c>
      <c r="DS1171" s="4" t="s">
        <v>241</v>
      </c>
      <c r="DV1171" s="4" t="s">
        <v>641</v>
      </c>
      <c r="DW1171" s="4" t="s">
        <v>323</v>
      </c>
      <c r="GN1171" s="4" t="s">
        <v>1795</v>
      </c>
      <c r="HO1171" s="4" t="s">
        <v>336</v>
      </c>
      <c r="HR1171" s="4" t="s">
        <v>278</v>
      </c>
      <c r="HS1171" s="4" t="s">
        <v>278</v>
      </c>
      <c r="HT1171" s="4" t="s">
        <v>241</v>
      </c>
      <c r="HU1171" s="4" t="s">
        <v>241</v>
      </c>
      <c r="HV1171" s="4" t="s">
        <v>241</v>
      </c>
      <c r="HW1171" s="4" t="s">
        <v>241</v>
      </c>
      <c r="HX1171" s="4" t="s">
        <v>241</v>
      </c>
      <c r="HY1171" s="4" t="s">
        <v>241</v>
      </c>
      <c r="HZ1171" s="4" t="s">
        <v>241</v>
      </c>
      <c r="IA1171" s="4" t="s">
        <v>241</v>
      </c>
      <c r="IB1171" s="4" t="s">
        <v>241</v>
      </c>
      <c r="IC1171" s="4" t="s">
        <v>241</v>
      </c>
      <c r="ID1171" s="4" t="s">
        <v>241</v>
      </c>
      <c r="IE1171" s="4" t="s">
        <v>241</v>
      </c>
      <c r="IF1171" s="4" t="s">
        <v>241</v>
      </c>
    </row>
    <row r="1172" spans="1:240" x14ac:dyDescent="0.4">
      <c r="A1172" s="4">
        <v>2</v>
      </c>
      <c r="B1172" s="4" t="s">
        <v>239</v>
      </c>
      <c r="C1172" s="4">
        <v>1471</v>
      </c>
      <c r="D1172" s="4">
        <v>1</v>
      </c>
      <c r="E1172" s="4">
        <v>3</v>
      </c>
      <c r="F1172" s="4" t="s">
        <v>326</v>
      </c>
      <c r="G1172" s="4" t="s">
        <v>241</v>
      </c>
      <c r="H1172" s="4" t="s">
        <v>241</v>
      </c>
      <c r="I1172" s="4" t="s">
        <v>639</v>
      </c>
      <c r="J1172" s="4" t="s">
        <v>424</v>
      </c>
      <c r="K1172" s="4" t="s">
        <v>256</v>
      </c>
      <c r="L1172" s="4" t="s">
        <v>241</v>
      </c>
      <c r="M1172" s="5" t="s">
        <v>402</v>
      </c>
      <c r="N1172" s="4" t="s">
        <v>342</v>
      </c>
      <c r="O1172" s="6">
        <f>9.3</f>
        <v>9.3000000000000007</v>
      </c>
      <c r="P1172" s="4" t="s">
        <v>276</v>
      </c>
      <c r="Q1172" s="6">
        <f>7031888</f>
        <v>7031888</v>
      </c>
      <c r="R1172" s="6">
        <f>8045636</f>
        <v>8045636</v>
      </c>
      <c r="S1172" s="5" t="s">
        <v>370</v>
      </c>
      <c r="T1172" s="4" t="s">
        <v>274</v>
      </c>
      <c r="U1172" s="4" t="s">
        <v>323</v>
      </c>
      <c r="V1172" s="6">
        <f>337916</f>
        <v>337916</v>
      </c>
      <c r="W1172" s="6">
        <f>1013748</f>
        <v>1013748</v>
      </c>
      <c r="X1172" s="4" t="s">
        <v>243</v>
      </c>
      <c r="Y1172" s="4" t="s">
        <v>244</v>
      </c>
      <c r="Z1172" s="4" t="s">
        <v>241</v>
      </c>
      <c r="AA1172" s="4" t="s">
        <v>241</v>
      </c>
      <c r="AD1172" s="4" t="s">
        <v>241</v>
      </c>
      <c r="AE1172" s="5" t="s">
        <v>241</v>
      </c>
      <c r="AF1172" s="5" t="s">
        <v>241</v>
      </c>
      <c r="AH1172" s="5" t="s">
        <v>241</v>
      </c>
      <c r="AI1172" s="5" t="s">
        <v>249</v>
      </c>
      <c r="AJ1172" s="4" t="s">
        <v>251</v>
      </c>
      <c r="AK1172" s="4" t="s">
        <v>252</v>
      </c>
      <c r="AQ1172" s="4" t="s">
        <v>241</v>
      </c>
      <c r="AR1172" s="4" t="s">
        <v>241</v>
      </c>
      <c r="AS1172" s="4" t="s">
        <v>241</v>
      </c>
      <c r="AT1172" s="5" t="s">
        <v>241</v>
      </c>
      <c r="AU1172" s="5" t="s">
        <v>241</v>
      </c>
      <c r="AV1172" s="5" t="s">
        <v>241</v>
      </c>
      <c r="AY1172" s="4" t="s">
        <v>286</v>
      </c>
      <c r="AZ1172" s="4" t="s">
        <v>286</v>
      </c>
      <c r="BA1172" s="4" t="s">
        <v>254</v>
      </c>
      <c r="BB1172" s="4" t="s">
        <v>287</v>
      </c>
      <c r="BC1172" s="4" t="s">
        <v>255</v>
      </c>
      <c r="BD1172" s="4" t="s">
        <v>241</v>
      </c>
      <c r="BE1172" s="4" t="s">
        <v>257</v>
      </c>
      <c r="BF1172" s="4" t="s">
        <v>241</v>
      </c>
      <c r="BJ1172" s="4" t="s">
        <v>288</v>
      </c>
      <c r="BK1172" s="5" t="s">
        <v>289</v>
      </c>
      <c r="BL1172" s="4" t="s">
        <v>290</v>
      </c>
      <c r="BM1172" s="4" t="s">
        <v>290</v>
      </c>
      <c r="BN1172" s="4" t="s">
        <v>241</v>
      </c>
      <c r="BO1172" s="6">
        <f>0</f>
        <v>0</v>
      </c>
      <c r="BP1172" s="6">
        <f>-337916</f>
        <v>-337916</v>
      </c>
      <c r="BQ1172" s="4" t="s">
        <v>263</v>
      </c>
      <c r="BR1172" s="4" t="s">
        <v>264</v>
      </c>
      <c r="BS1172" s="4" t="s">
        <v>241</v>
      </c>
      <c r="BT1172" s="4" t="s">
        <v>241</v>
      </c>
      <c r="BU1172" s="4" t="s">
        <v>241</v>
      </c>
      <c r="BV1172" s="4" t="s">
        <v>241</v>
      </c>
      <c r="CE1172" s="4" t="s">
        <v>264</v>
      </c>
      <c r="CF1172" s="4" t="s">
        <v>241</v>
      </c>
      <c r="CG1172" s="4" t="s">
        <v>241</v>
      </c>
      <c r="CK1172" s="4" t="s">
        <v>291</v>
      </c>
      <c r="CL1172" s="4" t="s">
        <v>266</v>
      </c>
      <c r="CM1172" s="4" t="s">
        <v>241</v>
      </c>
      <c r="CO1172" s="4" t="s">
        <v>421</v>
      </c>
      <c r="CP1172" s="5" t="s">
        <v>268</v>
      </c>
      <c r="CQ1172" s="4" t="s">
        <v>269</v>
      </c>
      <c r="CR1172" s="4" t="s">
        <v>270</v>
      </c>
      <c r="CS1172" s="4" t="s">
        <v>293</v>
      </c>
      <c r="CT1172" s="4" t="s">
        <v>241</v>
      </c>
      <c r="CU1172" s="4">
        <v>4.2000000000000003E-2</v>
      </c>
      <c r="CV1172" s="4" t="s">
        <v>271</v>
      </c>
      <c r="CW1172" s="4" t="s">
        <v>332</v>
      </c>
      <c r="CX1172" s="4" t="s">
        <v>273</v>
      </c>
      <c r="CY1172" s="6">
        <f>0</f>
        <v>0</v>
      </c>
      <c r="CZ1172" s="6">
        <f>8045636</f>
        <v>8045636</v>
      </c>
      <c r="DA1172" s="6">
        <f>7031888</f>
        <v>7031888</v>
      </c>
      <c r="DC1172" s="4" t="s">
        <v>241</v>
      </c>
      <c r="DD1172" s="4" t="s">
        <v>241</v>
      </c>
      <c r="DF1172" s="4" t="s">
        <v>241</v>
      </c>
      <c r="DG1172" s="6">
        <f>0</f>
        <v>0</v>
      </c>
      <c r="DI1172" s="4" t="s">
        <v>241</v>
      </c>
      <c r="DJ1172" s="4" t="s">
        <v>241</v>
      </c>
      <c r="DK1172" s="4" t="s">
        <v>241</v>
      </c>
      <c r="DL1172" s="4" t="s">
        <v>241</v>
      </c>
      <c r="DM1172" s="4" t="s">
        <v>277</v>
      </c>
      <c r="DN1172" s="4" t="s">
        <v>278</v>
      </c>
      <c r="DO1172" s="6">
        <f>9.3</f>
        <v>9.3000000000000007</v>
      </c>
      <c r="DP1172" s="4" t="s">
        <v>241</v>
      </c>
      <c r="DQ1172" s="4" t="s">
        <v>241</v>
      </c>
      <c r="DR1172" s="4" t="s">
        <v>241</v>
      </c>
      <c r="DS1172" s="4" t="s">
        <v>241</v>
      </c>
      <c r="DV1172" s="4" t="s">
        <v>641</v>
      </c>
      <c r="DW1172" s="4" t="s">
        <v>297</v>
      </c>
      <c r="GN1172" s="4" t="s">
        <v>1793</v>
      </c>
      <c r="HO1172" s="4" t="s">
        <v>336</v>
      </c>
      <c r="HR1172" s="4" t="s">
        <v>278</v>
      </c>
      <c r="HS1172" s="4" t="s">
        <v>278</v>
      </c>
      <c r="HT1172" s="4" t="s">
        <v>241</v>
      </c>
      <c r="HU1172" s="4" t="s">
        <v>241</v>
      </c>
      <c r="HV1172" s="4" t="s">
        <v>241</v>
      </c>
      <c r="HW1172" s="4" t="s">
        <v>241</v>
      </c>
      <c r="HX1172" s="4" t="s">
        <v>241</v>
      </c>
      <c r="HY1172" s="4" t="s">
        <v>241</v>
      </c>
      <c r="HZ1172" s="4" t="s">
        <v>241</v>
      </c>
      <c r="IA1172" s="4" t="s">
        <v>241</v>
      </c>
      <c r="IB1172" s="4" t="s">
        <v>241</v>
      </c>
      <c r="IC1172" s="4" t="s">
        <v>241</v>
      </c>
      <c r="ID1172" s="4" t="s">
        <v>241</v>
      </c>
      <c r="IE1172" s="4" t="s">
        <v>241</v>
      </c>
      <c r="IF1172" s="4" t="s">
        <v>241</v>
      </c>
    </row>
    <row r="1173" spans="1:240" x14ac:dyDescent="0.4">
      <c r="A1173" s="4">
        <v>2</v>
      </c>
      <c r="B1173" s="4" t="s">
        <v>239</v>
      </c>
      <c r="C1173" s="4">
        <v>1472</v>
      </c>
      <c r="D1173" s="4">
        <v>1</v>
      </c>
      <c r="E1173" s="4">
        <v>3</v>
      </c>
      <c r="F1173" s="4" t="s">
        <v>326</v>
      </c>
      <c r="G1173" s="4" t="s">
        <v>241</v>
      </c>
      <c r="H1173" s="4" t="s">
        <v>241</v>
      </c>
      <c r="I1173" s="4" t="s">
        <v>639</v>
      </c>
      <c r="J1173" s="4" t="s">
        <v>424</v>
      </c>
      <c r="K1173" s="4" t="s">
        <v>256</v>
      </c>
      <c r="L1173" s="4" t="s">
        <v>241</v>
      </c>
      <c r="M1173" s="5" t="s">
        <v>402</v>
      </c>
      <c r="N1173" s="4" t="s">
        <v>1791</v>
      </c>
      <c r="O1173" s="6">
        <f>6.2</f>
        <v>6.2</v>
      </c>
      <c r="P1173" s="4" t="s">
        <v>276</v>
      </c>
      <c r="Q1173" s="6">
        <f>5623716</f>
        <v>5623716</v>
      </c>
      <c r="R1173" s="6">
        <f>6434457</f>
        <v>6434457</v>
      </c>
      <c r="S1173" s="5" t="s">
        <v>370</v>
      </c>
      <c r="T1173" s="4" t="s">
        <v>274</v>
      </c>
      <c r="U1173" s="4" t="s">
        <v>323</v>
      </c>
      <c r="V1173" s="6">
        <f>270247</f>
        <v>270247</v>
      </c>
      <c r="W1173" s="6">
        <f>810741</f>
        <v>810741</v>
      </c>
      <c r="X1173" s="4" t="s">
        <v>243</v>
      </c>
      <c r="Y1173" s="4" t="s">
        <v>244</v>
      </c>
      <c r="Z1173" s="4" t="s">
        <v>241</v>
      </c>
      <c r="AA1173" s="4" t="s">
        <v>241</v>
      </c>
      <c r="AD1173" s="4" t="s">
        <v>241</v>
      </c>
      <c r="AE1173" s="5" t="s">
        <v>241</v>
      </c>
      <c r="AF1173" s="5" t="s">
        <v>241</v>
      </c>
      <c r="AH1173" s="5" t="s">
        <v>241</v>
      </c>
      <c r="AI1173" s="5" t="s">
        <v>249</v>
      </c>
      <c r="AJ1173" s="4" t="s">
        <v>251</v>
      </c>
      <c r="AK1173" s="4" t="s">
        <v>252</v>
      </c>
      <c r="AQ1173" s="4" t="s">
        <v>241</v>
      </c>
      <c r="AR1173" s="4" t="s">
        <v>241</v>
      </c>
      <c r="AS1173" s="4" t="s">
        <v>241</v>
      </c>
      <c r="AT1173" s="5" t="s">
        <v>241</v>
      </c>
      <c r="AU1173" s="5" t="s">
        <v>241</v>
      </c>
      <c r="AV1173" s="5" t="s">
        <v>241</v>
      </c>
      <c r="AY1173" s="4" t="s">
        <v>286</v>
      </c>
      <c r="AZ1173" s="4" t="s">
        <v>286</v>
      </c>
      <c r="BA1173" s="4" t="s">
        <v>254</v>
      </c>
      <c r="BB1173" s="4" t="s">
        <v>287</v>
      </c>
      <c r="BC1173" s="4" t="s">
        <v>255</v>
      </c>
      <c r="BD1173" s="4" t="s">
        <v>241</v>
      </c>
      <c r="BE1173" s="4" t="s">
        <v>257</v>
      </c>
      <c r="BF1173" s="4" t="s">
        <v>241</v>
      </c>
      <c r="BJ1173" s="4" t="s">
        <v>288</v>
      </c>
      <c r="BK1173" s="5" t="s">
        <v>289</v>
      </c>
      <c r="BL1173" s="4" t="s">
        <v>290</v>
      </c>
      <c r="BM1173" s="4" t="s">
        <v>290</v>
      </c>
      <c r="BN1173" s="4" t="s">
        <v>241</v>
      </c>
      <c r="BO1173" s="6">
        <f>0</f>
        <v>0</v>
      </c>
      <c r="BP1173" s="6">
        <f>-270247</f>
        <v>-270247</v>
      </c>
      <c r="BQ1173" s="4" t="s">
        <v>263</v>
      </c>
      <c r="BR1173" s="4" t="s">
        <v>264</v>
      </c>
      <c r="BS1173" s="4" t="s">
        <v>241</v>
      </c>
      <c r="BT1173" s="4" t="s">
        <v>241</v>
      </c>
      <c r="BU1173" s="4" t="s">
        <v>241</v>
      </c>
      <c r="BV1173" s="4" t="s">
        <v>241</v>
      </c>
      <c r="CE1173" s="4" t="s">
        <v>264</v>
      </c>
      <c r="CF1173" s="4" t="s">
        <v>241</v>
      </c>
      <c r="CG1173" s="4" t="s">
        <v>241</v>
      </c>
      <c r="CK1173" s="4" t="s">
        <v>291</v>
      </c>
      <c r="CL1173" s="4" t="s">
        <v>266</v>
      </c>
      <c r="CM1173" s="4" t="s">
        <v>241</v>
      </c>
      <c r="CO1173" s="4" t="s">
        <v>421</v>
      </c>
      <c r="CP1173" s="5" t="s">
        <v>268</v>
      </c>
      <c r="CQ1173" s="4" t="s">
        <v>269</v>
      </c>
      <c r="CR1173" s="4" t="s">
        <v>270</v>
      </c>
      <c r="CS1173" s="4" t="s">
        <v>293</v>
      </c>
      <c r="CT1173" s="4" t="s">
        <v>241</v>
      </c>
      <c r="CU1173" s="4">
        <v>4.2000000000000003E-2</v>
      </c>
      <c r="CV1173" s="4" t="s">
        <v>271</v>
      </c>
      <c r="CW1173" s="4" t="s">
        <v>332</v>
      </c>
      <c r="CX1173" s="4" t="s">
        <v>273</v>
      </c>
      <c r="CY1173" s="6">
        <f>0</f>
        <v>0</v>
      </c>
      <c r="CZ1173" s="6">
        <f>6434457</f>
        <v>6434457</v>
      </c>
      <c r="DA1173" s="6">
        <f>5623716</f>
        <v>5623716</v>
      </c>
      <c r="DC1173" s="4" t="s">
        <v>241</v>
      </c>
      <c r="DD1173" s="4" t="s">
        <v>241</v>
      </c>
      <c r="DF1173" s="4" t="s">
        <v>241</v>
      </c>
      <c r="DG1173" s="6">
        <f>0</f>
        <v>0</v>
      </c>
      <c r="DI1173" s="4" t="s">
        <v>241</v>
      </c>
      <c r="DJ1173" s="4" t="s">
        <v>241</v>
      </c>
      <c r="DK1173" s="4" t="s">
        <v>241</v>
      </c>
      <c r="DL1173" s="4" t="s">
        <v>241</v>
      </c>
      <c r="DM1173" s="4" t="s">
        <v>277</v>
      </c>
      <c r="DN1173" s="4" t="s">
        <v>278</v>
      </c>
      <c r="DO1173" s="6">
        <f>6.2</f>
        <v>6.2</v>
      </c>
      <c r="DP1173" s="4" t="s">
        <v>241</v>
      </c>
      <c r="DQ1173" s="4" t="s">
        <v>241</v>
      </c>
      <c r="DR1173" s="4" t="s">
        <v>241</v>
      </c>
      <c r="DS1173" s="4" t="s">
        <v>241</v>
      </c>
      <c r="DV1173" s="4" t="s">
        <v>641</v>
      </c>
      <c r="DW1173" s="4" t="s">
        <v>336</v>
      </c>
      <c r="GN1173" s="4" t="s">
        <v>1792</v>
      </c>
      <c r="HO1173" s="4" t="s">
        <v>336</v>
      </c>
      <c r="HR1173" s="4" t="s">
        <v>278</v>
      </c>
      <c r="HS1173" s="4" t="s">
        <v>278</v>
      </c>
      <c r="HT1173" s="4" t="s">
        <v>241</v>
      </c>
      <c r="HU1173" s="4" t="s">
        <v>241</v>
      </c>
      <c r="HV1173" s="4" t="s">
        <v>241</v>
      </c>
      <c r="HW1173" s="4" t="s">
        <v>241</v>
      </c>
      <c r="HX1173" s="4" t="s">
        <v>241</v>
      </c>
      <c r="HY1173" s="4" t="s">
        <v>241</v>
      </c>
      <c r="HZ1173" s="4" t="s">
        <v>241</v>
      </c>
      <c r="IA1173" s="4" t="s">
        <v>241</v>
      </c>
      <c r="IB1173" s="4" t="s">
        <v>241</v>
      </c>
      <c r="IC1173" s="4" t="s">
        <v>241</v>
      </c>
      <c r="ID1173" s="4" t="s">
        <v>241</v>
      </c>
      <c r="IE1173" s="4" t="s">
        <v>241</v>
      </c>
      <c r="IF1173" s="4" t="s">
        <v>241</v>
      </c>
    </row>
    <row r="1174" spans="1:240" x14ac:dyDescent="0.4">
      <c r="A1174" s="4">
        <v>2</v>
      </c>
      <c r="B1174" s="4" t="s">
        <v>239</v>
      </c>
      <c r="C1174" s="4">
        <v>1473</v>
      </c>
      <c r="D1174" s="4">
        <v>1</v>
      </c>
      <c r="E1174" s="4">
        <v>3</v>
      </c>
      <c r="F1174" s="4" t="s">
        <v>326</v>
      </c>
      <c r="G1174" s="4" t="s">
        <v>241</v>
      </c>
      <c r="H1174" s="4" t="s">
        <v>241</v>
      </c>
      <c r="I1174" s="4" t="s">
        <v>639</v>
      </c>
      <c r="J1174" s="4" t="s">
        <v>424</v>
      </c>
      <c r="K1174" s="4" t="s">
        <v>256</v>
      </c>
      <c r="L1174" s="4" t="s">
        <v>241</v>
      </c>
      <c r="M1174" s="5" t="s">
        <v>402</v>
      </c>
      <c r="N1174" s="4" t="s">
        <v>3881</v>
      </c>
      <c r="O1174" s="6">
        <f>87.04</f>
        <v>87.04</v>
      </c>
      <c r="P1174" s="4" t="s">
        <v>276</v>
      </c>
      <c r="Q1174" s="6">
        <f>40897544</f>
        <v>40897544</v>
      </c>
      <c r="R1174" s="6">
        <f>44213558</f>
        <v>44213558</v>
      </c>
      <c r="S1174" s="5" t="s">
        <v>640</v>
      </c>
      <c r="T1174" s="4" t="s">
        <v>373</v>
      </c>
      <c r="U1174" s="4" t="s">
        <v>323</v>
      </c>
      <c r="V1174" s="6">
        <f>1105338</f>
        <v>1105338</v>
      </c>
      <c r="W1174" s="6">
        <f>3316014</f>
        <v>3316014</v>
      </c>
      <c r="X1174" s="4" t="s">
        <v>243</v>
      </c>
      <c r="Y1174" s="4" t="s">
        <v>244</v>
      </c>
      <c r="Z1174" s="4" t="s">
        <v>241</v>
      </c>
      <c r="AA1174" s="4" t="s">
        <v>241</v>
      </c>
      <c r="AD1174" s="4" t="s">
        <v>241</v>
      </c>
      <c r="AE1174" s="5" t="s">
        <v>241</v>
      </c>
      <c r="AF1174" s="5" t="s">
        <v>241</v>
      </c>
      <c r="AH1174" s="5" t="s">
        <v>241</v>
      </c>
      <c r="AI1174" s="5" t="s">
        <v>249</v>
      </c>
      <c r="AJ1174" s="4" t="s">
        <v>251</v>
      </c>
      <c r="AK1174" s="4" t="s">
        <v>252</v>
      </c>
      <c r="AQ1174" s="4" t="s">
        <v>241</v>
      </c>
      <c r="AR1174" s="4" t="s">
        <v>241</v>
      </c>
      <c r="AS1174" s="4" t="s">
        <v>241</v>
      </c>
      <c r="AT1174" s="5" t="s">
        <v>241</v>
      </c>
      <c r="AU1174" s="5" t="s">
        <v>241</v>
      </c>
      <c r="AV1174" s="5" t="s">
        <v>241</v>
      </c>
      <c r="AY1174" s="4" t="s">
        <v>286</v>
      </c>
      <c r="AZ1174" s="4" t="s">
        <v>286</v>
      </c>
      <c r="BA1174" s="4" t="s">
        <v>254</v>
      </c>
      <c r="BB1174" s="4" t="s">
        <v>287</v>
      </c>
      <c r="BC1174" s="4" t="s">
        <v>255</v>
      </c>
      <c r="BD1174" s="4" t="s">
        <v>241</v>
      </c>
      <c r="BE1174" s="4" t="s">
        <v>257</v>
      </c>
      <c r="BF1174" s="4" t="s">
        <v>241</v>
      </c>
      <c r="BJ1174" s="4" t="s">
        <v>288</v>
      </c>
      <c r="BK1174" s="5" t="s">
        <v>289</v>
      </c>
      <c r="BL1174" s="4" t="s">
        <v>290</v>
      </c>
      <c r="BM1174" s="4" t="s">
        <v>290</v>
      </c>
      <c r="BN1174" s="4" t="s">
        <v>241</v>
      </c>
      <c r="BO1174" s="6">
        <f>0</f>
        <v>0</v>
      </c>
      <c r="BP1174" s="6">
        <f>-1105338</f>
        <v>-1105338</v>
      </c>
      <c r="BQ1174" s="4" t="s">
        <v>263</v>
      </c>
      <c r="BR1174" s="4" t="s">
        <v>264</v>
      </c>
      <c r="BS1174" s="4" t="s">
        <v>241</v>
      </c>
      <c r="BT1174" s="4" t="s">
        <v>241</v>
      </c>
      <c r="BU1174" s="4" t="s">
        <v>241</v>
      </c>
      <c r="BV1174" s="4" t="s">
        <v>241</v>
      </c>
      <c r="CE1174" s="4" t="s">
        <v>264</v>
      </c>
      <c r="CF1174" s="4" t="s">
        <v>241</v>
      </c>
      <c r="CG1174" s="4" t="s">
        <v>241</v>
      </c>
      <c r="CK1174" s="4" t="s">
        <v>291</v>
      </c>
      <c r="CL1174" s="4" t="s">
        <v>266</v>
      </c>
      <c r="CM1174" s="4" t="s">
        <v>241</v>
      </c>
      <c r="CO1174" s="4" t="s">
        <v>421</v>
      </c>
      <c r="CP1174" s="5" t="s">
        <v>268</v>
      </c>
      <c r="CQ1174" s="4" t="s">
        <v>269</v>
      </c>
      <c r="CR1174" s="4" t="s">
        <v>270</v>
      </c>
      <c r="CS1174" s="4" t="s">
        <v>293</v>
      </c>
      <c r="CT1174" s="4" t="s">
        <v>241</v>
      </c>
      <c r="CU1174" s="4">
        <v>2.5000000000000001E-2</v>
      </c>
      <c r="CV1174" s="4" t="s">
        <v>271</v>
      </c>
      <c r="CW1174" s="4" t="s">
        <v>456</v>
      </c>
      <c r="CX1174" s="4" t="s">
        <v>295</v>
      </c>
      <c r="CY1174" s="6">
        <f>0</f>
        <v>0</v>
      </c>
      <c r="CZ1174" s="6">
        <f>44213558</f>
        <v>44213558</v>
      </c>
      <c r="DA1174" s="6">
        <f>40897544</f>
        <v>40897544</v>
      </c>
      <c r="DC1174" s="4" t="s">
        <v>241</v>
      </c>
      <c r="DD1174" s="4" t="s">
        <v>241</v>
      </c>
      <c r="DF1174" s="4" t="s">
        <v>241</v>
      </c>
      <c r="DG1174" s="6">
        <f>0</f>
        <v>0</v>
      </c>
      <c r="DI1174" s="4" t="s">
        <v>241</v>
      </c>
      <c r="DJ1174" s="4" t="s">
        <v>241</v>
      </c>
      <c r="DK1174" s="4" t="s">
        <v>241</v>
      </c>
      <c r="DL1174" s="4" t="s">
        <v>241</v>
      </c>
      <c r="DM1174" s="4" t="s">
        <v>277</v>
      </c>
      <c r="DN1174" s="4" t="s">
        <v>278</v>
      </c>
      <c r="DO1174" s="6">
        <f>87.04</f>
        <v>87.04</v>
      </c>
      <c r="DP1174" s="4" t="s">
        <v>241</v>
      </c>
      <c r="DQ1174" s="4" t="s">
        <v>241</v>
      </c>
      <c r="DR1174" s="4" t="s">
        <v>241</v>
      </c>
      <c r="DS1174" s="4" t="s">
        <v>241</v>
      </c>
      <c r="DV1174" s="4" t="s">
        <v>641</v>
      </c>
      <c r="DW1174" s="4" t="s">
        <v>351</v>
      </c>
      <c r="GN1174" s="4" t="s">
        <v>3882</v>
      </c>
      <c r="HO1174" s="4" t="s">
        <v>336</v>
      </c>
      <c r="HR1174" s="4" t="s">
        <v>278</v>
      </c>
      <c r="HS1174" s="4" t="s">
        <v>278</v>
      </c>
      <c r="HT1174" s="4" t="s">
        <v>241</v>
      </c>
      <c r="HU1174" s="4" t="s">
        <v>241</v>
      </c>
      <c r="HV1174" s="4" t="s">
        <v>241</v>
      </c>
      <c r="HW1174" s="4" t="s">
        <v>241</v>
      </c>
      <c r="HX1174" s="4" t="s">
        <v>241</v>
      </c>
      <c r="HY1174" s="4" t="s">
        <v>241</v>
      </c>
      <c r="HZ1174" s="4" t="s">
        <v>241</v>
      </c>
      <c r="IA1174" s="4" t="s">
        <v>241</v>
      </c>
      <c r="IB1174" s="4" t="s">
        <v>241</v>
      </c>
      <c r="IC1174" s="4" t="s">
        <v>241</v>
      </c>
      <c r="ID1174" s="4" t="s">
        <v>241</v>
      </c>
      <c r="IE1174" s="4" t="s">
        <v>241</v>
      </c>
      <c r="IF1174" s="4" t="s">
        <v>241</v>
      </c>
    </row>
    <row r="1175" spans="1:240" x14ac:dyDescent="0.4">
      <c r="A1175" s="4">
        <v>2</v>
      </c>
      <c r="B1175" s="4" t="s">
        <v>239</v>
      </c>
      <c r="C1175" s="4">
        <v>1474</v>
      </c>
      <c r="D1175" s="4">
        <v>1</v>
      </c>
      <c r="E1175" s="4">
        <v>3</v>
      </c>
      <c r="F1175" s="4" t="s">
        <v>326</v>
      </c>
      <c r="G1175" s="4" t="s">
        <v>241</v>
      </c>
      <c r="H1175" s="4" t="s">
        <v>241</v>
      </c>
      <c r="I1175" s="4" t="s">
        <v>639</v>
      </c>
      <c r="J1175" s="4" t="s">
        <v>424</v>
      </c>
      <c r="K1175" s="4" t="s">
        <v>256</v>
      </c>
      <c r="L1175" s="4" t="s">
        <v>241</v>
      </c>
      <c r="M1175" s="5" t="s">
        <v>402</v>
      </c>
      <c r="N1175" s="4" t="s">
        <v>3754</v>
      </c>
      <c r="O1175" s="6">
        <f>64.75</f>
        <v>64.75</v>
      </c>
      <c r="P1175" s="4" t="s">
        <v>276</v>
      </c>
      <c r="Q1175" s="6">
        <f>6021694</f>
        <v>6021694</v>
      </c>
      <c r="R1175" s="6">
        <f>6889810</f>
        <v>6889810</v>
      </c>
      <c r="S1175" s="5" t="s">
        <v>640</v>
      </c>
      <c r="T1175" s="4" t="s">
        <v>274</v>
      </c>
      <c r="U1175" s="4" t="s">
        <v>323</v>
      </c>
      <c r="V1175" s="6">
        <f>289372</f>
        <v>289372</v>
      </c>
      <c r="W1175" s="6">
        <f>868116</f>
        <v>868116</v>
      </c>
      <c r="X1175" s="4" t="s">
        <v>243</v>
      </c>
      <c r="Y1175" s="4" t="s">
        <v>244</v>
      </c>
      <c r="Z1175" s="4" t="s">
        <v>241</v>
      </c>
      <c r="AA1175" s="4" t="s">
        <v>241</v>
      </c>
      <c r="AD1175" s="4" t="s">
        <v>241</v>
      </c>
      <c r="AE1175" s="5" t="s">
        <v>241</v>
      </c>
      <c r="AF1175" s="5" t="s">
        <v>241</v>
      </c>
      <c r="AH1175" s="5" t="s">
        <v>241</v>
      </c>
      <c r="AI1175" s="5" t="s">
        <v>249</v>
      </c>
      <c r="AJ1175" s="4" t="s">
        <v>251</v>
      </c>
      <c r="AK1175" s="4" t="s">
        <v>252</v>
      </c>
      <c r="AQ1175" s="4" t="s">
        <v>241</v>
      </c>
      <c r="AR1175" s="4" t="s">
        <v>241</v>
      </c>
      <c r="AS1175" s="4" t="s">
        <v>241</v>
      </c>
      <c r="AT1175" s="5" t="s">
        <v>241</v>
      </c>
      <c r="AU1175" s="5" t="s">
        <v>241</v>
      </c>
      <c r="AV1175" s="5" t="s">
        <v>241</v>
      </c>
      <c r="AY1175" s="4" t="s">
        <v>286</v>
      </c>
      <c r="AZ1175" s="4" t="s">
        <v>286</v>
      </c>
      <c r="BA1175" s="4" t="s">
        <v>254</v>
      </c>
      <c r="BB1175" s="4" t="s">
        <v>287</v>
      </c>
      <c r="BC1175" s="4" t="s">
        <v>255</v>
      </c>
      <c r="BD1175" s="4" t="s">
        <v>241</v>
      </c>
      <c r="BE1175" s="4" t="s">
        <v>257</v>
      </c>
      <c r="BF1175" s="4" t="s">
        <v>241</v>
      </c>
      <c r="BJ1175" s="4" t="s">
        <v>288</v>
      </c>
      <c r="BK1175" s="5" t="s">
        <v>289</v>
      </c>
      <c r="BL1175" s="4" t="s">
        <v>290</v>
      </c>
      <c r="BM1175" s="4" t="s">
        <v>290</v>
      </c>
      <c r="BN1175" s="4" t="s">
        <v>241</v>
      </c>
      <c r="BO1175" s="6">
        <f>0</f>
        <v>0</v>
      </c>
      <c r="BP1175" s="6">
        <f>-289372</f>
        <v>-289372</v>
      </c>
      <c r="BQ1175" s="4" t="s">
        <v>263</v>
      </c>
      <c r="BR1175" s="4" t="s">
        <v>264</v>
      </c>
      <c r="BS1175" s="4" t="s">
        <v>241</v>
      </c>
      <c r="BT1175" s="4" t="s">
        <v>241</v>
      </c>
      <c r="BU1175" s="4" t="s">
        <v>241</v>
      </c>
      <c r="BV1175" s="4" t="s">
        <v>241</v>
      </c>
      <c r="CE1175" s="4" t="s">
        <v>264</v>
      </c>
      <c r="CF1175" s="4" t="s">
        <v>241</v>
      </c>
      <c r="CG1175" s="4" t="s">
        <v>241</v>
      </c>
      <c r="CK1175" s="4" t="s">
        <v>291</v>
      </c>
      <c r="CL1175" s="4" t="s">
        <v>266</v>
      </c>
      <c r="CM1175" s="4" t="s">
        <v>241</v>
      </c>
      <c r="CO1175" s="4" t="s">
        <v>421</v>
      </c>
      <c r="CP1175" s="5" t="s">
        <v>268</v>
      </c>
      <c r="CQ1175" s="4" t="s">
        <v>269</v>
      </c>
      <c r="CR1175" s="4" t="s">
        <v>270</v>
      </c>
      <c r="CS1175" s="4" t="s">
        <v>293</v>
      </c>
      <c r="CT1175" s="4" t="s">
        <v>241</v>
      </c>
      <c r="CU1175" s="4">
        <v>4.2000000000000003E-2</v>
      </c>
      <c r="CV1175" s="4" t="s">
        <v>271</v>
      </c>
      <c r="CW1175" s="4" t="s">
        <v>272</v>
      </c>
      <c r="CX1175" s="4" t="s">
        <v>273</v>
      </c>
      <c r="CY1175" s="6">
        <f>0</f>
        <v>0</v>
      </c>
      <c r="CZ1175" s="6">
        <f>6889810</f>
        <v>6889810</v>
      </c>
      <c r="DA1175" s="6">
        <f>6021694</f>
        <v>6021694</v>
      </c>
      <c r="DC1175" s="4" t="s">
        <v>241</v>
      </c>
      <c r="DD1175" s="4" t="s">
        <v>241</v>
      </c>
      <c r="DF1175" s="4" t="s">
        <v>241</v>
      </c>
      <c r="DG1175" s="6">
        <f>0</f>
        <v>0</v>
      </c>
      <c r="DI1175" s="4" t="s">
        <v>241</v>
      </c>
      <c r="DJ1175" s="4" t="s">
        <v>241</v>
      </c>
      <c r="DK1175" s="4" t="s">
        <v>241</v>
      </c>
      <c r="DL1175" s="4" t="s">
        <v>241</v>
      </c>
      <c r="DM1175" s="4" t="s">
        <v>277</v>
      </c>
      <c r="DN1175" s="4" t="s">
        <v>278</v>
      </c>
      <c r="DO1175" s="6">
        <f>64.75</f>
        <v>64.75</v>
      </c>
      <c r="DP1175" s="4" t="s">
        <v>241</v>
      </c>
      <c r="DQ1175" s="4" t="s">
        <v>241</v>
      </c>
      <c r="DR1175" s="4" t="s">
        <v>241</v>
      </c>
      <c r="DS1175" s="4" t="s">
        <v>241</v>
      </c>
      <c r="DV1175" s="4" t="s">
        <v>641</v>
      </c>
      <c r="DW1175" s="4" t="s">
        <v>300</v>
      </c>
      <c r="GN1175" s="4" t="s">
        <v>3755</v>
      </c>
      <c r="HO1175" s="4" t="s">
        <v>336</v>
      </c>
      <c r="HR1175" s="4" t="s">
        <v>278</v>
      </c>
      <c r="HS1175" s="4" t="s">
        <v>278</v>
      </c>
      <c r="HT1175" s="4" t="s">
        <v>241</v>
      </c>
      <c r="HU1175" s="4" t="s">
        <v>241</v>
      </c>
      <c r="HV1175" s="4" t="s">
        <v>241</v>
      </c>
      <c r="HW1175" s="4" t="s">
        <v>241</v>
      </c>
      <c r="HX1175" s="4" t="s">
        <v>241</v>
      </c>
      <c r="HY1175" s="4" t="s">
        <v>241</v>
      </c>
      <c r="HZ1175" s="4" t="s">
        <v>241</v>
      </c>
      <c r="IA1175" s="4" t="s">
        <v>241</v>
      </c>
      <c r="IB1175" s="4" t="s">
        <v>241</v>
      </c>
      <c r="IC1175" s="4" t="s">
        <v>241</v>
      </c>
      <c r="ID1175" s="4" t="s">
        <v>241</v>
      </c>
      <c r="IE1175" s="4" t="s">
        <v>241</v>
      </c>
      <c r="IF1175" s="4" t="s">
        <v>241</v>
      </c>
    </row>
    <row r="1176" spans="1:240" x14ac:dyDescent="0.4">
      <c r="A1176" s="4">
        <v>2</v>
      </c>
      <c r="B1176" s="4" t="s">
        <v>239</v>
      </c>
      <c r="C1176" s="4">
        <v>1475</v>
      </c>
      <c r="D1176" s="4">
        <v>1</v>
      </c>
      <c r="E1176" s="4">
        <v>3</v>
      </c>
      <c r="F1176" s="4" t="s">
        <v>326</v>
      </c>
      <c r="G1176" s="4" t="s">
        <v>241</v>
      </c>
      <c r="H1176" s="4" t="s">
        <v>241</v>
      </c>
      <c r="I1176" s="4" t="s">
        <v>639</v>
      </c>
      <c r="J1176" s="4" t="s">
        <v>424</v>
      </c>
      <c r="K1176" s="4" t="s">
        <v>256</v>
      </c>
      <c r="L1176" s="4" t="s">
        <v>241</v>
      </c>
      <c r="M1176" s="5" t="s">
        <v>402</v>
      </c>
      <c r="N1176" s="4" t="s">
        <v>638</v>
      </c>
      <c r="O1176" s="6">
        <f>86.9</f>
        <v>86.9</v>
      </c>
      <c r="P1176" s="4" t="s">
        <v>276</v>
      </c>
      <c r="Q1176" s="6">
        <f>12444830</f>
        <v>12444830</v>
      </c>
      <c r="R1176" s="6">
        <f>13858385</f>
        <v>13858385</v>
      </c>
      <c r="S1176" s="5" t="s">
        <v>640</v>
      </c>
      <c r="T1176" s="4" t="s">
        <v>408</v>
      </c>
      <c r="U1176" s="4" t="s">
        <v>323</v>
      </c>
      <c r="V1176" s="6">
        <f>471185</f>
        <v>471185</v>
      </c>
      <c r="W1176" s="6">
        <f>1413555</f>
        <v>1413555</v>
      </c>
      <c r="X1176" s="4" t="s">
        <v>243</v>
      </c>
      <c r="Y1176" s="4" t="s">
        <v>244</v>
      </c>
      <c r="Z1176" s="4" t="s">
        <v>241</v>
      </c>
      <c r="AA1176" s="4" t="s">
        <v>241</v>
      </c>
      <c r="AD1176" s="4" t="s">
        <v>241</v>
      </c>
      <c r="AE1176" s="5" t="s">
        <v>241</v>
      </c>
      <c r="AF1176" s="5" t="s">
        <v>241</v>
      </c>
      <c r="AH1176" s="5" t="s">
        <v>241</v>
      </c>
      <c r="AI1176" s="5" t="s">
        <v>249</v>
      </c>
      <c r="AJ1176" s="4" t="s">
        <v>251</v>
      </c>
      <c r="AK1176" s="4" t="s">
        <v>252</v>
      </c>
      <c r="AQ1176" s="4" t="s">
        <v>241</v>
      </c>
      <c r="AR1176" s="4" t="s">
        <v>241</v>
      </c>
      <c r="AS1176" s="4" t="s">
        <v>241</v>
      </c>
      <c r="AT1176" s="5" t="s">
        <v>241</v>
      </c>
      <c r="AU1176" s="5" t="s">
        <v>241</v>
      </c>
      <c r="AV1176" s="5" t="s">
        <v>241</v>
      </c>
      <c r="AY1176" s="4" t="s">
        <v>286</v>
      </c>
      <c r="AZ1176" s="4" t="s">
        <v>286</v>
      </c>
      <c r="BA1176" s="4" t="s">
        <v>254</v>
      </c>
      <c r="BB1176" s="4" t="s">
        <v>287</v>
      </c>
      <c r="BC1176" s="4" t="s">
        <v>255</v>
      </c>
      <c r="BD1176" s="4" t="s">
        <v>241</v>
      </c>
      <c r="BE1176" s="4" t="s">
        <v>257</v>
      </c>
      <c r="BF1176" s="4" t="s">
        <v>241</v>
      </c>
      <c r="BJ1176" s="4" t="s">
        <v>288</v>
      </c>
      <c r="BK1176" s="5" t="s">
        <v>289</v>
      </c>
      <c r="BL1176" s="4" t="s">
        <v>290</v>
      </c>
      <c r="BM1176" s="4" t="s">
        <v>290</v>
      </c>
      <c r="BN1176" s="4" t="s">
        <v>241</v>
      </c>
      <c r="BO1176" s="6">
        <f>0</f>
        <v>0</v>
      </c>
      <c r="BP1176" s="6">
        <f>-471185</f>
        <v>-471185</v>
      </c>
      <c r="BQ1176" s="4" t="s">
        <v>263</v>
      </c>
      <c r="BR1176" s="4" t="s">
        <v>264</v>
      </c>
      <c r="BS1176" s="4" t="s">
        <v>241</v>
      </c>
      <c r="BT1176" s="4" t="s">
        <v>241</v>
      </c>
      <c r="BU1176" s="4" t="s">
        <v>241</v>
      </c>
      <c r="BV1176" s="4" t="s">
        <v>241</v>
      </c>
      <c r="CE1176" s="4" t="s">
        <v>264</v>
      </c>
      <c r="CF1176" s="4" t="s">
        <v>241</v>
      </c>
      <c r="CG1176" s="4" t="s">
        <v>241</v>
      </c>
      <c r="CK1176" s="4" t="s">
        <v>291</v>
      </c>
      <c r="CL1176" s="4" t="s">
        <v>266</v>
      </c>
      <c r="CM1176" s="4" t="s">
        <v>241</v>
      </c>
      <c r="CO1176" s="4" t="s">
        <v>421</v>
      </c>
      <c r="CP1176" s="5" t="s">
        <v>268</v>
      </c>
      <c r="CQ1176" s="4" t="s">
        <v>269</v>
      </c>
      <c r="CR1176" s="4" t="s">
        <v>270</v>
      </c>
      <c r="CS1176" s="4" t="s">
        <v>293</v>
      </c>
      <c r="CT1176" s="4" t="s">
        <v>241</v>
      </c>
      <c r="CU1176" s="4">
        <v>3.4000000000000002E-2</v>
      </c>
      <c r="CV1176" s="4" t="s">
        <v>271</v>
      </c>
      <c r="CW1176" s="4" t="s">
        <v>495</v>
      </c>
      <c r="CX1176" s="4" t="s">
        <v>273</v>
      </c>
      <c r="CY1176" s="6">
        <f>0</f>
        <v>0</v>
      </c>
      <c r="CZ1176" s="6">
        <f>13858385</f>
        <v>13858385</v>
      </c>
      <c r="DA1176" s="6">
        <f>12444830</f>
        <v>12444830</v>
      </c>
      <c r="DC1176" s="4" t="s">
        <v>241</v>
      </c>
      <c r="DD1176" s="4" t="s">
        <v>241</v>
      </c>
      <c r="DF1176" s="4" t="s">
        <v>241</v>
      </c>
      <c r="DG1176" s="6">
        <f>0</f>
        <v>0</v>
      </c>
      <c r="DI1176" s="4" t="s">
        <v>241</v>
      </c>
      <c r="DJ1176" s="4" t="s">
        <v>241</v>
      </c>
      <c r="DK1176" s="4" t="s">
        <v>241</v>
      </c>
      <c r="DL1176" s="4" t="s">
        <v>241</v>
      </c>
      <c r="DM1176" s="4" t="s">
        <v>277</v>
      </c>
      <c r="DN1176" s="4" t="s">
        <v>278</v>
      </c>
      <c r="DO1176" s="6">
        <f>86.9</f>
        <v>86.9</v>
      </c>
      <c r="DP1176" s="4" t="s">
        <v>241</v>
      </c>
      <c r="DQ1176" s="4" t="s">
        <v>241</v>
      </c>
      <c r="DR1176" s="4" t="s">
        <v>241</v>
      </c>
      <c r="DS1176" s="4" t="s">
        <v>241</v>
      </c>
      <c r="DV1176" s="4" t="s">
        <v>641</v>
      </c>
      <c r="DW1176" s="4" t="s">
        <v>341</v>
      </c>
      <c r="GN1176" s="4" t="s">
        <v>642</v>
      </c>
      <c r="HO1176" s="4" t="s">
        <v>336</v>
      </c>
      <c r="HR1176" s="4" t="s">
        <v>278</v>
      </c>
      <c r="HS1176" s="4" t="s">
        <v>278</v>
      </c>
      <c r="HT1176" s="4" t="s">
        <v>241</v>
      </c>
      <c r="HU1176" s="4" t="s">
        <v>241</v>
      </c>
      <c r="HV1176" s="4" t="s">
        <v>241</v>
      </c>
      <c r="HW1176" s="4" t="s">
        <v>241</v>
      </c>
      <c r="HX1176" s="4" t="s">
        <v>241</v>
      </c>
      <c r="HY1176" s="4" t="s">
        <v>241</v>
      </c>
      <c r="HZ1176" s="4" t="s">
        <v>241</v>
      </c>
      <c r="IA1176" s="4" t="s">
        <v>241</v>
      </c>
      <c r="IB1176" s="4" t="s">
        <v>241</v>
      </c>
      <c r="IC1176" s="4" t="s">
        <v>241</v>
      </c>
      <c r="ID1176" s="4" t="s">
        <v>241</v>
      </c>
      <c r="IE1176" s="4" t="s">
        <v>241</v>
      </c>
      <c r="IF1176" s="4" t="s">
        <v>241</v>
      </c>
    </row>
    <row r="1177" spans="1:240" x14ac:dyDescent="0.4">
      <c r="A1177" s="4">
        <v>2</v>
      </c>
      <c r="B1177" s="4" t="s">
        <v>239</v>
      </c>
      <c r="C1177" s="4">
        <v>1476</v>
      </c>
      <c r="D1177" s="4">
        <v>1</v>
      </c>
      <c r="E1177" s="4">
        <v>3</v>
      </c>
      <c r="F1177" s="4" t="s">
        <v>326</v>
      </c>
      <c r="G1177" s="4" t="s">
        <v>241</v>
      </c>
      <c r="H1177" s="4" t="s">
        <v>241</v>
      </c>
      <c r="I1177" s="4" t="s">
        <v>639</v>
      </c>
      <c r="J1177" s="4" t="s">
        <v>424</v>
      </c>
      <c r="K1177" s="4" t="s">
        <v>256</v>
      </c>
      <c r="L1177" s="4" t="s">
        <v>241</v>
      </c>
      <c r="M1177" s="5" t="s">
        <v>402</v>
      </c>
      <c r="N1177" s="4" t="s">
        <v>3756</v>
      </c>
      <c r="O1177" s="6">
        <f>64</f>
        <v>64</v>
      </c>
      <c r="P1177" s="4" t="s">
        <v>276</v>
      </c>
      <c r="Q1177" s="6">
        <f>6880555</f>
        <v>6880555</v>
      </c>
      <c r="R1177" s="6">
        <f>7636573</f>
        <v>7636573</v>
      </c>
      <c r="S1177" s="5" t="s">
        <v>640</v>
      </c>
      <c r="T1177" s="4" t="s">
        <v>441</v>
      </c>
      <c r="U1177" s="4" t="s">
        <v>323</v>
      </c>
      <c r="V1177" s="6">
        <f>252006</f>
        <v>252006</v>
      </c>
      <c r="W1177" s="6">
        <f>756018</f>
        <v>756018</v>
      </c>
      <c r="X1177" s="4" t="s">
        <v>243</v>
      </c>
      <c r="Y1177" s="4" t="s">
        <v>244</v>
      </c>
      <c r="Z1177" s="4" t="s">
        <v>241</v>
      </c>
      <c r="AA1177" s="4" t="s">
        <v>241</v>
      </c>
      <c r="AD1177" s="4" t="s">
        <v>241</v>
      </c>
      <c r="AE1177" s="5" t="s">
        <v>241</v>
      </c>
      <c r="AF1177" s="5" t="s">
        <v>241</v>
      </c>
      <c r="AH1177" s="5" t="s">
        <v>241</v>
      </c>
      <c r="AI1177" s="5" t="s">
        <v>249</v>
      </c>
      <c r="AJ1177" s="4" t="s">
        <v>251</v>
      </c>
      <c r="AK1177" s="4" t="s">
        <v>252</v>
      </c>
      <c r="AQ1177" s="4" t="s">
        <v>241</v>
      </c>
      <c r="AR1177" s="4" t="s">
        <v>241</v>
      </c>
      <c r="AS1177" s="4" t="s">
        <v>241</v>
      </c>
      <c r="AT1177" s="5" t="s">
        <v>241</v>
      </c>
      <c r="AU1177" s="5" t="s">
        <v>241</v>
      </c>
      <c r="AV1177" s="5" t="s">
        <v>241</v>
      </c>
      <c r="AY1177" s="4" t="s">
        <v>286</v>
      </c>
      <c r="AZ1177" s="4" t="s">
        <v>286</v>
      </c>
      <c r="BA1177" s="4" t="s">
        <v>254</v>
      </c>
      <c r="BB1177" s="4" t="s">
        <v>287</v>
      </c>
      <c r="BC1177" s="4" t="s">
        <v>255</v>
      </c>
      <c r="BD1177" s="4" t="s">
        <v>241</v>
      </c>
      <c r="BE1177" s="4" t="s">
        <v>257</v>
      </c>
      <c r="BF1177" s="4" t="s">
        <v>241</v>
      </c>
      <c r="BJ1177" s="4" t="s">
        <v>288</v>
      </c>
      <c r="BK1177" s="5" t="s">
        <v>289</v>
      </c>
      <c r="BL1177" s="4" t="s">
        <v>290</v>
      </c>
      <c r="BM1177" s="4" t="s">
        <v>290</v>
      </c>
      <c r="BN1177" s="4" t="s">
        <v>241</v>
      </c>
      <c r="BO1177" s="6">
        <f>0</f>
        <v>0</v>
      </c>
      <c r="BP1177" s="6">
        <f>-252006</f>
        <v>-252006</v>
      </c>
      <c r="BQ1177" s="4" t="s">
        <v>263</v>
      </c>
      <c r="BR1177" s="4" t="s">
        <v>264</v>
      </c>
      <c r="BS1177" s="4" t="s">
        <v>241</v>
      </c>
      <c r="BT1177" s="4" t="s">
        <v>241</v>
      </c>
      <c r="BU1177" s="4" t="s">
        <v>241</v>
      </c>
      <c r="BV1177" s="4" t="s">
        <v>241</v>
      </c>
      <c r="CE1177" s="4" t="s">
        <v>264</v>
      </c>
      <c r="CF1177" s="4" t="s">
        <v>241</v>
      </c>
      <c r="CG1177" s="4" t="s">
        <v>241</v>
      </c>
      <c r="CK1177" s="4" t="s">
        <v>291</v>
      </c>
      <c r="CL1177" s="4" t="s">
        <v>266</v>
      </c>
      <c r="CM1177" s="4" t="s">
        <v>241</v>
      </c>
      <c r="CO1177" s="4" t="s">
        <v>421</v>
      </c>
      <c r="CP1177" s="5" t="s">
        <v>268</v>
      </c>
      <c r="CQ1177" s="4" t="s">
        <v>269</v>
      </c>
      <c r="CR1177" s="4" t="s">
        <v>270</v>
      </c>
      <c r="CS1177" s="4" t="s">
        <v>293</v>
      </c>
      <c r="CT1177" s="4" t="s">
        <v>241</v>
      </c>
      <c r="CU1177" s="4">
        <v>3.3000000000000002E-2</v>
      </c>
      <c r="CV1177" s="4" t="s">
        <v>271</v>
      </c>
      <c r="CW1177" s="4" t="s">
        <v>272</v>
      </c>
      <c r="CX1177" s="4" t="s">
        <v>3757</v>
      </c>
      <c r="CY1177" s="6">
        <f>0</f>
        <v>0</v>
      </c>
      <c r="CZ1177" s="6">
        <f>7636573</f>
        <v>7636573</v>
      </c>
      <c r="DA1177" s="6">
        <f>6880555</f>
        <v>6880555</v>
      </c>
      <c r="DC1177" s="4" t="s">
        <v>241</v>
      </c>
      <c r="DD1177" s="4" t="s">
        <v>241</v>
      </c>
      <c r="DF1177" s="4" t="s">
        <v>241</v>
      </c>
      <c r="DG1177" s="6">
        <f>0</f>
        <v>0</v>
      </c>
      <c r="DI1177" s="4" t="s">
        <v>241</v>
      </c>
      <c r="DJ1177" s="4" t="s">
        <v>241</v>
      </c>
      <c r="DK1177" s="4" t="s">
        <v>241</v>
      </c>
      <c r="DL1177" s="4" t="s">
        <v>241</v>
      </c>
      <c r="DM1177" s="4" t="s">
        <v>277</v>
      </c>
      <c r="DN1177" s="4" t="s">
        <v>278</v>
      </c>
      <c r="DO1177" s="6">
        <f>64</f>
        <v>64</v>
      </c>
      <c r="DP1177" s="4" t="s">
        <v>241</v>
      </c>
      <c r="DQ1177" s="4" t="s">
        <v>241</v>
      </c>
      <c r="DR1177" s="4" t="s">
        <v>241</v>
      </c>
      <c r="DS1177" s="4" t="s">
        <v>241</v>
      </c>
      <c r="DV1177" s="4" t="s">
        <v>641</v>
      </c>
      <c r="DW1177" s="4" t="s">
        <v>343</v>
      </c>
      <c r="GN1177" s="4" t="s">
        <v>3758</v>
      </c>
      <c r="HO1177" s="4" t="s">
        <v>336</v>
      </c>
      <c r="HR1177" s="4" t="s">
        <v>278</v>
      </c>
      <c r="HS1177" s="4" t="s">
        <v>278</v>
      </c>
      <c r="HT1177" s="4" t="s">
        <v>241</v>
      </c>
      <c r="HU1177" s="4" t="s">
        <v>241</v>
      </c>
      <c r="HV1177" s="4" t="s">
        <v>241</v>
      </c>
      <c r="HW1177" s="4" t="s">
        <v>241</v>
      </c>
      <c r="HX1177" s="4" t="s">
        <v>241</v>
      </c>
      <c r="HY1177" s="4" t="s">
        <v>241</v>
      </c>
      <c r="HZ1177" s="4" t="s">
        <v>241</v>
      </c>
      <c r="IA1177" s="4" t="s">
        <v>241</v>
      </c>
      <c r="IB1177" s="4" t="s">
        <v>241</v>
      </c>
      <c r="IC1177" s="4" t="s">
        <v>241</v>
      </c>
      <c r="ID1177" s="4" t="s">
        <v>241</v>
      </c>
      <c r="IE1177" s="4" t="s">
        <v>241</v>
      </c>
      <c r="IF1177" s="4" t="s">
        <v>241</v>
      </c>
    </row>
    <row r="1178" spans="1:240" x14ac:dyDescent="0.4">
      <c r="A1178" s="4">
        <v>2</v>
      </c>
      <c r="B1178" s="4" t="s">
        <v>239</v>
      </c>
      <c r="C1178" s="4">
        <v>1477</v>
      </c>
      <c r="D1178" s="4">
        <v>1</v>
      </c>
      <c r="E1178" s="4">
        <v>3</v>
      </c>
      <c r="F1178" s="4" t="s">
        <v>326</v>
      </c>
      <c r="G1178" s="4" t="s">
        <v>241</v>
      </c>
      <c r="H1178" s="4" t="s">
        <v>241</v>
      </c>
      <c r="I1178" s="4" t="s">
        <v>639</v>
      </c>
      <c r="J1178" s="4" t="s">
        <v>424</v>
      </c>
      <c r="K1178" s="4" t="s">
        <v>256</v>
      </c>
      <c r="L1178" s="4" t="s">
        <v>241</v>
      </c>
      <c r="M1178" s="5" t="s">
        <v>402</v>
      </c>
      <c r="N1178" s="4" t="s">
        <v>3759</v>
      </c>
      <c r="O1178" s="6">
        <f>28.56</f>
        <v>28.56</v>
      </c>
      <c r="P1178" s="4" t="s">
        <v>276</v>
      </c>
      <c r="Q1178" s="6">
        <f>2789373</f>
        <v>2789373</v>
      </c>
      <c r="R1178" s="6">
        <f>3191499</f>
        <v>3191499</v>
      </c>
      <c r="S1178" s="5" t="s">
        <v>640</v>
      </c>
      <c r="T1178" s="4" t="s">
        <v>274</v>
      </c>
      <c r="U1178" s="4" t="s">
        <v>323</v>
      </c>
      <c r="V1178" s="6">
        <f>134042</f>
        <v>134042</v>
      </c>
      <c r="W1178" s="6">
        <f>402126</f>
        <v>402126</v>
      </c>
      <c r="X1178" s="4" t="s">
        <v>243</v>
      </c>
      <c r="Y1178" s="4" t="s">
        <v>244</v>
      </c>
      <c r="Z1178" s="4" t="s">
        <v>241</v>
      </c>
      <c r="AA1178" s="4" t="s">
        <v>241</v>
      </c>
      <c r="AD1178" s="4" t="s">
        <v>241</v>
      </c>
      <c r="AE1178" s="5" t="s">
        <v>241</v>
      </c>
      <c r="AF1178" s="5" t="s">
        <v>241</v>
      </c>
      <c r="AH1178" s="5" t="s">
        <v>241</v>
      </c>
      <c r="AI1178" s="5" t="s">
        <v>249</v>
      </c>
      <c r="AJ1178" s="4" t="s">
        <v>251</v>
      </c>
      <c r="AK1178" s="4" t="s">
        <v>252</v>
      </c>
      <c r="AQ1178" s="4" t="s">
        <v>241</v>
      </c>
      <c r="AR1178" s="4" t="s">
        <v>241</v>
      </c>
      <c r="AS1178" s="4" t="s">
        <v>241</v>
      </c>
      <c r="AT1178" s="5" t="s">
        <v>241</v>
      </c>
      <c r="AU1178" s="5" t="s">
        <v>241</v>
      </c>
      <c r="AV1178" s="5" t="s">
        <v>241</v>
      </c>
      <c r="AY1178" s="4" t="s">
        <v>286</v>
      </c>
      <c r="AZ1178" s="4" t="s">
        <v>286</v>
      </c>
      <c r="BA1178" s="4" t="s">
        <v>254</v>
      </c>
      <c r="BB1178" s="4" t="s">
        <v>287</v>
      </c>
      <c r="BC1178" s="4" t="s">
        <v>255</v>
      </c>
      <c r="BD1178" s="4" t="s">
        <v>241</v>
      </c>
      <c r="BE1178" s="4" t="s">
        <v>257</v>
      </c>
      <c r="BF1178" s="4" t="s">
        <v>241</v>
      </c>
      <c r="BJ1178" s="4" t="s">
        <v>288</v>
      </c>
      <c r="BK1178" s="5" t="s">
        <v>289</v>
      </c>
      <c r="BL1178" s="4" t="s">
        <v>290</v>
      </c>
      <c r="BM1178" s="4" t="s">
        <v>290</v>
      </c>
      <c r="BN1178" s="4" t="s">
        <v>241</v>
      </c>
      <c r="BO1178" s="6">
        <f>0</f>
        <v>0</v>
      </c>
      <c r="BP1178" s="6">
        <f>-134042</f>
        <v>-134042</v>
      </c>
      <c r="BQ1178" s="4" t="s">
        <v>263</v>
      </c>
      <c r="BR1178" s="4" t="s">
        <v>264</v>
      </c>
      <c r="BS1178" s="4" t="s">
        <v>241</v>
      </c>
      <c r="BT1178" s="4" t="s">
        <v>241</v>
      </c>
      <c r="BU1178" s="4" t="s">
        <v>241</v>
      </c>
      <c r="BV1178" s="4" t="s">
        <v>241</v>
      </c>
      <c r="CE1178" s="4" t="s">
        <v>264</v>
      </c>
      <c r="CF1178" s="4" t="s">
        <v>241</v>
      </c>
      <c r="CG1178" s="4" t="s">
        <v>241</v>
      </c>
      <c r="CK1178" s="4" t="s">
        <v>291</v>
      </c>
      <c r="CL1178" s="4" t="s">
        <v>266</v>
      </c>
      <c r="CM1178" s="4" t="s">
        <v>241</v>
      </c>
      <c r="CO1178" s="4" t="s">
        <v>421</v>
      </c>
      <c r="CP1178" s="5" t="s">
        <v>268</v>
      </c>
      <c r="CQ1178" s="4" t="s">
        <v>269</v>
      </c>
      <c r="CR1178" s="4" t="s">
        <v>270</v>
      </c>
      <c r="CS1178" s="4" t="s">
        <v>293</v>
      </c>
      <c r="CT1178" s="4" t="s">
        <v>241</v>
      </c>
      <c r="CU1178" s="4">
        <v>4.2000000000000003E-2</v>
      </c>
      <c r="CV1178" s="4" t="s">
        <v>271</v>
      </c>
      <c r="CW1178" s="4" t="s">
        <v>272</v>
      </c>
      <c r="CX1178" s="4" t="s">
        <v>273</v>
      </c>
      <c r="CY1178" s="6">
        <f>0</f>
        <v>0</v>
      </c>
      <c r="CZ1178" s="6">
        <f>3191499</f>
        <v>3191499</v>
      </c>
      <c r="DA1178" s="6">
        <f>2789373</f>
        <v>2789373</v>
      </c>
      <c r="DC1178" s="4" t="s">
        <v>241</v>
      </c>
      <c r="DD1178" s="4" t="s">
        <v>241</v>
      </c>
      <c r="DF1178" s="4" t="s">
        <v>241</v>
      </c>
      <c r="DG1178" s="6">
        <f>0</f>
        <v>0</v>
      </c>
      <c r="DI1178" s="4" t="s">
        <v>241</v>
      </c>
      <c r="DJ1178" s="4" t="s">
        <v>241</v>
      </c>
      <c r="DK1178" s="4" t="s">
        <v>241</v>
      </c>
      <c r="DL1178" s="4" t="s">
        <v>241</v>
      </c>
      <c r="DM1178" s="4" t="s">
        <v>277</v>
      </c>
      <c r="DN1178" s="4" t="s">
        <v>278</v>
      </c>
      <c r="DO1178" s="6">
        <f>28.56</f>
        <v>28.56</v>
      </c>
      <c r="DP1178" s="4" t="s">
        <v>241</v>
      </c>
      <c r="DQ1178" s="4" t="s">
        <v>241</v>
      </c>
      <c r="DR1178" s="4" t="s">
        <v>241</v>
      </c>
      <c r="DS1178" s="4" t="s">
        <v>241</v>
      </c>
      <c r="DV1178" s="4" t="s">
        <v>641</v>
      </c>
      <c r="DW1178" s="4" t="s">
        <v>417</v>
      </c>
      <c r="GN1178" s="4" t="s">
        <v>3760</v>
      </c>
      <c r="HO1178" s="4" t="s">
        <v>336</v>
      </c>
      <c r="HR1178" s="4" t="s">
        <v>278</v>
      </c>
      <c r="HS1178" s="4" t="s">
        <v>278</v>
      </c>
      <c r="HT1178" s="4" t="s">
        <v>241</v>
      </c>
      <c r="HU1178" s="4" t="s">
        <v>241</v>
      </c>
      <c r="HV1178" s="4" t="s">
        <v>241</v>
      </c>
      <c r="HW1178" s="4" t="s">
        <v>241</v>
      </c>
      <c r="HX1178" s="4" t="s">
        <v>241</v>
      </c>
      <c r="HY1178" s="4" t="s">
        <v>241</v>
      </c>
      <c r="HZ1178" s="4" t="s">
        <v>241</v>
      </c>
      <c r="IA1178" s="4" t="s">
        <v>241</v>
      </c>
      <c r="IB1178" s="4" t="s">
        <v>241</v>
      </c>
      <c r="IC1178" s="4" t="s">
        <v>241</v>
      </c>
      <c r="ID1178" s="4" t="s">
        <v>241</v>
      </c>
      <c r="IE1178" s="4" t="s">
        <v>241</v>
      </c>
      <c r="IF1178" s="4" t="s">
        <v>241</v>
      </c>
    </row>
    <row r="1179" spans="1:240" x14ac:dyDescent="0.4">
      <c r="A1179" s="4">
        <v>2</v>
      </c>
      <c r="B1179" s="4" t="s">
        <v>239</v>
      </c>
      <c r="C1179" s="4">
        <v>1478</v>
      </c>
      <c r="D1179" s="4">
        <v>1</v>
      </c>
      <c r="E1179" s="4">
        <v>3</v>
      </c>
      <c r="F1179" s="4" t="s">
        <v>326</v>
      </c>
      <c r="G1179" s="4" t="s">
        <v>241</v>
      </c>
      <c r="H1179" s="4" t="s">
        <v>241</v>
      </c>
      <c r="I1179" s="4" t="s">
        <v>639</v>
      </c>
      <c r="J1179" s="4" t="s">
        <v>424</v>
      </c>
      <c r="K1179" s="4" t="s">
        <v>256</v>
      </c>
      <c r="L1179" s="4" t="s">
        <v>241</v>
      </c>
      <c r="M1179" s="5" t="s">
        <v>402</v>
      </c>
      <c r="N1179" s="4" t="s">
        <v>3761</v>
      </c>
      <c r="O1179" s="6">
        <f>79.25</f>
        <v>79.25</v>
      </c>
      <c r="P1179" s="4" t="s">
        <v>276</v>
      </c>
      <c r="Q1179" s="6">
        <f>1613385</f>
        <v>1613385</v>
      </c>
      <c r="R1179" s="6">
        <f>1845975</f>
        <v>1845975</v>
      </c>
      <c r="S1179" s="5" t="s">
        <v>640</v>
      </c>
      <c r="T1179" s="4" t="s">
        <v>274</v>
      </c>
      <c r="U1179" s="4" t="s">
        <v>323</v>
      </c>
      <c r="V1179" s="6">
        <f>77530</f>
        <v>77530</v>
      </c>
      <c r="W1179" s="6">
        <f>232590</f>
        <v>232590</v>
      </c>
      <c r="X1179" s="4" t="s">
        <v>243</v>
      </c>
      <c r="Y1179" s="4" t="s">
        <v>244</v>
      </c>
      <c r="Z1179" s="4" t="s">
        <v>241</v>
      </c>
      <c r="AA1179" s="4" t="s">
        <v>241</v>
      </c>
      <c r="AD1179" s="4" t="s">
        <v>241</v>
      </c>
      <c r="AE1179" s="5" t="s">
        <v>241</v>
      </c>
      <c r="AF1179" s="5" t="s">
        <v>241</v>
      </c>
      <c r="AH1179" s="5" t="s">
        <v>241</v>
      </c>
      <c r="AI1179" s="5" t="s">
        <v>249</v>
      </c>
      <c r="AJ1179" s="4" t="s">
        <v>251</v>
      </c>
      <c r="AK1179" s="4" t="s">
        <v>252</v>
      </c>
      <c r="AQ1179" s="4" t="s">
        <v>241</v>
      </c>
      <c r="AR1179" s="4" t="s">
        <v>241</v>
      </c>
      <c r="AS1179" s="4" t="s">
        <v>241</v>
      </c>
      <c r="AT1179" s="5" t="s">
        <v>241</v>
      </c>
      <c r="AU1179" s="5" t="s">
        <v>241</v>
      </c>
      <c r="AV1179" s="5" t="s">
        <v>241</v>
      </c>
      <c r="AY1179" s="4" t="s">
        <v>286</v>
      </c>
      <c r="AZ1179" s="4" t="s">
        <v>286</v>
      </c>
      <c r="BA1179" s="4" t="s">
        <v>254</v>
      </c>
      <c r="BB1179" s="4" t="s">
        <v>287</v>
      </c>
      <c r="BC1179" s="4" t="s">
        <v>255</v>
      </c>
      <c r="BD1179" s="4" t="s">
        <v>241</v>
      </c>
      <c r="BE1179" s="4" t="s">
        <v>257</v>
      </c>
      <c r="BF1179" s="4" t="s">
        <v>241</v>
      </c>
      <c r="BJ1179" s="4" t="s">
        <v>288</v>
      </c>
      <c r="BK1179" s="5" t="s">
        <v>289</v>
      </c>
      <c r="BL1179" s="4" t="s">
        <v>290</v>
      </c>
      <c r="BM1179" s="4" t="s">
        <v>290</v>
      </c>
      <c r="BN1179" s="4" t="s">
        <v>241</v>
      </c>
      <c r="BO1179" s="6">
        <f>0</f>
        <v>0</v>
      </c>
      <c r="BP1179" s="6">
        <f>-77530</f>
        <v>-77530</v>
      </c>
      <c r="BQ1179" s="4" t="s">
        <v>263</v>
      </c>
      <c r="BR1179" s="4" t="s">
        <v>264</v>
      </c>
      <c r="BS1179" s="4" t="s">
        <v>241</v>
      </c>
      <c r="BT1179" s="4" t="s">
        <v>241</v>
      </c>
      <c r="BU1179" s="4" t="s">
        <v>241</v>
      </c>
      <c r="BV1179" s="4" t="s">
        <v>241</v>
      </c>
      <c r="CE1179" s="4" t="s">
        <v>264</v>
      </c>
      <c r="CF1179" s="4" t="s">
        <v>241</v>
      </c>
      <c r="CG1179" s="4" t="s">
        <v>241</v>
      </c>
      <c r="CK1179" s="4" t="s">
        <v>291</v>
      </c>
      <c r="CL1179" s="4" t="s">
        <v>266</v>
      </c>
      <c r="CM1179" s="4" t="s">
        <v>241</v>
      </c>
      <c r="CO1179" s="4" t="s">
        <v>421</v>
      </c>
      <c r="CP1179" s="5" t="s">
        <v>268</v>
      </c>
      <c r="CQ1179" s="4" t="s">
        <v>269</v>
      </c>
      <c r="CR1179" s="4" t="s">
        <v>270</v>
      </c>
      <c r="CS1179" s="4" t="s">
        <v>293</v>
      </c>
      <c r="CT1179" s="4" t="s">
        <v>241</v>
      </c>
      <c r="CU1179" s="4">
        <v>4.2000000000000003E-2</v>
      </c>
      <c r="CV1179" s="4" t="s">
        <v>271</v>
      </c>
      <c r="CW1179" s="4" t="s">
        <v>272</v>
      </c>
      <c r="CX1179" s="4" t="s">
        <v>273</v>
      </c>
      <c r="CY1179" s="6">
        <f>0</f>
        <v>0</v>
      </c>
      <c r="CZ1179" s="6">
        <f>1845975</f>
        <v>1845975</v>
      </c>
      <c r="DA1179" s="6">
        <f>1613385</f>
        <v>1613385</v>
      </c>
      <c r="DC1179" s="4" t="s">
        <v>241</v>
      </c>
      <c r="DD1179" s="4" t="s">
        <v>241</v>
      </c>
      <c r="DF1179" s="4" t="s">
        <v>241</v>
      </c>
      <c r="DG1179" s="6">
        <f>0</f>
        <v>0</v>
      </c>
      <c r="DI1179" s="4" t="s">
        <v>241</v>
      </c>
      <c r="DJ1179" s="4" t="s">
        <v>241</v>
      </c>
      <c r="DK1179" s="4" t="s">
        <v>241</v>
      </c>
      <c r="DL1179" s="4" t="s">
        <v>241</v>
      </c>
      <c r="DM1179" s="4" t="s">
        <v>277</v>
      </c>
      <c r="DN1179" s="4" t="s">
        <v>278</v>
      </c>
      <c r="DO1179" s="6">
        <f>79.25</f>
        <v>79.25</v>
      </c>
      <c r="DP1179" s="4" t="s">
        <v>241</v>
      </c>
      <c r="DQ1179" s="4" t="s">
        <v>241</v>
      </c>
      <c r="DR1179" s="4" t="s">
        <v>241</v>
      </c>
      <c r="DS1179" s="4" t="s">
        <v>241</v>
      </c>
      <c r="DV1179" s="4" t="s">
        <v>641</v>
      </c>
      <c r="DW1179" s="4" t="s">
        <v>427</v>
      </c>
      <c r="GN1179" s="4" t="s">
        <v>3762</v>
      </c>
      <c r="HO1179" s="4" t="s">
        <v>336</v>
      </c>
      <c r="HR1179" s="4" t="s">
        <v>278</v>
      </c>
      <c r="HS1179" s="4" t="s">
        <v>278</v>
      </c>
      <c r="HT1179" s="4" t="s">
        <v>241</v>
      </c>
      <c r="HU1179" s="4" t="s">
        <v>241</v>
      </c>
      <c r="HV1179" s="4" t="s">
        <v>241</v>
      </c>
      <c r="HW1179" s="4" t="s">
        <v>241</v>
      </c>
      <c r="HX1179" s="4" t="s">
        <v>241</v>
      </c>
      <c r="HY1179" s="4" t="s">
        <v>241</v>
      </c>
      <c r="HZ1179" s="4" t="s">
        <v>241</v>
      </c>
      <c r="IA1179" s="4" t="s">
        <v>241</v>
      </c>
      <c r="IB1179" s="4" t="s">
        <v>241</v>
      </c>
      <c r="IC1179" s="4" t="s">
        <v>241</v>
      </c>
      <c r="ID1179" s="4" t="s">
        <v>241</v>
      </c>
      <c r="IE1179" s="4" t="s">
        <v>241</v>
      </c>
      <c r="IF1179" s="4" t="s">
        <v>241</v>
      </c>
    </row>
    <row r="1180" spans="1:240" x14ac:dyDescent="0.4">
      <c r="A1180" s="4">
        <v>2</v>
      </c>
      <c r="B1180" s="4" t="s">
        <v>239</v>
      </c>
      <c r="C1180" s="4">
        <v>1479</v>
      </c>
      <c r="D1180" s="4">
        <v>1</v>
      </c>
      <c r="E1180" s="4">
        <v>3</v>
      </c>
      <c r="F1180" s="4" t="s">
        <v>240</v>
      </c>
      <c r="G1180" s="4" t="s">
        <v>241</v>
      </c>
      <c r="H1180" s="4" t="s">
        <v>241</v>
      </c>
      <c r="I1180" s="4" t="s">
        <v>1616</v>
      </c>
      <c r="J1180" s="4" t="s">
        <v>1389</v>
      </c>
      <c r="K1180" s="4" t="s">
        <v>256</v>
      </c>
      <c r="L1180" s="4" t="s">
        <v>1387</v>
      </c>
      <c r="M1180" s="5" t="s">
        <v>419</v>
      </c>
      <c r="N1180" s="4" t="s">
        <v>1387</v>
      </c>
      <c r="O1180" s="6">
        <f>801.59</f>
        <v>801.59</v>
      </c>
      <c r="P1180" s="4" t="s">
        <v>276</v>
      </c>
      <c r="Q1180" s="6">
        <f>162754852</f>
        <v>162754852</v>
      </c>
      <c r="R1180" s="6">
        <f>301397840</f>
        <v>301397840</v>
      </c>
      <c r="S1180" s="5" t="s">
        <v>1617</v>
      </c>
      <c r="T1180" s="4" t="s">
        <v>296</v>
      </c>
      <c r="U1180" s="4" t="s">
        <v>314</v>
      </c>
      <c r="V1180" s="6">
        <f>6027956</f>
        <v>6027956</v>
      </c>
      <c r="W1180" s="6">
        <f>138642988</f>
        <v>138642988</v>
      </c>
      <c r="X1180" s="4" t="s">
        <v>243</v>
      </c>
      <c r="Y1180" s="4" t="s">
        <v>244</v>
      </c>
      <c r="Z1180" s="4" t="s">
        <v>1338</v>
      </c>
      <c r="AA1180" s="4" t="s">
        <v>241</v>
      </c>
      <c r="AD1180" s="4" t="s">
        <v>241</v>
      </c>
      <c r="AE1180" s="5" t="s">
        <v>241</v>
      </c>
      <c r="AF1180" s="5" t="s">
        <v>241</v>
      </c>
      <c r="AH1180" s="5" t="s">
        <v>241</v>
      </c>
      <c r="AI1180" s="5" t="s">
        <v>249</v>
      </c>
      <c r="AJ1180" s="4" t="s">
        <v>251</v>
      </c>
      <c r="AK1180" s="4" t="s">
        <v>252</v>
      </c>
      <c r="AQ1180" s="4" t="s">
        <v>241</v>
      </c>
      <c r="AR1180" s="4" t="s">
        <v>241</v>
      </c>
      <c r="AS1180" s="4" t="s">
        <v>241</v>
      </c>
      <c r="AT1180" s="5" t="s">
        <v>241</v>
      </c>
      <c r="AU1180" s="5" t="s">
        <v>241</v>
      </c>
      <c r="AV1180" s="5" t="s">
        <v>241</v>
      </c>
      <c r="AY1180" s="4" t="s">
        <v>286</v>
      </c>
      <c r="AZ1180" s="4" t="s">
        <v>286</v>
      </c>
      <c r="BA1180" s="4" t="s">
        <v>254</v>
      </c>
      <c r="BB1180" s="4" t="s">
        <v>287</v>
      </c>
      <c r="BC1180" s="4" t="s">
        <v>255</v>
      </c>
      <c r="BD1180" s="4" t="s">
        <v>241</v>
      </c>
      <c r="BE1180" s="4" t="s">
        <v>257</v>
      </c>
      <c r="BF1180" s="4" t="s">
        <v>241</v>
      </c>
      <c r="BJ1180" s="4" t="s">
        <v>288</v>
      </c>
      <c r="BK1180" s="5" t="s">
        <v>289</v>
      </c>
      <c r="BL1180" s="4" t="s">
        <v>290</v>
      </c>
      <c r="BM1180" s="4" t="s">
        <v>290</v>
      </c>
      <c r="BN1180" s="4" t="s">
        <v>241</v>
      </c>
      <c r="BO1180" s="6">
        <f>0</f>
        <v>0</v>
      </c>
      <c r="BP1180" s="6">
        <f>-6027956</f>
        <v>-6027956</v>
      </c>
      <c r="BQ1180" s="4" t="s">
        <v>263</v>
      </c>
      <c r="BR1180" s="4" t="s">
        <v>264</v>
      </c>
      <c r="BS1180" s="4" t="s">
        <v>241</v>
      </c>
      <c r="BT1180" s="4" t="s">
        <v>241</v>
      </c>
      <c r="BU1180" s="4" t="s">
        <v>241</v>
      </c>
      <c r="BV1180" s="4" t="s">
        <v>241</v>
      </c>
      <c r="CE1180" s="4" t="s">
        <v>264</v>
      </c>
      <c r="CF1180" s="4" t="s">
        <v>241</v>
      </c>
      <c r="CG1180" s="4" t="s">
        <v>241</v>
      </c>
      <c r="CK1180" s="4" t="s">
        <v>291</v>
      </c>
      <c r="CL1180" s="4" t="s">
        <v>266</v>
      </c>
      <c r="CM1180" s="4" t="s">
        <v>241</v>
      </c>
      <c r="CO1180" s="4" t="s">
        <v>313</v>
      </c>
      <c r="CP1180" s="5" t="s">
        <v>268</v>
      </c>
      <c r="CQ1180" s="4" t="s">
        <v>269</v>
      </c>
      <c r="CR1180" s="4" t="s">
        <v>270</v>
      </c>
      <c r="CS1180" s="4" t="s">
        <v>293</v>
      </c>
      <c r="CT1180" s="4" t="s">
        <v>241</v>
      </c>
      <c r="CU1180" s="4">
        <v>0.02</v>
      </c>
      <c r="CV1180" s="4" t="s">
        <v>271</v>
      </c>
      <c r="CW1180" s="4" t="s">
        <v>1618</v>
      </c>
      <c r="CX1180" s="4" t="s">
        <v>295</v>
      </c>
      <c r="CY1180" s="6">
        <f>0</f>
        <v>0</v>
      </c>
      <c r="CZ1180" s="6">
        <f>301397840</f>
        <v>301397840</v>
      </c>
      <c r="DA1180" s="6">
        <f>162754852</f>
        <v>162754852</v>
      </c>
      <c r="DC1180" s="4" t="s">
        <v>241</v>
      </c>
      <c r="DD1180" s="4" t="s">
        <v>241</v>
      </c>
      <c r="DF1180" s="4" t="s">
        <v>241</v>
      </c>
      <c r="DG1180" s="6">
        <f>0</f>
        <v>0</v>
      </c>
      <c r="DI1180" s="4" t="s">
        <v>241</v>
      </c>
      <c r="DJ1180" s="4" t="s">
        <v>241</v>
      </c>
      <c r="DK1180" s="4" t="s">
        <v>241</v>
      </c>
      <c r="DL1180" s="4" t="s">
        <v>241</v>
      </c>
      <c r="DM1180" s="4" t="s">
        <v>277</v>
      </c>
      <c r="DN1180" s="4" t="s">
        <v>278</v>
      </c>
      <c r="DO1180" s="6">
        <f>801.59</f>
        <v>801.59</v>
      </c>
      <c r="DP1180" s="4" t="s">
        <v>241</v>
      </c>
      <c r="DQ1180" s="4" t="s">
        <v>241</v>
      </c>
      <c r="DR1180" s="4" t="s">
        <v>241</v>
      </c>
      <c r="DS1180" s="4" t="s">
        <v>241</v>
      </c>
      <c r="DV1180" s="4" t="s">
        <v>1619</v>
      </c>
      <c r="DW1180" s="4" t="s">
        <v>277</v>
      </c>
      <c r="GN1180" s="4" t="s">
        <v>1620</v>
      </c>
      <c r="HO1180" s="4" t="s">
        <v>300</v>
      </c>
      <c r="HR1180" s="4" t="s">
        <v>278</v>
      </c>
      <c r="HS1180" s="4" t="s">
        <v>278</v>
      </c>
      <c r="HT1180" s="4" t="s">
        <v>241</v>
      </c>
      <c r="HU1180" s="4" t="s">
        <v>241</v>
      </c>
      <c r="HV1180" s="4" t="s">
        <v>241</v>
      </c>
      <c r="HW1180" s="4" t="s">
        <v>241</v>
      </c>
      <c r="HX1180" s="4" t="s">
        <v>241</v>
      </c>
      <c r="HY1180" s="4" t="s">
        <v>241</v>
      </c>
      <c r="HZ1180" s="4" t="s">
        <v>241</v>
      </c>
      <c r="IA1180" s="4" t="s">
        <v>241</v>
      </c>
      <c r="IB1180" s="4" t="s">
        <v>241</v>
      </c>
      <c r="IC1180" s="4" t="s">
        <v>241</v>
      </c>
      <c r="ID1180" s="4" t="s">
        <v>241</v>
      </c>
      <c r="IE1180" s="4" t="s">
        <v>241</v>
      </c>
      <c r="IF1180" s="4" t="s">
        <v>241</v>
      </c>
    </row>
    <row r="1181" spans="1:240" x14ac:dyDescent="0.4">
      <c r="A1181" s="4">
        <v>2</v>
      </c>
      <c r="B1181" s="4" t="s">
        <v>239</v>
      </c>
      <c r="C1181" s="4">
        <v>1480</v>
      </c>
      <c r="D1181" s="4">
        <v>1</v>
      </c>
      <c r="E1181" s="4">
        <v>3</v>
      </c>
      <c r="F1181" s="4" t="s">
        <v>240</v>
      </c>
      <c r="G1181" s="4" t="s">
        <v>241</v>
      </c>
      <c r="H1181" s="4" t="s">
        <v>241</v>
      </c>
      <c r="I1181" s="4" t="s">
        <v>1388</v>
      </c>
      <c r="J1181" s="4" t="s">
        <v>1389</v>
      </c>
      <c r="K1181" s="4" t="s">
        <v>256</v>
      </c>
      <c r="L1181" s="4" t="s">
        <v>1387</v>
      </c>
      <c r="M1181" s="5" t="s">
        <v>1391</v>
      </c>
      <c r="N1181" s="4" t="s">
        <v>1387</v>
      </c>
      <c r="O1181" s="6">
        <f>1463.36</f>
        <v>1463.36</v>
      </c>
      <c r="P1181" s="4" t="s">
        <v>276</v>
      </c>
      <c r="Q1181" s="6">
        <f>222811199</f>
        <v>222811199</v>
      </c>
      <c r="R1181" s="6">
        <f>484372160</f>
        <v>484372160</v>
      </c>
      <c r="S1181" s="5" t="s">
        <v>1390</v>
      </c>
      <c r="T1181" s="4" t="s">
        <v>296</v>
      </c>
      <c r="U1181" s="4" t="s">
        <v>384</v>
      </c>
      <c r="V1181" s="6">
        <f>9687443</f>
        <v>9687443</v>
      </c>
      <c r="W1181" s="6">
        <f>261560961</f>
        <v>261560961</v>
      </c>
      <c r="X1181" s="4" t="s">
        <v>243</v>
      </c>
      <c r="Y1181" s="4" t="s">
        <v>244</v>
      </c>
      <c r="Z1181" s="4" t="s">
        <v>1338</v>
      </c>
      <c r="AA1181" s="4" t="s">
        <v>241</v>
      </c>
      <c r="AD1181" s="4" t="s">
        <v>241</v>
      </c>
      <c r="AE1181" s="5" t="s">
        <v>241</v>
      </c>
      <c r="AF1181" s="5" t="s">
        <v>241</v>
      </c>
      <c r="AH1181" s="5" t="s">
        <v>241</v>
      </c>
      <c r="AI1181" s="5" t="s">
        <v>249</v>
      </c>
      <c r="AJ1181" s="4" t="s">
        <v>251</v>
      </c>
      <c r="AK1181" s="4" t="s">
        <v>252</v>
      </c>
      <c r="AQ1181" s="4" t="s">
        <v>241</v>
      </c>
      <c r="AR1181" s="4" t="s">
        <v>241</v>
      </c>
      <c r="AS1181" s="4" t="s">
        <v>241</v>
      </c>
      <c r="AT1181" s="5" t="s">
        <v>241</v>
      </c>
      <c r="AU1181" s="5" t="s">
        <v>241</v>
      </c>
      <c r="AV1181" s="5" t="s">
        <v>241</v>
      </c>
      <c r="AY1181" s="4" t="s">
        <v>286</v>
      </c>
      <c r="AZ1181" s="4" t="s">
        <v>286</v>
      </c>
      <c r="BA1181" s="4" t="s">
        <v>254</v>
      </c>
      <c r="BB1181" s="4" t="s">
        <v>287</v>
      </c>
      <c r="BC1181" s="4" t="s">
        <v>255</v>
      </c>
      <c r="BD1181" s="4" t="s">
        <v>241</v>
      </c>
      <c r="BE1181" s="4" t="s">
        <v>257</v>
      </c>
      <c r="BF1181" s="4" t="s">
        <v>241</v>
      </c>
      <c r="BJ1181" s="4" t="s">
        <v>288</v>
      </c>
      <c r="BK1181" s="5" t="s">
        <v>289</v>
      </c>
      <c r="BL1181" s="4" t="s">
        <v>290</v>
      </c>
      <c r="BM1181" s="4" t="s">
        <v>290</v>
      </c>
      <c r="BN1181" s="4" t="s">
        <v>241</v>
      </c>
      <c r="BO1181" s="6">
        <f>0</f>
        <v>0</v>
      </c>
      <c r="BP1181" s="6">
        <f>-9687443</f>
        <v>-9687443</v>
      </c>
      <c r="BQ1181" s="4" t="s">
        <v>263</v>
      </c>
      <c r="BR1181" s="4" t="s">
        <v>264</v>
      </c>
      <c r="BS1181" s="4" t="s">
        <v>241</v>
      </c>
      <c r="BT1181" s="4" t="s">
        <v>241</v>
      </c>
      <c r="BU1181" s="4" t="s">
        <v>241</v>
      </c>
      <c r="BV1181" s="4" t="s">
        <v>241</v>
      </c>
      <c r="CE1181" s="4" t="s">
        <v>264</v>
      </c>
      <c r="CF1181" s="4" t="s">
        <v>241</v>
      </c>
      <c r="CG1181" s="4" t="s">
        <v>241</v>
      </c>
      <c r="CK1181" s="4" t="s">
        <v>291</v>
      </c>
      <c r="CL1181" s="4" t="s">
        <v>266</v>
      </c>
      <c r="CM1181" s="4" t="s">
        <v>241</v>
      </c>
      <c r="CO1181" s="4" t="s">
        <v>376</v>
      </c>
      <c r="CP1181" s="5" t="s">
        <v>268</v>
      </c>
      <c r="CQ1181" s="4" t="s">
        <v>269</v>
      </c>
      <c r="CR1181" s="4" t="s">
        <v>270</v>
      </c>
      <c r="CS1181" s="4" t="s">
        <v>293</v>
      </c>
      <c r="CT1181" s="4" t="s">
        <v>241</v>
      </c>
      <c r="CU1181" s="4">
        <v>0.02</v>
      </c>
      <c r="CV1181" s="4" t="s">
        <v>271</v>
      </c>
      <c r="CW1181" s="4" t="s">
        <v>1329</v>
      </c>
      <c r="CX1181" s="4" t="s">
        <v>295</v>
      </c>
      <c r="CY1181" s="6">
        <f>0</f>
        <v>0</v>
      </c>
      <c r="CZ1181" s="6">
        <f>484372160</f>
        <v>484372160</v>
      </c>
      <c r="DA1181" s="6">
        <f>222811199</f>
        <v>222811199</v>
      </c>
      <c r="DC1181" s="4" t="s">
        <v>241</v>
      </c>
      <c r="DD1181" s="4" t="s">
        <v>241</v>
      </c>
      <c r="DF1181" s="4" t="s">
        <v>241</v>
      </c>
      <c r="DG1181" s="6">
        <f>0</f>
        <v>0</v>
      </c>
      <c r="DI1181" s="4" t="s">
        <v>241</v>
      </c>
      <c r="DJ1181" s="4" t="s">
        <v>241</v>
      </c>
      <c r="DK1181" s="4" t="s">
        <v>241</v>
      </c>
      <c r="DL1181" s="4" t="s">
        <v>241</v>
      </c>
      <c r="DM1181" s="4" t="s">
        <v>277</v>
      </c>
      <c r="DN1181" s="4" t="s">
        <v>278</v>
      </c>
      <c r="DO1181" s="6">
        <f>1463.36</f>
        <v>1463.36</v>
      </c>
      <c r="DP1181" s="4" t="s">
        <v>241</v>
      </c>
      <c r="DQ1181" s="4" t="s">
        <v>241</v>
      </c>
      <c r="DR1181" s="4" t="s">
        <v>241</v>
      </c>
      <c r="DS1181" s="4" t="s">
        <v>241</v>
      </c>
      <c r="DV1181" s="4" t="s">
        <v>1392</v>
      </c>
      <c r="DW1181" s="4" t="s">
        <v>277</v>
      </c>
      <c r="GN1181" s="4" t="s">
        <v>1393</v>
      </c>
      <c r="HO1181" s="4" t="s">
        <v>300</v>
      </c>
      <c r="HR1181" s="4" t="s">
        <v>278</v>
      </c>
      <c r="HS1181" s="4" t="s">
        <v>278</v>
      </c>
      <c r="HT1181" s="4" t="s">
        <v>241</v>
      </c>
      <c r="HU1181" s="4" t="s">
        <v>241</v>
      </c>
      <c r="HV1181" s="4" t="s">
        <v>241</v>
      </c>
      <c r="HW1181" s="4" t="s">
        <v>241</v>
      </c>
      <c r="HX1181" s="4" t="s">
        <v>241</v>
      </c>
      <c r="HY1181" s="4" t="s">
        <v>241</v>
      </c>
      <c r="HZ1181" s="4" t="s">
        <v>241</v>
      </c>
      <c r="IA1181" s="4" t="s">
        <v>241</v>
      </c>
      <c r="IB1181" s="4" t="s">
        <v>241</v>
      </c>
      <c r="IC1181" s="4" t="s">
        <v>241</v>
      </c>
      <c r="ID1181" s="4" t="s">
        <v>241</v>
      </c>
      <c r="IE1181" s="4" t="s">
        <v>241</v>
      </c>
      <c r="IF1181" s="4" t="s">
        <v>241</v>
      </c>
    </row>
    <row r="1182" spans="1:240" x14ac:dyDescent="0.4">
      <c r="A1182" s="4">
        <v>2</v>
      </c>
      <c r="B1182" s="4" t="s">
        <v>239</v>
      </c>
      <c r="C1182" s="4">
        <v>1481</v>
      </c>
      <c r="D1182" s="4">
        <v>1</v>
      </c>
      <c r="E1182" s="4">
        <v>3</v>
      </c>
      <c r="F1182" s="4" t="s">
        <v>240</v>
      </c>
      <c r="G1182" s="4" t="s">
        <v>241</v>
      </c>
      <c r="H1182" s="4" t="s">
        <v>241</v>
      </c>
      <c r="I1182" s="4" t="s">
        <v>1388</v>
      </c>
      <c r="J1182" s="4" t="s">
        <v>1389</v>
      </c>
      <c r="K1182" s="4" t="s">
        <v>256</v>
      </c>
      <c r="L1182" s="4" t="s">
        <v>440</v>
      </c>
      <c r="M1182" s="5" t="s">
        <v>1391</v>
      </c>
      <c r="N1182" s="4" t="s">
        <v>1657</v>
      </c>
      <c r="O1182" s="6">
        <f>34.78</f>
        <v>34.78</v>
      </c>
      <c r="P1182" s="4" t="s">
        <v>276</v>
      </c>
      <c r="Q1182" s="6">
        <f>1</f>
        <v>1</v>
      </c>
      <c r="R1182" s="6">
        <f>5112660</f>
        <v>5112660</v>
      </c>
      <c r="S1182" s="5" t="s">
        <v>1658</v>
      </c>
      <c r="T1182" s="4" t="s">
        <v>274</v>
      </c>
      <c r="U1182" s="4" t="s">
        <v>453</v>
      </c>
      <c r="V1182" s="6">
        <f>173846</f>
        <v>173846</v>
      </c>
      <c r="W1182" s="6">
        <f>5112659</f>
        <v>5112659</v>
      </c>
      <c r="X1182" s="4" t="s">
        <v>243</v>
      </c>
      <c r="Y1182" s="4" t="s">
        <v>244</v>
      </c>
      <c r="Z1182" s="4" t="s">
        <v>1338</v>
      </c>
      <c r="AA1182" s="4" t="s">
        <v>241</v>
      </c>
      <c r="AD1182" s="4" t="s">
        <v>241</v>
      </c>
      <c r="AE1182" s="5" t="s">
        <v>241</v>
      </c>
      <c r="AF1182" s="5" t="s">
        <v>241</v>
      </c>
      <c r="AH1182" s="5" t="s">
        <v>241</v>
      </c>
      <c r="AI1182" s="5" t="s">
        <v>249</v>
      </c>
      <c r="AJ1182" s="4" t="s">
        <v>251</v>
      </c>
      <c r="AK1182" s="4" t="s">
        <v>252</v>
      </c>
      <c r="AQ1182" s="4" t="s">
        <v>241</v>
      </c>
      <c r="AR1182" s="4" t="s">
        <v>241</v>
      </c>
      <c r="AS1182" s="4" t="s">
        <v>241</v>
      </c>
      <c r="AT1182" s="5" t="s">
        <v>241</v>
      </c>
      <c r="AU1182" s="5" t="s">
        <v>241</v>
      </c>
      <c r="AV1182" s="5" t="s">
        <v>241</v>
      </c>
      <c r="AY1182" s="4" t="s">
        <v>286</v>
      </c>
      <c r="AZ1182" s="4" t="s">
        <v>286</v>
      </c>
      <c r="BA1182" s="4" t="s">
        <v>254</v>
      </c>
      <c r="BB1182" s="4" t="s">
        <v>287</v>
      </c>
      <c r="BC1182" s="4" t="s">
        <v>255</v>
      </c>
      <c r="BD1182" s="4" t="s">
        <v>241</v>
      </c>
      <c r="BE1182" s="4" t="s">
        <v>257</v>
      </c>
      <c r="BF1182" s="4" t="s">
        <v>241</v>
      </c>
      <c r="BJ1182" s="4" t="s">
        <v>288</v>
      </c>
      <c r="BK1182" s="5" t="s">
        <v>289</v>
      </c>
      <c r="BL1182" s="4" t="s">
        <v>290</v>
      </c>
      <c r="BM1182" s="4" t="s">
        <v>290</v>
      </c>
      <c r="BN1182" s="4" t="s">
        <v>241</v>
      </c>
      <c r="BO1182" s="6">
        <f>0</f>
        <v>0</v>
      </c>
      <c r="BP1182" s="6">
        <f>-173846</f>
        <v>-173846</v>
      </c>
      <c r="BQ1182" s="4" t="s">
        <v>263</v>
      </c>
      <c r="BR1182" s="4" t="s">
        <v>264</v>
      </c>
      <c r="BS1182" s="4" t="s">
        <v>241</v>
      </c>
      <c r="BT1182" s="4" t="s">
        <v>241</v>
      </c>
      <c r="BU1182" s="4" t="s">
        <v>241</v>
      </c>
      <c r="BV1182" s="4" t="s">
        <v>241</v>
      </c>
      <c r="CE1182" s="4" t="s">
        <v>264</v>
      </c>
      <c r="CF1182" s="4" t="s">
        <v>241</v>
      </c>
      <c r="CG1182" s="4" t="s">
        <v>241</v>
      </c>
      <c r="CK1182" s="4" t="s">
        <v>291</v>
      </c>
      <c r="CL1182" s="4" t="s">
        <v>266</v>
      </c>
      <c r="CM1182" s="4" t="s">
        <v>241</v>
      </c>
      <c r="CO1182" s="4" t="s">
        <v>1568</v>
      </c>
      <c r="CP1182" s="5" t="s">
        <v>268</v>
      </c>
      <c r="CQ1182" s="4" t="s">
        <v>269</v>
      </c>
      <c r="CR1182" s="4" t="s">
        <v>270</v>
      </c>
      <c r="CS1182" s="4" t="s">
        <v>293</v>
      </c>
      <c r="CT1182" s="4" t="s">
        <v>241</v>
      </c>
      <c r="CU1182" s="4">
        <v>4.2000000000000003E-2</v>
      </c>
      <c r="CV1182" s="4" t="s">
        <v>271</v>
      </c>
      <c r="CW1182" s="4" t="s">
        <v>1618</v>
      </c>
      <c r="CX1182" s="4" t="s">
        <v>347</v>
      </c>
      <c r="CY1182" s="6">
        <f>0</f>
        <v>0</v>
      </c>
      <c r="CZ1182" s="6">
        <f>5112660</f>
        <v>5112660</v>
      </c>
      <c r="DA1182" s="6">
        <f>1</f>
        <v>1</v>
      </c>
      <c r="DC1182" s="4" t="s">
        <v>241</v>
      </c>
      <c r="DD1182" s="4" t="s">
        <v>241</v>
      </c>
      <c r="DF1182" s="4" t="s">
        <v>241</v>
      </c>
      <c r="DG1182" s="6">
        <f>0</f>
        <v>0</v>
      </c>
      <c r="DI1182" s="4" t="s">
        <v>241</v>
      </c>
      <c r="DJ1182" s="4" t="s">
        <v>241</v>
      </c>
      <c r="DK1182" s="4" t="s">
        <v>241</v>
      </c>
      <c r="DL1182" s="4" t="s">
        <v>241</v>
      </c>
      <c r="DM1182" s="4" t="s">
        <v>277</v>
      </c>
      <c r="DN1182" s="4" t="s">
        <v>278</v>
      </c>
      <c r="DO1182" s="6">
        <f>34.78</f>
        <v>34.78</v>
      </c>
      <c r="DP1182" s="4" t="s">
        <v>241</v>
      </c>
      <c r="DQ1182" s="4" t="s">
        <v>241</v>
      </c>
      <c r="DR1182" s="4" t="s">
        <v>241</v>
      </c>
      <c r="DS1182" s="4" t="s">
        <v>241</v>
      </c>
      <c r="DV1182" s="4" t="s">
        <v>1392</v>
      </c>
      <c r="DW1182" s="4" t="s">
        <v>323</v>
      </c>
      <c r="GN1182" s="4" t="s">
        <v>1659</v>
      </c>
      <c r="HO1182" s="4" t="s">
        <v>300</v>
      </c>
      <c r="HR1182" s="4" t="s">
        <v>278</v>
      </c>
      <c r="HS1182" s="4" t="s">
        <v>278</v>
      </c>
      <c r="HT1182" s="4" t="s">
        <v>241</v>
      </c>
      <c r="HU1182" s="4" t="s">
        <v>241</v>
      </c>
      <c r="HV1182" s="4" t="s">
        <v>241</v>
      </c>
      <c r="HW1182" s="4" t="s">
        <v>241</v>
      </c>
      <c r="HX1182" s="4" t="s">
        <v>241</v>
      </c>
      <c r="HY1182" s="4" t="s">
        <v>241</v>
      </c>
      <c r="HZ1182" s="4" t="s">
        <v>241</v>
      </c>
      <c r="IA1182" s="4" t="s">
        <v>241</v>
      </c>
      <c r="IB1182" s="4" t="s">
        <v>241</v>
      </c>
      <c r="IC1182" s="4" t="s">
        <v>241</v>
      </c>
      <c r="ID1182" s="4" t="s">
        <v>241</v>
      </c>
      <c r="IE1182" s="4" t="s">
        <v>241</v>
      </c>
      <c r="IF1182" s="4" t="s">
        <v>241</v>
      </c>
    </row>
    <row r="1183" spans="1:240" x14ac:dyDescent="0.4">
      <c r="A1183" s="4">
        <v>2</v>
      </c>
      <c r="B1183" s="4" t="s">
        <v>239</v>
      </c>
      <c r="C1183" s="4">
        <v>1482</v>
      </c>
      <c r="D1183" s="4">
        <v>1</v>
      </c>
      <c r="E1183" s="4">
        <v>3</v>
      </c>
      <c r="F1183" s="4" t="s">
        <v>240</v>
      </c>
      <c r="G1183" s="4" t="s">
        <v>241</v>
      </c>
      <c r="H1183" s="4" t="s">
        <v>241</v>
      </c>
      <c r="I1183" s="4" t="s">
        <v>1654</v>
      </c>
      <c r="J1183" s="4" t="s">
        <v>1389</v>
      </c>
      <c r="K1183" s="4" t="s">
        <v>256</v>
      </c>
      <c r="L1183" s="4" t="s">
        <v>1387</v>
      </c>
      <c r="M1183" s="5" t="s">
        <v>460</v>
      </c>
      <c r="N1183" s="4" t="s">
        <v>1387</v>
      </c>
      <c r="O1183" s="6">
        <f>532.54</f>
        <v>532.54</v>
      </c>
      <c r="P1183" s="4" t="s">
        <v>276</v>
      </c>
      <c r="Q1183" s="6">
        <f>21088584</f>
        <v>21088584</v>
      </c>
      <c r="R1183" s="6">
        <f>95857200</f>
        <v>95857200</v>
      </c>
      <c r="S1183" s="5" t="s">
        <v>382</v>
      </c>
      <c r="T1183" s="4" t="s">
        <v>296</v>
      </c>
      <c r="U1183" s="4" t="s">
        <v>333</v>
      </c>
      <c r="V1183" s="6">
        <f>1917144</f>
        <v>1917144</v>
      </c>
      <c r="W1183" s="6">
        <f>74768616</f>
        <v>74768616</v>
      </c>
      <c r="X1183" s="4" t="s">
        <v>243</v>
      </c>
      <c r="Y1183" s="4" t="s">
        <v>244</v>
      </c>
      <c r="Z1183" s="4" t="s">
        <v>1338</v>
      </c>
      <c r="AA1183" s="4" t="s">
        <v>241</v>
      </c>
      <c r="AD1183" s="4" t="s">
        <v>241</v>
      </c>
      <c r="AE1183" s="5" t="s">
        <v>241</v>
      </c>
      <c r="AF1183" s="5" t="s">
        <v>241</v>
      </c>
      <c r="AH1183" s="5" t="s">
        <v>241</v>
      </c>
      <c r="AI1183" s="5" t="s">
        <v>249</v>
      </c>
      <c r="AJ1183" s="4" t="s">
        <v>251</v>
      </c>
      <c r="AK1183" s="4" t="s">
        <v>252</v>
      </c>
      <c r="AQ1183" s="4" t="s">
        <v>241</v>
      </c>
      <c r="AR1183" s="4" t="s">
        <v>241</v>
      </c>
      <c r="AS1183" s="4" t="s">
        <v>241</v>
      </c>
      <c r="AT1183" s="5" t="s">
        <v>241</v>
      </c>
      <c r="AU1183" s="5" t="s">
        <v>241</v>
      </c>
      <c r="AV1183" s="5" t="s">
        <v>241</v>
      </c>
      <c r="AY1183" s="4" t="s">
        <v>286</v>
      </c>
      <c r="AZ1183" s="4" t="s">
        <v>286</v>
      </c>
      <c r="BA1183" s="4" t="s">
        <v>254</v>
      </c>
      <c r="BB1183" s="4" t="s">
        <v>287</v>
      </c>
      <c r="BC1183" s="4" t="s">
        <v>255</v>
      </c>
      <c r="BD1183" s="4" t="s">
        <v>241</v>
      </c>
      <c r="BE1183" s="4" t="s">
        <v>257</v>
      </c>
      <c r="BF1183" s="4" t="s">
        <v>241</v>
      </c>
      <c r="BJ1183" s="4" t="s">
        <v>288</v>
      </c>
      <c r="BK1183" s="5" t="s">
        <v>289</v>
      </c>
      <c r="BL1183" s="4" t="s">
        <v>290</v>
      </c>
      <c r="BM1183" s="4" t="s">
        <v>290</v>
      </c>
      <c r="BN1183" s="4" t="s">
        <v>241</v>
      </c>
      <c r="BO1183" s="6">
        <f>0</f>
        <v>0</v>
      </c>
      <c r="BP1183" s="6">
        <f>-1917144</f>
        <v>-1917144</v>
      </c>
      <c r="BQ1183" s="4" t="s">
        <v>263</v>
      </c>
      <c r="BR1183" s="4" t="s">
        <v>264</v>
      </c>
      <c r="BS1183" s="4" t="s">
        <v>241</v>
      </c>
      <c r="BT1183" s="4" t="s">
        <v>241</v>
      </c>
      <c r="BU1183" s="4" t="s">
        <v>241</v>
      </c>
      <c r="BV1183" s="4" t="s">
        <v>241</v>
      </c>
      <c r="CE1183" s="4" t="s">
        <v>264</v>
      </c>
      <c r="CF1183" s="4" t="s">
        <v>241</v>
      </c>
      <c r="CG1183" s="4" t="s">
        <v>241</v>
      </c>
      <c r="CK1183" s="4" t="s">
        <v>265</v>
      </c>
      <c r="CL1183" s="4" t="s">
        <v>266</v>
      </c>
      <c r="CM1183" s="4" t="s">
        <v>241</v>
      </c>
      <c r="CO1183" s="4" t="s">
        <v>710</v>
      </c>
      <c r="CP1183" s="5" t="s">
        <v>268</v>
      </c>
      <c r="CQ1183" s="4" t="s">
        <v>269</v>
      </c>
      <c r="CR1183" s="4" t="s">
        <v>270</v>
      </c>
      <c r="CS1183" s="4" t="s">
        <v>293</v>
      </c>
      <c r="CT1183" s="4" t="s">
        <v>241</v>
      </c>
      <c r="CU1183" s="4">
        <v>0.02</v>
      </c>
      <c r="CV1183" s="4" t="s">
        <v>271</v>
      </c>
      <c r="CW1183" s="4" t="s">
        <v>1618</v>
      </c>
      <c r="CX1183" s="4" t="s">
        <v>295</v>
      </c>
      <c r="CY1183" s="6">
        <f>0</f>
        <v>0</v>
      </c>
      <c r="CZ1183" s="6">
        <f>95857200</f>
        <v>95857200</v>
      </c>
      <c r="DA1183" s="6">
        <f>21088584</f>
        <v>21088584</v>
      </c>
      <c r="DC1183" s="4" t="s">
        <v>241</v>
      </c>
      <c r="DD1183" s="4" t="s">
        <v>241</v>
      </c>
      <c r="DF1183" s="4" t="s">
        <v>241</v>
      </c>
      <c r="DG1183" s="6">
        <f>0</f>
        <v>0</v>
      </c>
      <c r="DI1183" s="4" t="s">
        <v>241</v>
      </c>
      <c r="DJ1183" s="4" t="s">
        <v>241</v>
      </c>
      <c r="DK1183" s="4" t="s">
        <v>241</v>
      </c>
      <c r="DL1183" s="4" t="s">
        <v>241</v>
      </c>
      <c r="DM1183" s="4" t="s">
        <v>277</v>
      </c>
      <c r="DN1183" s="4" t="s">
        <v>278</v>
      </c>
      <c r="DO1183" s="6">
        <f>532.54</f>
        <v>532.54</v>
      </c>
      <c r="DP1183" s="4" t="s">
        <v>241</v>
      </c>
      <c r="DQ1183" s="4" t="s">
        <v>241</v>
      </c>
      <c r="DR1183" s="4" t="s">
        <v>241</v>
      </c>
      <c r="DS1183" s="4" t="s">
        <v>241</v>
      </c>
      <c r="DV1183" s="4" t="s">
        <v>1655</v>
      </c>
      <c r="DW1183" s="4" t="s">
        <v>277</v>
      </c>
      <c r="GN1183" s="4" t="s">
        <v>1656</v>
      </c>
      <c r="HO1183" s="4" t="s">
        <v>300</v>
      </c>
      <c r="HR1183" s="4" t="s">
        <v>278</v>
      </c>
      <c r="HS1183" s="4" t="s">
        <v>278</v>
      </c>
      <c r="HT1183" s="4" t="s">
        <v>241</v>
      </c>
      <c r="HU1183" s="4" t="s">
        <v>241</v>
      </c>
      <c r="HV1183" s="4" t="s">
        <v>241</v>
      </c>
      <c r="HW1183" s="4" t="s">
        <v>241</v>
      </c>
      <c r="HX1183" s="4" t="s">
        <v>241</v>
      </c>
      <c r="HY1183" s="4" t="s">
        <v>241</v>
      </c>
      <c r="HZ1183" s="4" t="s">
        <v>241</v>
      </c>
      <c r="IA1183" s="4" t="s">
        <v>241</v>
      </c>
      <c r="IB1183" s="4" t="s">
        <v>241</v>
      </c>
      <c r="IC1183" s="4" t="s">
        <v>241</v>
      </c>
      <c r="ID1183" s="4" t="s">
        <v>241</v>
      </c>
      <c r="IE1183" s="4" t="s">
        <v>241</v>
      </c>
      <c r="IF1183" s="4" t="s">
        <v>241</v>
      </c>
    </row>
    <row r="1184" spans="1:240" x14ac:dyDescent="0.4">
      <c r="A1184" s="4">
        <v>2</v>
      </c>
      <c r="B1184" s="4" t="s">
        <v>239</v>
      </c>
      <c r="C1184" s="4">
        <v>1483</v>
      </c>
      <c r="D1184" s="4">
        <v>1</v>
      </c>
      <c r="E1184" s="4">
        <v>3</v>
      </c>
      <c r="F1184" s="4" t="s">
        <v>240</v>
      </c>
      <c r="G1184" s="4" t="s">
        <v>241</v>
      </c>
      <c r="H1184" s="4" t="s">
        <v>241</v>
      </c>
      <c r="I1184" s="4" t="s">
        <v>1649</v>
      </c>
      <c r="J1184" s="4" t="s">
        <v>1389</v>
      </c>
      <c r="K1184" s="4" t="s">
        <v>256</v>
      </c>
      <c r="L1184" s="4" t="s">
        <v>1387</v>
      </c>
      <c r="M1184" s="5" t="s">
        <v>1651</v>
      </c>
      <c r="N1184" s="4" t="s">
        <v>1387</v>
      </c>
      <c r="O1184" s="6">
        <f>596.7</f>
        <v>596.70000000000005</v>
      </c>
      <c r="P1184" s="4" t="s">
        <v>276</v>
      </c>
      <c r="Q1184" s="6">
        <f>15036840</f>
        <v>15036840</v>
      </c>
      <c r="R1184" s="6">
        <f>107406000</f>
        <v>107406000</v>
      </c>
      <c r="S1184" s="5" t="s">
        <v>1650</v>
      </c>
      <c r="T1184" s="4" t="s">
        <v>296</v>
      </c>
      <c r="U1184" s="4" t="s">
        <v>437</v>
      </c>
      <c r="V1184" s="6">
        <f>2148120</f>
        <v>2148120</v>
      </c>
      <c r="W1184" s="6">
        <f>92369160</f>
        <v>92369160</v>
      </c>
      <c r="X1184" s="4" t="s">
        <v>243</v>
      </c>
      <c r="Y1184" s="4" t="s">
        <v>244</v>
      </c>
      <c r="Z1184" s="4" t="s">
        <v>1338</v>
      </c>
      <c r="AA1184" s="4" t="s">
        <v>241</v>
      </c>
      <c r="AD1184" s="4" t="s">
        <v>241</v>
      </c>
      <c r="AE1184" s="5" t="s">
        <v>241</v>
      </c>
      <c r="AF1184" s="5" t="s">
        <v>241</v>
      </c>
      <c r="AH1184" s="5" t="s">
        <v>241</v>
      </c>
      <c r="AI1184" s="5" t="s">
        <v>249</v>
      </c>
      <c r="AJ1184" s="4" t="s">
        <v>251</v>
      </c>
      <c r="AK1184" s="4" t="s">
        <v>252</v>
      </c>
      <c r="AQ1184" s="4" t="s">
        <v>241</v>
      </c>
      <c r="AR1184" s="4" t="s">
        <v>241</v>
      </c>
      <c r="AS1184" s="4" t="s">
        <v>241</v>
      </c>
      <c r="AT1184" s="5" t="s">
        <v>241</v>
      </c>
      <c r="AU1184" s="5" t="s">
        <v>241</v>
      </c>
      <c r="AV1184" s="5" t="s">
        <v>241</v>
      </c>
      <c r="AY1184" s="4" t="s">
        <v>286</v>
      </c>
      <c r="AZ1184" s="4" t="s">
        <v>286</v>
      </c>
      <c r="BA1184" s="4" t="s">
        <v>254</v>
      </c>
      <c r="BB1184" s="4" t="s">
        <v>287</v>
      </c>
      <c r="BC1184" s="4" t="s">
        <v>255</v>
      </c>
      <c r="BD1184" s="4" t="s">
        <v>241</v>
      </c>
      <c r="BE1184" s="4" t="s">
        <v>257</v>
      </c>
      <c r="BF1184" s="4" t="s">
        <v>241</v>
      </c>
      <c r="BJ1184" s="4" t="s">
        <v>288</v>
      </c>
      <c r="BK1184" s="5" t="s">
        <v>289</v>
      </c>
      <c r="BL1184" s="4" t="s">
        <v>290</v>
      </c>
      <c r="BM1184" s="4" t="s">
        <v>290</v>
      </c>
      <c r="BN1184" s="4" t="s">
        <v>241</v>
      </c>
      <c r="BO1184" s="6">
        <f>0</f>
        <v>0</v>
      </c>
      <c r="BP1184" s="6">
        <f>-2148120</f>
        <v>-2148120</v>
      </c>
      <c r="BQ1184" s="4" t="s">
        <v>263</v>
      </c>
      <c r="BR1184" s="4" t="s">
        <v>264</v>
      </c>
      <c r="BS1184" s="4" t="s">
        <v>241</v>
      </c>
      <c r="BT1184" s="4" t="s">
        <v>241</v>
      </c>
      <c r="BU1184" s="4" t="s">
        <v>241</v>
      </c>
      <c r="BV1184" s="4" t="s">
        <v>241</v>
      </c>
      <c r="CE1184" s="4" t="s">
        <v>264</v>
      </c>
      <c r="CF1184" s="4" t="s">
        <v>241</v>
      </c>
      <c r="CG1184" s="4" t="s">
        <v>241</v>
      </c>
      <c r="CK1184" s="4" t="s">
        <v>265</v>
      </c>
      <c r="CL1184" s="4" t="s">
        <v>266</v>
      </c>
      <c r="CM1184" s="4" t="s">
        <v>241</v>
      </c>
      <c r="CO1184" s="4" t="s">
        <v>956</v>
      </c>
      <c r="CP1184" s="5" t="s">
        <v>268</v>
      </c>
      <c r="CQ1184" s="4" t="s">
        <v>269</v>
      </c>
      <c r="CR1184" s="4" t="s">
        <v>270</v>
      </c>
      <c r="CS1184" s="4" t="s">
        <v>293</v>
      </c>
      <c r="CT1184" s="4" t="s">
        <v>241</v>
      </c>
      <c r="CU1184" s="4">
        <v>0.02</v>
      </c>
      <c r="CV1184" s="4" t="s">
        <v>271</v>
      </c>
      <c r="CW1184" s="4" t="s">
        <v>1618</v>
      </c>
      <c r="CX1184" s="4" t="s">
        <v>295</v>
      </c>
      <c r="CY1184" s="6">
        <f>0</f>
        <v>0</v>
      </c>
      <c r="CZ1184" s="6">
        <f>107406000</f>
        <v>107406000</v>
      </c>
      <c r="DA1184" s="6">
        <f>15036840</f>
        <v>15036840</v>
      </c>
      <c r="DC1184" s="4" t="s">
        <v>241</v>
      </c>
      <c r="DD1184" s="4" t="s">
        <v>241</v>
      </c>
      <c r="DF1184" s="4" t="s">
        <v>241</v>
      </c>
      <c r="DG1184" s="6">
        <f>0</f>
        <v>0</v>
      </c>
      <c r="DI1184" s="4" t="s">
        <v>241</v>
      </c>
      <c r="DJ1184" s="4" t="s">
        <v>241</v>
      </c>
      <c r="DK1184" s="4" t="s">
        <v>241</v>
      </c>
      <c r="DL1184" s="4" t="s">
        <v>241</v>
      </c>
      <c r="DM1184" s="4" t="s">
        <v>323</v>
      </c>
      <c r="DN1184" s="4" t="s">
        <v>278</v>
      </c>
      <c r="DO1184" s="6">
        <f>596.7</f>
        <v>596.70000000000005</v>
      </c>
      <c r="DP1184" s="4" t="s">
        <v>241</v>
      </c>
      <c r="DQ1184" s="4" t="s">
        <v>241</v>
      </c>
      <c r="DR1184" s="4" t="s">
        <v>241</v>
      </c>
      <c r="DS1184" s="4" t="s">
        <v>241</v>
      </c>
      <c r="DV1184" s="4" t="s">
        <v>1652</v>
      </c>
      <c r="DW1184" s="4" t="s">
        <v>277</v>
      </c>
      <c r="GN1184" s="4" t="s">
        <v>1653</v>
      </c>
      <c r="HO1184" s="4" t="s">
        <v>300</v>
      </c>
      <c r="HR1184" s="4" t="s">
        <v>278</v>
      </c>
      <c r="HS1184" s="4" t="s">
        <v>278</v>
      </c>
      <c r="HT1184" s="4" t="s">
        <v>241</v>
      </c>
      <c r="HU1184" s="4" t="s">
        <v>241</v>
      </c>
      <c r="HV1184" s="4" t="s">
        <v>241</v>
      </c>
      <c r="HW1184" s="4" t="s">
        <v>241</v>
      </c>
      <c r="HX1184" s="4" t="s">
        <v>241</v>
      </c>
      <c r="HY1184" s="4" t="s">
        <v>241</v>
      </c>
      <c r="HZ1184" s="4" t="s">
        <v>241</v>
      </c>
      <c r="IA1184" s="4" t="s">
        <v>241</v>
      </c>
      <c r="IB1184" s="4" t="s">
        <v>241</v>
      </c>
      <c r="IC1184" s="4" t="s">
        <v>241</v>
      </c>
      <c r="ID1184" s="4" t="s">
        <v>241</v>
      </c>
      <c r="IE1184" s="4" t="s">
        <v>241</v>
      </c>
      <c r="IF1184" s="4" t="s">
        <v>241</v>
      </c>
    </row>
    <row r="1185" spans="1:240" x14ac:dyDescent="0.4">
      <c r="A1185" s="4">
        <v>2</v>
      </c>
      <c r="B1185" s="4" t="s">
        <v>239</v>
      </c>
      <c r="C1185" s="4">
        <v>1484</v>
      </c>
      <c r="D1185" s="4">
        <v>1</v>
      </c>
      <c r="E1185" s="4">
        <v>3</v>
      </c>
      <c r="F1185" s="4" t="s">
        <v>240</v>
      </c>
      <c r="G1185" s="4" t="s">
        <v>241</v>
      </c>
      <c r="H1185" s="4" t="s">
        <v>241</v>
      </c>
      <c r="I1185" s="4" t="s">
        <v>1644</v>
      </c>
      <c r="J1185" s="4" t="s">
        <v>1389</v>
      </c>
      <c r="K1185" s="4" t="s">
        <v>256</v>
      </c>
      <c r="L1185" s="4" t="s">
        <v>1387</v>
      </c>
      <c r="M1185" s="5" t="s">
        <v>1646</v>
      </c>
      <c r="N1185" s="4" t="s">
        <v>1387</v>
      </c>
      <c r="O1185" s="6">
        <f>650</f>
        <v>650</v>
      </c>
      <c r="P1185" s="4" t="s">
        <v>276</v>
      </c>
      <c r="Q1185" s="6">
        <f>57460000</f>
        <v>57460000</v>
      </c>
      <c r="R1185" s="6">
        <f>169000000</f>
        <v>169000000</v>
      </c>
      <c r="S1185" s="5" t="s">
        <v>1645</v>
      </c>
      <c r="T1185" s="4" t="s">
        <v>296</v>
      </c>
      <c r="U1185" s="4" t="s">
        <v>552</v>
      </c>
      <c r="V1185" s="6">
        <f>3380000</f>
        <v>3380000</v>
      </c>
      <c r="W1185" s="6">
        <f>111540000</f>
        <v>111540000</v>
      </c>
      <c r="X1185" s="4" t="s">
        <v>243</v>
      </c>
      <c r="Y1185" s="4" t="s">
        <v>244</v>
      </c>
      <c r="Z1185" s="4" t="s">
        <v>1338</v>
      </c>
      <c r="AA1185" s="4" t="s">
        <v>241</v>
      </c>
      <c r="AD1185" s="4" t="s">
        <v>241</v>
      </c>
      <c r="AE1185" s="5" t="s">
        <v>241</v>
      </c>
      <c r="AF1185" s="5" t="s">
        <v>241</v>
      </c>
      <c r="AH1185" s="5" t="s">
        <v>241</v>
      </c>
      <c r="AI1185" s="5" t="s">
        <v>249</v>
      </c>
      <c r="AJ1185" s="4" t="s">
        <v>251</v>
      </c>
      <c r="AK1185" s="4" t="s">
        <v>252</v>
      </c>
      <c r="AQ1185" s="4" t="s">
        <v>241</v>
      </c>
      <c r="AR1185" s="4" t="s">
        <v>241</v>
      </c>
      <c r="AS1185" s="4" t="s">
        <v>241</v>
      </c>
      <c r="AT1185" s="5" t="s">
        <v>241</v>
      </c>
      <c r="AU1185" s="5" t="s">
        <v>241</v>
      </c>
      <c r="AV1185" s="5" t="s">
        <v>241</v>
      </c>
      <c r="AY1185" s="4" t="s">
        <v>286</v>
      </c>
      <c r="AZ1185" s="4" t="s">
        <v>286</v>
      </c>
      <c r="BA1185" s="4" t="s">
        <v>254</v>
      </c>
      <c r="BB1185" s="4" t="s">
        <v>287</v>
      </c>
      <c r="BC1185" s="4" t="s">
        <v>255</v>
      </c>
      <c r="BD1185" s="4" t="s">
        <v>241</v>
      </c>
      <c r="BE1185" s="4" t="s">
        <v>257</v>
      </c>
      <c r="BF1185" s="4" t="s">
        <v>241</v>
      </c>
      <c r="BJ1185" s="4" t="s">
        <v>288</v>
      </c>
      <c r="BK1185" s="5" t="s">
        <v>289</v>
      </c>
      <c r="BL1185" s="4" t="s">
        <v>290</v>
      </c>
      <c r="BM1185" s="4" t="s">
        <v>290</v>
      </c>
      <c r="BN1185" s="4" t="s">
        <v>241</v>
      </c>
      <c r="BO1185" s="6">
        <f>0</f>
        <v>0</v>
      </c>
      <c r="BP1185" s="6">
        <f>-3380000</f>
        <v>-3380000</v>
      </c>
      <c r="BQ1185" s="4" t="s">
        <v>263</v>
      </c>
      <c r="BR1185" s="4" t="s">
        <v>264</v>
      </c>
      <c r="BS1185" s="4" t="s">
        <v>241</v>
      </c>
      <c r="BT1185" s="4" t="s">
        <v>241</v>
      </c>
      <c r="BU1185" s="4" t="s">
        <v>241</v>
      </c>
      <c r="BV1185" s="4" t="s">
        <v>241</v>
      </c>
      <c r="CE1185" s="4" t="s">
        <v>264</v>
      </c>
      <c r="CF1185" s="4" t="s">
        <v>241</v>
      </c>
      <c r="CG1185" s="4" t="s">
        <v>241</v>
      </c>
      <c r="CK1185" s="4" t="s">
        <v>291</v>
      </c>
      <c r="CL1185" s="4" t="s">
        <v>266</v>
      </c>
      <c r="CM1185" s="4" t="s">
        <v>241</v>
      </c>
      <c r="CO1185" s="4" t="s">
        <v>551</v>
      </c>
      <c r="CP1185" s="5" t="s">
        <v>268</v>
      </c>
      <c r="CQ1185" s="4" t="s">
        <v>269</v>
      </c>
      <c r="CR1185" s="4" t="s">
        <v>270</v>
      </c>
      <c r="CS1185" s="4" t="s">
        <v>293</v>
      </c>
      <c r="CT1185" s="4" t="s">
        <v>241</v>
      </c>
      <c r="CU1185" s="4">
        <v>0.02</v>
      </c>
      <c r="CV1185" s="4" t="s">
        <v>271</v>
      </c>
      <c r="CW1185" s="4" t="s">
        <v>1618</v>
      </c>
      <c r="CX1185" s="4" t="s">
        <v>295</v>
      </c>
      <c r="CY1185" s="6">
        <f>0</f>
        <v>0</v>
      </c>
      <c r="CZ1185" s="6">
        <f>169000000</f>
        <v>169000000</v>
      </c>
      <c r="DA1185" s="6">
        <f>57460000</f>
        <v>57460000</v>
      </c>
      <c r="DC1185" s="4" t="s">
        <v>241</v>
      </c>
      <c r="DD1185" s="4" t="s">
        <v>241</v>
      </c>
      <c r="DF1185" s="4" t="s">
        <v>241</v>
      </c>
      <c r="DG1185" s="6">
        <f>0</f>
        <v>0</v>
      </c>
      <c r="DI1185" s="4" t="s">
        <v>241</v>
      </c>
      <c r="DJ1185" s="4" t="s">
        <v>241</v>
      </c>
      <c r="DK1185" s="4" t="s">
        <v>241</v>
      </c>
      <c r="DL1185" s="4" t="s">
        <v>241</v>
      </c>
      <c r="DM1185" s="4" t="s">
        <v>277</v>
      </c>
      <c r="DN1185" s="4" t="s">
        <v>278</v>
      </c>
      <c r="DO1185" s="6">
        <f>650</f>
        <v>650</v>
      </c>
      <c r="DP1185" s="4" t="s">
        <v>241</v>
      </c>
      <c r="DQ1185" s="4" t="s">
        <v>241</v>
      </c>
      <c r="DR1185" s="4" t="s">
        <v>241</v>
      </c>
      <c r="DS1185" s="4" t="s">
        <v>241</v>
      </c>
      <c r="DV1185" s="4" t="s">
        <v>1647</v>
      </c>
      <c r="DW1185" s="4" t="s">
        <v>277</v>
      </c>
      <c r="GN1185" s="4" t="s">
        <v>1648</v>
      </c>
      <c r="HO1185" s="4" t="s">
        <v>300</v>
      </c>
      <c r="HR1185" s="4" t="s">
        <v>278</v>
      </c>
      <c r="HS1185" s="4" t="s">
        <v>278</v>
      </c>
      <c r="HT1185" s="4" t="s">
        <v>241</v>
      </c>
      <c r="HU1185" s="4" t="s">
        <v>241</v>
      </c>
      <c r="HV1185" s="4" t="s">
        <v>241</v>
      </c>
      <c r="HW1185" s="4" t="s">
        <v>241</v>
      </c>
      <c r="HX1185" s="4" t="s">
        <v>241</v>
      </c>
      <c r="HY1185" s="4" t="s">
        <v>241</v>
      </c>
      <c r="HZ1185" s="4" t="s">
        <v>241</v>
      </c>
      <c r="IA1185" s="4" t="s">
        <v>241</v>
      </c>
      <c r="IB1185" s="4" t="s">
        <v>241</v>
      </c>
      <c r="IC1185" s="4" t="s">
        <v>241</v>
      </c>
      <c r="ID1185" s="4" t="s">
        <v>241</v>
      </c>
      <c r="IE1185" s="4" t="s">
        <v>241</v>
      </c>
      <c r="IF1185" s="4" t="s">
        <v>241</v>
      </c>
    </row>
    <row r="1186" spans="1:240" x14ac:dyDescent="0.4">
      <c r="A1186" s="4">
        <v>2</v>
      </c>
      <c r="B1186" s="4" t="s">
        <v>239</v>
      </c>
      <c r="C1186" s="4">
        <v>1485</v>
      </c>
      <c r="D1186" s="4">
        <v>1</v>
      </c>
      <c r="E1186" s="4">
        <v>3</v>
      </c>
      <c r="F1186" s="4" t="s">
        <v>240</v>
      </c>
      <c r="G1186" s="4" t="s">
        <v>241</v>
      </c>
      <c r="H1186" s="4" t="s">
        <v>241</v>
      </c>
      <c r="I1186" s="4" t="s">
        <v>1639</v>
      </c>
      <c r="J1186" s="4" t="s">
        <v>1389</v>
      </c>
      <c r="K1186" s="4" t="s">
        <v>256</v>
      </c>
      <c r="L1186" s="4" t="s">
        <v>1387</v>
      </c>
      <c r="M1186" s="5" t="s">
        <v>1641</v>
      </c>
      <c r="N1186" s="4" t="s">
        <v>1387</v>
      </c>
      <c r="O1186" s="6">
        <f>538.39</f>
        <v>538.39</v>
      </c>
      <c r="P1186" s="4" t="s">
        <v>276</v>
      </c>
      <c r="Q1186" s="6">
        <f>23258448</f>
        <v>23258448</v>
      </c>
      <c r="R1186" s="6">
        <f>96910200</f>
        <v>96910200</v>
      </c>
      <c r="S1186" s="5" t="s">
        <v>1640</v>
      </c>
      <c r="T1186" s="4" t="s">
        <v>296</v>
      </c>
      <c r="U1186" s="4" t="s">
        <v>777</v>
      </c>
      <c r="V1186" s="6">
        <f>1938204</f>
        <v>1938204</v>
      </c>
      <c r="W1186" s="6">
        <f>73651752</f>
        <v>73651752</v>
      </c>
      <c r="X1186" s="4" t="s">
        <v>243</v>
      </c>
      <c r="Y1186" s="4" t="s">
        <v>244</v>
      </c>
      <c r="Z1186" s="4" t="s">
        <v>1338</v>
      </c>
      <c r="AA1186" s="4" t="s">
        <v>241</v>
      </c>
      <c r="AD1186" s="4" t="s">
        <v>241</v>
      </c>
      <c r="AE1186" s="5" t="s">
        <v>241</v>
      </c>
      <c r="AF1186" s="5" t="s">
        <v>241</v>
      </c>
      <c r="AH1186" s="5" t="s">
        <v>241</v>
      </c>
      <c r="AI1186" s="5" t="s">
        <v>249</v>
      </c>
      <c r="AJ1186" s="4" t="s">
        <v>251</v>
      </c>
      <c r="AK1186" s="4" t="s">
        <v>252</v>
      </c>
      <c r="AQ1186" s="4" t="s">
        <v>241</v>
      </c>
      <c r="AR1186" s="4" t="s">
        <v>241</v>
      </c>
      <c r="AS1186" s="4" t="s">
        <v>241</v>
      </c>
      <c r="AT1186" s="5" t="s">
        <v>241</v>
      </c>
      <c r="AU1186" s="5" t="s">
        <v>241</v>
      </c>
      <c r="AV1186" s="5" t="s">
        <v>241</v>
      </c>
      <c r="AY1186" s="4" t="s">
        <v>286</v>
      </c>
      <c r="AZ1186" s="4" t="s">
        <v>286</v>
      </c>
      <c r="BA1186" s="4" t="s">
        <v>254</v>
      </c>
      <c r="BB1186" s="4" t="s">
        <v>287</v>
      </c>
      <c r="BC1186" s="4" t="s">
        <v>255</v>
      </c>
      <c r="BD1186" s="4" t="s">
        <v>241</v>
      </c>
      <c r="BE1186" s="4" t="s">
        <v>257</v>
      </c>
      <c r="BF1186" s="4" t="s">
        <v>241</v>
      </c>
      <c r="BJ1186" s="4" t="s">
        <v>288</v>
      </c>
      <c r="BK1186" s="5" t="s">
        <v>289</v>
      </c>
      <c r="BL1186" s="4" t="s">
        <v>290</v>
      </c>
      <c r="BM1186" s="4" t="s">
        <v>290</v>
      </c>
      <c r="BN1186" s="4" t="s">
        <v>241</v>
      </c>
      <c r="BO1186" s="6">
        <f>0</f>
        <v>0</v>
      </c>
      <c r="BP1186" s="6">
        <f>-1938204</f>
        <v>-1938204</v>
      </c>
      <c r="BQ1186" s="4" t="s">
        <v>263</v>
      </c>
      <c r="BR1186" s="4" t="s">
        <v>264</v>
      </c>
      <c r="BS1186" s="4" t="s">
        <v>241</v>
      </c>
      <c r="BT1186" s="4" t="s">
        <v>241</v>
      </c>
      <c r="BU1186" s="4" t="s">
        <v>241</v>
      </c>
      <c r="BV1186" s="4" t="s">
        <v>241</v>
      </c>
      <c r="CE1186" s="4" t="s">
        <v>264</v>
      </c>
      <c r="CF1186" s="4" t="s">
        <v>241</v>
      </c>
      <c r="CG1186" s="4" t="s">
        <v>241</v>
      </c>
      <c r="CK1186" s="4" t="s">
        <v>265</v>
      </c>
      <c r="CL1186" s="4" t="s">
        <v>266</v>
      </c>
      <c r="CM1186" s="4" t="s">
        <v>241</v>
      </c>
      <c r="CO1186" s="4" t="s">
        <v>662</v>
      </c>
      <c r="CP1186" s="5" t="s">
        <v>268</v>
      </c>
      <c r="CQ1186" s="4" t="s">
        <v>269</v>
      </c>
      <c r="CR1186" s="4" t="s">
        <v>270</v>
      </c>
      <c r="CS1186" s="4" t="s">
        <v>293</v>
      </c>
      <c r="CT1186" s="4" t="s">
        <v>241</v>
      </c>
      <c r="CU1186" s="4">
        <v>0.02</v>
      </c>
      <c r="CV1186" s="4" t="s">
        <v>271</v>
      </c>
      <c r="CW1186" s="4" t="s">
        <v>1618</v>
      </c>
      <c r="CX1186" s="4" t="s">
        <v>295</v>
      </c>
      <c r="CY1186" s="6">
        <f>0</f>
        <v>0</v>
      </c>
      <c r="CZ1186" s="6">
        <f>96910200</f>
        <v>96910200</v>
      </c>
      <c r="DA1186" s="6">
        <f>23258448</f>
        <v>23258448</v>
      </c>
      <c r="DC1186" s="4" t="s">
        <v>241</v>
      </c>
      <c r="DD1186" s="4" t="s">
        <v>241</v>
      </c>
      <c r="DF1186" s="4" t="s">
        <v>241</v>
      </c>
      <c r="DG1186" s="6">
        <f>0</f>
        <v>0</v>
      </c>
      <c r="DI1186" s="4" t="s">
        <v>241</v>
      </c>
      <c r="DJ1186" s="4" t="s">
        <v>241</v>
      </c>
      <c r="DK1186" s="4" t="s">
        <v>241</v>
      </c>
      <c r="DL1186" s="4" t="s">
        <v>241</v>
      </c>
      <c r="DM1186" s="4" t="s">
        <v>277</v>
      </c>
      <c r="DN1186" s="4" t="s">
        <v>278</v>
      </c>
      <c r="DO1186" s="6">
        <f>538.39</f>
        <v>538.39</v>
      </c>
      <c r="DP1186" s="4" t="s">
        <v>241</v>
      </c>
      <c r="DQ1186" s="4" t="s">
        <v>241</v>
      </c>
      <c r="DR1186" s="4" t="s">
        <v>241</v>
      </c>
      <c r="DS1186" s="4" t="s">
        <v>241</v>
      </c>
      <c r="DV1186" s="4" t="s">
        <v>1642</v>
      </c>
      <c r="DW1186" s="4" t="s">
        <v>277</v>
      </c>
      <c r="GN1186" s="4" t="s">
        <v>1643</v>
      </c>
      <c r="HO1186" s="4" t="s">
        <v>300</v>
      </c>
      <c r="HR1186" s="4" t="s">
        <v>278</v>
      </c>
      <c r="HS1186" s="4" t="s">
        <v>278</v>
      </c>
      <c r="HT1186" s="4" t="s">
        <v>241</v>
      </c>
      <c r="HU1186" s="4" t="s">
        <v>241</v>
      </c>
      <c r="HV1186" s="4" t="s">
        <v>241</v>
      </c>
      <c r="HW1186" s="4" t="s">
        <v>241</v>
      </c>
      <c r="HX1186" s="4" t="s">
        <v>241</v>
      </c>
      <c r="HY1186" s="4" t="s">
        <v>241</v>
      </c>
      <c r="HZ1186" s="4" t="s">
        <v>241</v>
      </c>
      <c r="IA1186" s="4" t="s">
        <v>241</v>
      </c>
      <c r="IB1186" s="4" t="s">
        <v>241</v>
      </c>
      <c r="IC1186" s="4" t="s">
        <v>241</v>
      </c>
      <c r="ID1186" s="4" t="s">
        <v>241</v>
      </c>
      <c r="IE1186" s="4" t="s">
        <v>241</v>
      </c>
      <c r="IF1186" s="4" t="s">
        <v>241</v>
      </c>
    </row>
    <row r="1187" spans="1:240" x14ac:dyDescent="0.4">
      <c r="A1187" s="4">
        <v>2</v>
      </c>
      <c r="B1187" s="4" t="s">
        <v>239</v>
      </c>
      <c r="C1187" s="4">
        <v>1486</v>
      </c>
      <c r="D1187" s="4">
        <v>1</v>
      </c>
      <c r="E1187" s="4">
        <v>1</v>
      </c>
      <c r="F1187" s="4" t="s">
        <v>240</v>
      </c>
      <c r="G1187" s="4" t="s">
        <v>241</v>
      </c>
      <c r="H1187" s="4" t="s">
        <v>241</v>
      </c>
      <c r="I1187" s="4" t="s">
        <v>1639</v>
      </c>
      <c r="J1187" s="4" t="s">
        <v>1389</v>
      </c>
      <c r="K1187" s="4" t="s">
        <v>256</v>
      </c>
      <c r="L1187" s="4" t="s">
        <v>454</v>
      </c>
      <c r="M1187" s="5" t="s">
        <v>1641</v>
      </c>
      <c r="N1187" s="4" t="s">
        <v>454</v>
      </c>
      <c r="O1187" s="6">
        <f>21.84</f>
        <v>21.84</v>
      </c>
      <c r="P1187" s="4" t="s">
        <v>276</v>
      </c>
      <c r="Q1187" s="6">
        <f>1</f>
        <v>1</v>
      </c>
      <c r="R1187" s="6">
        <f>1769040</f>
        <v>1769040</v>
      </c>
      <c r="S1187" s="5" t="s">
        <v>3351</v>
      </c>
      <c r="T1187" s="4" t="s">
        <v>401</v>
      </c>
      <c r="U1187" s="4" t="s">
        <v>453</v>
      </c>
      <c r="W1187" s="6">
        <f>1769039</f>
        <v>1769039</v>
      </c>
      <c r="X1187" s="4" t="s">
        <v>243</v>
      </c>
      <c r="Y1187" s="4" t="s">
        <v>244</v>
      </c>
      <c r="Z1187" s="4" t="s">
        <v>1338</v>
      </c>
      <c r="AA1187" s="4" t="s">
        <v>241</v>
      </c>
      <c r="AD1187" s="4" t="s">
        <v>241</v>
      </c>
      <c r="AF1187" s="5" t="s">
        <v>241</v>
      </c>
      <c r="AI1187" s="5" t="s">
        <v>249</v>
      </c>
      <c r="AJ1187" s="4" t="s">
        <v>251</v>
      </c>
      <c r="AK1187" s="4" t="s">
        <v>252</v>
      </c>
      <c r="BA1187" s="4" t="s">
        <v>254</v>
      </c>
      <c r="BB1187" s="4" t="s">
        <v>241</v>
      </c>
      <c r="BC1187" s="4" t="s">
        <v>255</v>
      </c>
      <c r="BD1187" s="4" t="s">
        <v>241</v>
      </c>
      <c r="BE1187" s="4" t="s">
        <v>257</v>
      </c>
      <c r="BF1187" s="4" t="s">
        <v>241</v>
      </c>
      <c r="BJ1187" s="4" t="s">
        <v>367</v>
      </c>
      <c r="BK1187" s="5" t="s">
        <v>249</v>
      </c>
      <c r="BL1187" s="4" t="s">
        <v>261</v>
      </c>
      <c r="BM1187" s="4" t="s">
        <v>262</v>
      </c>
      <c r="BN1187" s="4" t="s">
        <v>241</v>
      </c>
      <c r="BO1187" s="6">
        <f>0</f>
        <v>0</v>
      </c>
      <c r="BP1187" s="6">
        <f>0</f>
        <v>0</v>
      </c>
      <c r="BQ1187" s="4" t="s">
        <v>263</v>
      </c>
      <c r="BR1187" s="4" t="s">
        <v>264</v>
      </c>
      <c r="CF1187" s="4" t="s">
        <v>241</v>
      </c>
      <c r="CG1187" s="4" t="s">
        <v>241</v>
      </c>
      <c r="CK1187" s="4" t="s">
        <v>291</v>
      </c>
      <c r="CL1187" s="4" t="s">
        <v>266</v>
      </c>
      <c r="CM1187" s="4" t="s">
        <v>241</v>
      </c>
      <c r="CO1187" s="4" t="s">
        <v>452</v>
      </c>
      <c r="CP1187" s="5" t="s">
        <v>268</v>
      </c>
      <c r="CQ1187" s="4" t="s">
        <v>269</v>
      </c>
      <c r="CR1187" s="4" t="s">
        <v>270</v>
      </c>
      <c r="CS1187" s="4" t="s">
        <v>241</v>
      </c>
      <c r="CT1187" s="4" t="s">
        <v>241</v>
      </c>
      <c r="CU1187" s="4">
        <v>0</v>
      </c>
      <c r="CV1187" s="4" t="s">
        <v>271</v>
      </c>
      <c r="CW1187" s="4" t="s">
        <v>455</v>
      </c>
      <c r="CX1187" s="4" t="s">
        <v>347</v>
      </c>
      <c r="CZ1187" s="6">
        <f>1769040</f>
        <v>1769040</v>
      </c>
      <c r="DA1187" s="6">
        <f>0</f>
        <v>0</v>
      </c>
      <c r="DC1187" s="4" t="s">
        <v>241</v>
      </c>
      <c r="DD1187" s="4" t="s">
        <v>241</v>
      </c>
      <c r="DF1187" s="4" t="s">
        <v>241</v>
      </c>
      <c r="DI1187" s="4" t="s">
        <v>241</v>
      </c>
      <c r="DJ1187" s="4" t="s">
        <v>241</v>
      </c>
      <c r="DK1187" s="4" t="s">
        <v>241</v>
      </c>
      <c r="DL1187" s="4" t="s">
        <v>241</v>
      </c>
      <c r="DM1187" s="4" t="s">
        <v>277</v>
      </c>
      <c r="DN1187" s="4" t="s">
        <v>278</v>
      </c>
      <c r="DO1187" s="6">
        <f>21.84</f>
        <v>21.84</v>
      </c>
      <c r="DP1187" s="4" t="s">
        <v>241</v>
      </c>
      <c r="DQ1187" s="4" t="s">
        <v>241</v>
      </c>
      <c r="DR1187" s="4" t="s">
        <v>241</v>
      </c>
      <c r="DS1187" s="4" t="s">
        <v>241</v>
      </c>
      <c r="DV1187" s="4" t="s">
        <v>1642</v>
      </c>
      <c r="DW1187" s="4" t="s">
        <v>323</v>
      </c>
      <c r="HO1187" s="4" t="s">
        <v>277</v>
      </c>
      <c r="HR1187" s="4" t="s">
        <v>278</v>
      </c>
      <c r="HS1187" s="4" t="s">
        <v>278</v>
      </c>
    </row>
    <row r="1188" spans="1:240" x14ac:dyDescent="0.4">
      <c r="A1188" s="4">
        <v>2</v>
      </c>
      <c r="B1188" s="4" t="s">
        <v>239</v>
      </c>
      <c r="C1188" s="4">
        <v>1487</v>
      </c>
      <c r="D1188" s="4">
        <v>1</v>
      </c>
      <c r="E1188" s="4">
        <v>3</v>
      </c>
      <c r="F1188" s="4" t="s">
        <v>240</v>
      </c>
      <c r="G1188" s="4" t="s">
        <v>241</v>
      </c>
      <c r="H1188" s="4" t="s">
        <v>241</v>
      </c>
      <c r="I1188" s="4" t="s">
        <v>1635</v>
      </c>
      <c r="J1188" s="4" t="s">
        <v>1389</v>
      </c>
      <c r="K1188" s="4" t="s">
        <v>256</v>
      </c>
      <c r="L1188" s="4" t="s">
        <v>1387</v>
      </c>
      <c r="M1188" s="5" t="s">
        <v>512</v>
      </c>
      <c r="N1188" s="4" t="s">
        <v>1387</v>
      </c>
      <c r="O1188" s="6">
        <f>530.63</f>
        <v>530.63</v>
      </c>
      <c r="P1188" s="4" t="s">
        <v>276</v>
      </c>
      <c r="Q1188" s="6">
        <f>38629864</f>
        <v>38629864</v>
      </c>
      <c r="R1188" s="6">
        <f>137963800</f>
        <v>137963800</v>
      </c>
      <c r="S1188" s="5" t="s">
        <v>1636</v>
      </c>
      <c r="T1188" s="4" t="s">
        <v>296</v>
      </c>
      <c r="U1188" s="4" t="s">
        <v>669</v>
      </c>
      <c r="V1188" s="6">
        <f>2759276</f>
        <v>2759276</v>
      </c>
      <c r="W1188" s="6">
        <f>99333936</f>
        <v>99333936</v>
      </c>
      <c r="X1188" s="4" t="s">
        <v>243</v>
      </c>
      <c r="Y1188" s="4" t="s">
        <v>244</v>
      </c>
      <c r="Z1188" s="4" t="s">
        <v>1338</v>
      </c>
      <c r="AA1188" s="4" t="s">
        <v>241</v>
      </c>
      <c r="AD1188" s="4" t="s">
        <v>241</v>
      </c>
      <c r="AE1188" s="5" t="s">
        <v>241</v>
      </c>
      <c r="AF1188" s="5" t="s">
        <v>241</v>
      </c>
      <c r="AH1188" s="5" t="s">
        <v>241</v>
      </c>
      <c r="AI1188" s="5" t="s">
        <v>249</v>
      </c>
      <c r="AJ1188" s="4" t="s">
        <v>251</v>
      </c>
      <c r="AK1188" s="4" t="s">
        <v>252</v>
      </c>
      <c r="AQ1188" s="4" t="s">
        <v>241</v>
      </c>
      <c r="AR1188" s="4" t="s">
        <v>241</v>
      </c>
      <c r="AS1188" s="4" t="s">
        <v>241</v>
      </c>
      <c r="AT1188" s="5" t="s">
        <v>241</v>
      </c>
      <c r="AU1188" s="5" t="s">
        <v>241</v>
      </c>
      <c r="AV1188" s="5" t="s">
        <v>241</v>
      </c>
      <c r="AY1188" s="4" t="s">
        <v>286</v>
      </c>
      <c r="AZ1188" s="4" t="s">
        <v>286</v>
      </c>
      <c r="BA1188" s="4" t="s">
        <v>254</v>
      </c>
      <c r="BB1188" s="4" t="s">
        <v>287</v>
      </c>
      <c r="BC1188" s="4" t="s">
        <v>255</v>
      </c>
      <c r="BD1188" s="4" t="s">
        <v>241</v>
      </c>
      <c r="BE1188" s="4" t="s">
        <v>257</v>
      </c>
      <c r="BF1188" s="4" t="s">
        <v>241</v>
      </c>
      <c r="BJ1188" s="4" t="s">
        <v>288</v>
      </c>
      <c r="BK1188" s="5" t="s">
        <v>289</v>
      </c>
      <c r="BL1188" s="4" t="s">
        <v>290</v>
      </c>
      <c r="BM1188" s="4" t="s">
        <v>290</v>
      </c>
      <c r="BN1188" s="4" t="s">
        <v>241</v>
      </c>
      <c r="BO1188" s="6">
        <f>0</f>
        <v>0</v>
      </c>
      <c r="BP1188" s="6">
        <f>-2759276</f>
        <v>-2759276</v>
      </c>
      <c r="BQ1188" s="4" t="s">
        <v>263</v>
      </c>
      <c r="BR1188" s="4" t="s">
        <v>264</v>
      </c>
      <c r="BS1188" s="4" t="s">
        <v>241</v>
      </c>
      <c r="BT1188" s="4" t="s">
        <v>241</v>
      </c>
      <c r="BU1188" s="4" t="s">
        <v>241</v>
      </c>
      <c r="BV1188" s="4" t="s">
        <v>241</v>
      </c>
      <c r="CE1188" s="4" t="s">
        <v>264</v>
      </c>
      <c r="CF1188" s="4" t="s">
        <v>241</v>
      </c>
      <c r="CG1188" s="4" t="s">
        <v>241</v>
      </c>
      <c r="CK1188" s="4" t="s">
        <v>291</v>
      </c>
      <c r="CL1188" s="4" t="s">
        <v>266</v>
      </c>
      <c r="CM1188" s="4" t="s">
        <v>241</v>
      </c>
      <c r="CO1188" s="4" t="s">
        <v>667</v>
      </c>
      <c r="CP1188" s="5" t="s">
        <v>268</v>
      </c>
      <c r="CQ1188" s="4" t="s">
        <v>269</v>
      </c>
      <c r="CR1188" s="4" t="s">
        <v>270</v>
      </c>
      <c r="CS1188" s="4" t="s">
        <v>293</v>
      </c>
      <c r="CT1188" s="4" t="s">
        <v>241</v>
      </c>
      <c r="CU1188" s="4">
        <v>0.02</v>
      </c>
      <c r="CV1188" s="4" t="s">
        <v>271</v>
      </c>
      <c r="CW1188" s="4" t="s">
        <v>1618</v>
      </c>
      <c r="CX1188" s="4" t="s">
        <v>295</v>
      </c>
      <c r="CY1188" s="6">
        <f>0</f>
        <v>0</v>
      </c>
      <c r="CZ1188" s="6">
        <f>137963800</f>
        <v>137963800</v>
      </c>
      <c r="DA1188" s="6">
        <f>38629864</f>
        <v>38629864</v>
      </c>
      <c r="DC1188" s="4" t="s">
        <v>241</v>
      </c>
      <c r="DD1188" s="4" t="s">
        <v>241</v>
      </c>
      <c r="DF1188" s="4" t="s">
        <v>241</v>
      </c>
      <c r="DG1188" s="6">
        <f>0</f>
        <v>0</v>
      </c>
      <c r="DI1188" s="4" t="s">
        <v>241</v>
      </c>
      <c r="DJ1188" s="4" t="s">
        <v>241</v>
      </c>
      <c r="DK1188" s="4" t="s">
        <v>241</v>
      </c>
      <c r="DL1188" s="4" t="s">
        <v>241</v>
      </c>
      <c r="DM1188" s="4" t="s">
        <v>277</v>
      </c>
      <c r="DN1188" s="4" t="s">
        <v>278</v>
      </c>
      <c r="DO1188" s="6">
        <f>530.63</f>
        <v>530.63</v>
      </c>
      <c r="DP1188" s="4" t="s">
        <v>241</v>
      </c>
      <c r="DQ1188" s="4" t="s">
        <v>241</v>
      </c>
      <c r="DR1188" s="4" t="s">
        <v>241</v>
      </c>
      <c r="DS1188" s="4" t="s">
        <v>241</v>
      </c>
      <c r="DV1188" s="4" t="s">
        <v>1637</v>
      </c>
      <c r="DW1188" s="4" t="s">
        <v>277</v>
      </c>
      <c r="GN1188" s="4" t="s">
        <v>1638</v>
      </c>
      <c r="HO1188" s="4" t="s">
        <v>300</v>
      </c>
      <c r="HR1188" s="4" t="s">
        <v>278</v>
      </c>
      <c r="HS1188" s="4" t="s">
        <v>278</v>
      </c>
      <c r="HT1188" s="4" t="s">
        <v>241</v>
      </c>
      <c r="HU1188" s="4" t="s">
        <v>241</v>
      </c>
      <c r="HV1188" s="4" t="s">
        <v>241</v>
      </c>
      <c r="HW1188" s="4" t="s">
        <v>241</v>
      </c>
      <c r="HX1188" s="4" t="s">
        <v>241</v>
      </c>
      <c r="HY1188" s="4" t="s">
        <v>241</v>
      </c>
      <c r="HZ1188" s="4" t="s">
        <v>241</v>
      </c>
      <c r="IA1188" s="4" t="s">
        <v>241</v>
      </c>
      <c r="IB1188" s="4" t="s">
        <v>241</v>
      </c>
      <c r="IC1188" s="4" t="s">
        <v>241</v>
      </c>
      <c r="ID1188" s="4" t="s">
        <v>241</v>
      </c>
      <c r="IE1188" s="4" t="s">
        <v>241</v>
      </c>
      <c r="IF1188" s="4" t="s">
        <v>241</v>
      </c>
    </row>
    <row r="1189" spans="1:240" x14ac:dyDescent="0.4">
      <c r="A1189" s="4">
        <v>2</v>
      </c>
      <c r="B1189" s="4" t="s">
        <v>239</v>
      </c>
      <c r="C1189" s="4">
        <v>1488</v>
      </c>
      <c r="D1189" s="4">
        <v>1</v>
      </c>
      <c r="E1189" s="4">
        <v>3</v>
      </c>
      <c r="F1189" s="4" t="s">
        <v>240</v>
      </c>
      <c r="G1189" s="4" t="s">
        <v>241</v>
      </c>
      <c r="H1189" s="4" t="s">
        <v>241</v>
      </c>
      <c r="I1189" s="4" t="s">
        <v>1848</v>
      </c>
      <c r="J1189" s="4" t="s">
        <v>424</v>
      </c>
      <c r="K1189" s="4" t="s">
        <v>256</v>
      </c>
      <c r="L1189" s="4" t="s">
        <v>1847</v>
      </c>
      <c r="M1189" s="5" t="s">
        <v>1850</v>
      </c>
      <c r="N1189" s="4" t="s">
        <v>1847</v>
      </c>
      <c r="O1189" s="6">
        <f>805.19</f>
        <v>805.19</v>
      </c>
      <c r="P1189" s="4" t="s">
        <v>276</v>
      </c>
      <c r="Q1189" s="6">
        <f>12178525</f>
        <v>12178525</v>
      </c>
      <c r="R1189" s="6">
        <f>221427250</f>
        <v>221427250</v>
      </c>
      <c r="S1189" s="5" t="s">
        <v>1877</v>
      </c>
      <c r="T1189" s="4" t="s">
        <v>333</v>
      </c>
      <c r="U1189" s="4" t="s">
        <v>357</v>
      </c>
      <c r="V1189" s="6">
        <f>5978535</f>
        <v>5978535</v>
      </c>
      <c r="W1189" s="6">
        <f>209248725</f>
        <v>209248725</v>
      </c>
      <c r="X1189" s="4" t="s">
        <v>243</v>
      </c>
      <c r="Y1189" s="4" t="s">
        <v>244</v>
      </c>
      <c r="Z1189" s="4" t="s">
        <v>874</v>
      </c>
      <c r="AA1189" s="4" t="s">
        <v>241</v>
      </c>
      <c r="AD1189" s="4" t="s">
        <v>241</v>
      </c>
      <c r="AE1189" s="5" t="s">
        <v>241</v>
      </c>
      <c r="AF1189" s="5" t="s">
        <v>241</v>
      </c>
      <c r="AH1189" s="5" t="s">
        <v>241</v>
      </c>
      <c r="AI1189" s="5" t="s">
        <v>249</v>
      </c>
      <c r="AJ1189" s="4" t="s">
        <v>251</v>
      </c>
      <c r="AK1189" s="4" t="s">
        <v>252</v>
      </c>
      <c r="AQ1189" s="4" t="s">
        <v>241</v>
      </c>
      <c r="AR1189" s="4" t="s">
        <v>241</v>
      </c>
      <c r="AS1189" s="4" t="s">
        <v>241</v>
      </c>
      <c r="AT1189" s="5" t="s">
        <v>241</v>
      </c>
      <c r="AU1189" s="5" t="s">
        <v>241</v>
      </c>
      <c r="AV1189" s="5" t="s">
        <v>241</v>
      </c>
      <c r="AY1189" s="4" t="s">
        <v>286</v>
      </c>
      <c r="AZ1189" s="4" t="s">
        <v>286</v>
      </c>
      <c r="BA1189" s="4" t="s">
        <v>254</v>
      </c>
      <c r="BB1189" s="4" t="s">
        <v>287</v>
      </c>
      <c r="BC1189" s="4" t="s">
        <v>255</v>
      </c>
      <c r="BD1189" s="4" t="s">
        <v>241</v>
      </c>
      <c r="BE1189" s="4" t="s">
        <v>257</v>
      </c>
      <c r="BF1189" s="4" t="s">
        <v>241</v>
      </c>
      <c r="BH1189" s="4" t="s">
        <v>500</v>
      </c>
      <c r="BJ1189" s="4" t="s">
        <v>288</v>
      </c>
      <c r="BK1189" s="5" t="s">
        <v>289</v>
      </c>
      <c r="BL1189" s="4" t="s">
        <v>290</v>
      </c>
      <c r="BM1189" s="4" t="s">
        <v>290</v>
      </c>
      <c r="BN1189" s="4" t="s">
        <v>241</v>
      </c>
      <c r="BO1189" s="6">
        <f>0</f>
        <v>0</v>
      </c>
      <c r="BP1189" s="6">
        <f>-5978535</f>
        <v>-5978535</v>
      </c>
      <c r="BQ1189" s="4" t="s">
        <v>263</v>
      </c>
      <c r="BR1189" s="4" t="s">
        <v>264</v>
      </c>
      <c r="BS1189" s="4" t="s">
        <v>241</v>
      </c>
      <c r="BT1189" s="4" t="s">
        <v>241</v>
      </c>
      <c r="BU1189" s="4" t="s">
        <v>241</v>
      </c>
      <c r="BV1189" s="4" t="s">
        <v>241</v>
      </c>
      <c r="CE1189" s="4" t="s">
        <v>264</v>
      </c>
      <c r="CF1189" s="4" t="s">
        <v>241</v>
      </c>
      <c r="CG1189" s="4" t="s">
        <v>241</v>
      </c>
      <c r="CK1189" s="4" t="s">
        <v>291</v>
      </c>
      <c r="CL1189" s="4" t="s">
        <v>266</v>
      </c>
      <c r="CM1189" s="4" t="s">
        <v>241</v>
      </c>
      <c r="CO1189" s="4" t="s">
        <v>398</v>
      </c>
      <c r="CP1189" s="5" t="s">
        <v>268</v>
      </c>
      <c r="CQ1189" s="4" t="s">
        <v>269</v>
      </c>
      <c r="CR1189" s="4" t="s">
        <v>270</v>
      </c>
      <c r="CS1189" s="4" t="s">
        <v>293</v>
      </c>
      <c r="CT1189" s="4" t="s">
        <v>241</v>
      </c>
      <c r="CU1189" s="4">
        <v>2.7E-2</v>
      </c>
      <c r="CV1189" s="4" t="s">
        <v>271</v>
      </c>
      <c r="CW1189" s="4" t="s">
        <v>1830</v>
      </c>
      <c r="CX1189" s="4" t="s">
        <v>295</v>
      </c>
      <c r="CY1189" s="6">
        <f>0</f>
        <v>0</v>
      </c>
      <c r="CZ1189" s="6">
        <f>221427250</f>
        <v>221427250</v>
      </c>
      <c r="DA1189" s="6">
        <f>12178525</f>
        <v>12178525</v>
      </c>
      <c r="DC1189" s="4" t="s">
        <v>241</v>
      </c>
      <c r="DD1189" s="4" t="s">
        <v>241</v>
      </c>
      <c r="DF1189" s="4" t="s">
        <v>241</v>
      </c>
      <c r="DG1189" s="6">
        <f>0</f>
        <v>0</v>
      </c>
      <c r="DI1189" s="4" t="s">
        <v>241</v>
      </c>
      <c r="DJ1189" s="4" t="s">
        <v>241</v>
      </c>
      <c r="DK1189" s="4" t="s">
        <v>241</v>
      </c>
      <c r="DL1189" s="4" t="s">
        <v>241</v>
      </c>
      <c r="DM1189" s="4" t="s">
        <v>277</v>
      </c>
      <c r="DN1189" s="4" t="s">
        <v>278</v>
      </c>
      <c r="DO1189" s="6">
        <f>805.19</f>
        <v>805.19</v>
      </c>
      <c r="DP1189" s="4" t="s">
        <v>241</v>
      </c>
      <c r="DQ1189" s="4" t="s">
        <v>241</v>
      </c>
      <c r="DR1189" s="4" t="s">
        <v>241</v>
      </c>
      <c r="DS1189" s="4" t="s">
        <v>241</v>
      </c>
      <c r="DV1189" s="4" t="s">
        <v>1851</v>
      </c>
      <c r="DW1189" s="4" t="s">
        <v>277</v>
      </c>
      <c r="GN1189" s="4" t="s">
        <v>1878</v>
      </c>
      <c r="HO1189" s="4" t="s">
        <v>300</v>
      </c>
      <c r="HR1189" s="4" t="s">
        <v>278</v>
      </c>
      <c r="HS1189" s="4" t="s">
        <v>278</v>
      </c>
      <c r="HT1189" s="4" t="s">
        <v>241</v>
      </c>
      <c r="HU1189" s="4" t="s">
        <v>241</v>
      </c>
      <c r="HV1189" s="4" t="s">
        <v>241</v>
      </c>
      <c r="HW1189" s="4" t="s">
        <v>241</v>
      </c>
      <c r="HX1189" s="4" t="s">
        <v>241</v>
      </c>
      <c r="HY1189" s="4" t="s">
        <v>241</v>
      </c>
      <c r="HZ1189" s="4" t="s">
        <v>241</v>
      </c>
      <c r="IA1189" s="4" t="s">
        <v>241</v>
      </c>
      <c r="IB1189" s="4" t="s">
        <v>241</v>
      </c>
      <c r="IC1189" s="4" t="s">
        <v>241</v>
      </c>
      <c r="ID1189" s="4" t="s">
        <v>241</v>
      </c>
      <c r="IE1189" s="4" t="s">
        <v>241</v>
      </c>
      <c r="IF1189" s="4" t="s">
        <v>241</v>
      </c>
    </row>
    <row r="1190" spans="1:240" x14ac:dyDescent="0.4">
      <c r="A1190" s="4">
        <v>2</v>
      </c>
      <c r="B1190" s="4" t="s">
        <v>239</v>
      </c>
      <c r="C1190" s="4">
        <v>1489</v>
      </c>
      <c r="D1190" s="4">
        <v>1</v>
      </c>
      <c r="E1190" s="4">
        <v>3</v>
      </c>
      <c r="F1190" s="4" t="s">
        <v>240</v>
      </c>
      <c r="G1190" s="4" t="s">
        <v>241</v>
      </c>
      <c r="H1190" s="4" t="s">
        <v>241</v>
      </c>
      <c r="I1190" s="4" t="s">
        <v>1848</v>
      </c>
      <c r="J1190" s="4" t="s">
        <v>424</v>
      </c>
      <c r="K1190" s="4" t="s">
        <v>256</v>
      </c>
      <c r="L1190" s="4" t="s">
        <v>1847</v>
      </c>
      <c r="M1190" s="5" t="s">
        <v>1850</v>
      </c>
      <c r="N1190" s="4" t="s">
        <v>1847</v>
      </c>
      <c r="O1190" s="6">
        <f>963.2</f>
        <v>963.2</v>
      </c>
      <c r="P1190" s="4" t="s">
        <v>276</v>
      </c>
      <c r="Q1190" s="6">
        <f>143300080</f>
        <v>143300080</v>
      </c>
      <c r="R1190" s="6">
        <f>264880000</f>
        <v>264880000</v>
      </c>
      <c r="S1190" s="5" t="s">
        <v>1849</v>
      </c>
      <c r="T1190" s="4" t="s">
        <v>333</v>
      </c>
      <c r="U1190" s="4" t="s">
        <v>371</v>
      </c>
      <c r="V1190" s="6">
        <f>7151760</f>
        <v>7151760</v>
      </c>
      <c r="W1190" s="6">
        <f>121579920</f>
        <v>121579920</v>
      </c>
      <c r="X1190" s="4" t="s">
        <v>243</v>
      </c>
      <c r="Y1190" s="4" t="s">
        <v>244</v>
      </c>
      <c r="Z1190" s="4" t="s">
        <v>874</v>
      </c>
      <c r="AA1190" s="4" t="s">
        <v>241</v>
      </c>
      <c r="AD1190" s="4" t="s">
        <v>241</v>
      </c>
      <c r="AE1190" s="5" t="s">
        <v>241</v>
      </c>
      <c r="AF1190" s="5" t="s">
        <v>241</v>
      </c>
      <c r="AH1190" s="5" t="s">
        <v>241</v>
      </c>
      <c r="AI1190" s="5" t="s">
        <v>249</v>
      </c>
      <c r="AJ1190" s="4" t="s">
        <v>251</v>
      </c>
      <c r="AK1190" s="4" t="s">
        <v>252</v>
      </c>
      <c r="AQ1190" s="4" t="s">
        <v>241</v>
      </c>
      <c r="AR1190" s="4" t="s">
        <v>241</v>
      </c>
      <c r="AS1190" s="4" t="s">
        <v>241</v>
      </c>
      <c r="AT1190" s="5" t="s">
        <v>241</v>
      </c>
      <c r="AU1190" s="5" t="s">
        <v>241</v>
      </c>
      <c r="AV1190" s="5" t="s">
        <v>241</v>
      </c>
      <c r="AY1190" s="4" t="s">
        <v>286</v>
      </c>
      <c r="AZ1190" s="4" t="s">
        <v>286</v>
      </c>
      <c r="BA1190" s="4" t="s">
        <v>254</v>
      </c>
      <c r="BB1190" s="4" t="s">
        <v>287</v>
      </c>
      <c r="BC1190" s="4" t="s">
        <v>255</v>
      </c>
      <c r="BD1190" s="4" t="s">
        <v>241</v>
      </c>
      <c r="BE1190" s="4" t="s">
        <v>257</v>
      </c>
      <c r="BF1190" s="4" t="s">
        <v>241</v>
      </c>
      <c r="BJ1190" s="4" t="s">
        <v>288</v>
      </c>
      <c r="BK1190" s="5" t="s">
        <v>289</v>
      </c>
      <c r="BL1190" s="4" t="s">
        <v>290</v>
      </c>
      <c r="BM1190" s="4" t="s">
        <v>290</v>
      </c>
      <c r="BN1190" s="4" t="s">
        <v>241</v>
      </c>
      <c r="BO1190" s="6">
        <f>0</f>
        <v>0</v>
      </c>
      <c r="BP1190" s="6">
        <f>-7151760</f>
        <v>-7151760</v>
      </c>
      <c r="BQ1190" s="4" t="s">
        <v>263</v>
      </c>
      <c r="BR1190" s="4" t="s">
        <v>264</v>
      </c>
      <c r="BS1190" s="4" t="s">
        <v>241</v>
      </c>
      <c r="BT1190" s="4" t="s">
        <v>241</v>
      </c>
      <c r="BU1190" s="4" t="s">
        <v>241</v>
      </c>
      <c r="BV1190" s="4" t="s">
        <v>241</v>
      </c>
      <c r="CE1190" s="4" t="s">
        <v>264</v>
      </c>
      <c r="CF1190" s="4" t="s">
        <v>241</v>
      </c>
      <c r="CG1190" s="4" t="s">
        <v>241</v>
      </c>
      <c r="CK1190" s="4" t="s">
        <v>291</v>
      </c>
      <c r="CL1190" s="4" t="s">
        <v>266</v>
      </c>
      <c r="CM1190" s="4" t="s">
        <v>241</v>
      </c>
      <c r="CO1190" s="4" t="s">
        <v>407</v>
      </c>
      <c r="CP1190" s="5" t="s">
        <v>268</v>
      </c>
      <c r="CQ1190" s="4" t="s">
        <v>269</v>
      </c>
      <c r="CR1190" s="4" t="s">
        <v>270</v>
      </c>
      <c r="CS1190" s="4" t="s">
        <v>293</v>
      </c>
      <c r="CT1190" s="4" t="s">
        <v>241</v>
      </c>
      <c r="CU1190" s="4">
        <v>2.7E-2</v>
      </c>
      <c r="CV1190" s="4" t="s">
        <v>271</v>
      </c>
      <c r="CW1190" s="4" t="s">
        <v>1830</v>
      </c>
      <c r="CX1190" s="4" t="s">
        <v>295</v>
      </c>
      <c r="CY1190" s="6">
        <f>0</f>
        <v>0</v>
      </c>
      <c r="CZ1190" s="6">
        <f>264880000</f>
        <v>264880000</v>
      </c>
      <c r="DA1190" s="6">
        <f>143300080</f>
        <v>143300080</v>
      </c>
      <c r="DC1190" s="4" t="s">
        <v>241</v>
      </c>
      <c r="DD1190" s="4" t="s">
        <v>241</v>
      </c>
      <c r="DF1190" s="4" t="s">
        <v>241</v>
      </c>
      <c r="DG1190" s="6">
        <f>0</f>
        <v>0</v>
      </c>
      <c r="DI1190" s="4" t="s">
        <v>241</v>
      </c>
      <c r="DJ1190" s="4" t="s">
        <v>241</v>
      </c>
      <c r="DK1190" s="4" t="s">
        <v>241</v>
      </c>
      <c r="DL1190" s="4" t="s">
        <v>241</v>
      </c>
      <c r="DM1190" s="4" t="s">
        <v>277</v>
      </c>
      <c r="DN1190" s="4" t="s">
        <v>278</v>
      </c>
      <c r="DO1190" s="6">
        <f>963.2</f>
        <v>963.2</v>
      </c>
      <c r="DP1190" s="4" t="s">
        <v>241</v>
      </c>
      <c r="DQ1190" s="4" t="s">
        <v>241</v>
      </c>
      <c r="DR1190" s="4" t="s">
        <v>241</v>
      </c>
      <c r="DS1190" s="4" t="s">
        <v>241</v>
      </c>
      <c r="DV1190" s="4" t="s">
        <v>1851</v>
      </c>
      <c r="DW1190" s="4" t="s">
        <v>323</v>
      </c>
      <c r="GN1190" s="4" t="s">
        <v>1852</v>
      </c>
      <c r="HO1190" s="4" t="s">
        <v>300</v>
      </c>
      <c r="HR1190" s="4" t="s">
        <v>278</v>
      </c>
      <c r="HS1190" s="4" t="s">
        <v>278</v>
      </c>
      <c r="HT1190" s="4" t="s">
        <v>241</v>
      </c>
      <c r="HU1190" s="4" t="s">
        <v>241</v>
      </c>
      <c r="HV1190" s="4" t="s">
        <v>241</v>
      </c>
      <c r="HW1190" s="4" t="s">
        <v>241</v>
      </c>
      <c r="HX1190" s="4" t="s">
        <v>241</v>
      </c>
      <c r="HY1190" s="4" t="s">
        <v>241</v>
      </c>
      <c r="HZ1190" s="4" t="s">
        <v>241</v>
      </c>
      <c r="IA1190" s="4" t="s">
        <v>241</v>
      </c>
      <c r="IB1190" s="4" t="s">
        <v>241</v>
      </c>
      <c r="IC1190" s="4" t="s">
        <v>241</v>
      </c>
      <c r="ID1190" s="4" t="s">
        <v>241</v>
      </c>
      <c r="IE1190" s="4" t="s">
        <v>241</v>
      </c>
      <c r="IF1190" s="4" t="s">
        <v>241</v>
      </c>
    </row>
    <row r="1191" spans="1:240" x14ac:dyDescent="0.4">
      <c r="A1191" s="4">
        <v>2</v>
      </c>
      <c r="B1191" s="4" t="s">
        <v>239</v>
      </c>
      <c r="C1191" s="4">
        <v>1492</v>
      </c>
      <c r="D1191" s="4">
        <v>1</v>
      </c>
      <c r="E1191" s="4">
        <v>1</v>
      </c>
      <c r="F1191" s="4" t="s">
        <v>240</v>
      </c>
      <c r="G1191" s="4" t="s">
        <v>241</v>
      </c>
      <c r="H1191" s="4" t="s">
        <v>241</v>
      </c>
      <c r="I1191" s="4" t="s">
        <v>1490</v>
      </c>
      <c r="J1191" s="4" t="s">
        <v>328</v>
      </c>
      <c r="K1191" s="4" t="s">
        <v>256</v>
      </c>
      <c r="L1191" s="4" t="s">
        <v>1336</v>
      </c>
      <c r="M1191" s="5" t="s">
        <v>1491</v>
      </c>
      <c r="N1191" s="4" t="s">
        <v>1336</v>
      </c>
      <c r="O1191" s="6">
        <f>124.2</f>
        <v>124.2</v>
      </c>
      <c r="P1191" s="4" t="s">
        <v>276</v>
      </c>
      <c r="Q1191" s="6">
        <f>1</f>
        <v>1</v>
      </c>
      <c r="R1191" s="6">
        <f>11178000</f>
        <v>11178000</v>
      </c>
      <c r="S1191" s="5" t="s">
        <v>248</v>
      </c>
      <c r="T1191" s="4" t="s">
        <v>274</v>
      </c>
      <c r="U1191" s="4" t="s">
        <v>275</v>
      </c>
      <c r="W1191" s="6">
        <f>11177999</f>
        <v>11177999</v>
      </c>
      <c r="X1191" s="4" t="s">
        <v>243</v>
      </c>
      <c r="Y1191" s="4" t="s">
        <v>244</v>
      </c>
      <c r="Z1191" s="4" t="s">
        <v>465</v>
      </c>
      <c r="AA1191" s="4" t="s">
        <v>241</v>
      </c>
      <c r="AD1191" s="4" t="s">
        <v>241</v>
      </c>
      <c r="AF1191" s="5" t="s">
        <v>241</v>
      </c>
      <c r="AI1191" s="5" t="s">
        <v>249</v>
      </c>
      <c r="AJ1191" s="4" t="s">
        <v>251</v>
      </c>
      <c r="AK1191" s="4" t="s">
        <v>252</v>
      </c>
      <c r="BA1191" s="4" t="s">
        <v>254</v>
      </c>
      <c r="BB1191" s="4" t="s">
        <v>241</v>
      </c>
      <c r="BC1191" s="4" t="s">
        <v>255</v>
      </c>
      <c r="BD1191" s="4" t="s">
        <v>241</v>
      </c>
      <c r="BE1191" s="4" t="s">
        <v>257</v>
      </c>
      <c r="BF1191" s="4" t="s">
        <v>241</v>
      </c>
      <c r="BH1191" s="4" t="s">
        <v>500</v>
      </c>
      <c r="BJ1191" s="4" t="s">
        <v>367</v>
      </c>
      <c r="BK1191" s="5" t="s">
        <v>249</v>
      </c>
      <c r="BL1191" s="4" t="s">
        <v>261</v>
      </c>
      <c r="BM1191" s="4" t="s">
        <v>262</v>
      </c>
      <c r="BN1191" s="4" t="s">
        <v>241</v>
      </c>
      <c r="BO1191" s="6">
        <f>0</f>
        <v>0</v>
      </c>
      <c r="BP1191" s="6">
        <f>0</f>
        <v>0</v>
      </c>
      <c r="BQ1191" s="4" t="s">
        <v>263</v>
      </c>
      <c r="BR1191" s="4" t="s">
        <v>264</v>
      </c>
      <c r="CF1191" s="4" t="s">
        <v>241</v>
      </c>
      <c r="CG1191" s="4" t="s">
        <v>241</v>
      </c>
      <c r="CK1191" s="4" t="s">
        <v>265</v>
      </c>
      <c r="CL1191" s="4" t="s">
        <v>266</v>
      </c>
      <c r="CM1191" s="4" t="s">
        <v>241</v>
      </c>
      <c r="CO1191" s="4" t="s">
        <v>267</v>
      </c>
      <c r="CP1191" s="5" t="s">
        <v>268</v>
      </c>
      <c r="CQ1191" s="4" t="s">
        <v>269</v>
      </c>
      <c r="CR1191" s="4" t="s">
        <v>270</v>
      </c>
      <c r="CS1191" s="4" t="s">
        <v>241</v>
      </c>
      <c r="CT1191" s="4" t="s">
        <v>241</v>
      </c>
      <c r="CU1191" s="4">
        <v>0</v>
      </c>
      <c r="CV1191" s="4" t="s">
        <v>271</v>
      </c>
      <c r="CW1191" s="4" t="s">
        <v>1329</v>
      </c>
      <c r="CX1191" s="4" t="s">
        <v>347</v>
      </c>
      <c r="CZ1191" s="6">
        <f>11178000</f>
        <v>11178000</v>
      </c>
      <c r="DA1191" s="6">
        <f>0</f>
        <v>0</v>
      </c>
      <c r="DC1191" s="4" t="s">
        <v>241</v>
      </c>
      <c r="DD1191" s="4" t="s">
        <v>241</v>
      </c>
      <c r="DF1191" s="4" t="s">
        <v>241</v>
      </c>
      <c r="DI1191" s="4" t="s">
        <v>241</v>
      </c>
      <c r="DJ1191" s="4" t="s">
        <v>241</v>
      </c>
      <c r="DK1191" s="4" t="s">
        <v>241</v>
      </c>
      <c r="DL1191" s="4" t="s">
        <v>241</v>
      </c>
      <c r="DM1191" s="4" t="s">
        <v>323</v>
      </c>
      <c r="DN1191" s="4" t="s">
        <v>278</v>
      </c>
      <c r="DO1191" s="6">
        <f>124.2</f>
        <v>124.2</v>
      </c>
      <c r="DP1191" s="4" t="s">
        <v>241</v>
      </c>
      <c r="DQ1191" s="4" t="s">
        <v>241</v>
      </c>
      <c r="DR1191" s="4" t="s">
        <v>241</v>
      </c>
      <c r="DS1191" s="4" t="s">
        <v>241</v>
      </c>
      <c r="DV1191" s="4" t="s">
        <v>1492</v>
      </c>
      <c r="DW1191" s="4" t="s">
        <v>277</v>
      </c>
      <c r="HO1191" s="4" t="s">
        <v>277</v>
      </c>
      <c r="HR1191" s="4" t="s">
        <v>278</v>
      </c>
      <c r="HS1191" s="4" t="s">
        <v>278</v>
      </c>
    </row>
    <row r="1192" spans="1:240" x14ac:dyDescent="0.4">
      <c r="A1192" s="4">
        <v>2</v>
      </c>
      <c r="B1192" s="4" t="s">
        <v>239</v>
      </c>
      <c r="C1192" s="4">
        <v>1494</v>
      </c>
      <c r="D1192" s="4">
        <v>1</v>
      </c>
      <c r="E1192" s="4">
        <v>1</v>
      </c>
      <c r="F1192" s="4" t="s">
        <v>240</v>
      </c>
      <c r="G1192" s="4" t="s">
        <v>241</v>
      </c>
      <c r="H1192" s="4" t="s">
        <v>241</v>
      </c>
      <c r="I1192" s="4" t="s">
        <v>1812</v>
      </c>
      <c r="J1192" s="4" t="s">
        <v>283</v>
      </c>
      <c r="K1192" s="4" t="s">
        <v>256</v>
      </c>
      <c r="L1192" s="4" t="s">
        <v>340</v>
      </c>
      <c r="M1192" s="5" t="s">
        <v>1814</v>
      </c>
      <c r="N1192" s="4" t="s">
        <v>340</v>
      </c>
      <c r="O1192" s="6">
        <f>16.59</f>
        <v>16.59</v>
      </c>
      <c r="P1192" s="4" t="s">
        <v>276</v>
      </c>
      <c r="Q1192" s="6">
        <f>1</f>
        <v>1</v>
      </c>
      <c r="R1192" s="6">
        <f>1957620</f>
        <v>1957620</v>
      </c>
      <c r="S1192" s="5" t="s">
        <v>1813</v>
      </c>
      <c r="T1192" s="4" t="s">
        <v>348</v>
      </c>
      <c r="U1192" s="4" t="s">
        <v>365</v>
      </c>
      <c r="W1192" s="6">
        <f>1957619</f>
        <v>1957619</v>
      </c>
      <c r="X1192" s="4" t="s">
        <v>243</v>
      </c>
      <c r="Y1192" s="4" t="s">
        <v>244</v>
      </c>
      <c r="Z1192" s="4" t="s">
        <v>465</v>
      </c>
      <c r="AA1192" s="4" t="s">
        <v>241</v>
      </c>
      <c r="AD1192" s="4" t="s">
        <v>241</v>
      </c>
      <c r="AF1192" s="5" t="s">
        <v>241</v>
      </c>
      <c r="AI1192" s="5" t="s">
        <v>249</v>
      </c>
      <c r="AJ1192" s="4" t="s">
        <v>251</v>
      </c>
      <c r="AK1192" s="4" t="s">
        <v>252</v>
      </c>
      <c r="BA1192" s="4" t="s">
        <v>254</v>
      </c>
      <c r="BB1192" s="4" t="s">
        <v>241</v>
      </c>
      <c r="BC1192" s="4" t="s">
        <v>255</v>
      </c>
      <c r="BD1192" s="4" t="s">
        <v>241</v>
      </c>
      <c r="BE1192" s="4" t="s">
        <v>257</v>
      </c>
      <c r="BF1192" s="4" t="s">
        <v>241</v>
      </c>
      <c r="BH1192" s="4" t="s">
        <v>500</v>
      </c>
      <c r="BJ1192" s="4" t="s">
        <v>367</v>
      </c>
      <c r="BK1192" s="5" t="s">
        <v>249</v>
      </c>
      <c r="BL1192" s="4" t="s">
        <v>261</v>
      </c>
      <c r="BM1192" s="4" t="s">
        <v>262</v>
      </c>
      <c r="BN1192" s="4" t="s">
        <v>241</v>
      </c>
      <c r="BO1192" s="6">
        <f>0</f>
        <v>0</v>
      </c>
      <c r="BP1192" s="6">
        <f>0</f>
        <v>0</v>
      </c>
      <c r="BQ1192" s="4" t="s">
        <v>263</v>
      </c>
      <c r="BR1192" s="4" t="s">
        <v>264</v>
      </c>
      <c r="CF1192" s="4" t="s">
        <v>241</v>
      </c>
      <c r="CG1192" s="4" t="s">
        <v>241</v>
      </c>
      <c r="CK1192" s="4" t="s">
        <v>291</v>
      </c>
      <c r="CL1192" s="4" t="s">
        <v>266</v>
      </c>
      <c r="CM1192" s="4" t="s">
        <v>241</v>
      </c>
      <c r="CO1192" s="4" t="s">
        <v>1568</v>
      </c>
      <c r="CP1192" s="5" t="s">
        <v>268</v>
      </c>
      <c r="CQ1192" s="4" t="s">
        <v>269</v>
      </c>
      <c r="CR1192" s="4" t="s">
        <v>270</v>
      </c>
      <c r="CS1192" s="4" t="s">
        <v>241</v>
      </c>
      <c r="CT1192" s="4" t="s">
        <v>241</v>
      </c>
      <c r="CU1192" s="4">
        <v>0</v>
      </c>
      <c r="CV1192" s="4" t="s">
        <v>271</v>
      </c>
      <c r="CW1192" s="4" t="s">
        <v>332</v>
      </c>
      <c r="CX1192" s="4" t="s">
        <v>347</v>
      </c>
      <c r="CZ1192" s="6">
        <f>1957620</f>
        <v>1957620</v>
      </c>
      <c r="DA1192" s="6">
        <f>0</f>
        <v>0</v>
      </c>
      <c r="DC1192" s="4" t="s">
        <v>241</v>
      </c>
      <c r="DD1192" s="4" t="s">
        <v>241</v>
      </c>
      <c r="DF1192" s="4" t="s">
        <v>241</v>
      </c>
      <c r="DI1192" s="4" t="s">
        <v>241</v>
      </c>
      <c r="DJ1192" s="4" t="s">
        <v>241</v>
      </c>
      <c r="DK1192" s="4" t="s">
        <v>241</v>
      </c>
      <c r="DL1192" s="4" t="s">
        <v>241</v>
      </c>
      <c r="DM1192" s="4" t="s">
        <v>277</v>
      </c>
      <c r="DN1192" s="4" t="s">
        <v>278</v>
      </c>
      <c r="DO1192" s="6">
        <f>16.59</f>
        <v>16.59</v>
      </c>
      <c r="DP1192" s="4" t="s">
        <v>241</v>
      </c>
      <c r="DQ1192" s="4" t="s">
        <v>241</v>
      </c>
      <c r="DR1192" s="4" t="s">
        <v>241</v>
      </c>
      <c r="DS1192" s="4" t="s">
        <v>241</v>
      </c>
      <c r="DV1192" s="4" t="s">
        <v>1815</v>
      </c>
      <c r="DW1192" s="4" t="s">
        <v>277</v>
      </c>
      <c r="HO1192" s="4" t="s">
        <v>277</v>
      </c>
      <c r="HR1192" s="4" t="s">
        <v>278</v>
      </c>
      <c r="HS1192" s="4" t="s">
        <v>278</v>
      </c>
    </row>
    <row r="1193" spans="1:240" x14ac:dyDescent="0.4">
      <c r="A1193" s="4">
        <v>2</v>
      </c>
      <c r="B1193" s="4" t="s">
        <v>239</v>
      </c>
      <c r="C1193" s="4">
        <v>1496</v>
      </c>
      <c r="D1193" s="4">
        <v>1</v>
      </c>
      <c r="E1193" s="4">
        <v>3</v>
      </c>
      <c r="F1193" s="4" t="s">
        <v>240</v>
      </c>
      <c r="G1193" s="4" t="s">
        <v>241</v>
      </c>
      <c r="H1193" s="4" t="s">
        <v>241</v>
      </c>
      <c r="I1193" s="4" t="s">
        <v>1036</v>
      </c>
      <c r="J1193" s="4" t="s">
        <v>424</v>
      </c>
      <c r="K1193" s="4" t="s">
        <v>256</v>
      </c>
      <c r="L1193" s="4" t="s">
        <v>1174</v>
      </c>
      <c r="M1193" s="5" t="s">
        <v>1038</v>
      </c>
      <c r="N1193" s="4" t="s">
        <v>1174</v>
      </c>
      <c r="O1193" s="6">
        <f>666</f>
        <v>666</v>
      </c>
      <c r="P1193" s="4" t="s">
        <v>276</v>
      </c>
      <c r="Q1193" s="6">
        <f>108815076</f>
        <v>108815076</v>
      </c>
      <c r="R1193" s="6">
        <f>173826000</f>
        <v>173826000</v>
      </c>
      <c r="S1193" s="5" t="s">
        <v>1318</v>
      </c>
      <c r="T1193" s="4" t="s">
        <v>668</v>
      </c>
      <c r="U1193" s="4" t="s">
        <v>371</v>
      </c>
      <c r="V1193" s="6">
        <f>3824172</f>
        <v>3824172</v>
      </c>
      <c r="W1193" s="6">
        <f>65010924</f>
        <v>65010924</v>
      </c>
      <c r="X1193" s="4" t="s">
        <v>243</v>
      </c>
      <c r="Y1193" s="4" t="s">
        <v>244</v>
      </c>
      <c r="Z1193" s="4" t="s">
        <v>465</v>
      </c>
      <c r="AA1193" s="4" t="s">
        <v>241</v>
      </c>
      <c r="AD1193" s="4" t="s">
        <v>241</v>
      </c>
      <c r="AE1193" s="5" t="s">
        <v>241</v>
      </c>
      <c r="AF1193" s="5" t="s">
        <v>241</v>
      </c>
      <c r="AH1193" s="5" t="s">
        <v>241</v>
      </c>
      <c r="AI1193" s="5" t="s">
        <v>249</v>
      </c>
      <c r="AJ1193" s="4" t="s">
        <v>251</v>
      </c>
      <c r="AK1193" s="4" t="s">
        <v>252</v>
      </c>
      <c r="AQ1193" s="4" t="s">
        <v>241</v>
      </c>
      <c r="AR1193" s="4" t="s">
        <v>241</v>
      </c>
      <c r="AS1193" s="4" t="s">
        <v>241</v>
      </c>
      <c r="AT1193" s="5" t="s">
        <v>241</v>
      </c>
      <c r="AU1193" s="5" t="s">
        <v>241</v>
      </c>
      <c r="AV1193" s="5" t="s">
        <v>241</v>
      </c>
      <c r="AY1193" s="4" t="s">
        <v>286</v>
      </c>
      <c r="AZ1193" s="4" t="s">
        <v>286</v>
      </c>
      <c r="BA1193" s="4" t="s">
        <v>254</v>
      </c>
      <c r="BB1193" s="4" t="s">
        <v>287</v>
      </c>
      <c r="BC1193" s="4" t="s">
        <v>255</v>
      </c>
      <c r="BD1193" s="4" t="s">
        <v>241</v>
      </c>
      <c r="BE1193" s="4" t="s">
        <v>257</v>
      </c>
      <c r="BF1193" s="4" t="s">
        <v>241</v>
      </c>
      <c r="BJ1193" s="4" t="s">
        <v>288</v>
      </c>
      <c r="BK1193" s="5" t="s">
        <v>289</v>
      </c>
      <c r="BL1193" s="4" t="s">
        <v>290</v>
      </c>
      <c r="BM1193" s="4" t="s">
        <v>290</v>
      </c>
      <c r="BN1193" s="4" t="s">
        <v>241</v>
      </c>
      <c r="BO1193" s="6">
        <f>0</f>
        <v>0</v>
      </c>
      <c r="BP1193" s="6">
        <f>-3824172</f>
        <v>-3824172</v>
      </c>
      <c r="BQ1193" s="4" t="s">
        <v>263</v>
      </c>
      <c r="BR1193" s="4" t="s">
        <v>264</v>
      </c>
      <c r="BS1193" s="4" t="s">
        <v>241</v>
      </c>
      <c r="BT1193" s="4" t="s">
        <v>241</v>
      </c>
      <c r="BU1193" s="4" t="s">
        <v>241</v>
      </c>
      <c r="BV1193" s="4" t="s">
        <v>241</v>
      </c>
      <c r="CE1193" s="4" t="s">
        <v>264</v>
      </c>
      <c r="CF1193" s="4" t="s">
        <v>241</v>
      </c>
      <c r="CG1193" s="4" t="s">
        <v>241</v>
      </c>
      <c r="CK1193" s="4" t="s">
        <v>291</v>
      </c>
      <c r="CL1193" s="4" t="s">
        <v>266</v>
      </c>
      <c r="CM1193" s="4" t="s">
        <v>241</v>
      </c>
      <c r="CO1193" s="4" t="s">
        <v>407</v>
      </c>
      <c r="CP1193" s="5" t="s">
        <v>268</v>
      </c>
      <c r="CQ1193" s="4" t="s">
        <v>269</v>
      </c>
      <c r="CR1193" s="4" t="s">
        <v>270</v>
      </c>
      <c r="CS1193" s="4" t="s">
        <v>293</v>
      </c>
      <c r="CT1193" s="4" t="s">
        <v>241</v>
      </c>
      <c r="CU1193" s="4">
        <v>2.1999999999999999E-2</v>
      </c>
      <c r="CV1193" s="4" t="s">
        <v>271</v>
      </c>
      <c r="CW1193" s="4" t="s">
        <v>1176</v>
      </c>
      <c r="CX1193" s="4" t="s">
        <v>295</v>
      </c>
      <c r="CY1193" s="6">
        <f>0</f>
        <v>0</v>
      </c>
      <c r="CZ1193" s="6">
        <f>173826000</f>
        <v>173826000</v>
      </c>
      <c r="DA1193" s="6">
        <f>108815076</f>
        <v>108815076</v>
      </c>
      <c r="DC1193" s="4" t="s">
        <v>241</v>
      </c>
      <c r="DD1193" s="4" t="s">
        <v>241</v>
      </c>
      <c r="DF1193" s="4" t="s">
        <v>241</v>
      </c>
      <c r="DG1193" s="6">
        <f>0</f>
        <v>0</v>
      </c>
      <c r="DI1193" s="4" t="s">
        <v>241</v>
      </c>
      <c r="DJ1193" s="4" t="s">
        <v>241</v>
      </c>
      <c r="DK1193" s="4" t="s">
        <v>241</v>
      </c>
      <c r="DL1193" s="4" t="s">
        <v>241</v>
      </c>
      <c r="DM1193" s="4" t="s">
        <v>277</v>
      </c>
      <c r="DN1193" s="4" t="s">
        <v>278</v>
      </c>
      <c r="DO1193" s="6">
        <f>666</f>
        <v>666</v>
      </c>
      <c r="DP1193" s="4" t="s">
        <v>241</v>
      </c>
      <c r="DQ1193" s="4" t="s">
        <v>241</v>
      </c>
      <c r="DR1193" s="4" t="s">
        <v>241</v>
      </c>
      <c r="DS1193" s="4" t="s">
        <v>241</v>
      </c>
      <c r="DV1193" s="4" t="s">
        <v>1039</v>
      </c>
      <c r="DW1193" s="4" t="s">
        <v>277</v>
      </c>
      <c r="GN1193" s="4" t="s">
        <v>1319</v>
      </c>
      <c r="HO1193" s="4" t="s">
        <v>300</v>
      </c>
      <c r="HR1193" s="4" t="s">
        <v>278</v>
      </c>
      <c r="HS1193" s="4" t="s">
        <v>278</v>
      </c>
      <c r="HT1193" s="4" t="s">
        <v>241</v>
      </c>
      <c r="HU1193" s="4" t="s">
        <v>241</v>
      </c>
      <c r="HV1193" s="4" t="s">
        <v>241</v>
      </c>
      <c r="HW1193" s="4" t="s">
        <v>241</v>
      </c>
      <c r="HX1193" s="4" t="s">
        <v>241</v>
      </c>
      <c r="HY1193" s="4" t="s">
        <v>241</v>
      </c>
      <c r="HZ1193" s="4" t="s">
        <v>241</v>
      </c>
      <c r="IA1193" s="4" t="s">
        <v>241</v>
      </c>
      <c r="IB1193" s="4" t="s">
        <v>241</v>
      </c>
      <c r="IC1193" s="4" t="s">
        <v>241</v>
      </c>
      <c r="ID1193" s="4" t="s">
        <v>241</v>
      </c>
      <c r="IE1193" s="4" t="s">
        <v>241</v>
      </c>
      <c r="IF1193" s="4" t="s">
        <v>241</v>
      </c>
    </row>
    <row r="1194" spans="1:240" x14ac:dyDescent="0.4">
      <c r="A1194" s="4">
        <v>2</v>
      </c>
      <c r="B1194" s="4" t="s">
        <v>239</v>
      </c>
      <c r="C1194" s="4">
        <v>1497</v>
      </c>
      <c r="D1194" s="4">
        <v>1</v>
      </c>
      <c r="E1194" s="4">
        <v>3</v>
      </c>
      <c r="F1194" s="4" t="s">
        <v>240</v>
      </c>
      <c r="G1194" s="4" t="s">
        <v>241</v>
      </c>
      <c r="H1194" s="4" t="s">
        <v>241</v>
      </c>
      <c r="I1194" s="4" t="s">
        <v>1036</v>
      </c>
      <c r="J1194" s="4" t="s">
        <v>424</v>
      </c>
      <c r="K1194" s="4" t="s">
        <v>256</v>
      </c>
      <c r="L1194" s="4" t="s">
        <v>1003</v>
      </c>
      <c r="M1194" s="5" t="s">
        <v>1038</v>
      </c>
      <c r="N1194" s="4" t="s">
        <v>1003</v>
      </c>
      <c r="O1194" s="6">
        <f>779.36</f>
        <v>779.36</v>
      </c>
      <c r="P1194" s="4" t="s">
        <v>276</v>
      </c>
      <c r="Q1194" s="6">
        <f>32546096</f>
        <v>32546096</v>
      </c>
      <c r="R1194" s="6">
        <f>203412960</f>
        <v>203412960</v>
      </c>
      <c r="S1194" s="5" t="s">
        <v>1037</v>
      </c>
      <c r="T1194" s="4" t="s">
        <v>357</v>
      </c>
      <c r="U1194" s="4" t="s">
        <v>358</v>
      </c>
      <c r="V1194" s="6">
        <f>6102388</f>
        <v>6102388</v>
      </c>
      <c r="W1194" s="6">
        <f>170866864</f>
        <v>170866864</v>
      </c>
      <c r="X1194" s="4" t="s">
        <v>243</v>
      </c>
      <c r="Y1194" s="4" t="s">
        <v>244</v>
      </c>
      <c r="Z1194" s="4" t="s">
        <v>465</v>
      </c>
      <c r="AA1194" s="4" t="s">
        <v>241</v>
      </c>
      <c r="AD1194" s="4" t="s">
        <v>241</v>
      </c>
      <c r="AE1194" s="5" t="s">
        <v>241</v>
      </c>
      <c r="AF1194" s="5" t="s">
        <v>241</v>
      </c>
      <c r="AH1194" s="5" t="s">
        <v>241</v>
      </c>
      <c r="AI1194" s="5" t="s">
        <v>249</v>
      </c>
      <c r="AJ1194" s="4" t="s">
        <v>251</v>
      </c>
      <c r="AK1194" s="4" t="s">
        <v>252</v>
      </c>
      <c r="AQ1194" s="4" t="s">
        <v>241</v>
      </c>
      <c r="AR1194" s="4" t="s">
        <v>241</v>
      </c>
      <c r="AS1194" s="4" t="s">
        <v>241</v>
      </c>
      <c r="AT1194" s="5" t="s">
        <v>241</v>
      </c>
      <c r="AU1194" s="5" t="s">
        <v>241</v>
      </c>
      <c r="AV1194" s="5" t="s">
        <v>241</v>
      </c>
      <c r="AY1194" s="4" t="s">
        <v>286</v>
      </c>
      <c r="AZ1194" s="4" t="s">
        <v>286</v>
      </c>
      <c r="BA1194" s="4" t="s">
        <v>254</v>
      </c>
      <c r="BB1194" s="4" t="s">
        <v>287</v>
      </c>
      <c r="BC1194" s="4" t="s">
        <v>255</v>
      </c>
      <c r="BD1194" s="4" t="s">
        <v>241</v>
      </c>
      <c r="BE1194" s="4" t="s">
        <v>257</v>
      </c>
      <c r="BF1194" s="4" t="s">
        <v>241</v>
      </c>
      <c r="BJ1194" s="4" t="s">
        <v>288</v>
      </c>
      <c r="BK1194" s="5" t="s">
        <v>289</v>
      </c>
      <c r="BL1194" s="4" t="s">
        <v>290</v>
      </c>
      <c r="BM1194" s="4" t="s">
        <v>290</v>
      </c>
      <c r="BN1194" s="4" t="s">
        <v>241</v>
      </c>
      <c r="BO1194" s="6">
        <f>0</f>
        <v>0</v>
      </c>
      <c r="BP1194" s="6">
        <f>-6102388</f>
        <v>-6102388</v>
      </c>
      <c r="BQ1194" s="4" t="s">
        <v>263</v>
      </c>
      <c r="BR1194" s="4" t="s">
        <v>264</v>
      </c>
      <c r="BS1194" s="4" t="s">
        <v>241</v>
      </c>
      <c r="BT1194" s="4" t="s">
        <v>241</v>
      </c>
      <c r="BU1194" s="4" t="s">
        <v>241</v>
      </c>
      <c r="BV1194" s="4" t="s">
        <v>241</v>
      </c>
      <c r="CE1194" s="4" t="s">
        <v>264</v>
      </c>
      <c r="CF1194" s="4" t="s">
        <v>241</v>
      </c>
      <c r="CG1194" s="4" t="s">
        <v>241</v>
      </c>
      <c r="CK1194" s="4" t="s">
        <v>291</v>
      </c>
      <c r="CL1194" s="4" t="s">
        <v>266</v>
      </c>
      <c r="CM1194" s="4" t="s">
        <v>241</v>
      </c>
      <c r="CO1194" s="4" t="s">
        <v>355</v>
      </c>
      <c r="CP1194" s="5" t="s">
        <v>268</v>
      </c>
      <c r="CQ1194" s="4" t="s">
        <v>269</v>
      </c>
      <c r="CR1194" s="4" t="s">
        <v>270</v>
      </c>
      <c r="CS1194" s="4" t="s">
        <v>293</v>
      </c>
      <c r="CT1194" s="4" t="s">
        <v>241</v>
      </c>
      <c r="CU1194" s="4">
        <v>0.03</v>
      </c>
      <c r="CV1194" s="4" t="s">
        <v>271</v>
      </c>
      <c r="CW1194" s="4" t="s">
        <v>1006</v>
      </c>
      <c r="CX1194" s="4" t="s">
        <v>487</v>
      </c>
      <c r="CY1194" s="6">
        <f>0</f>
        <v>0</v>
      </c>
      <c r="CZ1194" s="6">
        <f>203412960</f>
        <v>203412960</v>
      </c>
      <c r="DA1194" s="6">
        <f>32546096</f>
        <v>32546096</v>
      </c>
      <c r="DC1194" s="4" t="s">
        <v>241</v>
      </c>
      <c r="DD1194" s="4" t="s">
        <v>241</v>
      </c>
      <c r="DF1194" s="4" t="s">
        <v>241</v>
      </c>
      <c r="DG1194" s="6">
        <f>0</f>
        <v>0</v>
      </c>
      <c r="DI1194" s="4" t="s">
        <v>241</v>
      </c>
      <c r="DJ1194" s="4" t="s">
        <v>241</v>
      </c>
      <c r="DK1194" s="4" t="s">
        <v>241</v>
      </c>
      <c r="DL1194" s="4" t="s">
        <v>241</v>
      </c>
      <c r="DM1194" s="4" t="s">
        <v>277</v>
      </c>
      <c r="DN1194" s="4" t="s">
        <v>278</v>
      </c>
      <c r="DO1194" s="6">
        <f>779.36</f>
        <v>779.36</v>
      </c>
      <c r="DP1194" s="4" t="s">
        <v>241</v>
      </c>
      <c r="DQ1194" s="4" t="s">
        <v>241</v>
      </c>
      <c r="DR1194" s="4" t="s">
        <v>241</v>
      </c>
      <c r="DS1194" s="4" t="s">
        <v>241</v>
      </c>
      <c r="DV1194" s="4" t="s">
        <v>1039</v>
      </c>
      <c r="DW1194" s="4" t="s">
        <v>323</v>
      </c>
      <c r="GN1194" s="4" t="s">
        <v>1040</v>
      </c>
      <c r="HO1194" s="4" t="s">
        <v>300</v>
      </c>
      <c r="HR1194" s="4" t="s">
        <v>278</v>
      </c>
      <c r="HS1194" s="4" t="s">
        <v>278</v>
      </c>
      <c r="HT1194" s="4" t="s">
        <v>241</v>
      </c>
      <c r="HU1194" s="4" t="s">
        <v>241</v>
      </c>
      <c r="HV1194" s="4" t="s">
        <v>241</v>
      </c>
      <c r="HW1194" s="4" t="s">
        <v>241</v>
      </c>
      <c r="HX1194" s="4" t="s">
        <v>241</v>
      </c>
      <c r="HY1194" s="4" t="s">
        <v>241</v>
      </c>
      <c r="HZ1194" s="4" t="s">
        <v>241</v>
      </c>
      <c r="IA1194" s="4" t="s">
        <v>241</v>
      </c>
      <c r="IB1194" s="4" t="s">
        <v>241</v>
      </c>
      <c r="IC1194" s="4" t="s">
        <v>241</v>
      </c>
      <c r="ID1194" s="4" t="s">
        <v>241</v>
      </c>
      <c r="IE1194" s="4" t="s">
        <v>241</v>
      </c>
      <c r="IF1194" s="4" t="s">
        <v>241</v>
      </c>
    </row>
    <row r="1195" spans="1:240" x14ac:dyDescent="0.4">
      <c r="A1195" s="4">
        <v>2</v>
      </c>
      <c r="B1195" s="4" t="s">
        <v>239</v>
      </c>
      <c r="C1195" s="4">
        <v>1498</v>
      </c>
      <c r="D1195" s="4">
        <v>1</v>
      </c>
      <c r="E1195" s="4">
        <v>3</v>
      </c>
      <c r="F1195" s="4" t="s">
        <v>326</v>
      </c>
      <c r="G1195" s="4" t="s">
        <v>241</v>
      </c>
      <c r="H1195" s="4" t="s">
        <v>241</v>
      </c>
      <c r="I1195" s="4" t="s">
        <v>1036</v>
      </c>
      <c r="J1195" s="4" t="s">
        <v>424</v>
      </c>
      <c r="K1195" s="4" t="s">
        <v>256</v>
      </c>
      <c r="L1195" s="4" t="s">
        <v>2646</v>
      </c>
      <c r="M1195" s="5" t="s">
        <v>1038</v>
      </c>
      <c r="N1195" s="4" t="s">
        <v>2645</v>
      </c>
      <c r="O1195" s="6">
        <f>0</f>
        <v>0</v>
      </c>
      <c r="P1195" s="4" t="s">
        <v>276</v>
      </c>
      <c r="Q1195" s="6">
        <f>1669664</f>
        <v>1669664</v>
      </c>
      <c r="R1195" s="6">
        <f>2280960</f>
        <v>2280960</v>
      </c>
      <c r="S1195" s="5" t="s">
        <v>876</v>
      </c>
      <c r="T1195" s="4" t="s">
        <v>348</v>
      </c>
      <c r="U1195" s="4" t="s">
        <v>297</v>
      </c>
      <c r="V1195" s="6">
        <f>152824</f>
        <v>152824</v>
      </c>
      <c r="W1195" s="6">
        <f>611296</f>
        <v>611296</v>
      </c>
      <c r="X1195" s="4" t="s">
        <v>243</v>
      </c>
      <c r="Y1195" s="4" t="s">
        <v>244</v>
      </c>
      <c r="Z1195" s="4" t="s">
        <v>465</v>
      </c>
      <c r="AA1195" s="4" t="s">
        <v>241</v>
      </c>
      <c r="AD1195" s="4" t="s">
        <v>241</v>
      </c>
      <c r="AE1195" s="5" t="s">
        <v>241</v>
      </c>
      <c r="AF1195" s="5" t="s">
        <v>241</v>
      </c>
      <c r="AH1195" s="5" t="s">
        <v>241</v>
      </c>
      <c r="AI1195" s="5" t="s">
        <v>249</v>
      </c>
      <c r="AJ1195" s="4" t="s">
        <v>251</v>
      </c>
      <c r="AK1195" s="4" t="s">
        <v>252</v>
      </c>
      <c r="AQ1195" s="4" t="s">
        <v>241</v>
      </c>
      <c r="AR1195" s="4" t="s">
        <v>241</v>
      </c>
      <c r="AS1195" s="4" t="s">
        <v>241</v>
      </c>
      <c r="AT1195" s="5" t="s">
        <v>241</v>
      </c>
      <c r="AU1195" s="5" t="s">
        <v>241</v>
      </c>
      <c r="AV1195" s="5" t="s">
        <v>241</v>
      </c>
      <c r="AY1195" s="4" t="s">
        <v>286</v>
      </c>
      <c r="AZ1195" s="4" t="s">
        <v>286</v>
      </c>
      <c r="BA1195" s="4" t="s">
        <v>254</v>
      </c>
      <c r="BB1195" s="4" t="s">
        <v>287</v>
      </c>
      <c r="BC1195" s="4" t="s">
        <v>255</v>
      </c>
      <c r="BD1195" s="4" t="s">
        <v>241</v>
      </c>
      <c r="BE1195" s="4" t="s">
        <v>257</v>
      </c>
      <c r="BF1195" s="4" t="s">
        <v>241</v>
      </c>
      <c r="BJ1195" s="4" t="s">
        <v>288</v>
      </c>
      <c r="BK1195" s="5" t="s">
        <v>289</v>
      </c>
      <c r="BL1195" s="4" t="s">
        <v>290</v>
      </c>
      <c r="BM1195" s="4" t="s">
        <v>290</v>
      </c>
      <c r="BN1195" s="4" t="s">
        <v>241</v>
      </c>
      <c r="BP1195" s="6">
        <f>-152824</f>
        <v>-152824</v>
      </c>
      <c r="BQ1195" s="4" t="s">
        <v>263</v>
      </c>
      <c r="BR1195" s="4" t="s">
        <v>264</v>
      </c>
      <c r="BS1195" s="4" t="s">
        <v>241</v>
      </c>
      <c r="BT1195" s="4" t="s">
        <v>241</v>
      </c>
      <c r="BU1195" s="4" t="s">
        <v>241</v>
      </c>
      <c r="BV1195" s="4" t="s">
        <v>241</v>
      </c>
      <c r="CE1195" s="4" t="s">
        <v>264</v>
      </c>
      <c r="CF1195" s="4" t="s">
        <v>241</v>
      </c>
      <c r="CG1195" s="4" t="s">
        <v>241</v>
      </c>
      <c r="CK1195" s="4" t="s">
        <v>291</v>
      </c>
      <c r="CL1195" s="4" t="s">
        <v>266</v>
      </c>
      <c r="CM1195" s="4" t="s">
        <v>241</v>
      </c>
      <c r="CO1195" s="4" t="s">
        <v>413</v>
      </c>
      <c r="CP1195" s="5" t="s">
        <v>268</v>
      </c>
      <c r="CQ1195" s="4" t="s">
        <v>269</v>
      </c>
      <c r="CR1195" s="4" t="s">
        <v>270</v>
      </c>
      <c r="CS1195" s="4" t="s">
        <v>293</v>
      </c>
      <c r="CT1195" s="4" t="s">
        <v>241</v>
      </c>
      <c r="CU1195" s="4">
        <v>6.7000000000000004E-2</v>
      </c>
      <c r="CV1195" s="4" t="s">
        <v>271</v>
      </c>
      <c r="CW1195" s="4" t="s">
        <v>415</v>
      </c>
      <c r="CX1195" s="4" t="s">
        <v>416</v>
      </c>
      <c r="CY1195" s="6">
        <f>0</f>
        <v>0</v>
      </c>
      <c r="CZ1195" s="6">
        <f>2280960</f>
        <v>2280960</v>
      </c>
      <c r="DA1195" s="6">
        <f>1669664</f>
        <v>1669664</v>
      </c>
      <c r="DC1195" s="4" t="s">
        <v>241</v>
      </c>
      <c r="DD1195" s="4" t="s">
        <v>241</v>
      </c>
      <c r="DF1195" s="4" t="s">
        <v>241</v>
      </c>
      <c r="DG1195" s="6">
        <f>0</f>
        <v>0</v>
      </c>
      <c r="DI1195" s="4" t="s">
        <v>241</v>
      </c>
      <c r="DJ1195" s="4" t="s">
        <v>241</v>
      </c>
      <c r="DK1195" s="4" t="s">
        <v>241</v>
      </c>
      <c r="DL1195" s="4" t="s">
        <v>241</v>
      </c>
      <c r="DM1195" s="4" t="s">
        <v>278</v>
      </c>
      <c r="DN1195" s="4" t="s">
        <v>278</v>
      </c>
      <c r="DO1195" s="6" t="s">
        <v>241</v>
      </c>
      <c r="DP1195" s="4" t="s">
        <v>241</v>
      </c>
      <c r="DQ1195" s="4" t="s">
        <v>241</v>
      </c>
      <c r="DR1195" s="4" t="s">
        <v>241</v>
      </c>
      <c r="DS1195" s="4" t="s">
        <v>241</v>
      </c>
      <c r="DV1195" s="4" t="s">
        <v>1039</v>
      </c>
      <c r="DW1195" s="4" t="s">
        <v>297</v>
      </c>
      <c r="GN1195" s="4" t="s">
        <v>2647</v>
      </c>
      <c r="HO1195" s="4" t="s">
        <v>351</v>
      </c>
      <c r="HR1195" s="4" t="s">
        <v>278</v>
      </c>
      <c r="HS1195" s="4" t="s">
        <v>278</v>
      </c>
      <c r="HT1195" s="4" t="s">
        <v>241</v>
      </c>
      <c r="HU1195" s="4" t="s">
        <v>241</v>
      </c>
      <c r="HV1195" s="4" t="s">
        <v>241</v>
      </c>
      <c r="HW1195" s="4" t="s">
        <v>241</v>
      </c>
      <c r="HX1195" s="4" t="s">
        <v>241</v>
      </c>
      <c r="HY1195" s="4" t="s">
        <v>241</v>
      </c>
      <c r="HZ1195" s="4" t="s">
        <v>241</v>
      </c>
      <c r="IA1195" s="4" t="s">
        <v>241</v>
      </c>
      <c r="IB1195" s="4" t="s">
        <v>241</v>
      </c>
      <c r="IC1195" s="4" t="s">
        <v>241</v>
      </c>
      <c r="ID1195" s="4" t="s">
        <v>241</v>
      </c>
      <c r="IE1195" s="4" t="s">
        <v>241</v>
      </c>
      <c r="IF1195" s="4" t="s">
        <v>241</v>
      </c>
    </row>
    <row r="1196" spans="1:240" x14ac:dyDescent="0.4">
      <c r="A1196" s="4">
        <v>2</v>
      </c>
      <c r="B1196" s="4" t="s">
        <v>239</v>
      </c>
      <c r="C1196" s="4">
        <v>1499</v>
      </c>
      <c r="D1196" s="4">
        <v>1</v>
      </c>
      <c r="E1196" s="4">
        <v>1</v>
      </c>
      <c r="F1196" s="4" t="s">
        <v>240</v>
      </c>
      <c r="G1196" s="4" t="s">
        <v>241</v>
      </c>
      <c r="H1196" s="4" t="s">
        <v>241</v>
      </c>
      <c r="I1196" s="4" t="s">
        <v>1179</v>
      </c>
      <c r="J1196" s="4" t="s">
        <v>424</v>
      </c>
      <c r="K1196" s="4" t="s">
        <v>256</v>
      </c>
      <c r="L1196" s="4" t="s">
        <v>1174</v>
      </c>
      <c r="M1196" s="5" t="s">
        <v>448</v>
      </c>
      <c r="N1196" s="4" t="s">
        <v>1174</v>
      </c>
      <c r="O1196" s="6">
        <f>470.08</f>
        <v>470.08</v>
      </c>
      <c r="P1196" s="4" t="s">
        <v>276</v>
      </c>
      <c r="Q1196" s="6">
        <f>1</f>
        <v>1</v>
      </c>
      <c r="R1196" s="6">
        <f>125511360</f>
        <v>125511360</v>
      </c>
      <c r="S1196" s="5" t="s">
        <v>1180</v>
      </c>
      <c r="T1196" s="4" t="s">
        <v>314</v>
      </c>
      <c r="U1196" s="4" t="s">
        <v>358</v>
      </c>
      <c r="W1196" s="6">
        <f>125511359</f>
        <v>125511359</v>
      </c>
      <c r="X1196" s="4" t="s">
        <v>243</v>
      </c>
      <c r="Y1196" s="4" t="s">
        <v>244</v>
      </c>
      <c r="Z1196" s="4" t="s">
        <v>465</v>
      </c>
      <c r="AA1196" s="4" t="s">
        <v>241</v>
      </c>
      <c r="AD1196" s="4" t="s">
        <v>241</v>
      </c>
      <c r="AF1196" s="5" t="s">
        <v>241</v>
      </c>
      <c r="AI1196" s="5" t="s">
        <v>249</v>
      </c>
      <c r="AJ1196" s="4" t="s">
        <v>251</v>
      </c>
      <c r="AK1196" s="4" t="s">
        <v>252</v>
      </c>
      <c r="BA1196" s="4" t="s">
        <v>254</v>
      </c>
      <c r="BB1196" s="4" t="s">
        <v>241</v>
      </c>
      <c r="BC1196" s="4" t="s">
        <v>255</v>
      </c>
      <c r="BD1196" s="4" t="s">
        <v>241</v>
      </c>
      <c r="BE1196" s="4" t="s">
        <v>257</v>
      </c>
      <c r="BF1196" s="4" t="s">
        <v>241</v>
      </c>
      <c r="BJ1196" s="4" t="s">
        <v>367</v>
      </c>
      <c r="BK1196" s="5" t="s">
        <v>249</v>
      </c>
      <c r="BL1196" s="4" t="s">
        <v>261</v>
      </c>
      <c r="BM1196" s="4" t="s">
        <v>262</v>
      </c>
      <c r="BN1196" s="4" t="s">
        <v>241</v>
      </c>
      <c r="BO1196" s="6">
        <f>0</f>
        <v>0</v>
      </c>
      <c r="BP1196" s="6">
        <f>0</f>
        <v>0</v>
      </c>
      <c r="BQ1196" s="4" t="s">
        <v>263</v>
      </c>
      <c r="BR1196" s="4" t="s">
        <v>264</v>
      </c>
      <c r="CF1196" s="4" t="s">
        <v>241</v>
      </c>
      <c r="CG1196" s="4" t="s">
        <v>241</v>
      </c>
      <c r="CK1196" s="4" t="s">
        <v>291</v>
      </c>
      <c r="CL1196" s="4" t="s">
        <v>266</v>
      </c>
      <c r="CM1196" s="4" t="s">
        <v>241</v>
      </c>
      <c r="CO1196" s="4" t="s">
        <v>551</v>
      </c>
      <c r="CP1196" s="5" t="s">
        <v>268</v>
      </c>
      <c r="CQ1196" s="4" t="s">
        <v>269</v>
      </c>
      <c r="CR1196" s="4" t="s">
        <v>270</v>
      </c>
      <c r="CS1196" s="4" t="s">
        <v>241</v>
      </c>
      <c r="CT1196" s="4" t="s">
        <v>241</v>
      </c>
      <c r="CU1196" s="4">
        <v>0</v>
      </c>
      <c r="CV1196" s="4" t="s">
        <v>271</v>
      </c>
      <c r="CW1196" s="4" t="s">
        <v>1176</v>
      </c>
      <c r="CX1196" s="4" t="s">
        <v>347</v>
      </c>
      <c r="CZ1196" s="6">
        <f>125511360</f>
        <v>125511360</v>
      </c>
      <c r="DA1196" s="6">
        <f>0</f>
        <v>0</v>
      </c>
      <c r="DC1196" s="4" t="s">
        <v>241</v>
      </c>
      <c r="DD1196" s="4" t="s">
        <v>241</v>
      </c>
      <c r="DF1196" s="4" t="s">
        <v>241</v>
      </c>
      <c r="DI1196" s="4" t="s">
        <v>241</v>
      </c>
      <c r="DJ1196" s="4" t="s">
        <v>241</v>
      </c>
      <c r="DK1196" s="4" t="s">
        <v>241</v>
      </c>
      <c r="DL1196" s="4" t="s">
        <v>241</v>
      </c>
      <c r="DM1196" s="4" t="s">
        <v>277</v>
      </c>
      <c r="DN1196" s="4" t="s">
        <v>278</v>
      </c>
      <c r="DO1196" s="6">
        <f>470.08</f>
        <v>470.08</v>
      </c>
      <c r="DP1196" s="4" t="s">
        <v>241</v>
      </c>
      <c r="DQ1196" s="4" t="s">
        <v>241</v>
      </c>
      <c r="DR1196" s="4" t="s">
        <v>241</v>
      </c>
      <c r="DS1196" s="4" t="s">
        <v>241</v>
      </c>
      <c r="DV1196" s="4" t="s">
        <v>1181</v>
      </c>
      <c r="DW1196" s="4" t="s">
        <v>277</v>
      </c>
      <c r="HO1196" s="4" t="s">
        <v>277</v>
      </c>
      <c r="HR1196" s="4" t="s">
        <v>278</v>
      </c>
      <c r="HS1196" s="4" t="s">
        <v>278</v>
      </c>
    </row>
    <row r="1197" spans="1:240" x14ac:dyDescent="0.4">
      <c r="A1197" s="4">
        <v>2</v>
      </c>
      <c r="B1197" s="4" t="s">
        <v>239</v>
      </c>
      <c r="C1197" s="4">
        <v>1500</v>
      </c>
      <c r="D1197" s="4">
        <v>1</v>
      </c>
      <c r="E1197" s="4">
        <v>3</v>
      </c>
      <c r="F1197" s="4" t="s">
        <v>240</v>
      </c>
      <c r="G1197" s="4" t="s">
        <v>241</v>
      </c>
      <c r="H1197" s="4" t="s">
        <v>241</v>
      </c>
      <c r="I1197" s="4" t="s">
        <v>1179</v>
      </c>
      <c r="J1197" s="4" t="s">
        <v>424</v>
      </c>
      <c r="K1197" s="4" t="s">
        <v>256</v>
      </c>
      <c r="L1197" s="4" t="s">
        <v>1174</v>
      </c>
      <c r="M1197" s="5" t="s">
        <v>448</v>
      </c>
      <c r="N1197" s="4" t="s">
        <v>1174</v>
      </c>
      <c r="O1197" s="6">
        <f>432.2</f>
        <v>432.2</v>
      </c>
      <c r="P1197" s="4" t="s">
        <v>276</v>
      </c>
      <c r="Q1197" s="6">
        <f>44049824</f>
        <v>44049824</v>
      </c>
      <c r="R1197" s="6">
        <f>89897600</f>
        <v>89897600</v>
      </c>
      <c r="S1197" s="5" t="s">
        <v>1316</v>
      </c>
      <c r="T1197" s="4" t="s">
        <v>357</v>
      </c>
      <c r="U1197" s="4" t="s">
        <v>371</v>
      </c>
      <c r="V1197" s="6">
        <f>2696928</f>
        <v>2696928</v>
      </c>
      <c r="W1197" s="6">
        <f>45847776</f>
        <v>45847776</v>
      </c>
      <c r="X1197" s="4" t="s">
        <v>243</v>
      </c>
      <c r="Y1197" s="4" t="s">
        <v>244</v>
      </c>
      <c r="Z1197" s="4" t="s">
        <v>465</v>
      </c>
      <c r="AA1197" s="4" t="s">
        <v>241</v>
      </c>
      <c r="AD1197" s="4" t="s">
        <v>241</v>
      </c>
      <c r="AE1197" s="5" t="s">
        <v>241</v>
      </c>
      <c r="AF1197" s="5" t="s">
        <v>241</v>
      </c>
      <c r="AH1197" s="5" t="s">
        <v>241</v>
      </c>
      <c r="AI1197" s="5" t="s">
        <v>249</v>
      </c>
      <c r="AJ1197" s="4" t="s">
        <v>251</v>
      </c>
      <c r="AK1197" s="4" t="s">
        <v>252</v>
      </c>
      <c r="AQ1197" s="4" t="s">
        <v>241</v>
      </c>
      <c r="AR1197" s="4" t="s">
        <v>241</v>
      </c>
      <c r="AS1197" s="4" t="s">
        <v>241</v>
      </c>
      <c r="AT1197" s="5" t="s">
        <v>241</v>
      </c>
      <c r="AU1197" s="5" t="s">
        <v>241</v>
      </c>
      <c r="AV1197" s="5" t="s">
        <v>241</v>
      </c>
      <c r="AY1197" s="4" t="s">
        <v>286</v>
      </c>
      <c r="AZ1197" s="4" t="s">
        <v>286</v>
      </c>
      <c r="BA1197" s="4" t="s">
        <v>254</v>
      </c>
      <c r="BB1197" s="4" t="s">
        <v>287</v>
      </c>
      <c r="BC1197" s="4" t="s">
        <v>255</v>
      </c>
      <c r="BD1197" s="4" t="s">
        <v>241</v>
      </c>
      <c r="BE1197" s="4" t="s">
        <v>257</v>
      </c>
      <c r="BF1197" s="4" t="s">
        <v>241</v>
      </c>
      <c r="BJ1197" s="4" t="s">
        <v>288</v>
      </c>
      <c r="BK1197" s="5" t="s">
        <v>289</v>
      </c>
      <c r="BL1197" s="4" t="s">
        <v>290</v>
      </c>
      <c r="BM1197" s="4" t="s">
        <v>290</v>
      </c>
      <c r="BN1197" s="4" t="s">
        <v>241</v>
      </c>
      <c r="BO1197" s="6">
        <f>0</f>
        <v>0</v>
      </c>
      <c r="BP1197" s="6">
        <f>-2696928</f>
        <v>-2696928</v>
      </c>
      <c r="BQ1197" s="4" t="s">
        <v>263</v>
      </c>
      <c r="BR1197" s="4" t="s">
        <v>264</v>
      </c>
      <c r="BS1197" s="4" t="s">
        <v>241</v>
      </c>
      <c r="BT1197" s="4" t="s">
        <v>241</v>
      </c>
      <c r="BU1197" s="4" t="s">
        <v>241</v>
      </c>
      <c r="BV1197" s="4" t="s">
        <v>241</v>
      </c>
      <c r="CE1197" s="4" t="s">
        <v>264</v>
      </c>
      <c r="CF1197" s="4" t="s">
        <v>241</v>
      </c>
      <c r="CG1197" s="4" t="s">
        <v>241</v>
      </c>
      <c r="CK1197" s="4" t="s">
        <v>291</v>
      </c>
      <c r="CL1197" s="4" t="s">
        <v>266</v>
      </c>
      <c r="CM1197" s="4" t="s">
        <v>241</v>
      </c>
      <c r="CO1197" s="4" t="s">
        <v>407</v>
      </c>
      <c r="CP1197" s="5" t="s">
        <v>268</v>
      </c>
      <c r="CQ1197" s="4" t="s">
        <v>269</v>
      </c>
      <c r="CR1197" s="4" t="s">
        <v>270</v>
      </c>
      <c r="CS1197" s="4" t="s">
        <v>293</v>
      </c>
      <c r="CT1197" s="4" t="s">
        <v>241</v>
      </c>
      <c r="CU1197" s="4">
        <v>0.03</v>
      </c>
      <c r="CV1197" s="4" t="s">
        <v>271</v>
      </c>
      <c r="CW1197" s="4" t="s">
        <v>1176</v>
      </c>
      <c r="CX1197" s="4" t="s">
        <v>487</v>
      </c>
      <c r="CY1197" s="6">
        <f>0</f>
        <v>0</v>
      </c>
      <c r="CZ1197" s="6">
        <f>89897600</f>
        <v>89897600</v>
      </c>
      <c r="DA1197" s="6">
        <f>44049824</f>
        <v>44049824</v>
      </c>
      <c r="DC1197" s="4" t="s">
        <v>241</v>
      </c>
      <c r="DD1197" s="4" t="s">
        <v>241</v>
      </c>
      <c r="DF1197" s="4" t="s">
        <v>241</v>
      </c>
      <c r="DG1197" s="6">
        <f>0</f>
        <v>0</v>
      </c>
      <c r="DI1197" s="4" t="s">
        <v>241</v>
      </c>
      <c r="DJ1197" s="4" t="s">
        <v>241</v>
      </c>
      <c r="DK1197" s="4" t="s">
        <v>241</v>
      </c>
      <c r="DL1197" s="4" t="s">
        <v>241</v>
      </c>
      <c r="DM1197" s="4" t="s">
        <v>277</v>
      </c>
      <c r="DN1197" s="4" t="s">
        <v>278</v>
      </c>
      <c r="DO1197" s="6">
        <f>432.2</f>
        <v>432.2</v>
      </c>
      <c r="DP1197" s="4" t="s">
        <v>241</v>
      </c>
      <c r="DQ1197" s="4" t="s">
        <v>241</v>
      </c>
      <c r="DR1197" s="4" t="s">
        <v>241</v>
      </c>
      <c r="DS1197" s="4" t="s">
        <v>241</v>
      </c>
      <c r="DV1197" s="4" t="s">
        <v>1181</v>
      </c>
      <c r="DW1197" s="4" t="s">
        <v>323</v>
      </c>
      <c r="GN1197" s="4" t="s">
        <v>1317</v>
      </c>
      <c r="HO1197" s="4" t="s">
        <v>300</v>
      </c>
      <c r="HR1197" s="4" t="s">
        <v>278</v>
      </c>
      <c r="HS1197" s="4" t="s">
        <v>278</v>
      </c>
      <c r="HT1197" s="4" t="s">
        <v>241</v>
      </c>
      <c r="HU1197" s="4" t="s">
        <v>241</v>
      </c>
      <c r="HV1197" s="4" t="s">
        <v>241</v>
      </c>
      <c r="HW1197" s="4" t="s">
        <v>241</v>
      </c>
      <c r="HX1197" s="4" t="s">
        <v>241</v>
      </c>
      <c r="HY1197" s="4" t="s">
        <v>241</v>
      </c>
      <c r="HZ1197" s="4" t="s">
        <v>241</v>
      </c>
      <c r="IA1197" s="4" t="s">
        <v>241</v>
      </c>
      <c r="IB1197" s="4" t="s">
        <v>241</v>
      </c>
      <c r="IC1197" s="4" t="s">
        <v>241</v>
      </c>
      <c r="ID1197" s="4" t="s">
        <v>241</v>
      </c>
      <c r="IE1197" s="4" t="s">
        <v>241</v>
      </c>
      <c r="IF1197" s="4" t="s">
        <v>241</v>
      </c>
    </row>
    <row r="1198" spans="1:240" x14ac:dyDescent="0.4">
      <c r="A1198" s="4">
        <v>2</v>
      </c>
      <c r="B1198" s="4" t="s">
        <v>239</v>
      </c>
      <c r="C1198" s="4">
        <v>1501</v>
      </c>
      <c r="D1198" s="4">
        <v>1</v>
      </c>
      <c r="E1198" s="4">
        <v>3</v>
      </c>
      <c r="F1198" s="4" t="s">
        <v>326</v>
      </c>
      <c r="G1198" s="4" t="s">
        <v>241</v>
      </c>
      <c r="H1198" s="4" t="s">
        <v>241</v>
      </c>
      <c r="I1198" s="4" t="s">
        <v>1179</v>
      </c>
      <c r="J1198" s="4" t="s">
        <v>424</v>
      </c>
      <c r="K1198" s="4" t="s">
        <v>256</v>
      </c>
      <c r="L1198" s="4" t="s">
        <v>1174</v>
      </c>
      <c r="M1198" s="5" t="s">
        <v>448</v>
      </c>
      <c r="N1198" s="4" t="s">
        <v>1313</v>
      </c>
      <c r="O1198" s="6">
        <f>0</f>
        <v>0</v>
      </c>
      <c r="P1198" s="4" t="s">
        <v>276</v>
      </c>
      <c r="Q1198" s="6">
        <f>3326004</f>
        <v>3326004</v>
      </c>
      <c r="R1198" s="6">
        <f>3663000</f>
        <v>3663000</v>
      </c>
      <c r="S1198" s="5" t="s">
        <v>1314</v>
      </c>
      <c r="T1198" s="4" t="s">
        <v>314</v>
      </c>
      <c r="U1198" s="4" t="s">
        <v>277</v>
      </c>
      <c r="V1198" s="6">
        <f>168498</f>
        <v>168498</v>
      </c>
      <c r="W1198" s="6">
        <f>336996</f>
        <v>336996</v>
      </c>
      <c r="X1198" s="4" t="s">
        <v>243</v>
      </c>
      <c r="Y1198" s="4" t="s">
        <v>244</v>
      </c>
      <c r="Z1198" s="4" t="s">
        <v>465</v>
      </c>
      <c r="AA1198" s="4" t="s">
        <v>241</v>
      </c>
      <c r="AD1198" s="4" t="s">
        <v>241</v>
      </c>
      <c r="AE1198" s="5" t="s">
        <v>241</v>
      </c>
      <c r="AF1198" s="5" t="s">
        <v>241</v>
      </c>
      <c r="AH1198" s="5" t="s">
        <v>241</v>
      </c>
      <c r="AI1198" s="5" t="s">
        <v>249</v>
      </c>
      <c r="AJ1198" s="4" t="s">
        <v>251</v>
      </c>
      <c r="AK1198" s="4" t="s">
        <v>252</v>
      </c>
      <c r="AQ1198" s="4" t="s">
        <v>241</v>
      </c>
      <c r="AR1198" s="4" t="s">
        <v>241</v>
      </c>
      <c r="AS1198" s="4" t="s">
        <v>241</v>
      </c>
      <c r="AT1198" s="5" t="s">
        <v>241</v>
      </c>
      <c r="AU1198" s="5" t="s">
        <v>241</v>
      </c>
      <c r="AV1198" s="5" t="s">
        <v>241</v>
      </c>
      <c r="AY1198" s="4" t="s">
        <v>286</v>
      </c>
      <c r="AZ1198" s="4" t="s">
        <v>286</v>
      </c>
      <c r="BA1198" s="4" t="s">
        <v>254</v>
      </c>
      <c r="BB1198" s="4" t="s">
        <v>287</v>
      </c>
      <c r="BC1198" s="4" t="s">
        <v>255</v>
      </c>
      <c r="BD1198" s="4" t="s">
        <v>241</v>
      </c>
      <c r="BE1198" s="4" t="s">
        <v>257</v>
      </c>
      <c r="BF1198" s="4" t="s">
        <v>241</v>
      </c>
      <c r="BJ1198" s="4" t="s">
        <v>288</v>
      </c>
      <c r="BK1198" s="5" t="s">
        <v>289</v>
      </c>
      <c r="BL1198" s="4" t="s">
        <v>290</v>
      </c>
      <c r="BM1198" s="4" t="s">
        <v>290</v>
      </c>
      <c r="BN1198" s="4" t="s">
        <v>241</v>
      </c>
      <c r="BP1198" s="6">
        <f>-168498</f>
        <v>-168498</v>
      </c>
      <c r="BQ1198" s="4" t="s">
        <v>263</v>
      </c>
      <c r="BR1198" s="4" t="s">
        <v>264</v>
      </c>
      <c r="BS1198" s="4" t="s">
        <v>241</v>
      </c>
      <c r="BT1198" s="4" t="s">
        <v>241</v>
      </c>
      <c r="BU1198" s="4" t="s">
        <v>241</v>
      </c>
      <c r="BV1198" s="4" t="s">
        <v>241</v>
      </c>
      <c r="CE1198" s="4" t="s">
        <v>264</v>
      </c>
      <c r="CF1198" s="4" t="s">
        <v>241</v>
      </c>
      <c r="CG1198" s="4" t="s">
        <v>241</v>
      </c>
      <c r="CK1198" s="4" t="s">
        <v>291</v>
      </c>
      <c r="CL1198" s="4" t="s">
        <v>266</v>
      </c>
      <c r="CM1198" s="4" t="s">
        <v>241</v>
      </c>
      <c r="CO1198" s="4" t="s">
        <v>331</v>
      </c>
      <c r="CP1198" s="5" t="s">
        <v>268</v>
      </c>
      <c r="CQ1198" s="4" t="s">
        <v>269</v>
      </c>
      <c r="CR1198" s="4" t="s">
        <v>270</v>
      </c>
      <c r="CS1198" s="4" t="s">
        <v>293</v>
      </c>
      <c r="CT1198" s="4" t="s">
        <v>241</v>
      </c>
      <c r="CU1198" s="4">
        <v>4.5999999999999999E-2</v>
      </c>
      <c r="CV1198" s="4" t="s">
        <v>271</v>
      </c>
      <c r="CW1198" s="4" t="s">
        <v>1176</v>
      </c>
      <c r="CX1198" s="4" t="s">
        <v>347</v>
      </c>
      <c r="CY1198" s="6">
        <f>0</f>
        <v>0</v>
      </c>
      <c r="CZ1198" s="6">
        <f>3663000</f>
        <v>3663000</v>
      </c>
      <c r="DA1198" s="6">
        <f>3326004</f>
        <v>3326004</v>
      </c>
      <c r="DC1198" s="4" t="s">
        <v>241</v>
      </c>
      <c r="DD1198" s="4" t="s">
        <v>241</v>
      </c>
      <c r="DF1198" s="4" t="s">
        <v>241</v>
      </c>
      <c r="DG1198" s="6">
        <f>0</f>
        <v>0</v>
      </c>
      <c r="DI1198" s="4" t="s">
        <v>241</v>
      </c>
      <c r="DJ1198" s="4" t="s">
        <v>241</v>
      </c>
      <c r="DK1198" s="4" t="s">
        <v>241</v>
      </c>
      <c r="DL1198" s="4" t="s">
        <v>241</v>
      </c>
      <c r="DM1198" s="4" t="s">
        <v>278</v>
      </c>
      <c r="DN1198" s="4" t="s">
        <v>278</v>
      </c>
      <c r="DO1198" s="6" t="s">
        <v>241</v>
      </c>
      <c r="DP1198" s="4" t="s">
        <v>241</v>
      </c>
      <c r="DQ1198" s="4" t="s">
        <v>241</v>
      </c>
      <c r="DR1198" s="4" t="s">
        <v>241</v>
      </c>
      <c r="DS1198" s="4" t="s">
        <v>241</v>
      </c>
      <c r="DV1198" s="4" t="s">
        <v>1181</v>
      </c>
      <c r="DW1198" s="4" t="s">
        <v>297</v>
      </c>
      <c r="GN1198" s="4" t="s">
        <v>1315</v>
      </c>
      <c r="HO1198" s="4" t="s">
        <v>297</v>
      </c>
      <c r="HR1198" s="4" t="s">
        <v>278</v>
      </c>
      <c r="HS1198" s="4" t="s">
        <v>278</v>
      </c>
      <c r="HT1198" s="4" t="s">
        <v>241</v>
      </c>
      <c r="HU1198" s="4" t="s">
        <v>241</v>
      </c>
      <c r="HV1198" s="4" t="s">
        <v>241</v>
      </c>
      <c r="HW1198" s="4" t="s">
        <v>241</v>
      </c>
      <c r="HX1198" s="4" t="s">
        <v>241</v>
      </c>
      <c r="HY1198" s="4" t="s">
        <v>241</v>
      </c>
      <c r="HZ1198" s="4" t="s">
        <v>241</v>
      </c>
      <c r="IA1198" s="4" t="s">
        <v>241</v>
      </c>
      <c r="IB1198" s="4" t="s">
        <v>241</v>
      </c>
      <c r="IC1198" s="4" t="s">
        <v>241</v>
      </c>
      <c r="ID1198" s="4" t="s">
        <v>241</v>
      </c>
      <c r="IE1198" s="4" t="s">
        <v>241</v>
      </c>
      <c r="IF1198" s="4" t="s">
        <v>241</v>
      </c>
    </row>
    <row r="1199" spans="1:240" x14ac:dyDescent="0.4">
      <c r="A1199" s="4">
        <v>2</v>
      </c>
      <c r="B1199" s="4" t="s">
        <v>239</v>
      </c>
      <c r="C1199" s="4">
        <v>1502</v>
      </c>
      <c r="D1199" s="4">
        <v>1</v>
      </c>
      <c r="E1199" s="4">
        <v>3</v>
      </c>
      <c r="F1199" s="4" t="s">
        <v>240</v>
      </c>
      <c r="G1199" s="4" t="s">
        <v>241</v>
      </c>
      <c r="H1199" s="4" t="s">
        <v>241</v>
      </c>
      <c r="I1199" s="4" t="s">
        <v>1309</v>
      </c>
      <c r="J1199" s="4" t="s">
        <v>424</v>
      </c>
      <c r="K1199" s="4" t="s">
        <v>256</v>
      </c>
      <c r="L1199" s="4" t="s">
        <v>1174</v>
      </c>
      <c r="M1199" s="5" t="s">
        <v>1310</v>
      </c>
      <c r="N1199" s="4" t="s">
        <v>1174</v>
      </c>
      <c r="O1199" s="6">
        <f>991.08</f>
        <v>991.08</v>
      </c>
      <c r="P1199" s="4" t="s">
        <v>276</v>
      </c>
      <c r="Q1199" s="6">
        <f>126321083</f>
        <v>126321083</v>
      </c>
      <c r="R1199" s="6">
        <f>217046520</f>
        <v>217046520</v>
      </c>
      <c r="S1199" s="5" t="s">
        <v>363</v>
      </c>
      <c r="T1199" s="4" t="s">
        <v>668</v>
      </c>
      <c r="U1199" s="4" t="s">
        <v>365</v>
      </c>
      <c r="V1199" s="6">
        <f>4775023</f>
        <v>4775023</v>
      </c>
      <c r="W1199" s="6">
        <f>90725437</f>
        <v>90725437</v>
      </c>
      <c r="X1199" s="4" t="s">
        <v>243</v>
      </c>
      <c r="Y1199" s="4" t="s">
        <v>244</v>
      </c>
      <c r="Z1199" s="4" t="s">
        <v>465</v>
      </c>
      <c r="AA1199" s="4" t="s">
        <v>241</v>
      </c>
      <c r="AD1199" s="4" t="s">
        <v>241</v>
      </c>
      <c r="AE1199" s="5" t="s">
        <v>241</v>
      </c>
      <c r="AF1199" s="5" t="s">
        <v>241</v>
      </c>
      <c r="AH1199" s="5" t="s">
        <v>241</v>
      </c>
      <c r="AI1199" s="5" t="s">
        <v>249</v>
      </c>
      <c r="AJ1199" s="4" t="s">
        <v>251</v>
      </c>
      <c r="AK1199" s="4" t="s">
        <v>252</v>
      </c>
      <c r="AQ1199" s="4" t="s">
        <v>241</v>
      </c>
      <c r="AR1199" s="4" t="s">
        <v>241</v>
      </c>
      <c r="AS1199" s="4" t="s">
        <v>241</v>
      </c>
      <c r="AT1199" s="5" t="s">
        <v>241</v>
      </c>
      <c r="AU1199" s="5" t="s">
        <v>241</v>
      </c>
      <c r="AV1199" s="5" t="s">
        <v>241</v>
      </c>
      <c r="AY1199" s="4" t="s">
        <v>286</v>
      </c>
      <c r="AZ1199" s="4" t="s">
        <v>286</v>
      </c>
      <c r="BA1199" s="4" t="s">
        <v>254</v>
      </c>
      <c r="BB1199" s="4" t="s">
        <v>287</v>
      </c>
      <c r="BC1199" s="4" t="s">
        <v>255</v>
      </c>
      <c r="BD1199" s="4" t="s">
        <v>241</v>
      </c>
      <c r="BE1199" s="4" t="s">
        <v>257</v>
      </c>
      <c r="BF1199" s="4" t="s">
        <v>241</v>
      </c>
      <c r="BJ1199" s="4" t="s">
        <v>288</v>
      </c>
      <c r="BK1199" s="5" t="s">
        <v>289</v>
      </c>
      <c r="BL1199" s="4" t="s">
        <v>290</v>
      </c>
      <c r="BM1199" s="4" t="s">
        <v>290</v>
      </c>
      <c r="BN1199" s="4" t="s">
        <v>241</v>
      </c>
      <c r="BO1199" s="6">
        <f>0</f>
        <v>0</v>
      </c>
      <c r="BP1199" s="6">
        <f>-4775023</f>
        <v>-4775023</v>
      </c>
      <c r="BQ1199" s="4" t="s">
        <v>263</v>
      </c>
      <c r="BR1199" s="4" t="s">
        <v>264</v>
      </c>
      <c r="BS1199" s="4" t="s">
        <v>241</v>
      </c>
      <c r="BT1199" s="4" t="s">
        <v>241</v>
      </c>
      <c r="BU1199" s="4" t="s">
        <v>241</v>
      </c>
      <c r="BV1199" s="4" t="s">
        <v>241</v>
      </c>
      <c r="CE1199" s="4" t="s">
        <v>264</v>
      </c>
      <c r="CF1199" s="4" t="s">
        <v>241</v>
      </c>
      <c r="CG1199" s="4" t="s">
        <v>241</v>
      </c>
      <c r="CK1199" s="4" t="s">
        <v>291</v>
      </c>
      <c r="CL1199" s="4" t="s">
        <v>266</v>
      </c>
      <c r="CM1199" s="4" t="s">
        <v>241</v>
      </c>
      <c r="CO1199" s="4" t="s">
        <v>364</v>
      </c>
      <c r="CP1199" s="5" t="s">
        <v>268</v>
      </c>
      <c r="CQ1199" s="4" t="s">
        <v>269</v>
      </c>
      <c r="CR1199" s="4" t="s">
        <v>270</v>
      </c>
      <c r="CS1199" s="4" t="s">
        <v>293</v>
      </c>
      <c r="CT1199" s="4" t="s">
        <v>241</v>
      </c>
      <c r="CU1199" s="4">
        <v>2.1999999999999999E-2</v>
      </c>
      <c r="CV1199" s="4" t="s">
        <v>271</v>
      </c>
      <c r="CW1199" s="4" t="s">
        <v>1176</v>
      </c>
      <c r="CX1199" s="4" t="s">
        <v>295</v>
      </c>
      <c r="CY1199" s="6">
        <f>0</f>
        <v>0</v>
      </c>
      <c r="CZ1199" s="6">
        <f>217046520</f>
        <v>217046520</v>
      </c>
      <c r="DA1199" s="6">
        <f>126321083</f>
        <v>126321083</v>
      </c>
      <c r="DC1199" s="4" t="s">
        <v>241</v>
      </c>
      <c r="DD1199" s="4" t="s">
        <v>241</v>
      </c>
      <c r="DF1199" s="4" t="s">
        <v>241</v>
      </c>
      <c r="DG1199" s="6">
        <f>0</f>
        <v>0</v>
      </c>
      <c r="DI1199" s="4" t="s">
        <v>241</v>
      </c>
      <c r="DJ1199" s="4" t="s">
        <v>241</v>
      </c>
      <c r="DK1199" s="4" t="s">
        <v>241</v>
      </c>
      <c r="DL1199" s="4" t="s">
        <v>241</v>
      </c>
      <c r="DM1199" s="4" t="s">
        <v>277</v>
      </c>
      <c r="DN1199" s="4" t="s">
        <v>278</v>
      </c>
      <c r="DO1199" s="6">
        <f>991.08</f>
        <v>991.08</v>
      </c>
      <c r="DP1199" s="4" t="s">
        <v>241</v>
      </c>
      <c r="DQ1199" s="4" t="s">
        <v>241</v>
      </c>
      <c r="DR1199" s="4" t="s">
        <v>241</v>
      </c>
      <c r="DS1199" s="4" t="s">
        <v>241</v>
      </c>
      <c r="DV1199" s="4" t="s">
        <v>1311</v>
      </c>
      <c r="DW1199" s="4" t="s">
        <v>277</v>
      </c>
      <c r="GN1199" s="4" t="s">
        <v>1312</v>
      </c>
      <c r="HO1199" s="4" t="s">
        <v>300</v>
      </c>
      <c r="HR1199" s="4" t="s">
        <v>278</v>
      </c>
      <c r="HS1199" s="4" t="s">
        <v>278</v>
      </c>
      <c r="HT1199" s="4" t="s">
        <v>241</v>
      </c>
      <c r="HU1199" s="4" t="s">
        <v>241</v>
      </c>
      <c r="HV1199" s="4" t="s">
        <v>241</v>
      </c>
      <c r="HW1199" s="4" t="s">
        <v>241</v>
      </c>
      <c r="HX1199" s="4" t="s">
        <v>241</v>
      </c>
      <c r="HY1199" s="4" t="s">
        <v>241</v>
      </c>
      <c r="HZ1199" s="4" t="s">
        <v>241</v>
      </c>
      <c r="IA1199" s="4" t="s">
        <v>241</v>
      </c>
      <c r="IB1199" s="4" t="s">
        <v>241</v>
      </c>
      <c r="IC1199" s="4" t="s">
        <v>241</v>
      </c>
      <c r="ID1199" s="4" t="s">
        <v>241</v>
      </c>
      <c r="IE1199" s="4" t="s">
        <v>241</v>
      </c>
      <c r="IF1199" s="4" t="s">
        <v>241</v>
      </c>
    </row>
    <row r="1200" spans="1:240" x14ac:dyDescent="0.4">
      <c r="A1200" s="4">
        <v>2</v>
      </c>
      <c r="B1200" s="4" t="s">
        <v>239</v>
      </c>
      <c r="C1200" s="4">
        <v>1503</v>
      </c>
      <c r="D1200" s="4">
        <v>1</v>
      </c>
      <c r="E1200" s="4">
        <v>3</v>
      </c>
      <c r="F1200" s="4" t="s">
        <v>326</v>
      </c>
      <c r="G1200" s="4" t="s">
        <v>241</v>
      </c>
      <c r="H1200" s="4" t="s">
        <v>241</v>
      </c>
      <c r="I1200" s="4" t="s">
        <v>1309</v>
      </c>
      <c r="J1200" s="4" t="s">
        <v>424</v>
      </c>
      <c r="K1200" s="4" t="s">
        <v>256</v>
      </c>
      <c r="L1200" s="4" t="s">
        <v>241</v>
      </c>
      <c r="M1200" s="5" t="s">
        <v>1310</v>
      </c>
      <c r="N1200" s="4" t="s">
        <v>2641</v>
      </c>
      <c r="O1200" s="6">
        <f>0</f>
        <v>0</v>
      </c>
      <c r="P1200" s="4" t="s">
        <v>276</v>
      </c>
      <c r="Q1200" s="6">
        <f>243000</f>
        <v>243000</v>
      </c>
      <c r="R1200" s="6">
        <f>486000</f>
        <v>486000</v>
      </c>
      <c r="S1200" s="5" t="s">
        <v>2642</v>
      </c>
      <c r="T1200" s="4" t="s">
        <v>343</v>
      </c>
      <c r="U1200" s="4" t="s">
        <v>297</v>
      </c>
      <c r="V1200" s="6">
        <f>60750</f>
        <v>60750</v>
      </c>
      <c r="W1200" s="6">
        <f>243000</f>
        <v>243000</v>
      </c>
      <c r="X1200" s="4" t="s">
        <v>243</v>
      </c>
      <c r="Y1200" s="4" t="s">
        <v>244</v>
      </c>
      <c r="Z1200" s="4" t="s">
        <v>465</v>
      </c>
      <c r="AA1200" s="4" t="s">
        <v>241</v>
      </c>
      <c r="AD1200" s="4" t="s">
        <v>241</v>
      </c>
      <c r="AE1200" s="5" t="s">
        <v>241</v>
      </c>
      <c r="AF1200" s="5" t="s">
        <v>241</v>
      </c>
      <c r="AH1200" s="5" t="s">
        <v>241</v>
      </c>
      <c r="AI1200" s="5" t="s">
        <v>249</v>
      </c>
      <c r="AJ1200" s="4" t="s">
        <v>251</v>
      </c>
      <c r="AK1200" s="4" t="s">
        <v>252</v>
      </c>
      <c r="AQ1200" s="4" t="s">
        <v>241</v>
      </c>
      <c r="AR1200" s="4" t="s">
        <v>241</v>
      </c>
      <c r="AS1200" s="4" t="s">
        <v>241</v>
      </c>
      <c r="AT1200" s="5" t="s">
        <v>241</v>
      </c>
      <c r="AU1200" s="5" t="s">
        <v>241</v>
      </c>
      <c r="AV1200" s="5" t="s">
        <v>241</v>
      </c>
      <c r="AY1200" s="4" t="s">
        <v>286</v>
      </c>
      <c r="AZ1200" s="4" t="s">
        <v>286</v>
      </c>
      <c r="BA1200" s="4" t="s">
        <v>254</v>
      </c>
      <c r="BB1200" s="4" t="s">
        <v>287</v>
      </c>
      <c r="BC1200" s="4" t="s">
        <v>255</v>
      </c>
      <c r="BD1200" s="4" t="s">
        <v>241</v>
      </c>
      <c r="BE1200" s="4" t="s">
        <v>257</v>
      </c>
      <c r="BF1200" s="4" t="s">
        <v>241</v>
      </c>
      <c r="BJ1200" s="4" t="s">
        <v>288</v>
      </c>
      <c r="BK1200" s="5" t="s">
        <v>289</v>
      </c>
      <c r="BL1200" s="4" t="s">
        <v>290</v>
      </c>
      <c r="BM1200" s="4" t="s">
        <v>290</v>
      </c>
      <c r="BN1200" s="4" t="s">
        <v>241</v>
      </c>
      <c r="BP1200" s="6">
        <f>-60750</f>
        <v>-60750</v>
      </c>
      <c r="BQ1200" s="4" t="s">
        <v>263</v>
      </c>
      <c r="BR1200" s="4" t="s">
        <v>264</v>
      </c>
      <c r="BS1200" s="4" t="s">
        <v>241</v>
      </c>
      <c r="BT1200" s="4" t="s">
        <v>241</v>
      </c>
      <c r="BU1200" s="4" t="s">
        <v>241</v>
      </c>
      <c r="BV1200" s="4" t="s">
        <v>241</v>
      </c>
      <c r="CE1200" s="4" t="s">
        <v>264</v>
      </c>
      <c r="CF1200" s="4" t="s">
        <v>241</v>
      </c>
      <c r="CG1200" s="4" t="s">
        <v>241</v>
      </c>
      <c r="CK1200" s="4" t="s">
        <v>291</v>
      </c>
      <c r="CL1200" s="4" t="s">
        <v>266</v>
      </c>
      <c r="CM1200" s="4" t="s">
        <v>241</v>
      </c>
      <c r="CO1200" s="4" t="s">
        <v>413</v>
      </c>
      <c r="CP1200" s="5" t="s">
        <v>268</v>
      </c>
      <c r="CQ1200" s="4" t="s">
        <v>269</v>
      </c>
      <c r="CR1200" s="4" t="s">
        <v>270</v>
      </c>
      <c r="CS1200" s="4" t="s">
        <v>293</v>
      </c>
      <c r="CT1200" s="4" t="s">
        <v>241</v>
      </c>
      <c r="CU1200" s="4">
        <v>0.125</v>
      </c>
      <c r="CV1200" s="4" t="s">
        <v>271</v>
      </c>
      <c r="CW1200" s="4" t="s">
        <v>415</v>
      </c>
      <c r="CX1200" s="4" t="s">
        <v>2643</v>
      </c>
      <c r="CY1200" s="6">
        <f>0</f>
        <v>0</v>
      </c>
      <c r="CZ1200" s="6">
        <f>486000</f>
        <v>486000</v>
      </c>
      <c r="DA1200" s="6">
        <f>243000</f>
        <v>243000</v>
      </c>
      <c r="DC1200" s="4" t="s">
        <v>241</v>
      </c>
      <c r="DD1200" s="4" t="s">
        <v>241</v>
      </c>
      <c r="DF1200" s="4" t="s">
        <v>241</v>
      </c>
      <c r="DG1200" s="6">
        <f>0</f>
        <v>0</v>
      </c>
      <c r="DI1200" s="4" t="s">
        <v>241</v>
      </c>
      <c r="DJ1200" s="4" t="s">
        <v>241</v>
      </c>
      <c r="DK1200" s="4" t="s">
        <v>241</v>
      </c>
      <c r="DL1200" s="4" t="s">
        <v>241</v>
      </c>
      <c r="DM1200" s="4" t="s">
        <v>278</v>
      </c>
      <c r="DN1200" s="4" t="s">
        <v>278</v>
      </c>
      <c r="DO1200" s="6" t="s">
        <v>241</v>
      </c>
      <c r="DP1200" s="4" t="s">
        <v>241</v>
      </c>
      <c r="DQ1200" s="4" t="s">
        <v>241</v>
      </c>
      <c r="DR1200" s="4" t="s">
        <v>241</v>
      </c>
      <c r="DS1200" s="4" t="s">
        <v>241</v>
      </c>
      <c r="DV1200" s="4" t="s">
        <v>1311</v>
      </c>
      <c r="DW1200" s="4" t="s">
        <v>323</v>
      </c>
      <c r="GN1200" s="4" t="s">
        <v>2644</v>
      </c>
      <c r="HO1200" s="4" t="s">
        <v>351</v>
      </c>
      <c r="HR1200" s="4" t="s">
        <v>278</v>
      </c>
      <c r="HS1200" s="4" t="s">
        <v>278</v>
      </c>
      <c r="HT1200" s="4" t="s">
        <v>241</v>
      </c>
      <c r="HU1200" s="4" t="s">
        <v>241</v>
      </c>
      <c r="HV1200" s="4" t="s">
        <v>241</v>
      </c>
      <c r="HW1200" s="4" t="s">
        <v>241</v>
      </c>
      <c r="HX1200" s="4" t="s">
        <v>241</v>
      </c>
      <c r="HY1200" s="4" t="s">
        <v>241</v>
      </c>
      <c r="HZ1200" s="4" t="s">
        <v>241</v>
      </c>
      <c r="IA1200" s="4" t="s">
        <v>241</v>
      </c>
      <c r="IB1200" s="4" t="s">
        <v>241</v>
      </c>
      <c r="IC1200" s="4" t="s">
        <v>241</v>
      </c>
      <c r="ID1200" s="4" t="s">
        <v>241</v>
      </c>
      <c r="IE1200" s="4" t="s">
        <v>241</v>
      </c>
      <c r="IF1200" s="4" t="s">
        <v>241</v>
      </c>
    </row>
    <row r="1201" spans="1:240" x14ac:dyDescent="0.4">
      <c r="A1201" s="4">
        <v>2</v>
      </c>
      <c r="B1201" s="4" t="s">
        <v>239</v>
      </c>
      <c r="C1201" s="4">
        <v>1504</v>
      </c>
      <c r="D1201" s="4">
        <v>1</v>
      </c>
      <c r="E1201" s="4">
        <v>3</v>
      </c>
      <c r="F1201" s="4" t="s">
        <v>240</v>
      </c>
      <c r="G1201" s="4" t="s">
        <v>241</v>
      </c>
      <c r="H1201" s="4" t="s">
        <v>241</v>
      </c>
      <c r="I1201" s="4" t="s">
        <v>1305</v>
      </c>
      <c r="J1201" s="4" t="s">
        <v>424</v>
      </c>
      <c r="K1201" s="4" t="s">
        <v>256</v>
      </c>
      <c r="L1201" s="4" t="s">
        <v>1174</v>
      </c>
      <c r="M1201" s="5" t="s">
        <v>1306</v>
      </c>
      <c r="N1201" s="4" t="s">
        <v>1174</v>
      </c>
      <c r="O1201" s="6">
        <f>1022.46</f>
        <v>1022.46</v>
      </c>
      <c r="P1201" s="4" t="s">
        <v>276</v>
      </c>
      <c r="Q1201" s="6">
        <f>72267482</f>
        <v>72267482</v>
      </c>
      <c r="R1201" s="6">
        <f>233120880</f>
        <v>233120880</v>
      </c>
      <c r="S1201" s="5" t="s">
        <v>400</v>
      </c>
      <c r="T1201" s="4" t="s">
        <v>357</v>
      </c>
      <c r="U1201" s="4" t="s">
        <v>314</v>
      </c>
      <c r="V1201" s="6">
        <f>6993626</f>
        <v>6993626</v>
      </c>
      <c r="W1201" s="6">
        <f>160853398</f>
        <v>160853398</v>
      </c>
      <c r="X1201" s="4" t="s">
        <v>243</v>
      </c>
      <c r="Y1201" s="4" t="s">
        <v>244</v>
      </c>
      <c r="Z1201" s="4" t="s">
        <v>465</v>
      </c>
      <c r="AA1201" s="4" t="s">
        <v>241</v>
      </c>
      <c r="AD1201" s="4" t="s">
        <v>241</v>
      </c>
      <c r="AE1201" s="5" t="s">
        <v>241</v>
      </c>
      <c r="AF1201" s="5" t="s">
        <v>241</v>
      </c>
      <c r="AH1201" s="5" t="s">
        <v>241</v>
      </c>
      <c r="AI1201" s="5" t="s">
        <v>249</v>
      </c>
      <c r="AJ1201" s="4" t="s">
        <v>251</v>
      </c>
      <c r="AK1201" s="4" t="s">
        <v>252</v>
      </c>
      <c r="AQ1201" s="4" t="s">
        <v>241</v>
      </c>
      <c r="AR1201" s="4" t="s">
        <v>241</v>
      </c>
      <c r="AS1201" s="4" t="s">
        <v>241</v>
      </c>
      <c r="AT1201" s="5" t="s">
        <v>241</v>
      </c>
      <c r="AU1201" s="5" t="s">
        <v>241</v>
      </c>
      <c r="AV1201" s="5" t="s">
        <v>241</v>
      </c>
      <c r="AY1201" s="4" t="s">
        <v>286</v>
      </c>
      <c r="AZ1201" s="4" t="s">
        <v>286</v>
      </c>
      <c r="BA1201" s="4" t="s">
        <v>254</v>
      </c>
      <c r="BB1201" s="4" t="s">
        <v>287</v>
      </c>
      <c r="BC1201" s="4" t="s">
        <v>255</v>
      </c>
      <c r="BD1201" s="4" t="s">
        <v>241</v>
      </c>
      <c r="BE1201" s="4" t="s">
        <v>257</v>
      </c>
      <c r="BF1201" s="4" t="s">
        <v>241</v>
      </c>
      <c r="BJ1201" s="4" t="s">
        <v>288</v>
      </c>
      <c r="BK1201" s="5" t="s">
        <v>289</v>
      </c>
      <c r="BL1201" s="4" t="s">
        <v>290</v>
      </c>
      <c r="BM1201" s="4" t="s">
        <v>290</v>
      </c>
      <c r="BN1201" s="4" t="s">
        <v>241</v>
      </c>
      <c r="BO1201" s="6">
        <f>0</f>
        <v>0</v>
      </c>
      <c r="BP1201" s="6">
        <f>-6993626</f>
        <v>-6993626</v>
      </c>
      <c r="BQ1201" s="4" t="s">
        <v>263</v>
      </c>
      <c r="BR1201" s="4" t="s">
        <v>264</v>
      </c>
      <c r="BS1201" s="4" t="s">
        <v>241</v>
      </c>
      <c r="BT1201" s="4" t="s">
        <v>241</v>
      </c>
      <c r="BU1201" s="4" t="s">
        <v>241</v>
      </c>
      <c r="BV1201" s="4" t="s">
        <v>241</v>
      </c>
      <c r="CE1201" s="4" t="s">
        <v>264</v>
      </c>
      <c r="CF1201" s="4" t="s">
        <v>241</v>
      </c>
      <c r="CG1201" s="4" t="s">
        <v>241</v>
      </c>
      <c r="CK1201" s="4" t="s">
        <v>291</v>
      </c>
      <c r="CL1201" s="4" t="s">
        <v>266</v>
      </c>
      <c r="CM1201" s="4" t="s">
        <v>241</v>
      </c>
      <c r="CO1201" s="4" t="s">
        <v>313</v>
      </c>
      <c r="CP1201" s="5" t="s">
        <v>268</v>
      </c>
      <c r="CQ1201" s="4" t="s">
        <v>269</v>
      </c>
      <c r="CR1201" s="4" t="s">
        <v>270</v>
      </c>
      <c r="CS1201" s="4" t="s">
        <v>293</v>
      </c>
      <c r="CT1201" s="4" t="s">
        <v>241</v>
      </c>
      <c r="CU1201" s="4">
        <v>0.03</v>
      </c>
      <c r="CV1201" s="4" t="s">
        <v>271</v>
      </c>
      <c r="CW1201" s="4" t="s">
        <v>1176</v>
      </c>
      <c r="CX1201" s="4" t="s">
        <v>487</v>
      </c>
      <c r="CY1201" s="6">
        <f>0</f>
        <v>0</v>
      </c>
      <c r="CZ1201" s="6">
        <f>233120880</f>
        <v>233120880</v>
      </c>
      <c r="DA1201" s="6">
        <f>72267482</f>
        <v>72267482</v>
      </c>
      <c r="DC1201" s="4" t="s">
        <v>241</v>
      </c>
      <c r="DD1201" s="4" t="s">
        <v>241</v>
      </c>
      <c r="DF1201" s="4" t="s">
        <v>241</v>
      </c>
      <c r="DG1201" s="6">
        <f>0</f>
        <v>0</v>
      </c>
      <c r="DI1201" s="4" t="s">
        <v>241</v>
      </c>
      <c r="DJ1201" s="4" t="s">
        <v>241</v>
      </c>
      <c r="DK1201" s="4" t="s">
        <v>241</v>
      </c>
      <c r="DL1201" s="4" t="s">
        <v>241</v>
      </c>
      <c r="DM1201" s="4" t="s">
        <v>277</v>
      </c>
      <c r="DN1201" s="4" t="s">
        <v>278</v>
      </c>
      <c r="DO1201" s="6">
        <f>1022.46</f>
        <v>1022.46</v>
      </c>
      <c r="DP1201" s="4" t="s">
        <v>241</v>
      </c>
      <c r="DQ1201" s="4" t="s">
        <v>241</v>
      </c>
      <c r="DR1201" s="4" t="s">
        <v>241</v>
      </c>
      <c r="DS1201" s="4" t="s">
        <v>241</v>
      </c>
      <c r="DV1201" s="4" t="s">
        <v>1307</v>
      </c>
      <c r="DW1201" s="4" t="s">
        <v>277</v>
      </c>
      <c r="GN1201" s="4" t="s">
        <v>1308</v>
      </c>
      <c r="HO1201" s="4" t="s">
        <v>300</v>
      </c>
      <c r="HR1201" s="4" t="s">
        <v>278</v>
      </c>
      <c r="HS1201" s="4" t="s">
        <v>278</v>
      </c>
      <c r="HT1201" s="4" t="s">
        <v>241</v>
      </c>
      <c r="HU1201" s="4" t="s">
        <v>241</v>
      </c>
      <c r="HV1201" s="4" t="s">
        <v>241</v>
      </c>
      <c r="HW1201" s="4" t="s">
        <v>241</v>
      </c>
      <c r="HX1201" s="4" t="s">
        <v>241</v>
      </c>
      <c r="HY1201" s="4" t="s">
        <v>241</v>
      </c>
      <c r="HZ1201" s="4" t="s">
        <v>241</v>
      </c>
      <c r="IA1201" s="4" t="s">
        <v>241</v>
      </c>
      <c r="IB1201" s="4" t="s">
        <v>241</v>
      </c>
      <c r="IC1201" s="4" t="s">
        <v>241</v>
      </c>
      <c r="ID1201" s="4" t="s">
        <v>241</v>
      </c>
      <c r="IE1201" s="4" t="s">
        <v>241</v>
      </c>
      <c r="IF1201" s="4" t="s">
        <v>241</v>
      </c>
    </row>
    <row r="1202" spans="1:240" x14ac:dyDescent="0.4">
      <c r="A1202" s="4">
        <v>2</v>
      </c>
      <c r="B1202" s="4" t="s">
        <v>239</v>
      </c>
      <c r="C1202" s="4">
        <v>1505</v>
      </c>
      <c r="D1202" s="4">
        <v>1</v>
      </c>
      <c r="E1202" s="4">
        <v>1</v>
      </c>
      <c r="F1202" s="4" t="s">
        <v>240</v>
      </c>
      <c r="G1202" s="4" t="s">
        <v>241</v>
      </c>
      <c r="H1202" s="4" t="s">
        <v>241</v>
      </c>
      <c r="I1202" s="4" t="s">
        <v>1270</v>
      </c>
      <c r="J1202" s="4" t="s">
        <v>424</v>
      </c>
      <c r="K1202" s="4" t="s">
        <v>256</v>
      </c>
      <c r="L1202" s="4" t="s">
        <v>1255</v>
      </c>
      <c r="M1202" s="5" t="s">
        <v>1272</v>
      </c>
      <c r="N1202" s="4" t="s">
        <v>1255</v>
      </c>
      <c r="O1202" s="6">
        <f>920.16</f>
        <v>920.16</v>
      </c>
      <c r="P1202" s="4" t="s">
        <v>276</v>
      </c>
      <c r="Q1202" s="6">
        <f>1</f>
        <v>1</v>
      </c>
      <c r="R1202" s="6">
        <f>292610880</f>
        <v>292610880</v>
      </c>
      <c r="S1202" s="5" t="s">
        <v>1271</v>
      </c>
      <c r="T1202" s="4" t="s">
        <v>314</v>
      </c>
      <c r="U1202" s="4" t="s">
        <v>314</v>
      </c>
      <c r="W1202" s="6">
        <f>292610879</f>
        <v>292610879</v>
      </c>
      <c r="X1202" s="4" t="s">
        <v>243</v>
      </c>
      <c r="Y1202" s="4" t="s">
        <v>244</v>
      </c>
      <c r="Z1202" s="4" t="s">
        <v>465</v>
      </c>
      <c r="AA1202" s="4" t="s">
        <v>241</v>
      </c>
      <c r="AD1202" s="4" t="s">
        <v>241</v>
      </c>
      <c r="AF1202" s="5" t="s">
        <v>241</v>
      </c>
      <c r="AI1202" s="5" t="s">
        <v>249</v>
      </c>
      <c r="AJ1202" s="4" t="s">
        <v>251</v>
      </c>
      <c r="AK1202" s="4" t="s">
        <v>252</v>
      </c>
      <c r="BA1202" s="4" t="s">
        <v>254</v>
      </c>
      <c r="BB1202" s="4" t="s">
        <v>241</v>
      </c>
      <c r="BC1202" s="4" t="s">
        <v>255</v>
      </c>
      <c r="BD1202" s="4" t="s">
        <v>241</v>
      </c>
      <c r="BE1202" s="4" t="s">
        <v>257</v>
      </c>
      <c r="BF1202" s="4" t="s">
        <v>241</v>
      </c>
      <c r="BJ1202" s="4" t="s">
        <v>374</v>
      </c>
      <c r="BK1202" s="5" t="s">
        <v>375</v>
      </c>
      <c r="BL1202" s="4" t="s">
        <v>261</v>
      </c>
      <c r="BM1202" s="4" t="s">
        <v>290</v>
      </c>
      <c r="BN1202" s="4" t="s">
        <v>241</v>
      </c>
      <c r="BO1202" s="6">
        <f>0</f>
        <v>0</v>
      </c>
      <c r="BP1202" s="6">
        <f>0</f>
        <v>0</v>
      </c>
      <c r="BQ1202" s="4" t="s">
        <v>263</v>
      </c>
      <c r="BR1202" s="4" t="s">
        <v>264</v>
      </c>
      <c r="CF1202" s="4" t="s">
        <v>241</v>
      </c>
      <c r="CG1202" s="4" t="s">
        <v>241</v>
      </c>
      <c r="CK1202" s="4" t="s">
        <v>291</v>
      </c>
      <c r="CL1202" s="4" t="s">
        <v>266</v>
      </c>
      <c r="CM1202" s="4" t="s">
        <v>241</v>
      </c>
      <c r="CO1202" s="4" t="s">
        <v>387</v>
      </c>
      <c r="CP1202" s="5" t="s">
        <v>268</v>
      </c>
      <c r="CQ1202" s="4" t="s">
        <v>269</v>
      </c>
      <c r="CR1202" s="4" t="s">
        <v>270</v>
      </c>
      <c r="CS1202" s="4" t="s">
        <v>241</v>
      </c>
      <c r="CT1202" s="4" t="s">
        <v>241</v>
      </c>
      <c r="CU1202" s="4">
        <v>0</v>
      </c>
      <c r="CV1202" s="4" t="s">
        <v>271</v>
      </c>
      <c r="CW1202" s="4" t="s">
        <v>1176</v>
      </c>
      <c r="CX1202" s="4" t="s">
        <v>347</v>
      </c>
      <c r="CZ1202" s="6">
        <f>292610880</f>
        <v>292610880</v>
      </c>
      <c r="DA1202" s="6">
        <f>0</f>
        <v>0</v>
      </c>
      <c r="DC1202" s="4" t="s">
        <v>241</v>
      </c>
      <c r="DD1202" s="4" t="s">
        <v>241</v>
      </c>
      <c r="DF1202" s="4" t="s">
        <v>241</v>
      </c>
      <c r="DI1202" s="4" t="s">
        <v>241</v>
      </c>
      <c r="DJ1202" s="4" t="s">
        <v>241</v>
      </c>
      <c r="DK1202" s="4" t="s">
        <v>241</v>
      </c>
      <c r="DL1202" s="4" t="s">
        <v>241</v>
      </c>
      <c r="DM1202" s="4" t="s">
        <v>277</v>
      </c>
      <c r="DN1202" s="4" t="s">
        <v>278</v>
      </c>
      <c r="DO1202" s="6">
        <f>920.16</f>
        <v>920.16</v>
      </c>
      <c r="DP1202" s="4" t="s">
        <v>241</v>
      </c>
      <c r="DQ1202" s="4" t="s">
        <v>241</v>
      </c>
      <c r="DR1202" s="4" t="s">
        <v>241</v>
      </c>
      <c r="DS1202" s="4" t="s">
        <v>241</v>
      </c>
      <c r="DV1202" s="4" t="s">
        <v>1273</v>
      </c>
      <c r="DW1202" s="4" t="s">
        <v>277</v>
      </c>
      <c r="HO1202" s="4" t="s">
        <v>297</v>
      </c>
      <c r="HR1202" s="4" t="s">
        <v>278</v>
      </c>
      <c r="HS1202" s="4" t="s">
        <v>278</v>
      </c>
    </row>
    <row r="1203" spans="1:240" x14ac:dyDescent="0.4">
      <c r="A1203" s="4">
        <v>2</v>
      </c>
      <c r="B1203" s="4" t="s">
        <v>239</v>
      </c>
      <c r="C1203" s="4">
        <v>1506</v>
      </c>
      <c r="D1203" s="4">
        <v>1</v>
      </c>
      <c r="E1203" s="4">
        <v>3</v>
      </c>
      <c r="F1203" s="4" t="s">
        <v>240</v>
      </c>
      <c r="G1203" s="4" t="s">
        <v>241</v>
      </c>
      <c r="H1203" s="4" t="s">
        <v>241</v>
      </c>
      <c r="I1203" s="4" t="s">
        <v>1270</v>
      </c>
      <c r="J1203" s="4" t="s">
        <v>424</v>
      </c>
      <c r="K1203" s="4" t="s">
        <v>256</v>
      </c>
      <c r="L1203" s="4" t="s">
        <v>1255</v>
      </c>
      <c r="M1203" s="5" t="s">
        <v>1272</v>
      </c>
      <c r="N1203" s="4" t="s">
        <v>1255</v>
      </c>
      <c r="O1203" s="6">
        <f>308.44</f>
        <v>308.44</v>
      </c>
      <c r="P1203" s="4" t="s">
        <v>276</v>
      </c>
      <c r="Q1203" s="6">
        <f>28493708</f>
        <v>28493708</v>
      </c>
      <c r="R1203" s="6">
        <f>95616400</f>
        <v>95616400</v>
      </c>
      <c r="S1203" s="5" t="s">
        <v>1271</v>
      </c>
      <c r="T1203" s="4" t="s">
        <v>333</v>
      </c>
      <c r="U1203" s="4" t="s">
        <v>404</v>
      </c>
      <c r="V1203" s="6">
        <f>2581642</f>
        <v>2581642</v>
      </c>
      <c r="W1203" s="6">
        <f>67122692</f>
        <v>67122692</v>
      </c>
      <c r="X1203" s="4" t="s">
        <v>243</v>
      </c>
      <c r="Y1203" s="4" t="s">
        <v>244</v>
      </c>
      <c r="Z1203" s="4" t="s">
        <v>465</v>
      </c>
      <c r="AA1203" s="4" t="s">
        <v>241</v>
      </c>
      <c r="AD1203" s="4" t="s">
        <v>241</v>
      </c>
      <c r="AE1203" s="5" t="s">
        <v>241</v>
      </c>
      <c r="AF1203" s="5" t="s">
        <v>241</v>
      </c>
      <c r="AH1203" s="5" t="s">
        <v>241</v>
      </c>
      <c r="AI1203" s="5" t="s">
        <v>249</v>
      </c>
      <c r="AJ1203" s="4" t="s">
        <v>251</v>
      </c>
      <c r="AK1203" s="4" t="s">
        <v>252</v>
      </c>
      <c r="AQ1203" s="4" t="s">
        <v>241</v>
      </c>
      <c r="AR1203" s="4" t="s">
        <v>241</v>
      </c>
      <c r="AS1203" s="4" t="s">
        <v>241</v>
      </c>
      <c r="AT1203" s="5" t="s">
        <v>241</v>
      </c>
      <c r="AU1203" s="5" t="s">
        <v>241</v>
      </c>
      <c r="AV1203" s="5" t="s">
        <v>241</v>
      </c>
      <c r="AY1203" s="4" t="s">
        <v>286</v>
      </c>
      <c r="AZ1203" s="4" t="s">
        <v>286</v>
      </c>
      <c r="BA1203" s="4" t="s">
        <v>254</v>
      </c>
      <c r="BB1203" s="4" t="s">
        <v>287</v>
      </c>
      <c r="BC1203" s="4" t="s">
        <v>255</v>
      </c>
      <c r="BD1203" s="4" t="s">
        <v>241</v>
      </c>
      <c r="BE1203" s="4" t="s">
        <v>257</v>
      </c>
      <c r="BF1203" s="4" t="s">
        <v>241</v>
      </c>
      <c r="BJ1203" s="4" t="s">
        <v>288</v>
      </c>
      <c r="BK1203" s="5" t="s">
        <v>289</v>
      </c>
      <c r="BL1203" s="4" t="s">
        <v>290</v>
      </c>
      <c r="BM1203" s="4" t="s">
        <v>290</v>
      </c>
      <c r="BN1203" s="4" t="s">
        <v>241</v>
      </c>
      <c r="BO1203" s="6">
        <f>0</f>
        <v>0</v>
      </c>
      <c r="BP1203" s="6">
        <f>-2581642</f>
        <v>-2581642</v>
      </c>
      <c r="BQ1203" s="4" t="s">
        <v>263</v>
      </c>
      <c r="BR1203" s="4" t="s">
        <v>264</v>
      </c>
      <c r="BS1203" s="4" t="s">
        <v>241</v>
      </c>
      <c r="BT1203" s="4" t="s">
        <v>241</v>
      </c>
      <c r="BU1203" s="4" t="s">
        <v>241</v>
      </c>
      <c r="BV1203" s="4" t="s">
        <v>241</v>
      </c>
      <c r="CE1203" s="4" t="s">
        <v>264</v>
      </c>
      <c r="CF1203" s="4" t="s">
        <v>241</v>
      </c>
      <c r="CG1203" s="4" t="s">
        <v>241</v>
      </c>
      <c r="CK1203" s="4" t="s">
        <v>291</v>
      </c>
      <c r="CL1203" s="4" t="s">
        <v>266</v>
      </c>
      <c r="CM1203" s="4" t="s">
        <v>241</v>
      </c>
      <c r="CO1203" s="4" t="s">
        <v>387</v>
      </c>
      <c r="CP1203" s="5" t="s">
        <v>268</v>
      </c>
      <c r="CQ1203" s="4" t="s">
        <v>269</v>
      </c>
      <c r="CR1203" s="4" t="s">
        <v>270</v>
      </c>
      <c r="CS1203" s="4" t="s">
        <v>293</v>
      </c>
      <c r="CT1203" s="4" t="s">
        <v>241</v>
      </c>
      <c r="CU1203" s="4">
        <v>2.7E-2</v>
      </c>
      <c r="CV1203" s="4" t="s">
        <v>271</v>
      </c>
      <c r="CW1203" s="4" t="s">
        <v>1329</v>
      </c>
      <c r="CX1203" s="4" t="s">
        <v>487</v>
      </c>
      <c r="CY1203" s="6">
        <f>0</f>
        <v>0</v>
      </c>
      <c r="CZ1203" s="6">
        <f>95616400</f>
        <v>95616400</v>
      </c>
      <c r="DA1203" s="6">
        <f>28493708</f>
        <v>28493708</v>
      </c>
      <c r="DC1203" s="4" t="s">
        <v>241</v>
      </c>
      <c r="DD1203" s="4" t="s">
        <v>241</v>
      </c>
      <c r="DF1203" s="4" t="s">
        <v>241</v>
      </c>
      <c r="DG1203" s="6">
        <f>0</f>
        <v>0</v>
      </c>
      <c r="DI1203" s="4" t="s">
        <v>241</v>
      </c>
      <c r="DJ1203" s="4" t="s">
        <v>241</v>
      </c>
      <c r="DK1203" s="4" t="s">
        <v>241</v>
      </c>
      <c r="DL1203" s="4" t="s">
        <v>241</v>
      </c>
      <c r="DM1203" s="4" t="s">
        <v>277</v>
      </c>
      <c r="DN1203" s="4" t="s">
        <v>278</v>
      </c>
      <c r="DO1203" s="6">
        <f>308.44</f>
        <v>308.44</v>
      </c>
      <c r="DP1203" s="4" t="s">
        <v>241</v>
      </c>
      <c r="DQ1203" s="4" t="s">
        <v>241</v>
      </c>
      <c r="DR1203" s="4" t="s">
        <v>241</v>
      </c>
      <c r="DS1203" s="4" t="s">
        <v>241</v>
      </c>
      <c r="DV1203" s="4" t="s">
        <v>1273</v>
      </c>
      <c r="DW1203" s="4" t="s">
        <v>323</v>
      </c>
      <c r="GN1203" s="4" t="s">
        <v>1373</v>
      </c>
      <c r="HO1203" s="4" t="s">
        <v>300</v>
      </c>
      <c r="HR1203" s="4" t="s">
        <v>278</v>
      </c>
      <c r="HS1203" s="4" t="s">
        <v>278</v>
      </c>
      <c r="HT1203" s="4" t="s">
        <v>241</v>
      </c>
      <c r="HU1203" s="4" t="s">
        <v>241</v>
      </c>
      <c r="HV1203" s="4" t="s">
        <v>241</v>
      </c>
      <c r="HW1203" s="4" t="s">
        <v>241</v>
      </c>
      <c r="HX1203" s="4" t="s">
        <v>241</v>
      </c>
      <c r="HY1203" s="4" t="s">
        <v>241</v>
      </c>
      <c r="HZ1203" s="4" t="s">
        <v>241</v>
      </c>
      <c r="IA1203" s="4" t="s">
        <v>241</v>
      </c>
      <c r="IB1203" s="4" t="s">
        <v>241</v>
      </c>
      <c r="IC1203" s="4" t="s">
        <v>241</v>
      </c>
      <c r="ID1203" s="4" t="s">
        <v>241</v>
      </c>
      <c r="IE1203" s="4" t="s">
        <v>241</v>
      </c>
      <c r="IF1203" s="4" t="s">
        <v>241</v>
      </c>
    </row>
    <row r="1204" spans="1:240" x14ac:dyDescent="0.4">
      <c r="A1204" s="4">
        <v>2</v>
      </c>
      <c r="B1204" s="4" t="s">
        <v>239</v>
      </c>
      <c r="C1204" s="4">
        <v>1507</v>
      </c>
      <c r="D1204" s="4">
        <v>1</v>
      </c>
      <c r="E1204" s="4">
        <v>3</v>
      </c>
      <c r="F1204" s="4" t="s">
        <v>326</v>
      </c>
      <c r="G1204" s="4" t="s">
        <v>241</v>
      </c>
      <c r="H1204" s="4" t="s">
        <v>241</v>
      </c>
      <c r="I1204" s="4" t="s">
        <v>1270</v>
      </c>
      <c r="J1204" s="4" t="s">
        <v>424</v>
      </c>
      <c r="K1204" s="4" t="s">
        <v>256</v>
      </c>
      <c r="L1204" s="4" t="s">
        <v>2535</v>
      </c>
      <c r="M1204" s="5" t="s">
        <v>1272</v>
      </c>
      <c r="N1204" s="4" t="s">
        <v>2638</v>
      </c>
      <c r="O1204" s="6">
        <f>0</f>
        <v>0</v>
      </c>
      <c r="P1204" s="4" t="s">
        <v>276</v>
      </c>
      <c r="Q1204" s="6">
        <f>1283080</f>
        <v>1283080</v>
      </c>
      <c r="R1204" s="6">
        <f>1752840</f>
        <v>1752840</v>
      </c>
      <c r="S1204" s="5" t="s">
        <v>2639</v>
      </c>
      <c r="T1204" s="4" t="s">
        <v>348</v>
      </c>
      <c r="U1204" s="4" t="s">
        <v>297</v>
      </c>
      <c r="V1204" s="6">
        <f>117440</f>
        <v>117440</v>
      </c>
      <c r="W1204" s="6">
        <f>469760</f>
        <v>469760</v>
      </c>
      <c r="X1204" s="4" t="s">
        <v>243</v>
      </c>
      <c r="Y1204" s="4" t="s">
        <v>244</v>
      </c>
      <c r="Z1204" s="4" t="s">
        <v>465</v>
      </c>
      <c r="AA1204" s="4" t="s">
        <v>241</v>
      </c>
      <c r="AD1204" s="4" t="s">
        <v>241</v>
      </c>
      <c r="AE1204" s="5" t="s">
        <v>241</v>
      </c>
      <c r="AF1204" s="5" t="s">
        <v>241</v>
      </c>
      <c r="AH1204" s="5" t="s">
        <v>241</v>
      </c>
      <c r="AI1204" s="5" t="s">
        <v>249</v>
      </c>
      <c r="AJ1204" s="4" t="s">
        <v>251</v>
      </c>
      <c r="AK1204" s="4" t="s">
        <v>252</v>
      </c>
      <c r="AQ1204" s="4" t="s">
        <v>241</v>
      </c>
      <c r="AR1204" s="4" t="s">
        <v>241</v>
      </c>
      <c r="AS1204" s="4" t="s">
        <v>241</v>
      </c>
      <c r="AT1204" s="5" t="s">
        <v>241</v>
      </c>
      <c r="AU1204" s="5" t="s">
        <v>241</v>
      </c>
      <c r="AV1204" s="5" t="s">
        <v>241</v>
      </c>
      <c r="AY1204" s="4" t="s">
        <v>286</v>
      </c>
      <c r="AZ1204" s="4" t="s">
        <v>286</v>
      </c>
      <c r="BA1204" s="4" t="s">
        <v>254</v>
      </c>
      <c r="BB1204" s="4" t="s">
        <v>287</v>
      </c>
      <c r="BC1204" s="4" t="s">
        <v>255</v>
      </c>
      <c r="BD1204" s="4" t="s">
        <v>241</v>
      </c>
      <c r="BE1204" s="4" t="s">
        <v>257</v>
      </c>
      <c r="BF1204" s="4" t="s">
        <v>241</v>
      </c>
      <c r="BJ1204" s="4" t="s">
        <v>288</v>
      </c>
      <c r="BK1204" s="5" t="s">
        <v>289</v>
      </c>
      <c r="BL1204" s="4" t="s">
        <v>290</v>
      </c>
      <c r="BM1204" s="4" t="s">
        <v>290</v>
      </c>
      <c r="BN1204" s="4" t="s">
        <v>241</v>
      </c>
      <c r="BP1204" s="6">
        <f>-117440</f>
        <v>-117440</v>
      </c>
      <c r="BQ1204" s="4" t="s">
        <v>263</v>
      </c>
      <c r="BR1204" s="4" t="s">
        <v>264</v>
      </c>
      <c r="BS1204" s="4" t="s">
        <v>241</v>
      </c>
      <c r="BT1204" s="4" t="s">
        <v>241</v>
      </c>
      <c r="BU1204" s="4" t="s">
        <v>241</v>
      </c>
      <c r="BV1204" s="4" t="s">
        <v>241</v>
      </c>
      <c r="CE1204" s="4" t="s">
        <v>264</v>
      </c>
      <c r="CF1204" s="4" t="s">
        <v>241</v>
      </c>
      <c r="CG1204" s="4" t="s">
        <v>241</v>
      </c>
      <c r="CK1204" s="4" t="s">
        <v>291</v>
      </c>
      <c r="CL1204" s="4" t="s">
        <v>266</v>
      </c>
      <c r="CM1204" s="4" t="s">
        <v>241</v>
      </c>
      <c r="CO1204" s="4" t="s">
        <v>413</v>
      </c>
      <c r="CP1204" s="5" t="s">
        <v>268</v>
      </c>
      <c r="CQ1204" s="4" t="s">
        <v>269</v>
      </c>
      <c r="CR1204" s="4" t="s">
        <v>270</v>
      </c>
      <c r="CS1204" s="4" t="s">
        <v>293</v>
      </c>
      <c r="CT1204" s="4" t="s">
        <v>241</v>
      </c>
      <c r="CU1204" s="4">
        <v>6.7000000000000004E-2</v>
      </c>
      <c r="CV1204" s="4" t="s">
        <v>271</v>
      </c>
      <c r="CW1204" s="4" t="s">
        <v>415</v>
      </c>
      <c r="CX1204" s="4" t="s">
        <v>422</v>
      </c>
      <c r="CY1204" s="6">
        <f>0</f>
        <v>0</v>
      </c>
      <c r="CZ1204" s="6">
        <f>1752840</f>
        <v>1752840</v>
      </c>
      <c r="DA1204" s="6">
        <f>1283080</f>
        <v>1283080</v>
      </c>
      <c r="DC1204" s="4" t="s">
        <v>241</v>
      </c>
      <c r="DD1204" s="4" t="s">
        <v>241</v>
      </c>
      <c r="DF1204" s="4" t="s">
        <v>241</v>
      </c>
      <c r="DG1204" s="6">
        <f>0</f>
        <v>0</v>
      </c>
      <c r="DI1204" s="4" t="s">
        <v>241</v>
      </c>
      <c r="DJ1204" s="4" t="s">
        <v>241</v>
      </c>
      <c r="DK1204" s="4" t="s">
        <v>241</v>
      </c>
      <c r="DL1204" s="4" t="s">
        <v>241</v>
      </c>
      <c r="DM1204" s="4" t="s">
        <v>278</v>
      </c>
      <c r="DN1204" s="4" t="s">
        <v>278</v>
      </c>
      <c r="DO1204" s="6" t="s">
        <v>241</v>
      </c>
      <c r="DP1204" s="4" t="s">
        <v>241</v>
      </c>
      <c r="DQ1204" s="4" t="s">
        <v>241</v>
      </c>
      <c r="DR1204" s="4" t="s">
        <v>241</v>
      </c>
      <c r="DS1204" s="4" t="s">
        <v>241</v>
      </c>
      <c r="DV1204" s="4" t="s">
        <v>1273</v>
      </c>
      <c r="DW1204" s="4" t="s">
        <v>297</v>
      </c>
      <c r="GN1204" s="4" t="s">
        <v>2640</v>
      </c>
      <c r="HO1204" s="4" t="s">
        <v>351</v>
      </c>
      <c r="HR1204" s="4" t="s">
        <v>278</v>
      </c>
      <c r="HS1204" s="4" t="s">
        <v>278</v>
      </c>
      <c r="HT1204" s="4" t="s">
        <v>241</v>
      </c>
      <c r="HU1204" s="4" t="s">
        <v>241</v>
      </c>
      <c r="HV1204" s="4" t="s">
        <v>241</v>
      </c>
      <c r="HW1204" s="4" t="s">
        <v>241</v>
      </c>
      <c r="HX1204" s="4" t="s">
        <v>241</v>
      </c>
      <c r="HY1204" s="4" t="s">
        <v>241</v>
      </c>
      <c r="HZ1204" s="4" t="s">
        <v>241</v>
      </c>
      <c r="IA1204" s="4" t="s">
        <v>241</v>
      </c>
      <c r="IB1204" s="4" t="s">
        <v>241</v>
      </c>
      <c r="IC1204" s="4" t="s">
        <v>241</v>
      </c>
      <c r="ID1204" s="4" t="s">
        <v>241</v>
      </c>
      <c r="IE1204" s="4" t="s">
        <v>241</v>
      </c>
      <c r="IF1204" s="4" t="s">
        <v>241</v>
      </c>
    </row>
    <row r="1205" spans="1:240" x14ac:dyDescent="0.4">
      <c r="A1205" s="4">
        <v>2</v>
      </c>
      <c r="B1205" s="4" t="s">
        <v>239</v>
      </c>
      <c r="C1205" s="4">
        <v>1508</v>
      </c>
      <c r="D1205" s="4">
        <v>1</v>
      </c>
      <c r="E1205" s="4">
        <v>1</v>
      </c>
      <c r="F1205" s="4" t="s">
        <v>240</v>
      </c>
      <c r="G1205" s="4" t="s">
        <v>241</v>
      </c>
      <c r="H1205" s="4" t="s">
        <v>241</v>
      </c>
      <c r="I1205" s="4" t="s">
        <v>1051</v>
      </c>
      <c r="J1205" s="4" t="s">
        <v>424</v>
      </c>
      <c r="K1205" s="4" t="s">
        <v>256</v>
      </c>
      <c r="L1205" s="4" t="s">
        <v>2529</v>
      </c>
      <c r="M1205" s="5" t="s">
        <v>1053</v>
      </c>
      <c r="N1205" s="4" t="s">
        <v>2529</v>
      </c>
      <c r="O1205" s="6">
        <f>43</f>
        <v>43</v>
      </c>
      <c r="P1205" s="4" t="s">
        <v>276</v>
      </c>
      <c r="Q1205" s="6">
        <f>1</f>
        <v>1</v>
      </c>
      <c r="R1205" s="6">
        <f>2580000</f>
        <v>2580000</v>
      </c>
      <c r="S1205" s="5" t="s">
        <v>1052</v>
      </c>
      <c r="T1205" s="4" t="s">
        <v>348</v>
      </c>
      <c r="U1205" s="4" t="s">
        <v>552</v>
      </c>
      <c r="W1205" s="6">
        <f>2579999</f>
        <v>2579999</v>
      </c>
      <c r="X1205" s="4" t="s">
        <v>243</v>
      </c>
      <c r="Y1205" s="4" t="s">
        <v>244</v>
      </c>
      <c r="Z1205" s="4" t="s">
        <v>465</v>
      </c>
      <c r="AA1205" s="4" t="s">
        <v>241</v>
      </c>
      <c r="AD1205" s="4" t="s">
        <v>241</v>
      </c>
      <c r="AF1205" s="5" t="s">
        <v>241</v>
      </c>
      <c r="AI1205" s="5" t="s">
        <v>249</v>
      </c>
      <c r="AJ1205" s="4" t="s">
        <v>251</v>
      </c>
      <c r="AK1205" s="4" t="s">
        <v>252</v>
      </c>
      <c r="BA1205" s="4" t="s">
        <v>254</v>
      </c>
      <c r="BB1205" s="4" t="s">
        <v>241</v>
      </c>
      <c r="BC1205" s="4" t="s">
        <v>255</v>
      </c>
      <c r="BD1205" s="4" t="s">
        <v>241</v>
      </c>
      <c r="BE1205" s="4" t="s">
        <v>257</v>
      </c>
      <c r="BF1205" s="4" t="s">
        <v>241</v>
      </c>
      <c r="BH1205" s="4" t="s">
        <v>500</v>
      </c>
      <c r="BJ1205" s="4" t="s">
        <v>367</v>
      </c>
      <c r="BK1205" s="5" t="s">
        <v>249</v>
      </c>
      <c r="BL1205" s="4" t="s">
        <v>261</v>
      </c>
      <c r="BM1205" s="4" t="s">
        <v>262</v>
      </c>
      <c r="BN1205" s="4" t="s">
        <v>241</v>
      </c>
      <c r="BO1205" s="6">
        <f>0</f>
        <v>0</v>
      </c>
      <c r="BP1205" s="6">
        <f>0</f>
        <v>0</v>
      </c>
      <c r="BQ1205" s="4" t="s">
        <v>263</v>
      </c>
      <c r="BR1205" s="4" t="s">
        <v>264</v>
      </c>
      <c r="CF1205" s="4" t="s">
        <v>241</v>
      </c>
      <c r="CG1205" s="4" t="s">
        <v>241</v>
      </c>
      <c r="CK1205" s="4" t="s">
        <v>265</v>
      </c>
      <c r="CL1205" s="4" t="s">
        <v>266</v>
      </c>
      <c r="CM1205" s="4" t="s">
        <v>241</v>
      </c>
      <c r="CO1205" s="4" t="s">
        <v>662</v>
      </c>
      <c r="CP1205" s="5" t="s">
        <v>268</v>
      </c>
      <c r="CQ1205" s="4" t="s">
        <v>269</v>
      </c>
      <c r="CR1205" s="4" t="s">
        <v>270</v>
      </c>
      <c r="CS1205" s="4" t="s">
        <v>241</v>
      </c>
      <c r="CT1205" s="4" t="s">
        <v>241</v>
      </c>
      <c r="CU1205" s="4">
        <v>0</v>
      </c>
      <c r="CV1205" s="4" t="s">
        <v>271</v>
      </c>
      <c r="CW1205" s="4" t="s">
        <v>415</v>
      </c>
      <c r="CX1205" s="4" t="s">
        <v>416</v>
      </c>
      <c r="CZ1205" s="6">
        <f>2580000</f>
        <v>2580000</v>
      </c>
      <c r="DA1205" s="6">
        <f>0</f>
        <v>0</v>
      </c>
      <c r="DC1205" s="4" t="s">
        <v>241</v>
      </c>
      <c r="DD1205" s="4" t="s">
        <v>241</v>
      </c>
      <c r="DF1205" s="4" t="s">
        <v>241</v>
      </c>
      <c r="DI1205" s="4" t="s">
        <v>241</v>
      </c>
      <c r="DJ1205" s="4" t="s">
        <v>241</v>
      </c>
      <c r="DK1205" s="4" t="s">
        <v>241</v>
      </c>
      <c r="DL1205" s="4" t="s">
        <v>241</v>
      </c>
      <c r="DM1205" s="4" t="s">
        <v>277</v>
      </c>
      <c r="DN1205" s="4" t="s">
        <v>278</v>
      </c>
      <c r="DO1205" s="6">
        <f>43</f>
        <v>43</v>
      </c>
      <c r="DP1205" s="4" t="s">
        <v>241</v>
      </c>
      <c r="DQ1205" s="4" t="s">
        <v>241</v>
      </c>
      <c r="DR1205" s="4" t="s">
        <v>241</v>
      </c>
      <c r="DS1205" s="4" t="s">
        <v>241</v>
      </c>
      <c r="DV1205" s="4" t="s">
        <v>1054</v>
      </c>
      <c r="DW1205" s="4" t="s">
        <v>277</v>
      </c>
      <c r="HO1205" s="4" t="s">
        <v>277</v>
      </c>
      <c r="HR1205" s="4" t="s">
        <v>278</v>
      </c>
      <c r="HS1205" s="4" t="s">
        <v>278</v>
      </c>
    </row>
    <row r="1206" spans="1:240" x14ac:dyDescent="0.4">
      <c r="A1206" s="4">
        <v>2</v>
      </c>
      <c r="B1206" s="4" t="s">
        <v>239</v>
      </c>
      <c r="C1206" s="4">
        <v>1509</v>
      </c>
      <c r="D1206" s="4">
        <v>1</v>
      </c>
      <c r="E1206" s="4">
        <v>3</v>
      </c>
      <c r="F1206" s="4" t="s">
        <v>240</v>
      </c>
      <c r="G1206" s="4" t="s">
        <v>241</v>
      </c>
      <c r="H1206" s="4" t="s">
        <v>241</v>
      </c>
      <c r="I1206" s="4" t="s">
        <v>1051</v>
      </c>
      <c r="J1206" s="4" t="s">
        <v>424</v>
      </c>
      <c r="K1206" s="4" t="s">
        <v>256</v>
      </c>
      <c r="L1206" s="4" t="s">
        <v>1174</v>
      </c>
      <c r="M1206" s="5" t="s">
        <v>1053</v>
      </c>
      <c r="N1206" s="4" t="s">
        <v>1174</v>
      </c>
      <c r="O1206" s="6">
        <f>2103.09</f>
        <v>2103.09</v>
      </c>
      <c r="P1206" s="4" t="s">
        <v>276</v>
      </c>
      <c r="Q1206" s="6">
        <f>46562424</f>
        <v>46562424</v>
      </c>
      <c r="R1206" s="6">
        <f>283917150</f>
        <v>283917150</v>
      </c>
      <c r="S1206" s="5" t="s">
        <v>1052</v>
      </c>
      <c r="T1206" s="4" t="s">
        <v>668</v>
      </c>
      <c r="U1206" s="4" t="s">
        <v>777</v>
      </c>
      <c r="V1206" s="6">
        <f>6246177</f>
        <v>6246177</v>
      </c>
      <c r="W1206" s="6">
        <f>237354726</f>
        <v>237354726</v>
      </c>
      <c r="X1206" s="4" t="s">
        <v>243</v>
      </c>
      <c r="Y1206" s="4" t="s">
        <v>244</v>
      </c>
      <c r="Z1206" s="4" t="s">
        <v>465</v>
      </c>
      <c r="AA1206" s="4" t="s">
        <v>241</v>
      </c>
      <c r="AD1206" s="4" t="s">
        <v>241</v>
      </c>
      <c r="AE1206" s="5" t="s">
        <v>241</v>
      </c>
      <c r="AF1206" s="5" t="s">
        <v>241</v>
      </c>
      <c r="AH1206" s="5" t="s">
        <v>241</v>
      </c>
      <c r="AI1206" s="5" t="s">
        <v>249</v>
      </c>
      <c r="AJ1206" s="4" t="s">
        <v>251</v>
      </c>
      <c r="AK1206" s="4" t="s">
        <v>252</v>
      </c>
      <c r="AQ1206" s="4" t="s">
        <v>241</v>
      </c>
      <c r="AR1206" s="4" t="s">
        <v>241</v>
      </c>
      <c r="AS1206" s="4" t="s">
        <v>241</v>
      </c>
      <c r="AT1206" s="5" t="s">
        <v>241</v>
      </c>
      <c r="AU1206" s="5" t="s">
        <v>241</v>
      </c>
      <c r="AV1206" s="5" t="s">
        <v>241</v>
      </c>
      <c r="AY1206" s="4" t="s">
        <v>286</v>
      </c>
      <c r="AZ1206" s="4" t="s">
        <v>286</v>
      </c>
      <c r="BA1206" s="4" t="s">
        <v>254</v>
      </c>
      <c r="BB1206" s="4" t="s">
        <v>287</v>
      </c>
      <c r="BC1206" s="4" t="s">
        <v>255</v>
      </c>
      <c r="BD1206" s="4" t="s">
        <v>241</v>
      </c>
      <c r="BE1206" s="4" t="s">
        <v>257</v>
      </c>
      <c r="BF1206" s="4" t="s">
        <v>241</v>
      </c>
      <c r="BJ1206" s="4" t="s">
        <v>288</v>
      </c>
      <c r="BK1206" s="5" t="s">
        <v>289</v>
      </c>
      <c r="BL1206" s="4" t="s">
        <v>290</v>
      </c>
      <c r="BM1206" s="4" t="s">
        <v>290</v>
      </c>
      <c r="BN1206" s="4" t="s">
        <v>241</v>
      </c>
      <c r="BO1206" s="6">
        <f>0</f>
        <v>0</v>
      </c>
      <c r="BP1206" s="6">
        <f>-6246177</f>
        <v>-6246177</v>
      </c>
      <c r="BQ1206" s="4" t="s">
        <v>263</v>
      </c>
      <c r="BR1206" s="4" t="s">
        <v>264</v>
      </c>
      <c r="BS1206" s="4" t="s">
        <v>241</v>
      </c>
      <c r="BT1206" s="4" t="s">
        <v>241</v>
      </c>
      <c r="BU1206" s="4" t="s">
        <v>241</v>
      </c>
      <c r="BV1206" s="4" t="s">
        <v>241</v>
      </c>
      <c r="CE1206" s="4" t="s">
        <v>264</v>
      </c>
      <c r="CF1206" s="4" t="s">
        <v>241</v>
      </c>
      <c r="CG1206" s="4" t="s">
        <v>241</v>
      </c>
      <c r="CK1206" s="4" t="s">
        <v>265</v>
      </c>
      <c r="CL1206" s="4" t="s">
        <v>266</v>
      </c>
      <c r="CM1206" s="4" t="s">
        <v>241</v>
      </c>
      <c r="CO1206" s="4" t="s">
        <v>662</v>
      </c>
      <c r="CP1206" s="5" t="s">
        <v>268</v>
      </c>
      <c r="CQ1206" s="4" t="s">
        <v>269</v>
      </c>
      <c r="CR1206" s="4" t="s">
        <v>270</v>
      </c>
      <c r="CS1206" s="4" t="s">
        <v>293</v>
      </c>
      <c r="CT1206" s="4" t="s">
        <v>241</v>
      </c>
      <c r="CU1206" s="4">
        <v>2.1999999999999999E-2</v>
      </c>
      <c r="CV1206" s="4" t="s">
        <v>271</v>
      </c>
      <c r="CW1206" s="4" t="s">
        <v>1176</v>
      </c>
      <c r="CX1206" s="4" t="s">
        <v>295</v>
      </c>
      <c r="CY1206" s="6">
        <f>0</f>
        <v>0</v>
      </c>
      <c r="CZ1206" s="6">
        <f>283917150</f>
        <v>283917150</v>
      </c>
      <c r="DA1206" s="6">
        <f>46562424</f>
        <v>46562424</v>
      </c>
      <c r="DC1206" s="4" t="s">
        <v>241</v>
      </c>
      <c r="DD1206" s="4" t="s">
        <v>241</v>
      </c>
      <c r="DF1206" s="4" t="s">
        <v>241</v>
      </c>
      <c r="DG1206" s="6">
        <f>0</f>
        <v>0</v>
      </c>
      <c r="DI1206" s="4" t="s">
        <v>241</v>
      </c>
      <c r="DJ1206" s="4" t="s">
        <v>241</v>
      </c>
      <c r="DK1206" s="4" t="s">
        <v>241</v>
      </c>
      <c r="DL1206" s="4" t="s">
        <v>241</v>
      </c>
      <c r="DM1206" s="4" t="s">
        <v>297</v>
      </c>
      <c r="DN1206" s="4" t="s">
        <v>278</v>
      </c>
      <c r="DO1206" s="6">
        <f>2103.09</f>
        <v>2103.09</v>
      </c>
      <c r="DP1206" s="4" t="s">
        <v>241</v>
      </c>
      <c r="DQ1206" s="4" t="s">
        <v>241</v>
      </c>
      <c r="DR1206" s="4" t="s">
        <v>241</v>
      </c>
      <c r="DS1206" s="4" t="s">
        <v>241</v>
      </c>
      <c r="DV1206" s="4" t="s">
        <v>1054</v>
      </c>
      <c r="DW1206" s="4" t="s">
        <v>323</v>
      </c>
      <c r="GN1206" s="4" t="s">
        <v>1304</v>
      </c>
      <c r="HO1206" s="4" t="s">
        <v>300</v>
      </c>
      <c r="HR1206" s="4" t="s">
        <v>278</v>
      </c>
      <c r="HS1206" s="4" t="s">
        <v>278</v>
      </c>
      <c r="HT1206" s="4" t="s">
        <v>241</v>
      </c>
      <c r="HU1206" s="4" t="s">
        <v>241</v>
      </c>
      <c r="HV1206" s="4" t="s">
        <v>241</v>
      </c>
      <c r="HW1206" s="4" t="s">
        <v>241</v>
      </c>
      <c r="HX1206" s="4" t="s">
        <v>241</v>
      </c>
      <c r="HY1206" s="4" t="s">
        <v>241</v>
      </c>
      <c r="HZ1206" s="4" t="s">
        <v>241</v>
      </c>
      <c r="IA1206" s="4" t="s">
        <v>241</v>
      </c>
      <c r="IB1206" s="4" t="s">
        <v>241</v>
      </c>
      <c r="IC1206" s="4" t="s">
        <v>241</v>
      </c>
      <c r="ID1206" s="4" t="s">
        <v>241</v>
      </c>
      <c r="IE1206" s="4" t="s">
        <v>241</v>
      </c>
      <c r="IF1206" s="4" t="s">
        <v>241</v>
      </c>
    </row>
    <row r="1207" spans="1:240" x14ac:dyDescent="0.4">
      <c r="A1207" s="4">
        <v>2</v>
      </c>
      <c r="B1207" s="4" t="s">
        <v>239</v>
      </c>
      <c r="C1207" s="4">
        <v>1510</v>
      </c>
      <c r="D1207" s="4">
        <v>1</v>
      </c>
      <c r="E1207" s="4">
        <v>3</v>
      </c>
      <c r="F1207" s="4" t="s">
        <v>240</v>
      </c>
      <c r="G1207" s="4" t="s">
        <v>241</v>
      </c>
      <c r="H1207" s="4" t="s">
        <v>241</v>
      </c>
      <c r="I1207" s="4" t="s">
        <v>1051</v>
      </c>
      <c r="J1207" s="4" t="s">
        <v>424</v>
      </c>
      <c r="K1207" s="4" t="s">
        <v>256</v>
      </c>
      <c r="L1207" s="4" t="s">
        <v>1003</v>
      </c>
      <c r="M1207" s="5" t="s">
        <v>1053</v>
      </c>
      <c r="N1207" s="4" t="s">
        <v>1003</v>
      </c>
      <c r="O1207" s="6">
        <f>756.89</f>
        <v>756.89</v>
      </c>
      <c r="P1207" s="4" t="s">
        <v>276</v>
      </c>
      <c r="Q1207" s="6">
        <f>22343408</f>
        <v>22343408</v>
      </c>
      <c r="R1207" s="6">
        <f>136240200</f>
        <v>136240200</v>
      </c>
      <c r="S1207" s="5" t="s">
        <v>1052</v>
      </c>
      <c r="T1207" s="4" t="s">
        <v>668</v>
      </c>
      <c r="U1207" s="4" t="s">
        <v>777</v>
      </c>
      <c r="V1207" s="6">
        <f>2997284</f>
        <v>2997284</v>
      </c>
      <c r="W1207" s="6">
        <f>113896792</f>
        <v>113896792</v>
      </c>
      <c r="X1207" s="4" t="s">
        <v>243</v>
      </c>
      <c r="Y1207" s="4" t="s">
        <v>244</v>
      </c>
      <c r="Z1207" s="4" t="s">
        <v>465</v>
      </c>
      <c r="AA1207" s="4" t="s">
        <v>241</v>
      </c>
      <c r="AD1207" s="4" t="s">
        <v>241</v>
      </c>
      <c r="AE1207" s="5" t="s">
        <v>241</v>
      </c>
      <c r="AF1207" s="5" t="s">
        <v>241</v>
      </c>
      <c r="AH1207" s="5" t="s">
        <v>241</v>
      </c>
      <c r="AI1207" s="5" t="s">
        <v>249</v>
      </c>
      <c r="AJ1207" s="4" t="s">
        <v>251</v>
      </c>
      <c r="AK1207" s="4" t="s">
        <v>252</v>
      </c>
      <c r="AQ1207" s="4" t="s">
        <v>241</v>
      </c>
      <c r="AR1207" s="4" t="s">
        <v>241</v>
      </c>
      <c r="AS1207" s="4" t="s">
        <v>241</v>
      </c>
      <c r="AT1207" s="5" t="s">
        <v>241</v>
      </c>
      <c r="AU1207" s="5" t="s">
        <v>241</v>
      </c>
      <c r="AV1207" s="5" t="s">
        <v>241</v>
      </c>
      <c r="AY1207" s="4" t="s">
        <v>286</v>
      </c>
      <c r="AZ1207" s="4" t="s">
        <v>286</v>
      </c>
      <c r="BA1207" s="4" t="s">
        <v>254</v>
      </c>
      <c r="BB1207" s="4" t="s">
        <v>287</v>
      </c>
      <c r="BC1207" s="4" t="s">
        <v>255</v>
      </c>
      <c r="BD1207" s="4" t="s">
        <v>241</v>
      </c>
      <c r="BE1207" s="4" t="s">
        <v>257</v>
      </c>
      <c r="BF1207" s="4" t="s">
        <v>241</v>
      </c>
      <c r="BJ1207" s="4" t="s">
        <v>288</v>
      </c>
      <c r="BK1207" s="5" t="s">
        <v>289</v>
      </c>
      <c r="BL1207" s="4" t="s">
        <v>290</v>
      </c>
      <c r="BM1207" s="4" t="s">
        <v>290</v>
      </c>
      <c r="BN1207" s="4" t="s">
        <v>241</v>
      </c>
      <c r="BO1207" s="6">
        <f>0</f>
        <v>0</v>
      </c>
      <c r="BP1207" s="6">
        <f>-2997284</f>
        <v>-2997284</v>
      </c>
      <c r="BQ1207" s="4" t="s">
        <v>263</v>
      </c>
      <c r="BR1207" s="4" t="s">
        <v>264</v>
      </c>
      <c r="BS1207" s="4" t="s">
        <v>241</v>
      </c>
      <c r="BT1207" s="4" t="s">
        <v>241</v>
      </c>
      <c r="BU1207" s="4" t="s">
        <v>241</v>
      </c>
      <c r="BV1207" s="4" t="s">
        <v>241</v>
      </c>
      <c r="CE1207" s="4" t="s">
        <v>264</v>
      </c>
      <c r="CF1207" s="4" t="s">
        <v>241</v>
      </c>
      <c r="CG1207" s="4" t="s">
        <v>241</v>
      </c>
      <c r="CK1207" s="4" t="s">
        <v>265</v>
      </c>
      <c r="CL1207" s="4" t="s">
        <v>266</v>
      </c>
      <c r="CM1207" s="4" t="s">
        <v>241</v>
      </c>
      <c r="CO1207" s="4" t="s">
        <v>662</v>
      </c>
      <c r="CP1207" s="5" t="s">
        <v>268</v>
      </c>
      <c r="CQ1207" s="4" t="s">
        <v>269</v>
      </c>
      <c r="CR1207" s="4" t="s">
        <v>270</v>
      </c>
      <c r="CS1207" s="4" t="s">
        <v>293</v>
      </c>
      <c r="CT1207" s="4" t="s">
        <v>241</v>
      </c>
      <c r="CU1207" s="4">
        <v>2.1999999999999999E-2</v>
      </c>
      <c r="CV1207" s="4" t="s">
        <v>271</v>
      </c>
      <c r="CW1207" s="4" t="s">
        <v>1006</v>
      </c>
      <c r="CX1207" s="4" t="s">
        <v>295</v>
      </c>
      <c r="CY1207" s="6">
        <f>0</f>
        <v>0</v>
      </c>
      <c r="CZ1207" s="6">
        <f>136240200</f>
        <v>136240200</v>
      </c>
      <c r="DA1207" s="6">
        <f>22343408</f>
        <v>22343408</v>
      </c>
      <c r="DC1207" s="4" t="s">
        <v>241</v>
      </c>
      <c r="DD1207" s="4" t="s">
        <v>241</v>
      </c>
      <c r="DF1207" s="4" t="s">
        <v>241</v>
      </c>
      <c r="DG1207" s="6">
        <f>0</f>
        <v>0</v>
      </c>
      <c r="DI1207" s="4" t="s">
        <v>241</v>
      </c>
      <c r="DJ1207" s="4" t="s">
        <v>241</v>
      </c>
      <c r="DK1207" s="4" t="s">
        <v>241</v>
      </c>
      <c r="DL1207" s="4" t="s">
        <v>241</v>
      </c>
      <c r="DM1207" s="4" t="s">
        <v>277</v>
      </c>
      <c r="DN1207" s="4" t="s">
        <v>278</v>
      </c>
      <c r="DO1207" s="6">
        <f>756.89</f>
        <v>756.89</v>
      </c>
      <c r="DP1207" s="4" t="s">
        <v>241</v>
      </c>
      <c r="DQ1207" s="4" t="s">
        <v>241</v>
      </c>
      <c r="DR1207" s="4" t="s">
        <v>241</v>
      </c>
      <c r="DS1207" s="4" t="s">
        <v>241</v>
      </c>
      <c r="DV1207" s="4" t="s">
        <v>1054</v>
      </c>
      <c r="DW1207" s="4" t="s">
        <v>297</v>
      </c>
      <c r="GN1207" s="4" t="s">
        <v>1055</v>
      </c>
      <c r="HO1207" s="4" t="s">
        <v>300</v>
      </c>
      <c r="HR1207" s="4" t="s">
        <v>278</v>
      </c>
      <c r="HS1207" s="4" t="s">
        <v>278</v>
      </c>
      <c r="HT1207" s="4" t="s">
        <v>241</v>
      </c>
      <c r="HU1207" s="4" t="s">
        <v>241</v>
      </c>
      <c r="HV1207" s="4" t="s">
        <v>241</v>
      </c>
      <c r="HW1207" s="4" t="s">
        <v>241</v>
      </c>
      <c r="HX1207" s="4" t="s">
        <v>241</v>
      </c>
      <c r="HY1207" s="4" t="s">
        <v>241</v>
      </c>
      <c r="HZ1207" s="4" t="s">
        <v>241</v>
      </c>
      <c r="IA1207" s="4" t="s">
        <v>241</v>
      </c>
      <c r="IB1207" s="4" t="s">
        <v>241</v>
      </c>
      <c r="IC1207" s="4" t="s">
        <v>241</v>
      </c>
      <c r="ID1207" s="4" t="s">
        <v>241</v>
      </c>
      <c r="IE1207" s="4" t="s">
        <v>241</v>
      </c>
      <c r="IF1207" s="4" t="s">
        <v>241</v>
      </c>
    </row>
    <row r="1208" spans="1:240" x14ac:dyDescent="0.4">
      <c r="A1208" s="4">
        <v>2</v>
      </c>
      <c r="B1208" s="4" t="s">
        <v>239</v>
      </c>
      <c r="C1208" s="4">
        <v>1511</v>
      </c>
      <c r="D1208" s="4">
        <v>1</v>
      </c>
      <c r="E1208" s="4">
        <v>3</v>
      </c>
      <c r="F1208" s="4" t="s">
        <v>240</v>
      </c>
      <c r="G1208" s="4" t="s">
        <v>241</v>
      </c>
      <c r="H1208" s="4" t="s">
        <v>241</v>
      </c>
      <c r="I1208" s="4" t="s">
        <v>1051</v>
      </c>
      <c r="J1208" s="4" t="s">
        <v>424</v>
      </c>
      <c r="K1208" s="4" t="s">
        <v>256</v>
      </c>
      <c r="L1208" s="4" t="s">
        <v>429</v>
      </c>
      <c r="M1208" s="5" t="s">
        <v>1053</v>
      </c>
      <c r="N1208" s="4" t="s">
        <v>429</v>
      </c>
      <c r="O1208" s="6">
        <f>36</f>
        <v>36</v>
      </c>
      <c r="P1208" s="4" t="s">
        <v>276</v>
      </c>
      <c r="Q1208" s="6">
        <f>1</f>
        <v>1</v>
      </c>
      <c r="R1208" s="6">
        <f>10800000</f>
        <v>10800000</v>
      </c>
      <c r="S1208" s="5" t="s">
        <v>345</v>
      </c>
      <c r="T1208" s="4" t="s">
        <v>348</v>
      </c>
      <c r="U1208" s="4" t="s">
        <v>349</v>
      </c>
      <c r="V1208" s="6">
        <f>669599</f>
        <v>669599</v>
      </c>
      <c r="W1208" s="6">
        <f>10799999</f>
        <v>10799999</v>
      </c>
      <c r="X1208" s="4" t="s">
        <v>243</v>
      </c>
      <c r="Y1208" s="4" t="s">
        <v>244</v>
      </c>
      <c r="Z1208" s="4" t="s">
        <v>465</v>
      </c>
      <c r="AA1208" s="4" t="s">
        <v>241</v>
      </c>
      <c r="AD1208" s="4" t="s">
        <v>241</v>
      </c>
      <c r="AE1208" s="5" t="s">
        <v>241</v>
      </c>
      <c r="AF1208" s="5" t="s">
        <v>241</v>
      </c>
      <c r="AH1208" s="5" t="s">
        <v>241</v>
      </c>
      <c r="AI1208" s="5" t="s">
        <v>249</v>
      </c>
      <c r="AJ1208" s="4" t="s">
        <v>251</v>
      </c>
      <c r="AK1208" s="4" t="s">
        <v>252</v>
      </c>
      <c r="AQ1208" s="4" t="s">
        <v>241</v>
      </c>
      <c r="AR1208" s="4" t="s">
        <v>241</v>
      </c>
      <c r="AS1208" s="4" t="s">
        <v>241</v>
      </c>
      <c r="AT1208" s="5" t="s">
        <v>241</v>
      </c>
      <c r="AU1208" s="5" t="s">
        <v>241</v>
      </c>
      <c r="AV1208" s="5" t="s">
        <v>241</v>
      </c>
      <c r="AY1208" s="4" t="s">
        <v>286</v>
      </c>
      <c r="AZ1208" s="4" t="s">
        <v>286</v>
      </c>
      <c r="BA1208" s="4" t="s">
        <v>254</v>
      </c>
      <c r="BB1208" s="4" t="s">
        <v>287</v>
      </c>
      <c r="BC1208" s="4" t="s">
        <v>255</v>
      </c>
      <c r="BD1208" s="4" t="s">
        <v>241</v>
      </c>
      <c r="BE1208" s="4" t="s">
        <v>257</v>
      </c>
      <c r="BF1208" s="4" t="s">
        <v>241</v>
      </c>
      <c r="BJ1208" s="4" t="s">
        <v>288</v>
      </c>
      <c r="BK1208" s="5" t="s">
        <v>289</v>
      </c>
      <c r="BL1208" s="4" t="s">
        <v>290</v>
      </c>
      <c r="BM1208" s="4" t="s">
        <v>290</v>
      </c>
      <c r="BN1208" s="4" t="s">
        <v>241</v>
      </c>
      <c r="BO1208" s="6">
        <f>0</f>
        <v>0</v>
      </c>
      <c r="BP1208" s="6">
        <f>-669599</f>
        <v>-669599</v>
      </c>
      <c r="BQ1208" s="4" t="s">
        <v>263</v>
      </c>
      <c r="BR1208" s="4" t="s">
        <v>264</v>
      </c>
      <c r="BS1208" s="4" t="s">
        <v>241</v>
      </c>
      <c r="BT1208" s="4" t="s">
        <v>241</v>
      </c>
      <c r="BU1208" s="4" t="s">
        <v>241</v>
      </c>
      <c r="BV1208" s="4" t="s">
        <v>241</v>
      </c>
      <c r="CE1208" s="4" t="s">
        <v>264</v>
      </c>
      <c r="CF1208" s="4" t="s">
        <v>241</v>
      </c>
      <c r="CG1208" s="4" t="s">
        <v>241</v>
      </c>
      <c r="CK1208" s="4" t="s">
        <v>291</v>
      </c>
      <c r="CL1208" s="4" t="s">
        <v>266</v>
      </c>
      <c r="CM1208" s="4" t="s">
        <v>241</v>
      </c>
      <c r="CO1208" s="4" t="s">
        <v>346</v>
      </c>
      <c r="CP1208" s="5" t="s">
        <v>268</v>
      </c>
      <c r="CQ1208" s="4" t="s">
        <v>269</v>
      </c>
      <c r="CR1208" s="4" t="s">
        <v>270</v>
      </c>
      <c r="CS1208" s="4" t="s">
        <v>293</v>
      </c>
      <c r="CT1208" s="4" t="s">
        <v>241</v>
      </c>
      <c r="CU1208" s="4">
        <v>6.7000000000000004E-2</v>
      </c>
      <c r="CV1208" s="4" t="s">
        <v>271</v>
      </c>
      <c r="CW1208" s="4" t="s">
        <v>272</v>
      </c>
      <c r="CX1208" s="4" t="s">
        <v>347</v>
      </c>
      <c r="CY1208" s="6">
        <f>0</f>
        <v>0</v>
      </c>
      <c r="CZ1208" s="6">
        <f>10800000</f>
        <v>10800000</v>
      </c>
      <c r="DA1208" s="6">
        <f>1</f>
        <v>1</v>
      </c>
      <c r="DC1208" s="4" t="s">
        <v>241</v>
      </c>
      <c r="DD1208" s="4" t="s">
        <v>241</v>
      </c>
      <c r="DF1208" s="4" t="s">
        <v>241</v>
      </c>
      <c r="DG1208" s="6">
        <f>0</f>
        <v>0</v>
      </c>
      <c r="DI1208" s="4" t="s">
        <v>241</v>
      </c>
      <c r="DJ1208" s="4" t="s">
        <v>241</v>
      </c>
      <c r="DK1208" s="4" t="s">
        <v>241</v>
      </c>
      <c r="DL1208" s="4" t="s">
        <v>241</v>
      </c>
      <c r="DM1208" s="4" t="s">
        <v>277</v>
      </c>
      <c r="DN1208" s="4" t="s">
        <v>278</v>
      </c>
      <c r="DO1208" s="6">
        <f>36</f>
        <v>36</v>
      </c>
      <c r="DP1208" s="4" t="s">
        <v>241</v>
      </c>
      <c r="DQ1208" s="4" t="s">
        <v>241</v>
      </c>
      <c r="DR1208" s="4" t="s">
        <v>241</v>
      </c>
      <c r="DS1208" s="4" t="s">
        <v>241</v>
      </c>
      <c r="DV1208" s="4" t="s">
        <v>1054</v>
      </c>
      <c r="DW1208" s="4" t="s">
        <v>336</v>
      </c>
      <c r="GN1208" s="4" t="s">
        <v>3763</v>
      </c>
      <c r="HO1208" s="4" t="s">
        <v>300</v>
      </c>
      <c r="HR1208" s="4" t="s">
        <v>278</v>
      </c>
      <c r="HS1208" s="4" t="s">
        <v>278</v>
      </c>
      <c r="HT1208" s="4" t="s">
        <v>241</v>
      </c>
      <c r="HU1208" s="4" t="s">
        <v>241</v>
      </c>
      <c r="HV1208" s="4" t="s">
        <v>241</v>
      </c>
      <c r="HW1208" s="4" t="s">
        <v>241</v>
      </c>
      <c r="HX1208" s="4" t="s">
        <v>241</v>
      </c>
      <c r="HY1208" s="4" t="s">
        <v>241</v>
      </c>
      <c r="HZ1208" s="4" t="s">
        <v>241</v>
      </c>
      <c r="IA1208" s="4" t="s">
        <v>241</v>
      </c>
      <c r="IB1208" s="4" t="s">
        <v>241</v>
      </c>
      <c r="IC1208" s="4" t="s">
        <v>241</v>
      </c>
      <c r="ID1208" s="4" t="s">
        <v>241</v>
      </c>
      <c r="IE1208" s="4" t="s">
        <v>241</v>
      </c>
      <c r="IF1208" s="4" t="s">
        <v>241</v>
      </c>
    </row>
    <row r="1209" spans="1:240" x14ac:dyDescent="0.4">
      <c r="A1209" s="4">
        <v>2</v>
      </c>
      <c r="B1209" s="4" t="s">
        <v>239</v>
      </c>
      <c r="C1209" s="4">
        <v>1512</v>
      </c>
      <c r="D1209" s="4">
        <v>1</v>
      </c>
      <c r="E1209" s="4">
        <v>1</v>
      </c>
      <c r="F1209" s="4" t="s">
        <v>240</v>
      </c>
      <c r="G1209" s="4" t="s">
        <v>241</v>
      </c>
      <c r="H1209" s="4" t="s">
        <v>241</v>
      </c>
      <c r="I1209" s="4" t="s">
        <v>1266</v>
      </c>
      <c r="J1209" s="4" t="s">
        <v>424</v>
      </c>
      <c r="K1209" s="4" t="s">
        <v>256</v>
      </c>
      <c r="L1209" s="4" t="s">
        <v>1174</v>
      </c>
      <c r="M1209" s="5" t="s">
        <v>1268</v>
      </c>
      <c r="N1209" s="4" t="s">
        <v>1174</v>
      </c>
      <c r="O1209" s="6">
        <f>300.19</f>
        <v>300.19</v>
      </c>
      <c r="P1209" s="4" t="s">
        <v>276</v>
      </c>
      <c r="Q1209" s="6">
        <f>1</f>
        <v>1</v>
      </c>
      <c r="R1209" s="6">
        <f>61839140</f>
        <v>61839140</v>
      </c>
      <c r="S1209" s="5" t="s">
        <v>1267</v>
      </c>
      <c r="T1209" s="4" t="s">
        <v>314</v>
      </c>
      <c r="U1209" s="4" t="s">
        <v>314</v>
      </c>
      <c r="W1209" s="6">
        <f>61839139</f>
        <v>61839139</v>
      </c>
      <c r="X1209" s="4" t="s">
        <v>243</v>
      </c>
      <c r="Y1209" s="4" t="s">
        <v>244</v>
      </c>
      <c r="Z1209" s="4" t="s">
        <v>465</v>
      </c>
      <c r="AA1209" s="4" t="s">
        <v>241</v>
      </c>
      <c r="AD1209" s="4" t="s">
        <v>241</v>
      </c>
      <c r="AF1209" s="5" t="s">
        <v>241</v>
      </c>
      <c r="AI1209" s="5" t="s">
        <v>249</v>
      </c>
      <c r="AJ1209" s="4" t="s">
        <v>251</v>
      </c>
      <c r="AK1209" s="4" t="s">
        <v>252</v>
      </c>
      <c r="BA1209" s="4" t="s">
        <v>254</v>
      </c>
      <c r="BB1209" s="4" t="s">
        <v>241</v>
      </c>
      <c r="BC1209" s="4" t="s">
        <v>255</v>
      </c>
      <c r="BD1209" s="4" t="s">
        <v>241</v>
      </c>
      <c r="BE1209" s="4" t="s">
        <v>257</v>
      </c>
      <c r="BF1209" s="4" t="s">
        <v>241</v>
      </c>
      <c r="BJ1209" s="4" t="s">
        <v>367</v>
      </c>
      <c r="BK1209" s="5" t="s">
        <v>249</v>
      </c>
      <c r="BL1209" s="4" t="s">
        <v>261</v>
      </c>
      <c r="BM1209" s="4" t="s">
        <v>290</v>
      </c>
      <c r="BN1209" s="4" t="s">
        <v>241</v>
      </c>
      <c r="BO1209" s="6">
        <f>0</f>
        <v>0</v>
      </c>
      <c r="BP1209" s="6">
        <f>0</f>
        <v>0</v>
      </c>
      <c r="BQ1209" s="4" t="s">
        <v>263</v>
      </c>
      <c r="BR1209" s="4" t="s">
        <v>264</v>
      </c>
      <c r="CF1209" s="4" t="s">
        <v>241</v>
      </c>
      <c r="CG1209" s="4" t="s">
        <v>241</v>
      </c>
      <c r="CK1209" s="4" t="s">
        <v>291</v>
      </c>
      <c r="CL1209" s="4" t="s">
        <v>266</v>
      </c>
      <c r="CM1209" s="4" t="s">
        <v>241</v>
      </c>
      <c r="CO1209" s="4" t="s">
        <v>387</v>
      </c>
      <c r="CP1209" s="5" t="s">
        <v>268</v>
      </c>
      <c r="CQ1209" s="4" t="s">
        <v>269</v>
      </c>
      <c r="CR1209" s="4" t="s">
        <v>270</v>
      </c>
      <c r="CS1209" s="4" t="s">
        <v>241</v>
      </c>
      <c r="CT1209" s="4" t="s">
        <v>241</v>
      </c>
      <c r="CU1209" s="4">
        <v>0</v>
      </c>
      <c r="CV1209" s="4" t="s">
        <v>271</v>
      </c>
      <c r="CW1209" s="4" t="s">
        <v>1176</v>
      </c>
      <c r="CX1209" s="4" t="s">
        <v>347</v>
      </c>
      <c r="CZ1209" s="6">
        <f>61839140</f>
        <v>61839140</v>
      </c>
      <c r="DA1209" s="6">
        <f>0</f>
        <v>0</v>
      </c>
      <c r="DC1209" s="4" t="s">
        <v>241</v>
      </c>
      <c r="DD1209" s="4" t="s">
        <v>241</v>
      </c>
      <c r="DF1209" s="4" t="s">
        <v>241</v>
      </c>
      <c r="DI1209" s="4" t="s">
        <v>241</v>
      </c>
      <c r="DJ1209" s="4" t="s">
        <v>241</v>
      </c>
      <c r="DK1209" s="4" t="s">
        <v>241</v>
      </c>
      <c r="DL1209" s="4" t="s">
        <v>241</v>
      </c>
      <c r="DM1209" s="4" t="s">
        <v>277</v>
      </c>
      <c r="DN1209" s="4" t="s">
        <v>278</v>
      </c>
      <c r="DO1209" s="6">
        <f>300.19</f>
        <v>300.19</v>
      </c>
      <c r="DP1209" s="4" t="s">
        <v>241</v>
      </c>
      <c r="DQ1209" s="4" t="s">
        <v>241</v>
      </c>
      <c r="DR1209" s="4" t="s">
        <v>241</v>
      </c>
      <c r="DS1209" s="4" t="s">
        <v>241</v>
      </c>
      <c r="DV1209" s="4" t="s">
        <v>1269</v>
      </c>
      <c r="DW1209" s="4" t="s">
        <v>277</v>
      </c>
      <c r="HO1209" s="4" t="s">
        <v>297</v>
      </c>
      <c r="HR1209" s="4" t="s">
        <v>278</v>
      </c>
      <c r="HS1209" s="4" t="s">
        <v>278</v>
      </c>
    </row>
    <row r="1210" spans="1:240" x14ac:dyDescent="0.4">
      <c r="A1210" s="4">
        <v>2</v>
      </c>
      <c r="B1210" s="4" t="s">
        <v>239</v>
      </c>
      <c r="C1210" s="4">
        <v>1514</v>
      </c>
      <c r="D1210" s="4">
        <v>1</v>
      </c>
      <c r="E1210" s="4">
        <v>3</v>
      </c>
      <c r="F1210" s="4" t="s">
        <v>240</v>
      </c>
      <c r="G1210" s="4" t="s">
        <v>241</v>
      </c>
      <c r="H1210" s="4" t="s">
        <v>241</v>
      </c>
      <c r="I1210" s="4" t="s">
        <v>1901</v>
      </c>
      <c r="J1210" s="4" t="s">
        <v>1416</v>
      </c>
      <c r="K1210" s="4" t="s">
        <v>256</v>
      </c>
      <c r="L1210" s="4" t="s">
        <v>1900</v>
      </c>
      <c r="M1210" s="5" t="s">
        <v>1903</v>
      </c>
      <c r="N1210" s="4" t="s">
        <v>1900</v>
      </c>
      <c r="O1210" s="6">
        <f>2163.45</f>
        <v>2163.4499999999998</v>
      </c>
      <c r="P1210" s="4" t="s">
        <v>276</v>
      </c>
      <c r="Q1210" s="6">
        <f>694174908</f>
        <v>694174908</v>
      </c>
      <c r="R1210" s="6">
        <f>938074200</f>
        <v>938074200</v>
      </c>
      <c r="S1210" s="5" t="s">
        <v>1902</v>
      </c>
      <c r="T1210" s="4" t="s">
        <v>296</v>
      </c>
      <c r="U1210" s="4" t="s">
        <v>409</v>
      </c>
      <c r="V1210" s="6">
        <f>18761484</f>
        <v>18761484</v>
      </c>
      <c r="W1210" s="6">
        <f>243899292</f>
        <v>243899292</v>
      </c>
      <c r="X1210" s="4" t="s">
        <v>243</v>
      </c>
      <c r="Y1210" s="4" t="s">
        <v>244</v>
      </c>
      <c r="Z1210" s="4" t="s">
        <v>1338</v>
      </c>
      <c r="AA1210" s="4" t="s">
        <v>241</v>
      </c>
      <c r="AD1210" s="4" t="s">
        <v>241</v>
      </c>
      <c r="AE1210" s="5" t="s">
        <v>241</v>
      </c>
      <c r="AF1210" s="5" t="s">
        <v>241</v>
      </c>
      <c r="AH1210" s="5" t="s">
        <v>241</v>
      </c>
      <c r="AI1210" s="5" t="s">
        <v>249</v>
      </c>
      <c r="AJ1210" s="4" t="s">
        <v>251</v>
      </c>
      <c r="AK1210" s="4" t="s">
        <v>252</v>
      </c>
      <c r="AQ1210" s="4" t="s">
        <v>241</v>
      </c>
      <c r="AR1210" s="4" t="s">
        <v>241</v>
      </c>
      <c r="AS1210" s="4" t="s">
        <v>241</v>
      </c>
      <c r="AT1210" s="5" t="s">
        <v>241</v>
      </c>
      <c r="AU1210" s="5" t="s">
        <v>241</v>
      </c>
      <c r="AV1210" s="5" t="s">
        <v>241</v>
      </c>
      <c r="AY1210" s="4" t="s">
        <v>286</v>
      </c>
      <c r="AZ1210" s="4" t="s">
        <v>286</v>
      </c>
      <c r="BA1210" s="4" t="s">
        <v>254</v>
      </c>
      <c r="BB1210" s="4" t="s">
        <v>287</v>
      </c>
      <c r="BC1210" s="4" t="s">
        <v>255</v>
      </c>
      <c r="BD1210" s="4" t="s">
        <v>241</v>
      </c>
      <c r="BE1210" s="4" t="s">
        <v>257</v>
      </c>
      <c r="BF1210" s="4" t="s">
        <v>241</v>
      </c>
      <c r="BJ1210" s="4" t="s">
        <v>288</v>
      </c>
      <c r="BK1210" s="5" t="s">
        <v>289</v>
      </c>
      <c r="BL1210" s="4" t="s">
        <v>290</v>
      </c>
      <c r="BM1210" s="4" t="s">
        <v>290</v>
      </c>
      <c r="BN1210" s="4" t="s">
        <v>241</v>
      </c>
      <c r="BO1210" s="6">
        <f>0</f>
        <v>0</v>
      </c>
      <c r="BP1210" s="6">
        <f>-18761484</f>
        <v>-18761484</v>
      </c>
      <c r="BQ1210" s="4" t="s">
        <v>263</v>
      </c>
      <c r="BR1210" s="4" t="s">
        <v>264</v>
      </c>
      <c r="BS1210" s="4" t="s">
        <v>241</v>
      </c>
      <c r="BT1210" s="4" t="s">
        <v>241</v>
      </c>
      <c r="BU1210" s="4" t="s">
        <v>241</v>
      </c>
      <c r="BV1210" s="4" t="s">
        <v>241</v>
      </c>
      <c r="CE1210" s="4" t="s">
        <v>264</v>
      </c>
      <c r="CF1210" s="4" t="s">
        <v>241</v>
      </c>
      <c r="CG1210" s="4" t="s">
        <v>241</v>
      </c>
      <c r="CK1210" s="4" t="s">
        <v>291</v>
      </c>
      <c r="CL1210" s="4" t="s">
        <v>266</v>
      </c>
      <c r="CM1210" s="4" t="s">
        <v>241</v>
      </c>
      <c r="CO1210" s="4" t="s">
        <v>567</v>
      </c>
      <c r="CP1210" s="5" t="s">
        <v>268</v>
      </c>
      <c r="CQ1210" s="4" t="s">
        <v>269</v>
      </c>
      <c r="CR1210" s="4" t="s">
        <v>270</v>
      </c>
      <c r="CS1210" s="4" t="s">
        <v>293</v>
      </c>
      <c r="CT1210" s="4" t="s">
        <v>241</v>
      </c>
      <c r="CU1210" s="4">
        <v>0.02</v>
      </c>
      <c r="CV1210" s="4" t="s">
        <v>271</v>
      </c>
      <c r="CW1210" s="4" t="s">
        <v>1904</v>
      </c>
      <c r="CX1210" s="4" t="s">
        <v>295</v>
      </c>
      <c r="CY1210" s="6">
        <f>0</f>
        <v>0</v>
      </c>
      <c r="CZ1210" s="6">
        <f>938074200</f>
        <v>938074200</v>
      </c>
      <c r="DA1210" s="6">
        <f>694174908</f>
        <v>694174908</v>
      </c>
      <c r="DC1210" s="4" t="s">
        <v>241</v>
      </c>
      <c r="DD1210" s="4" t="s">
        <v>241</v>
      </c>
      <c r="DF1210" s="4" t="s">
        <v>241</v>
      </c>
      <c r="DG1210" s="6">
        <f>0</f>
        <v>0</v>
      </c>
      <c r="DI1210" s="4" t="s">
        <v>241</v>
      </c>
      <c r="DJ1210" s="4" t="s">
        <v>241</v>
      </c>
      <c r="DK1210" s="4" t="s">
        <v>241</v>
      </c>
      <c r="DL1210" s="4" t="s">
        <v>241</v>
      </c>
      <c r="DM1210" s="4" t="s">
        <v>277</v>
      </c>
      <c r="DN1210" s="4" t="s">
        <v>278</v>
      </c>
      <c r="DO1210" s="6">
        <f>2163.45</f>
        <v>2163.4499999999998</v>
      </c>
      <c r="DP1210" s="4" t="s">
        <v>241</v>
      </c>
      <c r="DQ1210" s="4" t="s">
        <v>241</v>
      </c>
      <c r="DR1210" s="4" t="s">
        <v>241</v>
      </c>
      <c r="DS1210" s="4" t="s">
        <v>241</v>
      </c>
      <c r="DV1210" s="4" t="s">
        <v>1905</v>
      </c>
      <c r="DW1210" s="4" t="s">
        <v>277</v>
      </c>
      <c r="GN1210" s="4" t="s">
        <v>1906</v>
      </c>
      <c r="HO1210" s="4" t="s">
        <v>300</v>
      </c>
      <c r="HR1210" s="4" t="s">
        <v>278</v>
      </c>
      <c r="HS1210" s="4" t="s">
        <v>278</v>
      </c>
      <c r="HT1210" s="4" t="s">
        <v>241</v>
      </c>
      <c r="HU1210" s="4" t="s">
        <v>241</v>
      </c>
      <c r="HV1210" s="4" t="s">
        <v>241</v>
      </c>
      <c r="HW1210" s="4" t="s">
        <v>241</v>
      </c>
      <c r="HX1210" s="4" t="s">
        <v>241</v>
      </c>
      <c r="HY1210" s="4" t="s">
        <v>241</v>
      </c>
      <c r="HZ1210" s="4" t="s">
        <v>241</v>
      </c>
      <c r="IA1210" s="4" t="s">
        <v>241</v>
      </c>
      <c r="IB1210" s="4" t="s">
        <v>241</v>
      </c>
      <c r="IC1210" s="4" t="s">
        <v>241</v>
      </c>
      <c r="ID1210" s="4" t="s">
        <v>241</v>
      </c>
      <c r="IE1210" s="4" t="s">
        <v>241</v>
      </c>
      <c r="IF1210" s="4" t="s">
        <v>241</v>
      </c>
    </row>
    <row r="1211" spans="1:240" x14ac:dyDescent="0.4">
      <c r="A1211" s="4">
        <v>2</v>
      </c>
      <c r="B1211" s="4" t="s">
        <v>239</v>
      </c>
      <c r="C1211" s="4">
        <v>1515</v>
      </c>
      <c r="D1211" s="4">
        <v>1</v>
      </c>
      <c r="E1211" s="4">
        <v>3</v>
      </c>
      <c r="F1211" s="4" t="s">
        <v>240</v>
      </c>
      <c r="G1211" s="4" t="s">
        <v>241</v>
      </c>
      <c r="H1211" s="4" t="s">
        <v>241</v>
      </c>
      <c r="I1211" s="4" t="s">
        <v>1295</v>
      </c>
      <c r="J1211" s="4" t="s">
        <v>1296</v>
      </c>
      <c r="K1211" s="4" t="s">
        <v>256</v>
      </c>
      <c r="L1211" s="4" t="s">
        <v>340</v>
      </c>
      <c r="M1211" s="5" t="s">
        <v>1298</v>
      </c>
      <c r="N1211" s="4" t="s">
        <v>1774</v>
      </c>
      <c r="O1211" s="6">
        <f>43.92</f>
        <v>43.92</v>
      </c>
      <c r="P1211" s="4" t="s">
        <v>276</v>
      </c>
      <c r="Q1211" s="6">
        <f>4665717</f>
        <v>4665717</v>
      </c>
      <c r="R1211" s="6">
        <f>17216640</f>
        <v>17216640</v>
      </c>
      <c r="S1211" s="5" t="s">
        <v>1302</v>
      </c>
      <c r="T1211" s="4" t="s">
        <v>333</v>
      </c>
      <c r="U1211" s="4" t="s">
        <v>384</v>
      </c>
      <c r="V1211" s="6">
        <f>464849</f>
        <v>464849</v>
      </c>
      <c r="W1211" s="6">
        <f>12550923</f>
        <v>12550923</v>
      </c>
      <c r="X1211" s="4" t="s">
        <v>243</v>
      </c>
      <c r="Y1211" s="4" t="s">
        <v>244</v>
      </c>
      <c r="Z1211" s="4" t="s">
        <v>465</v>
      </c>
      <c r="AA1211" s="4" t="s">
        <v>241</v>
      </c>
      <c r="AD1211" s="4" t="s">
        <v>241</v>
      </c>
      <c r="AE1211" s="5" t="s">
        <v>241</v>
      </c>
      <c r="AF1211" s="5" t="s">
        <v>241</v>
      </c>
      <c r="AH1211" s="5" t="s">
        <v>241</v>
      </c>
      <c r="AI1211" s="5" t="s">
        <v>249</v>
      </c>
      <c r="AJ1211" s="4" t="s">
        <v>251</v>
      </c>
      <c r="AK1211" s="4" t="s">
        <v>252</v>
      </c>
      <c r="AQ1211" s="4" t="s">
        <v>241</v>
      </c>
      <c r="AR1211" s="4" t="s">
        <v>241</v>
      </c>
      <c r="AS1211" s="4" t="s">
        <v>241</v>
      </c>
      <c r="AT1211" s="5" t="s">
        <v>241</v>
      </c>
      <c r="AU1211" s="5" t="s">
        <v>241</v>
      </c>
      <c r="AV1211" s="5" t="s">
        <v>241</v>
      </c>
      <c r="AY1211" s="4" t="s">
        <v>286</v>
      </c>
      <c r="AZ1211" s="4" t="s">
        <v>286</v>
      </c>
      <c r="BA1211" s="4" t="s">
        <v>254</v>
      </c>
      <c r="BB1211" s="4" t="s">
        <v>287</v>
      </c>
      <c r="BC1211" s="4" t="s">
        <v>255</v>
      </c>
      <c r="BD1211" s="4" t="s">
        <v>241</v>
      </c>
      <c r="BE1211" s="4" t="s">
        <v>257</v>
      </c>
      <c r="BF1211" s="4" t="s">
        <v>241</v>
      </c>
      <c r="BJ1211" s="4" t="s">
        <v>288</v>
      </c>
      <c r="BK1211" s="5" t="s">
        <v>289</v>
      </c>
      <c r="BL1211" s="4" t="s">
        <v>290</v>
      </c>
      <c r="BM1211" s="4" t="s">
        <v>290</v>
      </c>
      <c r="BN1211" s="4" t="s">
        <v>241</v>
      </c>
      <c r="BO1211" s="6">
        <f>0</f>
        <v>0</v>
      </c>
      <c r="BP1211" s="6">
        <f>-464849</f>
        <v>-464849</v>
      </c>
      <c r="BQ1211" s="4" t="s">
        <v>263</v>
      </c>
      <c r="BR1211" s="4" t="s">
        <v>264</v>
      </c>
      <c r="BS1211" s="4" t="s">
        <v>241</v>
      </c>
      <c r="BT1211" s="4" t="s">
        <v>241</v>
      </c>
      <c r="BU1211" s="4" t="s">
        <v>241</v>
      </c>
      <c r="BV1211" s="4" t="s">
        <v>241</v>
      </c>
      <c r="CE1211" s="4" t="s">
        <v>264</v>
      </c>
      <c r="CF1211" s="4" t="s">
        <v>241</v>
      </c>
      <c r="CG1211" s="4" t="s">
        <v>241</v>
      </c>
      <c r="CK1211" s="4" t="s">
        <v>291</v>
      </c>
      <c r="CL1211" s="4" t="s">
        <v>266</v>
      </c>
      <c r="CM1211" s="4" t="s">
        <v>241</v>
      </c>
      <c r="CO1211" s="4" t="s">
        <v>376</v>
      </c>
      <c r="CP1211" s="5" t="s">
        <v>268</v>
      </c>
      <c r="CQ1211" s="4" t="s">
        <v>269</v>
      </c>
      <c r="CR1211" s="4" t="s">
        <v>270</v>
      </c>
      <c r="CS1211" s="4" t="s">
        <v>293</v>
      </c>
      <c r="CT1211" s="4" t="s">
        <v>241</v>
      </c>
      <c r="CU1211" s="4">
        <v>2.7E-2</v>
      </c>
      <c r="CV1211" s="4" t="s">
        <v>271</v>
      </c>
      <c r="CW1211" s="4" t="s">
        <v>332</v>
      </c>
      <c r="CX1211" s="4" t="s">
        <v>295</v>
      </c>
      <c r="CY1211" s="6">
        <f>0</f>
        <v>0</v>
      </c>
      <c r="CZ1211" s="6">
        <f>17216640</f>
        <v>17216640</v>
      </c>
      <c r="DA1211" s="6">
        <f>4665717</f>
        <v>4665717</v>
      </c>
      <c r="DC1211" s="4" t="s">
        <v>241</v>
      </c>
      <c r="DD1211" s="4" t="s">
        <v>241</v>
      </c>
      <c r="DF1211" s="4" t="s">
        <v>241</v>
      </c>
      <c r="DG1211" s="6">
        <f>0</f>
        <v>0</v>
      </c>
      <c r="DI1211" s="4" t="s">
        <v>241</v>
      </c>
      <c r="DJ1211" s="4" t="s">
        <v>241</v>
      </c>
      <c r="DK1211" s="4" t="s">
        <v>241</v>
      </c>
      <c r="DL1211" s="4" t="s">
        <v>241</v>
      </c>
      <c r="DM1211" s="4" t="s">
        <v>277</v>
      </c>
      <c r="DN1211" s="4" t="s">
        <v>278</v>
      </c>
      <c r="DO1211" s="6">
        <f>43.92</f>
        <v>43.92</v>
      </c>
      <c r="DP1211" s="4" t="s">
        <v>241</v>
      </c>
      <c r="DQ1211" s="4" t="s">
        <v>241</v>
      </c>
      <c r="DR1211" s="4" t="s">
        <v>241</v>
      </c>
      <c r="DS1211" s="4" t="s">
        <v>241</v>
      </c>
      <c r="DV1211" s="4" t="s">
        <v>1299</v>
      </c>
      <c r="DW1211" s="4" t="s">
        <v>277</v>
      </c>
      <c r="GN1211" s="4" t="s">
        <v>1775</v>
      </c>
      <c r="HO1211" s="4" t="s">
        <v>300</v>
      </c>
      <c r="HR1211" s="4" t="s">
        <v>278</v>
      </c>
      <c r="HS1211" s="4" t="s">
        <v>278</v>
      </c>
      <c r="HT1211" s="4" t="s">
        <v>241</v>
      </c>
      <c r="HU1211" s="4" t="s">
        <v>241</v>
      </c>
      <c r="HV1211" s="4" t="s">
        <v>241</v>
      </c>
      <c r="HW1211" s="4" t="s">
        <v>241</v>
      </c>
      <c r="HX1211" s="4" t="s">
        <v>241</v>
      </c>
      <c r="HY1211" s="4" t="s">
        <v>241</v>
      </c>
      <c r="HZ1211" s="4" t="s">
        <v>241</v>
      </c>
      <c r="IA1211" s="4" t="s">
        <v>241</v>
      </c>
      <c r="IB1211" s="4" t="s">
        <v>241</v>
      </c>
      <c r="IC1211" s="4" t="s">
        <v>241</v>
      </c>
      <c r="ID1211" s="4" t="s">
        <v>241</v>
      </c>
      <c r="IE1211" s="4" t="s">
        <v>241</v>
      </c>
      <c r="IF1211" s="4" t="s">
        <v>241</v>
      </c>
    </row>
    <row r="1212" spans="1:240" x14ac:dyDescent="0.4">
      <c r="A1212" s="4">
        <v>2</v>
      </c>
      <c r="B1212" s="4" t="s">
        <v>239</v>
      </c>
      <c r="C1212" s="4">
        <v>1516</v>
      </c>
      <c r="D1212" s="4">
        <v>1</v>
      </c>
      <c r="E1212" s="4">
        <v>3</v>
      </c>
      <c r="F1212" s="4" t="s">
        <v>240</v>
      </c>
      <c r="G1212" s="4" t="s">
        <v>241</v>
      </c>
      <c r="H1212" s="4" t="s">
        <v>241</v>
      </c>
      <c r="I1212" s="4" t="s">
        <v>1295</v>
      </c>
      <c r="J1212" s="4" t="s">
        <v>1296</v>
      </c>
      <c r="K1212" s="4" t="s">
        <v>256</v>
      </c>
      <c r="L1212" s="4" t="s">
        <v>454</v>
      </c>
      <c r="M1212" s="5" t="s">
        <v>1298</v>
      </c>
      <c r="N1212" s="4" t="s">
        <v>454</v>
      </c>
      <c r="O1212" s="6">
        <f>82.41</f>
        <v>82.41</v>
      </c>
      <c r="P1212" s="4" t="s">
        <v>276</v>
      </c>
      <c r="Q1212" s="6">
        <f>1095906</f>
        <v>1095906</v>
      </c>
      <c r="R1212" s="6">
        <f>10054020</f>
        <v>10054020</v>
      </c>
      <c r="S1212" s="5" t="s">
        <v>1302</v>
      </c>
      <c r="T1212" s="4" t="s">
        <v>441</v>
      </c>
      <c r="U1212" s="4" t="s">
        <v>384</v>
      </c>
      <c r="V1212" s="6">
        <f>331782</f>
        <v>331782</v>
      </c>
      <c r="W1212" s="6">
        <f>8958114</f>
        <v>8958114</v>
      </c>
      <c r="X1212" s="4" t="s">
        <v>243</v>
      </c>
      <c r="Y1212" s="4" t="s">
        <v>244</v>
      </c>
      <c r="Z1212" s="4" t="s">
        <v>465</v>
      </c>
      <c r="AA1212" s="4" t="s">
        <v>241</v>
      </c>
      <c r="AD1212" s="4" t="s">
        <v>241</v>
      </c>
      <c r="AE1212" s="5" t="s">
        <v>241</v>
      </c>
      <c r="AF1212" s="5" t="s">
        <v>241</v>
      </c>
      <c r="AH1212" s="5" t="s">
        <v>241</v>
      </c>
      <c r="AI1212" s="5" t="s">
        <v>249</v>
      </c>
      <c r="AJ1212" s="4" t="s">
        <v>251</v>
      </c>
      <c r="AK1212" s="4" t="s">
        <v>252</v>
      </c>
      <c r="AQ1212" s="4" t="s">
        <v>241</v>
      </c>
      <c r="AR1212" s="4" t="s">
        <v>241</v>
      </c>
      <c r="AS1212" s="4" t="s">
        <v>241</v>
      </c>
      <c r="AT1212" s="5" t="s">
        <v>241</v>
      </c>
      <c r="AU1212" s="5" t="s">
        <v>241</v>
      </c>
      <c r="AV1212" s="5" t="s">
        <v>241</v>
      </c>
      <c r="AY1212" s="4" t="s">
        <v>286</v>
      </c>
      <c r="AZ1212" s="4" t="s">
        <v>286</v>
      </c>
      <c r="BA1212" s="4" t="s">
        <v>254</v>
      </c>
      <c r="BB1212" s="4" t="s">
        <v>287</v>
      </c>
      <c r="BC1212" s="4" t="s">
        <v>255</v>
      </c>
      <c r="BD1212" s="4" t="s">
        <v>241</v>
      </c>
      <c r="BE1212" s="4" t="s">
        <v>257</v>
      </c>
      <c r="BF1212" s="4" t="s">
        <v>241</v>
      </c>
      <c r="BJ1212" s="4" t="s">
        <v>288</v>
      </c>
      <c r="BK1212" s="5" t="s">
        <v>289</v>
      </c>
      <c r="BL1212" s="4" t="s">
        <v>290</v>
      </c>
      <c r="BM1212" s="4" t="s">
        <v>290</v>
      </c>
      <c r="BN1212" s="4" t="s">
        <v>241</v>
      </c>
      <c r="BO1212" s="6">
        <f>0</f>
        <v>0</v>
      </c>
      <c r="BP1212" s="6">
        <f>-331782</f>
        <v>-331782</v>
      </c>
      <c r="BQ1212" s="4" t="s">
        <v>263</v>
      </c>
      <c r="BR1212" s="4" t="s">
        <v>264</v>
      </c>
      <c r="BS1212" s="4" t="s">
        <v>241</v>
      </c>
      <c r="BT1212" s="4" t="s">
        <v>241</v>
      </c>
      <c r="BU1212" s="4" t="s">
        <v>241</v>
      </c>
      <c r="BV1212" s="4" t="s">
        <v>241</v>
      </c>
      <c r="CE1212" s="4" t="s">
        <v>264</v>
      </c>
      <c r="CF1212" s="4" t="s">
        <v>241</v>
      </c>
      <c r="CG1212" s="4" t="s">
        <v>241</v>
      </c>
      <c r="CK1212" s="4" t="s">
        <v>291</v>
      </c>
      <c r="CL1212" s="4" t="s">
        <v>266</v>
      </c>
      <c r="CM1212" s="4" t="s">
        <v>241</v>
      </c>
      <c r="CO1212" s="4" t="s">
        <v>376</v>
      </c>
      <c r="CP1212" s="5" t="s">
        <v>268</v>
      </c>
      <c r="CQ1212" s="4" t="s">
        <v>269</v>
      </c>
      <c r="CR1212" s="4" t="s">
        <v>270</v>
      </c>
      <c r="CS1212" s="4" t="s">
        <v>293</v>
      </c>
      <c r="CT1212" s="4" t="s">
        <v>241</v>
      </c>
      <c r="CU1212" s="4">
        <v>3.3000000000000002E-2</v>
      </c>
      <c r="CV1212" s="4" t="s">
        <v>271</v>
      </c>
      <c r="CW1212" s="4" t="s">
        <v>455</v>
      </c>
      <c r="CX1212" s="4" t="s">
        <v>487</v>
      </c>
      <c r="CY1212" s="6">
        <f>0</f>
        <v>0</v>
      </c>
      <c r="CZ1212" s="6">
        <f>10054020</f>
        <v>10054020</v>
      </c>
      <c r="DA1212" s="6">
        <f>1095906</f>
        <v>1095906</v>
      </c>
      <c r="DC1212" s="4" t="s">
        <v>241</v>
      </c>
      <c r="DD1212" s="4" t="s">
        <v>241</v>
      </c>
      <c r="DF1212" s="4" t="s">
        <v>241</v>
      </c>
      <c r="DG1212" s="6">
        <f>0</f>
        <v>0</v>
      </c>
      <c r="DI1212" s="4" t="s">
        <v>241</v>
      </c>
      <c r="DJ1212" s="4" t="s">
        <v>241</v>
      </c>
      <c r="DK1212" s="4" t="s">
        <v>241</v>
      </c>
      <c r="DL1212" s="4" t="s">
        <v>241</v>
      </c>
      <c r="DM1212" s="4" t="s">
        <v>277</v>
      </c>
      <c r="DN1212" s="4" t="s">
        <v>278</v>
      </c>
      <c r="DO1212" s="6">
        <f>82.41</f>
        <v>82.41</v>
      </c>
      <c r="DP1212" s="4" t="s">
        <v>241</v>
      </c>
      <c r="DQ1212" s="4" t="s">
        <v>241</v>
      </c>
      <c r="DR1212" s="4" t="s">
        <v>241</v>
      </c>
      <c r="DS1212" s="4" t="s">
        <v>241</v>
      </c>
      <c r="DV1212" s="4" t="s">
        <v>1299</v>
      </c>
      <c r="DW1212" s="4" t="s">
        <v>323</v>
      </c>
      <c r="GN1212" s="4" t="s">
        <v>3869</v>
      </c>
      <c r="HO1212" s="4" t="s">
        <v>300</v>
      </c>
      <c r="HR1212" s="4" t="s">
        <v>278</v>
      </c>
      <c r="HS1212" s="4" t="s">
        <v>278</v>
      </c>
      <c r="HT1212" s="4" t="s">
        <v>241</v>
      </c>
      <c r="HU1212" s="4" t="s">
        <v>241</v>
      </c>
      <c r="HV1212" s="4" t="s">
        <v>241</v>
      </c>
      <c r="HW1212" s="4" t="s">
        <v>241</v>
      </c>
      <c r="HX1212" s="4" t="s">
        <v>241</v>
      </c>
      <c r="HY1212" s="4" t="s">
        <v>241</v>
      </c>
      <c r="HZ1212" s="4" t="s">
        <v>241</v>
      </c>
      <c r="IA1212" s="4" t="s">
        <v>241</v>
      </c>
      <c r="IB1212" s="4" t="s">
        <v>241</v>
      </c>
      <c r="IC1212" s="4" t="s">
        <v>241</v>
      </c>
      <c r="ID1212" s="4" t="s">
        <v>241</v>
      </c>
      <c r="IE1212" s="4" t="s">
        <v>241</v>
      </c>
      <c r="IF1212" s="4" t="s">
        <v>241</v>
      </c>
    </row>
    <row r="1213" spans="1:240" x14ac:dyDescent="0.4">
      <c r="A1213" s="4">
        <v>2</v>
      </c>
      <c r="B1213" s="4" t="s">
        <v>239</v>
      </c>
      <c r="C1213" s="4">
        <v>1517</v>
      </c>
      <c r="D1213" s="4">
        <v>1</v>
      </c>
      <c r="E1213" s="4">
        <v>3</v>
      </c>
      <c r="F1213" s="4" t="s">
        <v>240</v>
      </c>
      <c r="G1213" s="4" t="s">
        <v>241</v>
      </c>
      <c r="H1213" s="4" t="s">
        <v>241</v>
      </c>
      <c r="I1213" s="4" t="s">
        <v>1295</v>
      </c>
      <c r="J1213" s="4" t="s">
        <v>1296</v>
      </c>
      <c r="K1213" s="4" t="s">
        <v>256</v>
      </c>
      <c r="L1213" s="4" t="s">
        <v>1174</v>
      </c>
      <c r="M1213" s="5" t="s">
        <v>1298</v>
      </c>
      <c r="N1213" s="4" t="s">
        <v>1301</v>
      </c>
      <c r="O1213" s="6">
        <f>4545.72</f>
        <v>4545.72</v>
      </c>
      <c r="P1213" s="4" t="s">
        <v>276</v>
      </c>
      <c r="Q1213" s="6">
        <f>1308503700</f>
        <v>1308503700</v>
      </c>
      <c r="R1213" s="6">
        <f>3222915480</f>
        <v>3222915480</v>
      </c>
      <c r="S1213" s="5" t="s">
        <v>1302</v>
      </c>
      <c r="T1213" s="4" t="s">
        <v>668</v>
      </c>
      <c r="U1213" s="4" t="s">
        <v>384</v>
      </c>
      <c r="V1213" s="6">
        <f>70904140</f>
        <v>70904140</v>
      </c>
      <c r="W1213" s="6">
        <f>1914411780</f>
        <v>1914411780</v>
      </c>
      <c r="X1213" s="4" t="s">
        <v>243</v>
      </c>
      <c r="Y1213" s="4" t="s">
        <v>244</v>
      </c>
      <c r="Z1213" s="4" t="s">
        <v>465</v>
      </c>
      <c r="AA1213" s="4" t="s">
        <v>241</v>
      </c>
      <c r="AD1213" s="4" t="s">
        <v>241</v>
      </c>
      <c r="AE1213" s="5" t="s">
        <v>241</v>
      </c>
      <c r="AF1213" s="5" t="s">
        <v>241</v>
      </c>
      <c r="AH1213" s="5" t="s">
        <v>241</v>
      </c>
      <c r="AI1213" s="5" t="s">
        <v>249</v>
      </c>
      <c r="AJ1213" s="4" t="s">
        <v>251</v>
      </c>
      <c r="AK1213" s="4" t="s">
        <v>252</v>
      </c>
      <c r="AQ1213" s="4" t="s">
        <v>241</v>
      </c>
      <c r="AR1213" s="4" t="s">
        <v>241</v>
      </c>
      <c r="AS1213" s="4" t="s">
        <v>241</v>
      </c>
      <c r="AT1213" s="5" t="s">
        <v>241</v>
      </c>
      <c r="AU1213" s="5" t="s">
        <v>241</v>
      </c>
      <c r="AV1213" s="5" t="s">
        <v>241</v>
      </c>
      <c r="AY1213" s="4" t="s">
        <v>286</v>
      </c>
      <c r="AZ1213" s="4" t="s">
        <v>286</v>
      </c>
      <c r="BA1213" s="4" t="s">
        <v>254</v>
      </c>
      <c r="BB1213" s="4" t="s">
        <v>287</v>
      </c>
      <c r="BC1213" s="4" t="s">
        <v>255</v>
      </c>
      <c r="BD1213" s="4" t="s">
        <v>241</v>
      </c>
      <c r="BE1213" s="4" t="s">
        <v>257</v>
      </c>
      <c r="BF1213" s="4" t="s">
        <v>241</v>
      </c>
      <c r="BJ1213" s="4" t="s">
        <v>288</v>
      </c>
      <c r="BK1213" s="5" t="s">
        <v>289</v>
      </c>
      <c r="BL1213" s="4" t="s">
        <v>290</v>
      </c>
      <c r="BM1213" s="4" t="s">
        <v>290</v>
      </c>
      <c r="BN1213" s="4" t="s">
        <v>241</v>
      </c>
      <c r="BO1213" s="6">
        <f>0</f>
        <v>0</v>
      </c>
      <c r="BP1213" s="6">
        <f>-70904140</f>
        <v>-70904140</v>
      </c>
      <c r="BQ1213" s="4" t="s">
        <v>263</v>
      </c>
      <c r="BR1213" s="4" t="s">
        <v>264</v>
      </c>
      <c r="BS1213" s="4" t="s">
        <v>241</v>
      </c>
      <c r="BT1213" s="4" t="s">
        <v>241</v>
      </c>
      <c r="BU1213" s="4" t="s">
        <v>241</v>
      </c>
      <c r="BV1213" s="4" t="s">
        <v>241</v>
      </c>
      <c r="CE1213" s="4" t="s">
        <v>264</v>
      </c>
      <c r="CF1213" s="4" t="s">
        <v>241</v>
      </c>
      <c r="CG1213" s="4" t="s">
        <v>241</v>
      </c>
      <c r="CK1213" s="4" t="s">
        <v>291</v>
      </c>
      <c r="CL1213" s="4" t="s">
        <v>266</v>
      </c>
      <c r="CM1213" s="4" t="s">
        <v>241</v>
      </c>
      <c r="CO1213" s="4" t="s">
        <v>376</v>
      </c>
      <c r="CP1213" s="5" t="s">
        <v>268</v>
      </c>
      <c r="CQ1213" s="4" t="s">
        <v>269</v>
      </c>
      <c r="CR1213" s="4" t="s">
        <v>270</v>
      </c>
      <c r="CS1213" s="4" t="s">
        <v>293</v>
      </c>
      <c r="CT1213" s="4" t="s">
        <v>241</v>
      </c>
      <c r="CU1213" s="4">
        <v>2.1999999999999999E-2</v>
      </c>
      <c r="CV1213" s="4" t="s">
        <v>271</v>
      </c>
      <c r="CW1213" s="4" t="s">
        <v>1176</v>
      </c>
      <c r="CX1213" s="4" t="s">
        <v>295</v>
      </c>
      <c r="CY1213" s="6">
        <f>0</f>
        <v>0</v>
      </c>
      <c r="CZ1213" s="6">
        <f>3222915480</f>
        <v>3222915480</v>
      </c>
      <c r="DA1213" s="6">
        <f>1308503700</f>
        <v>1308503700</v>
      </c>
      <c r="DC1213" s="4" t="s">
        <v>241</v>
      </c>
      <c r="DD1213" s="4" t="s">
        <v>241</v>
      </c>
      <c r="DF1213" s="4" t="s">
        <v>241</v>
      </c>
      <c r="DG1213" s="6">
        <f>0</f>
        <v>0</v>
      </c>
      <c r="DI1213" s="4" t="s">
        <v>241</v>
      </c>
      <c r="DJ1213" s="4" t="s">
        <v>241</v>
      </c>
      <c r="DK1213" s="4" t="s">
        <v>241</v>
      </c>
      <c r="DL1213" s="4" t="s">
        <v>241</v>
      </c>
      <c r="DM1213" s="4" t="s">
        <v>277</v>
      </c>
      <c r="DN1213" s="4" t="s">
        <v>278</v>
      </c>
      <c r="DO1213" s="6">
        <f>4545.72</f>
        <v>4545.72</v>
      </c>
      <c r="DP1213" s="4" t="s">
        <v>241</v>
      </c>
      <c r="DQ1213" s="4" t="s">
        <v>241</v>
      </c>
      <c r="DR1213" s="4" t="s">
        <v>241</v>
      </c>
      <c r="DS1213" s="4" t="s">
        <v>241</v>
      </c>
      <c r="DV1213" s="4" t="s">
        <v>1299</v>
      </c>
      <c r="DW1213" s="4" t="s">
        <v>297</v>
      </c>
      <c r="GN1213" s="4" t="s">
        <v>1303</v>
      </c>
      <c r="HO1213" s="4" t="s">
        <v>300</v>
      </c>
      <c r="HR1213" s="4" t="s">
        <v>278</v>
      </c>
      <c r="HS1213" s="4" t="s">
        <v>278</v>
      </c>
      <c r="HT1213" s="4" t="s">
        <v>241</v>
      </c>
      <c r="HU1213" s="4" t="s">
        <v>241</v>
      </c>
      <c r="HV1213" s="4" t="s">
        <v>241</v>
      </c>
      <c r="HW1213" s="4" t="s">
        <v>241</v>
      </c>
      <c r="HX1213" s="4" t="s">
        <v>241</v>
      </c>
      <c r="HY1213" s="4" t="s">
        <v>241</v>
      </c>
      <c r="HZ1213" s="4" t="s">
        <v>241</v>
      </c>
      <c r="IA1213" s="4" t="s">
        <v>241</v>
      </c>
      <c r="IB1213" s="4" t="s">
        <v>241</v>
      </c>
      <c r="IC1213" s="4" t="s">
        <v>241</v>
      </c>
      <c r="ID1213" s="4" t="s">
        <v>241</v>
      </c>
      <c r="IE1213" s="4" t="s">
        <v>241</v>
      </c>
      <c r="IF1213" s="4" t="s">
        <v>241</v>
      </c>
    </row>
    <row r="1214" spans="1:240" x14ac:dyDescent="0.4">
      <c r="A1214" s="4">
        <v>2</v>
      </c>
      <c r="B1214" s="4" t="s">
        <v>239</v>
      </c>
      <c r="C1214" s="4">
        <v>1518</v>
      </c>
      <c r="D1214" s="4">
        <v>1</v>
      </c>
      <c r="E1214" s="4">
        <v>1</v>
      </c>
      <c r="F1214" s="4" t="s">
        <v>240</v>
      </c>
      <c r="G1214" s="4" t="s">
        <v>241</v>
      </c>
      <c r="H1214" s="4" t="s">
        <v>241</v>
      </c>
      <c r="I1214" s="4" t="s">
        <v>1295</v>
      </c>
      <c r="J1214" s="4" t="s">
        <v>1296</v>
      </c>
      <c r="K1214" s="4" t="s">
        <v>256</v>
      </c>
      <c r="L1214" s="4" t="s">
        <v>414</v>
      </c>
      <c r="M1214" s="5" t="s">
        <v>1298</v>
      </c>
      <c r="N1214" s="4" t="s">
        <v>1995</v>
      </c>
      <c r="O1214" s="6">
        <f>72</f>
        <v>72</v>
      </c>
      <c r="P1214" s="4" t="s">
        <v>276</v>
      </c>
      <c r="Q1214" s="6">
        <f>1</f>
        <v>1</v>
      </c>
      <c r="R1214" s="6">
        <f>17280000</f>
        <v>17280000</v>
      </c>
      <c r="S1214" s="5" t="s">
        <v>1302</v>
      </c>
      <c r="T1214" s="4" t="s">
        <v>348</v>
      </c>
      <c r="U1214" s="4" t="s">
        <v>361</v>
      </c>
      <c r="W1214" s="6">
        <f>17279999</f>
        <v>17279999</v>
      </c>
      <c r="X1214" s="4" t="s">
        <v>243</v>
      </c>
      <c r="Y1214" s="4" t="s">
        <v>244</v>
      </c>
      <c r="Z1214" s="4" t="s">
        <v>465</v>
      </c>
      <c r="AA1214" s="4" t="s">
        <v>241</v>
      </c>
      <c r="AD1214" s="4" t="s">
        <v>241</v>
      </c>
      <c r="AF1214" s="5" t="s">
        <v>241</v>
      </c>
      <c r="AI1214" s="5" t="s">
        <v>249</v>
      </c>
      <c r="AJ1214" s="4" t="s">
        <v>251</v>
      </c>
      <c r="AK1214" s="4" t="s">
        <v>252</v>
      </c>
      <c r="BA1214" s="4" t="s">
        <v>254</v>
      </c>
      <c r="BB1214" s="4" t="s">
        <v>241</v>
      </c>
      <c r="BC1214" s="4" t="s">
        <v>255</v>
      </c>
      <c r="BD1214" s="4" t="s">
        <v>241</v>
      </c>
      <c r="BE1214" s="4" t="s">
        <v>257</v>
      </c>
      <c r="BF1214" s="4" t="s">
        <v>241</v>
      </c>
      <c r="BJ1214" s="4" t="s">
        <v>367</v>
      </c>
      <c r="BK1214" s="5" t="s">
        <v>249</v>
      </c>
      <c r="BL1214" s="4" t="s">
        <v>261</v>
      </c>
      <c r="BM1214" s="4" t="s">
        <v>262</v>
      </c>
      <c r="BN1214" s="4" t="s">
        <v>241</v>
      </c>
      <c r="BO1214" s="6">
        <f>0</f>
        <v>0</v>
      </c>
      <c r="BP1214" s="6">
        <f>0</f>
        <v>0</v>
      </c>
      <c r="BQ1214" s="4" t="s">
        <v>263</v>
      </c>
      <c r="BR1214" s="4" t="s">
        <v>264</v>
      </c>
      <c r="CF1214" s="4" t="s">
        <v>241</v>
      </c>
      <c r="CG1214" s="4" t="s">
        <v>241</v>
      </c>
      <c r="CK1214" s="4" t="s">
        <v>291</v>
      </c>
      <c r="CL1214" s="4" t="s">
        <v>266</v>
      </c>
      <c r="CM1214" s="4" t="s">
        <v>241</v>
      </c>
      <c r="CO1214" s="4" t="s">
        <v>376</v>
      </c>
      <c r="CP1214" s="5" t="s">
        <v>268</v>
      </c>
      <c r="CQ1214" s="4" t="s">
        <v>269</v>
      </c>
      <c r="CR1214" s="4" t="s">
        <v>270</v>
      </c>
      <c r="CS1214" s="4" t="s">
        <v>241</v>
      </c>
      <c r="CT1214" s="4" t="s">
        <v>241</v>
      </c>
      <c r="CU1214" s="4">
        <v>0</v>
      </c>
      <c r="CV1214" s="4" t="s">
        <v>271</v>
      </c>
      <c r="CW1214" s="4" t="s">
        <v>415</v>
      </c>
      <c r="CX1214" s="4" t="s">
        <v>416</v>
      </c>
      <c r="CZ1214" s="6">
        <f>17280000</f>
        <v>17280000</v>
      </c>
      <c r="DA1214" s="6">
        <f>0</f>
        <v>0</v>
      </c>
      <c r="DC1214" s="4" t="s">
        <v>241</v>
      </c>
      <c r="DD1214" s="4" t="s">
        <v>241</v>
      </c>
      <c r="DF1214" s="4" t="s">
        <v>241</v>
      </c>
      <c r="DI1214" s="4" t="s">
        <v>241</v>
      </c>
      <c r="DJ1214" s="4" t="s">
        <v>241</v>
      </c>
      <c r="DK1214" s="4" t="s">
        <v>241</v>
      </c>
      <c r="DL1214" s="4" t="s">
        <v>241</v>
      </c>
      <c r="DM1214" s="4" t="s">
        <v>277</v>
      </c>
      <c r="DN1214" s="4" t="s">
        <v>278</v>
      </c>
      <c r="DO1214" s="6">
        <f>72</f>
        <v>72</v>
      </c>
      <c r="DP1214" s="4" t="s">
        <v>241</v>
      </c>
      <c r="DQ1214" s="4" t="s">
        <v>241</v>
      </c>
      <c r="DR1214" s="4" t="s">
        <v>241</v>
      </c>
      <c r="DS1214" s="4" t="s">
        <v>241</v>
      </c>
      <c r="DV1214" s="4" t="s">
        <v>1299</v>
      </c>
      <c r="DW1214" s="4" t="s">
        <v>336</v>
      </c>
      <c r="HO1214" s="4" t="s">
        <v>277</v>
      </c>
      <c r="HR1214" s="4" t="s">
        <v>278</v>
      </c>
      <c r="HS1214" s="4" t="s">
        <v>278</v>
      </c>
    </row>
    <row r="1215" spans="1:240" x14ac:dyDescent="0.4">
      <c r="A1215" s="4">
        <v>2</v>
      </c>
      <c r="B1215" s="4" t="s">
        <v>239</v>
      </c>
      <c r="C1215" s="4">
        <v>1519</v>
      </c>
      <c r="D1215" s="4">
        <v>1</v>
      </c>
      <c r="E1215" s="4">
        <v>3</v>
      </c>
      <c r="F1215" s="4" t="s">
        <v>240</v>
      </c>
      <c r="G1215" s="4" t="s">
        <v>241</v>
      </c>
      <c r="H1215" s="4" t="s">
        <v>241</v>
      </c>
      <c r="I1215" s="4" t="s">
        <v>1295</v>
      </c>
      <c r="J1215" s="4" t="s">
        <v>1296</v>
      </c>
      <c r="K1215" s="4" t="s">
        <v>256</v>
      </c>
      <c r="L1215" s="4" t="s">
        <v>414</v>
      </c>
      <c r="M1215" s="5" t="s">
        <v>1298</v>
      </c>
      <c r="N1215" s="4" t="s">
        <v>2043</v>
      </c>
      <c r="O1215" s="6">
        <f>4.68</f>
        <v>4.68</v>
      </c>
      <c r="P1215" s="4" t="s">
        <v>276</v>
      </c>
      <c r="Q1215" s="6">
        <f>115434</f>
        <v>115434</v>
      </c>
      <c r="R1215" s="6">
        <f>425880</f>
        <v>425880</v>
      </c>
      <c r="S1215" s="5" t="s">
        <v>1302</v>
      </c>
      <c r="T1215" s="4" t="s">
        <v>333</v>
      </c>
      <c r="U1215" s="4" t="s">
        <v>384</v>
      </c>
      <c r="V1215" s="6">
        <f>11498</f>
        <v>11498</v>
      </c>
      <c r="W1215" s="6">
        <f>310446</f>
        <v>310446</v>
      </c>
      <c r="X1215" s="4" t="s">
        <v>243</v>
      </c>
      <c r="Y1215" s="4" t="s">
        <v>244</v>
      </c>
      <c r="Z1215" s="4" t="s">
        <v>465</v>
      </c>
      <c r="AA1215" s="4" t="s">
        <v>241</v>
      </c>
      <c r="AD1215" s="4" t="s">
        <v>241</v>
      </c>
      <c r="AE1215" s="5" t="s">
        <v>241</v>
      </c>
      <c r="AF1215" s="5" t="s">
        <v>241</v>
      </c>
      <c r="AH1215" s="5" t="s">
        <v>241</v>
      </c>
      <c r="AI1215" s="5" t="s">
        <v>249</v>
      </c>
      <c r="AJ1215" s="4" t="s">
        <v>251</v>
      </c>
      <c r="AK1215" s="4" t="s">
        <v>252</v>
      </c>
      <c r="AQ1215" s="4" t="s">
        <v>241</v>
      </c>
      <c r="AR1215" s="4" t="s">
        <v>241</v>
      </c>
      <c r="AS1215" s="4" t="s">
        <v>241</v>
      </c>
      <c r="AT1215" s="5" t="s">
        <v>241</v>
      </c>
      <c r="AU1215" s="5" t="s">
        <v>241</v>
      </c>
      <c r="AV1215" s="5" t="s">
        <v>241</v>
      </c>
      <c r="AY1215" s="4" t="s">
        <v>286</v>
      </c>
      <c r="AZ1215" s="4" t="s">
        <v>286</v>
      </c>
      <c r="BA1215" s="4" t="s">
        <v>254</v>
      </c>
      <c r="BB1215" s="4" t="s">
        <v>287</v>
      </c>
      <c r="BC1215" s="4" t="s">
        <v>255</v>
      </c>
      <c r="BD1215" s="4" t="s">
        <v>241</v>
      </c>
      <c r="BE1215" s="4" t="s">
        <v>257</v>
      </c>
      <c r="BF1215" s="4" t="s">
        <v>241</v>
      </c>
      <c r="BJ1215" s="4" t="s">
        <v>288</v>
      </c>
      <c r="BK1215" s="5" t="s">
        <v>289</v>
      </c>
      <c r="BL1215" s="4" t="s">
        <v>290</v>
      </c>
      <c r="BM1215" s="4" t="s">
        <v>290</v>
      </c>
      <c r="BN1215" s="4" t="s">
        <v>241</v>
      </c>
      <c r="BO1215" s="6">
        <f>0</f>
        <v>0</v>
      </c>
      <c r="BP1215" s="6">
        <f>-11498</f>
        <v>-11498</v>
      </c>
      <c r="BQ1215" s="4" t="s">
        <v>263</v>
      </c>
      <c r="BR1215" s="4" t="s">
        <v>264</v>
      </c>
      <c r="BS1215" s="4" t="s">
        <v>241</v>
      </c>
      <c r="BT1215" s="4" t="s">
        <v>241</v>
      </c>
      <c r="BU1215" s="4" t="s">
        <v>241</v>
      </c>
      <c r="BV1215" s="4" t="s">
        <v>241</v>
      </c>
      <c r="CE1215" s="4" t="s">
        <v>264</v>
      </c>
      <c r="CF1215" s="4" t="s">
        <v>241</v>
      </c>
      <c r="CG1215" s="4" t="s">
        <v>241</v>
      </c>
      <c r="CK1215" s="4" t="s">
        <v>291</v>
      </c>
      <c r="CL1215" s="4" t="s">
        <v>266</v>
      </c>
      <c r="CM1215" s="4" t="s">
        <v>241</v>
      </c>
      <c r="CO1215" s="4" t="s">
        <v>376</v>
      </c>
      <c r="CP1215" s="5" t="s">
        <v>268</v>
      </c>
      <c r="CQ1215" s="4" t="s">
        <v>269</v>
      </c>
      <c r="CR1215" s="4" t="s">
        <v>270</v>
      </c>
      <c r="CS1215" s="4" t="s">
        <v>293</v>
      </c>
      <c r="CT1215" s="4" t="s">
        <v>241</v>
      </c>
      <c r="CU1215" s="4">
        <v>2.7E-2</v>
      </c>
      <c r="CV1215" s="4" t="s">
        <v>271</v>
      </c>
      <c r="CW1215" s="4" t="s">
        <v>1986</v>
      </c>
      <c r="CX1215" s="4" t="s">
        <v>295</v>
      </c>
      <c r="CY1215" s="6">
        <f>0</f>
        <v>0</v>
      </c>
      <c r="CZ1215" s="6">
        <f>425880</f>
        <v>425880</v>
      </c>
      <c r="DA1215" s="6">
        <f>115434</f>
        <v>115434</v>
      </c>
      <c r="DC1215" s="4" t="s">
        <v>241</v>
      </c>
      <c r="DD1215" s="4" t="s">
        <v>241</v>
      </c>
      <c r="DF1215" s="4" t="s">
        <v>241</v>
      </c>
      <c r="DG1215" s="6">
        <f>0</f>
        <v>0</v>
      </c>
      <c r="DI1215" s="4" t="s">
        <v>241</v>
      </c>
      <c r="DJ1215" s="4" t="s">
        <v>241</v>
      </c>
      <c r="DK1215" s="4" t="s">
        <v>241</v>
      </c>
      <c r="DL1215" s="4" t="s">
        <v>241</v>
      </c>
      <c r="DM1215" s="4" t="s">
        <v>277</v>
      </c>
      <c r="DN1215" s="4" t="s">
        <v>278</v>
      </c>
      <c r="DO1215" s="6">
        <f>4.68</f>
        <v>4.68</v>
      </c>
      <c r="DP1215" s="4" t="s">
        <v>241</v>
      </c>
      <c r="DQ1215" s="4" t="s">
        <v>241</v>
      </c>
      <c r="DR1215" s="4" t="s">
        <v>241</v>
      </c>
      <c r="DS1215" s="4" t="s">
        <v>241</v>
      </c>
      <c r="DV1215" s="4" t="s">
        <v>1299</v>
      </c>
      <c r="DW1215" s="4" t="s">
        <v>351</v>
      </c>
      <c r="GN1215" s="4" t="s">
        <v>2044</v>
      </c>
      <c r="HO1215" s="4" t="s">
        <v>300</v>
      </c>
      <c r="HR1215" s="4" t="s">
        <v>278</v>
      </c>
      <c r="HS1215" s="4" t="s">
        <v>278</v>
      </c>
      <c r="HT1215" s="4" t="s">
        <v>241</v>
      </c>
      <c r="HU1215" s="4" t="s">
        <v>241</v>
      </c>
      <c r="HV1215" s="4" t="s">
        <v>241</v>
      </c>
      <c r="HW1215" s="4" t="s">
        <v>241</v>
      </c>
      <c r="HX1215" s="4" t="s">
        <v>241</v>
      </c>
      <c r="HY1215" s="4" t="s">
        <v>241</v>
      </c>
      <c r="HZ1215" s="4" t="s">
        <v>241</v>
      </c>
      <c r="IA1215" s="4" t="s">
        <v>241</v>
      </c>
      <c r="IB1215" s="4" t="s">
        <v>241</v>
      </c>
      <c r="IC1215" s="4" t="s">
        <v>241</v>
      </c>
      <c r="ID1215" s="4" t="s">
        <v>241</v>
      </c>
      <c r="IE1215" s="4" t="s">
        <v>241</v>
      </c>
      <c r="IF1215" s="4" t="s">
        <v>241</v>
      </c>
    </row>
    <row r="1216" spans="1:240" x14ac:dyDescent="0.4">
      <c r="A1216" s="4">
        <v>2</v>
      </c>
      <c r="B1216" s="4" t="s">
        <v>239</v>
      </c>
      <c r="C1216" s="4">
        <v>1520</v>
      </c>
      <c r="D1216" s="4">
        <v>1</v>
      </c>
      <c r="E1216" s="4">
        <v>1</v>
      </c>
      <c r="F1216" s="4" t="s">
        <v>240</v>
      </c>
      <c r="G1216" s="4" t="s">
        <v>241</v>
      </c>
      <c r="H1216" s="4" t="s">
        <v>241</v>
      </c>
      <c r="I1216" s="4" t="s">
        <v>1295</v>
      </c>
      <c r="J1216" s="4" t="s">
        <v>1296</v>
      </c>
      <c r="K1216" s="4" t="s">
        <v>256</v>
      </c>
      <c r="L1216" s="4" t="s">
        <v>414</v>
      </c>
      <c r="M1216" s="5" t="s">
        <v>1298</v>
      </c>
      <c r="N1216" s="4" t="s">
        <v>414</v>
      </c>
      <c r="O1216" s="6">
        <f>10.14</f>
        <v>10.14</v>
      </c>
      <c r="P1216" s="4" t="s">
        <v>276</v>
      </c>
      <c r="Q1216" s="6">
        <f>1</f>
        <v>1</v>
      </c>
      <c r="R1216" s="6">
        <f>2433600</f>
        <v>2433600</v>
      </c>
      <c r="S1216" s="5" t="s">
        <v>1302</v>
      </c>
      <c r="T1216" s="4" t="s">
        <v>348</v>
      </c>
      <c r="U1216" s="4" t="s">
        <v>361</v>
      </c>
      <c r="W1216" s="6">
        <f>2433599</f>
        <v>2433599</v>
      </c>
      <c r="X1216" s="4" t="s">
        <v>243</v>
      </c>
      <c r="Y1216" s="4" t="s">
        <v>244</v>
      </c>
      <c r="Z1216" s="4" t="s">
        <v>465</v>
      </c>
      <c r="AA1216" s="4" t="s">
        <v>241</v>
      </c>
      <c r="AD1216" s="4" t="s">
        <v>241</v>
      </c>
      <c r="AF1216" s="5" t="s">
        <v>241</v>
      </c>
      <c r="AI1216" s="5" t="s">
        <v>249</v>
      </c>
      <c r="AJ1216" s="4" t="s">
        <v>251</v>
      </c>
      <c r="AK1216" s="4" t="s">
        <v>252</v>
      </c>
      <c r="BA1216" s="4" t="s">
        <v>254</v>
      </c>
      <c r="BB1216" s="4" t="s">
        <v>241</v>
      </c>
      <c r="BC1216" s="4" t="s">
        <v>255</v>
      </c>
      <c r="BD1216" s="4" t="s">
        <v>241</v>
      </c>
      <c r="BE1216" s="4" t="s">
        <v>257</v>
      </c>
      <c r="BF1216" s="4" t="s">
        <v>241</v>
      </c>
      <c r="BJ1216" s="4" t="s">
        <v>367</v>
      </c>
      <c r="BK1216" s="5" t="s">
        <v>249</v>
      </c>
      <c r="BL1216" s="4" t="s">
        <v>261</v>
      </c>
      <c r="BM1216" s="4" t="s">
        <v>262</v>
      </c>
      <c r="BN1216" s="4" t="s">
        <v>241</v>
      </c>
      <c r="BO1216" s="6">
        <f>0</f>
        <v>0</v>
      </c>
      <c r="BP1216" s="6">
        <f>0</f>
        <v>0</v>
      </c>
      <c r="BQ1216" s="4" t="s">
        <v>263</v>
      </c>
      <c r="BR1216" s="4" t="s">
        <v>264</v>
      </c>
      <c r="CF1216" s="4" t="s">
        <v>241</v>
      </c>
      <c r="CG1216" s="4" t="s">
        <v>241</v>
      </c>
      <c r="CK1216" s="4" t="s">
        <v>291</v>
      </c>
      <c r="CL1216" s="4" t="s">
        <v>266</v>
      </c>
      <c r="CM1216" s="4" t="s">
        <v>241</v>
      </c>
      <c r="CO1216" s="4" t="s">
        <v>376</v>
      </c>
      <c r="CP1216" s="5" t="s">
        <v>268</v>
      </c>
      <c r="CQ1216" s="4" t="s">
        <v>269</v>
      </c>
      <c r="CR1216" s="4" t="s">
        <v>270</v>
      </c>
      <c r="CS1216" s="4" t="s">
        <v>241</v>
      </c>
      <c r="CT1216" s="4" t="s">
        <v>241</v>
      </c>
      <c r="CU1216" s="4">
        <v>0</v>
      </c>
      <c r="CV1216" s="4" t="s">
        <v>271</v>
      </c>
      <c r="CW1216" s="4" t="s">
        <v>415</v>
      </c>
      <c r="CX1216" s="4" t="s">
        <v>416</v>
      </c>
      <c r="CZ1216" s="6">
        <f>2433600</f>
        <v>2433600</v>
      </c>
      <c r="DA1216" s="6">
        <f>0</f>
        <v>0</v>
      </c>
      <c r="DC1216" s="4" t="s">
        <v>241</v>
      </c>
      <c r="DD1216" s="4" t="s">
        <v>241</v>
      </c>
      <c r="DF1216" s="4" t="s">
        <v>241</v>
      </c>
      <c r="DI1216" s="4" t="s">
        <v>241</v>
      </c>
      <c r="DJ1216" s="4" t="s">
        <v>241</v>
      </c>
      <c r="DK1216" s="4" t="s">
        <v>241</v>
      </c>
      <c r="DL1216" s="4" t="s">
        <v>241</v>
      </c>
      <c r="DM1216" s="4" t="s">
        <v>277</v>
      </c>
      <c r="DN1216" s="4" t="s">
        <v>278</v>
      </c>
      <c r="DO1216" s="6">
        <f>10.14</f>
        <v>10.14</v>
      </c>
      <c r="DP1216" s="4" t="s">
        <v>241</v>
      </c>
      <c r="DQ1216" s="4" t="s">
        <v>241</v>
      </c>
      <c r="DR1216" s="4" t="s">
        <v>241</v>
      </c>
      <c r="DS1216" s="4" t="s">
        <v>241</v>
      </c>
      <c r="DV1216" s="4" t="s">
        <v>1299</v>
      </c>
      <c r="DW1216" s="4" t="s">
        <v>300</v>
      </c>
      <c r="HO1216" s="4" t="s">
        <v>277</v>
      </c>
      <c r="HR1216" s="4" t="s">
        <v>278</v>
      </c>
      <c r="HS1216" s="4" t="s">
        <v>278</v>
      </c>
    </row>
    <row r="1217" spans="1:240" x14ac:dyDescent="0.4">
      <c r="A1217" s="4">
        <v>2</v>
      </c>
      <c r="B1217" s="4" t="s">
        <v>239</v>
      </c>
      <c r="C1217" s="4">
        <v>1521</v>
      </c>
      <c r="D1217" s="4">
        <v>1</v>
      </c>
      <c r="E1217" s="4">
        <v>3</v>
      </c>
      <c r="F1217" s="4" t="s">
        <v>240</v>
      </c>
      <c r="G1217" s="4" t="s">
        <v>241</v>
      </c>
      <c r="H1217" s="4" t="s">
        <v>241</v>
      </c>
      <c r="I1217" s="4" t="s">
        <v>1295</v>
      </c>
      <c r="J1217" s="4" t="s">
        <v>1296</v>
      </c>
      <c r="K1217" s="4" t="s">
        <v>256</v>
      </c>
      <c r="L1217" s="4" t="s">
        <v>454</v>
      </c>
      <c r="M1217" s="5" t="s">
        <v>1298</v>
      </c>
      <c r="N1217" s="4" t="s">
        <v>454</v>
      </c>
      <c r="O1217" s="6">
        <f>82.41</f>
        <v>82.41</v>
      </c>
      <c r="P1217" s="4" t="s">
        <v>276</v>
      </c>
      <c r="Q1217" s="6">
        <f>1095906</f>
        <v>1095906</v>
      </c>
      <c r="R1217" s="6">
        <f>10054020</f>
        <v>10054020</v>
      </c>
      <c r="S1217" s="5" t="s">
        <v>1302</v>
      </c>
      <c r="T1217" s="4" t="s">
        <v>441</v>
      </c>
      <c r="U1217" s="4" t="s">
        <v>384</v>
      </c>
      <c r="V1217" s="6">
        <f>331782</f>
        <v>331782</v>
      </c>
      <c r="W1217" s="6">
        <f>8958114</f>
        <v>8958114</v>
      </c>
      <c r="X1217" s="4" t="s">
        <v>243</v>
      </c>
      <c r="Y1217" s="4" t="s">
        <v>244</v>
      </c>
      <c r="Z1217" s="4" t="s">
        <v>465</v>
      </c>
      <c r="AA1217" s="4" t="s">
        <v>241</v>
      </c>
      <c r="AD1217" s="4" t="s">
        <v>241</v>
      </c>
      <c r="AE1217" s="5" t="s">
        <v>241</v>
      </c>
      <c r="AF1217" s="5" t="s">
        <v>241</v>
      </c>
      <c r="AH1217" s="5" t="s">
        <v>241</v>
      </c>
      <c r="AI1217" s="5" t="s">
        <v>249</v>
      </c>
      <c r="AJ1217" s="4" t="s">
        <v>251</v>
      </c>
      <c r="AK1217" s="4" t="s">
        <v>252</v>
      </c>
      <c r="AQ1217" s="4" t="s">
        <v>241</v>
      </c>
      <c r="AR1217" s="4" t="s">
        <v>241</v>
      </c>
      <c r="AS1217" s="4" t="s">
        <v>241</v>
      </c>
      <c r="AT1217" s="5" t="s">
        <v>241</v>
      </c>
      <c r="AU1217" s="5" t="s">
        <v>241</v>
      </c>
      <c r="AV1217" s="5" t="s">
        <v>241</v>
      </c>
      <c r="AY1217" s="4" t="s">
        <v>286</v>
      </c>
      <c r="AZ1217" s="4" t="s">
        <v>286</v>
      </c>
      <c r="BA1217" s="4" t="s">
        <v>254</v>
      </c>
      <c r="BB1217" s="4" t="s">
        <v>287</v>
      </c>
      <c r="BC1217" s="4" t="s">
        <v>255</v>
      </c>
      <c r="BD1217" s="4" t="s">
        <v>241</v>
      </c>
      <c r="BE1217" s="4" t="s">
        <v>257</v>
      </c>
      <c r="BF1217" s="4" t="s">
        <v>241</v>
      </c>
      <c r="BJ1217" s="4" t="s">
        <v>288</v>
      </c>
      <c r="BK1217" s="5" t="s">
        <v>289</v>
      </c>
      <c r="BL1217" s="4" t="s">
        <v>290</v>
      </c>
      <c r="BM1217" s="4" t="s">
        <v>290</v>
      </c>
      <c r="BN1217" s="4" t="s">
        <v>241</v>
      </c>
      <c r="BO1217" s="6">
        <f>0</f>
        <v>0</v>
      </c>
      <c r="BP1217" s="6">
        <f>-331782</f>
        <v>-331782</v>
      </c>
      <c r="BQ1217" s="4" t="s">
        <v>263</v>
      </c>
      <c r="BR1217" s="4" t="s">
        <v>264</v>
      </c>
      <c r="BS1217" s="4" t="s">
        <v>241</v>
      </c>
      <c r="BT1217" s="4" t="s">
        <v>241</v>
      </c>
      <c r="BU1217" s="4" t="s">
        <v>241</v>
      </c>
      <c r="BV1217" s="4" t="s">
        <v>241</v>
      </c>
      <c r="CE1217" s="4" t="s">
        <v>264</v>
      </c>
      <c r="CF1217" s="4" t="s">
        <v>241</v>
      </c>
      <c r="CG1217" s="4" t="s">
        <v>241</v>
      </c>
      <c r="CK1217" s="4" t="s">
        <v>291</v>
      </c>
      <c r="CL1217" s="4" t="s">
        <v>266</v>
      </c>
      <c r="CM1217" s="4" t="s">
        <v>241</v>
      </c>
      <c r="CO1217" s="4" t="s">
        <v>376</v>
      </c>
      <c r="CP1217" s="5" t="s">
        <v>268</v>
      </c>
      <c r="CQ1217" s="4" t="s">
        <v>269</v>
      </c>
      <c r="CR1217" s="4" t="s">
        <v>270</v>
      </c>
      <c r="CS1217" s="4" t="s">
        <v>293</v>
      </c>
      <c r="CT1217" s="4" t="s">
        <v>241</v>
      </c>
      <c r="CU1217" s="4">
        <v>3.3000000000000002E-2</v>
      </c>
      <c r="CV1217" s="4" t="s">
        <v>271</v>
      </c>
      <c r="CW1217" s="4" t="s">
        <v>455</v>
      </c>
      <c r="CX1217" s="4" t="s">
        <v>487</v>
      </c>
      <c r="CY1217" s="6">
        <f>0</f>
        <v>0</v>
      </c>
      <c r="CZ1217" s="6">
        <f>10054020</f>
        <v>10054020</v>
      </c>
      <c r="DA1217" s="6">
        <f>1095906</f>
        <v>1095906</v>
      </c>
      <c r="DC1217" s="4" t="s">
        <v>241</v>
      </c>
      <c r="DD1217" s="4" t="s">
        <v>241</v>
      </c>
      <c r="DF1217" s="4" t="s">
        <v>241</v>
      </c>
      <c r="DG1217" s="6">
        <f>0</f>
        <v>0</v>
      </c>
      <c r="DI1217" s="4" t="s">
        <v>241</v>
      </c>
      <c r="DJ1217" s="4" t="s">
        <v>241</v>
      </c>
      <c r="DK1217" s="4" t="s">
        <v>241</v>
      </c>
      <c r="DL1217" s="4" t="s">
        <v>241</v>
      </c>
      <c r="DM1217" s="4" t="s">
        <v>277</v>
      </c>
      <c r="DN1217" s="4" t="s">
        <v>278</v>
      </c>
      <c r="DO1217" s="6">
        <f>82.41</f>
        <v>82.41</v>
      </c>
      <c r="DP1217" s="4" t="s">
        <v>241</v>
      </c>
      <c r="DQ1217" s="4" t="s">
        <v>241</v>
      </c>
      <c r="DR1217" s="4" t="s">
        <v>241</v>
      </c>
      <c r="DS1217" s="4" t="s">
        <v>241</v>
      </c>
      <c r="DV1217" s="4" t="s">
        <v>1299</v>
      </c>
      <c r="DW1217" s="4" t="s">
        <v>341</v>
      </c>
      <c r="GN1217" s="4" t="s">
        <v>3870</v>
      </c>
      <c r="HO1217" s="4" t="s">
        <v>300</v>
      </c>
      <c r="HR1217" s="4" t="s">
        <v>278</v>
      </c>
      <c r="HS1217" s="4" t="s">
        <v>278</v>
      </c>
      <c r="HT1217" s="4" t="s">
        <v>241</v>
      </c>
      <c r="HU1217" s="4" t="s">
        <v>241</v>
      </c>
      <c r="HV1217" s="4" t="s">
        <v>241</v>
      </c>
      <c r="HW1217" s="4" t="s">
        <v>241</v>
      </c>
      <c r="HX1217" s="4" t="s">
        <v>241</v>
      </c>
      <c r="HY1217" s="4" t="s">
        <v>241</v>
      </c>
      <c r="HZ1217" s="4" t="s">
        <v>241</v>
      </c>
      <c r="IA1217" s="4" t="s">
        <v>241</v>
      </c>
      <c r="IB1217" s="4" t="s">
        <v>241</v>
      </c>
      <c r="IC1217" s="4" t="s">
        <v>241</v>
      </c>
      <c r="ID1217" s="4" t="s">
        <v>241</v>
      </c>
      <c r="IE1217" s="4" t="s">
        <v>241</v>
      </c>
      <c r="IF1217" s="4" t="s">
        <v>241</v>
      </c>
    </row>
    <row r="1218" spans="1:240" x14ac:dyDescent="0.4">
      <c r="A1218" s="4">
        <v>2</v>
      </c>
      <c r="B1218" s="4" t="s">
        <v>239</v>
      </c>
      <c r="C1218" s="4">
        <v>1522</v>
      </c>
      <c r="D1218" s="4">
        <v>1</v>
      </c>
      <c r="E1218" s="4">
        <v>3</v>
      </c>
      <c r="F1218" s="4" t="s">
        <v>326</v>
      </c>
      <c r="G1218" s="4" t="s">
        <v>241</v>
      </c>
      <c r="H1218" s="4" t="s">
        <v>241</v>
      </c>
      <c r="I1218" s="4" t="s">
        <v>1295</v>
      </c>
      <c r="J1218" s="4" t="s">
        <v>1296</v>
      </c>
      <c r="K1218" s="4" t="s">
        <v>256</v>
      </c>
      <c r="L1218" s="4" t="s">
        <v>241</v>
      </c>
      <c r="M1218" s="5" t="s">
        <v>1298</v>
      </c>
      <c r="N1218" s="4" t="s">
        <v>1294</v>
      </c>
      <c r="O1218" s="6">
        <f>0</f>
        <v>0</v>
      </c>
      <c r="P1218" s="4" t="s">
        <v>276</v>
      </c>
      <c r="Q1218" s="6">
        <f>229362756</f>
        <v>229362756</v>
      </c>
      <c r="R1218" s="6">
        <f>245570400</f>
        <v>245570400</v>
      </c>
      <c r="S1218" s="5" t="s">
        <v>1297</v>
      </c>
      <c r="T1218" s="4" t="s">
        <v>668</v>
      </c>
      <c r="U1218" s="4" t="s">
        <v>323</v>
      </c>
      <c r="V1218" s="6">
        <f>5402548</f>
        <v>5402548</v>
      </c>
      <c r="W1218" s="6">
        <f>16207644</f>
        <v>16207644</v>
      </c>
      <c r="X1218" s="4" t="s">
        <v>243</v>
      </c>
      <c r="Y1218" s="4" t="s">
        <v>244</v>
      </c>
      <c r="Z1218" s="4" t="s">
        <v>241</v>
      </c>
      <c r="AA1218" s="4" t="s">
        <v>241</v>
      </c>
      <c r="AD1218" s="4" t="s">
        <v>241</v>
      </c>
      <c r="AE1218" s="5" t="s">
        <v>241</v>
      </c>
      <c r="AF1218" s="5" t="s">
        <v>241</v>
      </c>
      <c r="AH1218" s="5" t="s">
        <v>241</v>
      </c>
      <c r="AI1218" s="5" t="s">
        <v>249</v>
      </c>
      <c r="AJ1218" s="4" t="s">
        <v>251</v>
      </c>
      <c r="AK1218" s="4" t="s">
        <v>252</v>
      </c>
      <c r="AQ1218" s="4" t="s">
        <v>241</v>
      </c>
      <c r="AR1218" s="4" t="s">
        <v>241</v>
      </c>
      <c r="AS1218" s="4" t="s">
        <v>241</v>
      </c>
      <c r="AT1218" s="5" t="s">
        <v>241</v>
      </c>
      <c r="AU1218" s="5" t="s">
        <v>241</v>
      </c>
      <c r="AV1218" s="5" t="s">
        <v>241</v>
      </c>
      <c r="AY1218" s="4" t="s">
        <v>286</v>
      </c>
      <c r="AZ1218" s="4" t="s">
        <v>286</v>
      </c>
      <c r="BA1218" s="4" t="s">
        <v>254</v>
      </c>
      <c r="BB1218" s="4" t="s">
        <v>287</v>
      </c>
      <c r="BC1218" s="4" t="s">
        <v>255</v>
      </c>
      <c r="BD1218" s="4" t="s">
        <v>241</v>
      </c>
      <c r="BE1218" s="4" t="s">
        <v>257</v>
      </c>
      <c r="BF1218" s="4" t="s">
        <v>241</v>
      </c>
      <c r="BJ1218" s="4" t="s">
        <v>288</v>
      </c>
      <c r="BK1218" s="5" t="s">
        <v>289</v>
      </c>
      <c r="BL1218" s="4" t="s">
        <v>290</v>
      </c>
      <c r="BM1218" s="4" t="s">
        <v>290</v>
      </c>
      <c r="BN1218" s="4" t="s">
        <v>241</v>
      </c>
      <c r="BP1218" s="6">
        <f>-5402548</f>
        <v>-5402548</v>
      </c>
      <c r="BQ1218" s="4" t="s">
        <v>263</v>
      </c>
      <c r="BR1218" s="4" t="s">
        <v>264</v>
      </c>
      <c r="BS1218" s="4" t="s">
        <v>241</v>
      </c>
      <c r="BT1218" s="4" t="s">
        <v>241</v>
      </c>
      <c r="BU1218" s="4" t="s">
        <v>241</v>
      </c>
      <c r="BV1218" s="4" t="s">
        <v>241</v>
      </c>
      <c r="CE1218" s="4" t="s">
        <v>264</v>
      </c>
      <c r="CF1218" s="4" t="s">
        <v>241</v>
      </c>
      <c r="CG1218" s="4" t="s">
        <v>241</v>
      </c>
      <c r="CK1218" s="4" t="s">
        <v>291</v>
      </c>
      <c r="CL1218" s="4" t="s">
        <v>266</v>
      </c>
      <c r="CM1218" s="4" t="s">
        <v>241</v>
      </c>
      <c r="CO1218" s="4" t="s">
        <v>421</v>
      </c>
      <c r="CP1218" s="5" t="s">
        <v>268</v>
      </c>
      <c r="CQ1218" s="4" t="s">
        <v>269</v>
      </c>
      <c r="CR1218" s="4" t="s">
        <v>270</v>
      </c>
      <c r="CS1218" s="4" t="s">
        <v>293</v>
      </c>
      <c r="CT1218" s="4" t="s">
        <v>241</v>
      </c>
      <c r="CU1218" s="4">
        <v>2.1999999999999999E-2</v>
      </c>
      <c r="CV1218" s="4" t="s">
        <v>271</v>
      </c>
      <c r="CW1218" s="4" t="s">
        <v>1176</v>
      </c>
      <c r="CX1218" s="4" t="s">
        <v>295</v>
      </c>
      <c r="CY1218" s="6">
        <f>0</f>
        <v>0</v>
      </c>
      <c r="CZ1218" s="6">
        <f>245570400</f>
        <v>245570400</v>
      </c>
      <c r="DA1218" s="6">
        <f>229362756</f>
        <v>229362756</v>
      </c>
      <c r="DC1218" s="4" t="s">
        <v>241</v>
      </c>
      <c r="DD1218" s="4" t="s">
        <v>241</v>
      </c>
      <c r="DF1218" s="4" t="s">
        <v>241</v>
      </c>
      <c r="DG1218" s="6">
        <f>0</f>
        <v>0</v>
      </c>
      <c r="DI1218" s="4" t="s">
        <v>241</v>
      </c>
      <c r="DJ1218" s="4" t="s">
        <v>241</v>
      </c>
      <c r="DK1218" s="4" t="s">
        <v>241</v>
      </c>
      <c r="DL1218" s="4" t="s">
        <v>241</v>
      </c>
      <c r="DM1218" s="4" t="s">
        <v>278</v>
      </c>
      <c r="DN1218" s="4" t="s">
        <v>278</v>
      </c>
      <c r="DO1218" s="6" t="s">
        <v>241</v>
      </c>
      <c r="DP1218" s="4" t="s">
        <v>241</v>
      </c>
      <c r="DQ1218" s="4" t="s">
        <v>241</v>
      </c>
      <c r="DR1218" s="4" t="s">
        <v>241</v>
      </c>
      <c r="DS1218" s="4" t="s">
        <v>241</v>
      </c>
      <c r="DV1218" s="4" t="s">
        <v>1299</v>
      </c>
      <c r="DW1218" s="4" t="s">
        <v>343</v>
      </c>
      <c r="GN1218" s="4" t="s">
        <v>1300</v>
      </c>
      <c r="HO1218" s="4" t="s">
        <v>336</v>
      </c>
      <c r="HR1218" s="4" t="s">
        <v>278</v>
      </c>
      <c r="HS1218" s="4" t="s">
        <v>278</v>
      </c>
      <c r="HT1218" s="4" t="s">
        <v>241</v>
      </c>
      <c r="HU1218" s="4" t="s">
        <v>241</v>
      </c>
      <c r="HV1218" s="4" t="s">
        <v>241</v>
      </c>
      <c r="HW1218" s="4" t="s">
        <v>241</v>
      </c>
      <c r="HX1218" s="4" t="s">
        <v>241</v>
      </c>
      <c r="HY1218" s="4" t="s">
        <v>241</v>
      </c>
      <c r="HZ1218" s="4" t="s">
        <v>241</v>
      </c>
      <c r="IA1218" s="4" t="s">
        <v>241</v>
      </c>
      <c r="IB1218" s="4" t="s">
        <v>241</v>
      </c>
      <c r="IC1218" s="4" t="s">
        <v>241</v>
      </c>
      <c r="ID1218" s="4" t="s">
        <v>241</v>
      </c>
      <c r="IE1218" s="4" t="s">
        <v>241</v>
      </c>
      <c r="IF1218" s="4" t="s">
        <v>241</v>
      </c>
    </row>
    <row r="1219" spans="1:240" x14ac:dyDescent="0.4">
      <c r="A1219" s="4">
        <v>2</v>
      </c>
      <c r="B1219" s="4" t="s">
        <v>239</v>
      </c>
      <c r="C1219" s="4">
        <v>1523</v>
      </c>
      <c r="D1219" s="4">
        <v>1</v>
      </c>
      <c r="E1219" s="4">
        <v>3</v>
      </c>
      <c r="F1219" s="4" t="s">
        <v>326</v>
      </c>
      <c r="G1219" s="4" t="s">
        <v>241</v>
      </c>
      <c r="H1219" s="4" t="s">
        <v>241</v>
      </c>
      <c r="I1219" s="4" t="s">
        <v>1295</v>
      </c>
      <c r="J1219" s="4" t="s">
        <v>1296</v>
      </c>
      <c r="K1219" s="4" t="s">
        <v>256</v>
      </c>
      <c r="L1219" s="4" t="s">
        <v>241</v>
      </c>
      <c r="M1219" s="5" t="s">
        <v>1298</v>
      </c>
      <c r="N1219" s="4" t="s">
        <v>2635</v>
      </c>
      <c r="O1219" s="6">
        <f>0</f>
        <v>0</v>
      </c>
      <c r="P1219" s="4" t="s">
        <v>276</v>
      </c>
      <c r="Q1219" s="6">
        <f>548076</f>
        <v>548076</v>
      </c>
      <c r="R1219" s="6">
        <f>632880</f>
        <v>632880</v>
      </c>
      <c r="S1219" s="5" t="s">
        <v>2636</v>
      </c>
      <c r="T1219" s="4" t="s">
        <v>348</v>
      </c>
      <c r="U1219" s="4" t="s">
        <v>277</v>
      </c>
      <c r="V1219" s="6">
        <f>42402</f>
        <v>42402</v>
      </c>
      <c r="W1219" s="6">
        <f>84804</f>
        <v>84804</v>
      </c>
      <c r="X1219" s="4" t="s">
        <v>243</v>
      </c>
      <c r="Y1219" s="4" t="s">
        <v>244</v>
      </c>
      <c r="Z1219" s="4" t="s">
        <v>241</v>
      </c>
      <c r="AA1219" s="4" t="s">
        <v>241</v>
      </c>
      <c r="AD1219" s="4" t="s">
        <v>241</v>
      </c>
      <c r="AE1219" s="5" t="s">
        <v>241</v>
      </c>
      <c r="AF1219" s="5" t="s">
        <v>241</v>
      </c>
      <c r="AH1219" s="5" t="s">
        <v>241</v>
      </c>
      <c r="AI1219" s="5" t="s">
        <v>249</v>
      </c>
      <c r="AJ1219" s="4" t="s">
        <v>251</v>
      </c>
      <c r="AK1219" s="4" t="s">
        <v>252</v>
      </c>
      <c r="AQ1219" s="4" t="s">
        <v>241</v>
      </c>
      <c r="AR1219" s="4" t="s">
        <v>241</v>
      </c>
      <c r="AS1219" s="4" t="s">
        <v>241</v>
      </c>
      <c r="AT1219" s="5" t="s">
        <v>241</v>
      </c>
      <c r="AU1219" s="5" t="s">
        <v>241</v>
      </c>
      <c r="AV1219" s="5" t="s">
        <v>241</v>
      </c>
      <c r="AY1219" s="4" t="s">
        <v>286</v>
      </c>
      <c r="AZ1219" s="4" t="s">
        <v>286</v>
      </c>
      <c r="BA1219" s="4" t="s">
        <v>254</v>
      </c>
      <c r="BB1219" s="4" t="s">
        <v>287</v>
      </c>
      <c r="BC1219" s="4" t="s">
        <v>255</v>
      </c>
      <c r="BD1219" s="4" t="s">
        <v>241</v>
      </c>
      <c r="BE1219" s="4" t="s">
        <v>257</v>
      </c>
      <c r="BF1219" s="4" t="s">
        <v>241</v>
      </c>
      <c r="BJ1219" s="4" t="s">
        <v>288</v>
      </c>
      <c r="BK1219" s="5" t="s">
        <v>289</v>
      </c>
      <c r="BL1219" s="4" t="s">
        <v>290</v>
      </c>
      <c r="BM1219" s="4" t="s">
        <v>290</v>
      </c>
      <c r="BN1219" s="4" t="s">
        <v>241</v>
      </c>
      <c r="BP1219" s="6">
        <f>-42402</f>
        <v>-42402</v>
      </c>
      <c r="BQ1219" s="4" t="s">
        <v>263</v>
      </c>
      <c r="BR1219" s="4" t="s">
        <v>264</v>
      </c>
      <c r="BS1219" s="4" t="s">
        <v>241</v>
      </c>
      <c r="BT1219" s="4" t="s">
        <v>241</v>
      </c>
      <c r="BU1219" s="4" t="s">
        <v>241</v>
      </c>
      <c r="BV1219" s="4" t="s">
        <v>241</v>
      </c>
      <c r="CE1219" s="4" t="s">
        <v>264</v>
      </c>
      <c r="CF1219" s="4" t="s">
        <v>241</v>
      </c>
      <c r="CG1219" s="4" t="s">
        <v>241</v>
      </c>
      <c r="CK1219" s="4" t="s">
        <v>291</v>
      </c>
      <c r="CL1219" s="4" t="s">
        <v>266</v>
      </c>
      <c r="CM1219" s="4" t="s">
        <v>241</v>
      </c>
      <c r="CO1219" s="4" t="s">
        <v>331</v>
      </c>
      <c r="CP1219" s="5" t="s">
        <v>268</v>
      </c>
      <c r="CQ1219" s="4" t="s">
        <v>269</v>
      </c>
      <c r="CR1219" s="4" t="s">
        <v>270</v>
      </c>
      <c r="CS1219" s="4" t="s">
        <v>293</v>
      </c>
      <c r="CT1219" s="4" t="s">
        <v>241</v>
      </c>
      <c r="CU1219" s="4">
        <v>6.7000000000000004E-2</v>
      </c>
      <c r="CV1219" s="4" t="s">
        <v>271</v>
      </c>
      <c r="CW1219" s="4" t="s">
        <v>415</v>
      </c>
      <c r="CX1219" s="4" t="s">
        <v>422</v>
      </c>
      <c r="CY1219" s="6">
        <f>0</f>
        <v>0</v>
      </c>
      <c r="CZ1219" s="6">
        <f>632880</f>
        <v>632880</v>
      </c>
      <c r="DA1219" s="6">
        <f>548076</f>
        <v>548076</v>
      </c>
      <c r="DC1219" s="4" t="s">
        <v>241</v>
      </c>
      <c r="DD1219" s="4" t="s">
        <v>241</v>
      </c>
      <c r="DF1219" s="4" t="s">
        <v>241</v>
      </c>
      <c r="DG1219" s="6">
        <f>0</f>
        <v>0</v>
      </c>
      <c r="DI1219" s="4" t="s">
        <v>241</v>
      </c>
      <c r="DJ1219" s="4" t="s">
        <v>241</v>
      </c>
      <c r="DK1219" s="4" t="s">
        <v>241</v>
      </c>
      <c r="DL1219" s="4" t="s">
        <v>241</v>
      </c>
      <c r="DM1219" s="4" t="s">
        <v>278</v>
      </c>
      <c r="DN1219" s="4" t="s">
        <v>278</v>
      </c>
      <c r="DO1219" s="6" t="s">
        <v>241</v>
      </c>
      <c r="DP1219" s="4" t="s">
        <v>241</v>
      </c>
      <c r="DQ1219" s="4" t="s">
        <v>241</v>
      </c>
      <c r="DR1219" s="4" t="s">
        <v>241</v>
      </c>
      <c r="DS1219" s="4" t="s">
        <v>241</v>
      </c>
      <c r="DV1219" s="4" t="s">
        <v>1299</v>
      </c>
      <c r="DW1219" s="4" t="s">
        <v>417</v>
      </c>
      <c r="GN1219" s="4" t="s">
        <v>2637</v>
      </c>
      <c r="HO1219" s="4" t="s">
        <v>297</v>
      </c>
      <c r="HR1219" s="4" t="s">
        <v>278</v>
      </c>
      <c r="HS1219" s="4" t="s">
        <v>278</v>
      </c>
      <c r="HT1219" s="4" t="s">
        <v>241</v>
      </c>
      <c r="HU1219" s="4" t="s">
        <v>241</v>
      </c>
      <c r="HV1219" s="4" t="s">
        <v>241</v>
      </c>
      <c r="HW1219" s="4" t="s">
        <v>241</v>
      </c>
      <c r="HX1219" s="4" t="s">
        <v>241</v>
      </c>
      <c r="HY1219" s="4" t="s">
        <v>241</v>
      </c>
      <c r="HZ1219" s="4" t="s">
        <v>241</v>
      </c>
      <c r="IA1219" s="4" t="s">
        <v>241</v>
      </c>
      <c r="IB1219" s="4" t="s">
        <v>241</v>
      </c>
      <c r="IC1219" s="4" t="s">
        <v>241</v>
      </c>
      <c r="ID1219" s="4" t="s">
        <v>241</v>
      </c>
      <c r="IE1219" s="4" t="s">
        <v>241</v>
      </c>
      <c r="IF1219" s="4" t="s">
        <v>241</v>
      </c>
    </row>
    <row r="1220" spans="1:240" x14ac:dyDescent="0.4">
      <c r="A1220" s="4">
        <v>2</v>
      </c>
      <c r="B1220" s="4" t="s">
        <v>239</v>
      </c>
      <c r="C1220" s="4">
        <v>1524</v>
      </c>
      <c r="D1220" s="4">
        <v>1</v>
      </c>
      <c r="E1220" s="4">
        <v>3</v>
      </c>
      <c r="F1220" s="4" t="s">
        <v>326</v>
      </c>
      <c r="G1220" s="4" t="s">
        <v>241</v>
      </c>
      <c r="H1220" s="4" t="s">
        <v>241</v>
      </c>
      <c r="I1220" s="4" t="s">
        <v>1295</v>
      </c>
      <c r="J1220" s="4" t="s">
        <v>1296</v>
      </c>
      <c r="K1220" s="4" t="s">
        <v>256</v>
      </c>
      <c r="L1220" s="4" t="s">
        <v>241</v>
      </c>
      <c r="M1220" s="5" t="s">
        <v>1298</v>
      </c>
      <c r="N1220" s="4" t="s">
        <v>2631</v>
      </c>
      <c r="O1220" s="6">
        <f>0</f>
        <v>0</v>
      </c>
      <c r="P1220" s="4" t="s">
        <v>276</v>
      </c>
      <c r="Q1220" s="6">
        <f>2714796</f>
        <v>2714796</v>
      </c>
      <c r="R1220" s="6">
        <f>3078000</f>
        <v>3078000</v>
      </c>
      <c r="S1220" s="5" t="s">
        <v>2632</v>
      </c>
      <c r="T1220" s="4" t="s">
        <v>401</v>
      </c>
      <c r="U1220" s="4" t="s">
        <v>277</v>
      </c>
      <c r="V1220" s="6">
        <f>181602</f>
        <v>181602</v>
      </c>
      <c r="W1220" s="6">
        <f>363204</f>
        <v>363204</v>
      </c>
      <c r="X1220" s="4" t="s">
        <v>243</v>
      </c>
      <c r="Y1220" s="4" t="s">
        <v>244</v>
      </c>
      <c r="Z1220" s="4" t="s">
        <v>241</v>
      </c>
      <c r="AA1220" s="4" t="s">
        <v>241</v>
      </c>
      <c r="AD1220" s="4" t="s">
        <v>241</v>
      </c>
      <c r="AE1220" s="5" t="s">
        <v>241</v>
      </c>
      <c r="AF1220" s="5" t="s">
        <v>241</v>
      </c>
      <c r="AH1220" s="5" t="s">
        <v>241</v>
      </c>
      <c r="AI1220" s="5" t="s">
        <v>249</v>
      </c>
      <c r="AJ1220" s="4" t="s">
        <v>251</v>
      </c>
      <c r="AK1220" s="4" t="s">
        <v>252</v>
      </c>
      <c r="AQ1220" s="4" t="s">
        <v>241</v>
      </c>
      <c r="AR1220" s="4" t="s">
        <v>241</v>
      </c>
      <c r="AS1220" s="4" t="s">
        <v>241</v>
      </c>
      <c r="AT1220" s="5" t="s">
        <v>241</v>
      </c>
      <c r="AU1220" s="5" t="s">
        <v>241</v>
      </c>
      <c r="AV1220" s="5" t="s">
        <v>241</v>
      </c>
      <c r="AY1220" s="4" t="s">
        <v>286</v>
      </c>
      <c r="AZ1220" s="4" t="s">
        <v>286</v>
      </c>
      <c r="BA1220" s="4" t="s">
        <v>254</v>
      </c>
      <c r="BB1220" s="4" t="s">
        <v>287</v>
      </c>
      <c r="BC1220" s="4" t="s">
        <v>255</v>
      </c>
      <c r="BD1220" s="4" t="s">
        <v>241</v>
      </c>
      <c r="BE1220" s="4" t="s">
        <v>257</v>
      </c>
      <c r="BF1220" s="4" t="s">
        <v>241</v>
      </c>
      <c r="BJ1220" s="4" t="s">
        <v>288</v>
      </c>
      <c r="BK1220" s="5" t="s">
        <v>289</v>
      </c>
      <c r="BL1220" s="4" t="s">
        <v>290</v>
      </c>
      <c r="BM1220" s="4" t="s">
        <v>290</v>
      </c>
      <c r="BN1220" s="4" t="s">
        <v>241</v>
      </c>
      <c r="BP1220" s="6">
        <f>-181602</f>
        <v>-181602</v>
      </c>
      <c r="BQ1220" s="4" t="s">
        <v>263</v>
      </c>
      <c r="BR1220" s="4" t="s">
        <v>264</v>
      </c>
      <c r="BS1220" s="4" t="s">
        <v>241</v>
      </c>
      <c r="BT1220" s="4" t="s">
        <v>241</v>
      </c>
      <c r="BU1220" s="4" t="s">
        <v>241</v>
      </c>
      <c r="BV1220" s="4" t="s">
        <v>241</v>
      </c>
      <c r="CE1220" s="4" t="s">
        <v>264</v>
      </c>
      <c r="CF1220" s="4" t="s">
        <v>241</v>
      </c>
      <c r="CG1220" s="4" t="s">
        <v>241</v>
      </c>
      <c r="CK1220" s="4" t="s">
        <v>291</v>
      </c>
      <c r="CL1220" s="4" t="s">
        <v>266</v>
      </c>
      <c r="CM1220" s="4" t="s">
        <v>241</v>
      </c>
      <c r="CO1220" s="4" t="s">
        <v>331</v>
      </c>
      <c r="CP1220" s="5" t="s">
        <v>268</v>
      </c>
      <c r="CQ1220" s="4" t="s">
        <v>269</v>
      </c>
      <c r="CR1220" s="4" t="s">
        <v>270</v>
      </c>
      <c r="CS1220" s="4" t="s">
        <v>293</v>
      </c>
      <c r="CT1220" s="4" t="s">
        <v>241</v>
      </c>
      <c r="CU1220" s="4">
        <v>5.8999999999999997E-2</v>
      </c>
      <c r="CV1220" s="4" t="s">
        <v>271</v>
      </c>
      <c r="CW1220" s="4" t="s">
        <v>415</v>
      </c>
      <c r="CX1220" s="4" t="s">
        <v>2633</v>
      </c>
      <c r="CY1220" s="6">
        <f>0</f>
        <v>0</v>
      </c>
      <c r="CZ1220" s="6">
        <f>3078000</f>
        <v>3078000</v>
      </c>
      <c r="DA1220" s="6">
        <f>2714796</f>
        <v>2714796</v>
      </c>
      <c r="DC1220" s="4" t="s">
        <v>241</v>
      </c>
      <c r="DD1220" s="4" t="s">
        <v>241</v>
      </c>
      <c r="DF1220" s="4" t="s">
        <v>241</v>
      </c>
      <c r="DG1220" s="6">
        <f>0</f>
        <v>0</v>
      </c>
      <c r="DI1220" s="4" t="s">
        <v>241</v>
      </c>
      <c r="DJ1220" s="4" t="s">
        <v>241</v>
      </c>
      <c r="DK1220" s="4" t="s">
        <v>241</v>
      </c>
      <c r="DL1220" s="4" t="s">
        <v>241</v>
      </c>
      <c r="DM1220" s="4" t="s">
        <v>278</v>
      </c>
      <c r="DN1220" s="4" t="s">
        <v>278</v>
      </c>
      <c r="DO1220" s="6" t="s">
        <v>241</v>
      </c>
      <c r="DP1220" s="4" t="s">
        <v>241</v>
      </c>
      <c r="DQ1220" s="4" t="s">
        <v>241</v>
      </c>
      <c r="DR1220" s="4" t="s">
        <v>241</v>
      </c>
      <c r="DS1220" s="4" t="s">
        <v>241</v>
      </c>
      <c r="DV1220" s="4" t="s">
        <v>1299</v>
      </c>
      <c r="DW1220" s="4" t="s">
        <v>427</v>
      </c>
      <c r="GN1220" s="4" t="s">
        <v>2634</v>
      </c>
      <c r="HO1220" s="4" t="s">
        <v>297</v>
      </c>
      <c r="HR1220" s="4" t="s">
        <v>278</v>
      </c>
      <c r="HS1220" s="4" t="s">
        <v>278</v>
      </c>
      <c r="HT1220" s="4" t="s">
        <v>241</v>
      </c>
      <c r="HU1220" s="4" t="s">
        <v>241</v>
      </c>
      <c r="HV1220" s="4" t="s">
        <v>241</v>
      </c>
      <c r="HW1220" s="4" t="s">
        <v>241</v>
      </c>
      <c r="HX1220" s="4" t="s">
        <v>241</v>
      </c>
      <c r="HY1220" s="4" t="s">
        <v>241</v>
      </c>
      <c r="HZ1220" s="4" t="s">
        <v>241</v>
      </c>
      <c r="IA1220" s="4" t="s">
        <v>241</v>
      </c>
      <c r="IB1220" s="4" t="s">
        <v>241</v>
      </c>
      <c r="IC1220" s="4" t="s">
        <v>241</v>
      </c>
      <c r="ID1220" s="4" t="s">
        <v>241</v>
      </c>
      <c r="IE1220" s="4" t="s">
        <v>241</v>
      </c>
      <c r="IF1220" s="4" t="s">
        <v>241</v>
      </c>
    </row>
    <row r="1221" spans="1:240" x14ac:dyDescent="0.4">
      <c r="A1221" s="4">
        <v>2</v>
      </c>
      <c r="B1221" s="4" t="s">
        <v>239</v>
      </c>
      <c r="C1221" s="4">
        <v>1525</v>
      </c>
      <c r="D1221" s="4">
        <v>1</v>
      </c>
      <c r="E1221" s="4">
        <v>3</v>
      </c>
      <c r="F1221" s="4" t="s">
        <v>326</v>
      </c>
      <c r="G1221" s="4" t="s">
        <v>241</v>
      </c>
      <c r="H1221" s="4" t="s">
        <v>241</v>
      </c>
      <c r="I1221" s="4" t="s">
        <v>1295</v>
      </c>
      <c r="J1221" s="4" t="s">
        <v>1296</v>
      </c>
      <c r="K1221" s="4" t="s">
        <v>256</v>
      </c>
      <c r="L1221" s="4" t="s">
        <v>241</v>
      </c>
      <c r="M1221" s="5" t="s">
        <v>1298</v>
      </c>
      <c r="N1221" s="4" t="s">
        <v>2628</v>
      </c>
      <c r="O1221" s="6">
        <f>0</f>
        <v>0</v>
      </c>
      <c r="P1221" s="4" t="s">
        <v>276</v>
      </c>
      <c r="Q1221" s="6">
        <f>2959440</f>
        <v>2959440</v>
      </c>
      <c r="R1221" s="6">
        <f>3135000</f>
        <v>3135000</v>
      </c>
      <c r="S1221" s="5" t="s">
        <v>2629</v>
      </c>
      <c r="T1221" s="4" t="s">
        <v>365</v>
      </c>
      <c r="U1221" s="4" t="s">
        <v>278</v>
      </c>
      <c r="V1221" s="6">
        <f>3134999</f>
        <v>3134999</v>
      </c>
      <c r="W1221" s="6">
        <f>175560</f>
        <v>175560</v>
      </c>
      <c r="X1221" s="4" t="s">
        <v>243</v>
      </c>
      <c r="Y1221" s="4" t="s">
        <v>244</v>
      </c>
      <c r="Z1221" s="4" t="s">
        <v>241</v>
      </c>
      <c r="AA1221" s="4" t="s">
        <v>241</v>
      </c>
      <c r="AD1221" s="4" t="s">
        <v>241</v>
      </c>
      <c r="AE1221" s="5" t="s">
        <v>241</v>
      </c>
      <c r="AF1221" s="5" t="s">
        <v>241</v>
      </c>
      <c r="AH1221" s="5" t="s">
        <v>241</v>
      </c>
      <c r="AI1221" s="5" t="s">
        <v>249</v>
      </c>
      <c r="AJ1221" s="4" t="s">
        <v>251</v>
      </c>
      <c r="AK1221" s="4" t="s">
        <v>252</v>
      </c>
      <c r="AQ1221" s="4" t="s">
        <v>241</v>
      </c>
      <c r="AR1221" s="4" t="s">
        <v>241</v>
      </c>
      <c r="AS1221" s="4" t="s">
        <v>241</v>
      </c>
      <c r="AT1221" s="5" t="s">
        <v>241</v>
      </c>
      <c r="AU1221" s="5" t="s">
        <v>241</v>
      </c>
      <c r="AV1221" s="5" t="s">
        <v>241</v>
      </c>
      <c r="AY1221" s="4" t="s">
        <v>286</v>
      </c>
      <c r="AZ1221" s="4" t="s">
        <v>286</v>
      </c>
      <c r="BA1221" s="4" t="s">
        <v>254</v>
      </c>
      <c r="BB1221" s="4" t="s">
        <v>287</v>
      </c>
      <c r="BC1221" s="4" t="s">
        <v>255</v>
      </c>
      <c r="BD1221" s="4" t="s">
        <v>241</v>
      </c>
      <c r="BE1221" s="4" t="s">
        <v>257</v>
      </c>
      <c r="BF1221" s="4" t="s">
        <v>241</v>
      </c>
      <c r="BJ1221" s="4" t="s">
        <v>288</v>
      </c>
      <c r="BK1221" s="5" t="s">
        <v>289</v>
      </c>
      <c r="BL1221" s="4" t="s">
        <v>290</v>
      </c>
      <c r="BM1221" s="4" t="s">
        <v>290</v>
      </c>
      <c r="BN1221" s="4" t="s">
        <v>241</v>
      </c>
      <c r="BP1221" s="6">
        <f>-175560</f>
        <v>-175560</v>
      </c>
      <c r="BQ1221" s="4" t="s">
        <v>263</v>
      </c>
      <c r="BR1221" s="4" t="s">
        <v>264</v>
      </c>
      <c r="BS1221" s="4" t="s">
        <v>241</v>
      </c>
      <c r="BT1221" s="4" t="s">
        <v>241</v>
      </c>
      <c r="BU1221" s="4" t="s">
        <v>241</v>
      </c>
      <c r="BV1221" s="4" t="s">
        <v>241</v>
      </c>
      <c r="CE1221" s="4" t="s">
        <v>264</v>
      </c>
      <c r="CF1221" s="4" t="s">
        <v>241</v>
      </c>
      <c r="CG1221" s="4" t="s">
        <v>241</v>
      </c>
      <c r="CK1221" s="4" t="s">
        <v>291</v>
      </c>
      <c r="CL1221" s="4" t="s">
        <v>266</v>
      </c>
      <c r="CM1221" s="4" t="s">
        <v>241</v>
      </c>
      <c r="CO1221" s="4" t="s">
        <v>426</v>
      </c>
      <c r="CP1221" s="5" t="s">
        <v>268</v>
      </c>
      <c r="CQ1221" s="4" t="s">
        <v>269</v>
      </c>
      <c r="CR1221" s="4" t="s">
        <v>270</v>
      </c>
      <c r="CS1221" s="4" t="s">
        <v>293</v>
      </c>
      <c r="CT1221" s="4" t="s">
        <v>241</v>
      </c>
      <c r="CU1221" s="4">
        <v>5.6000000000000001E-2</v>
      </c>
      <c r="CV1221" s="4" t="s">
        <v>271</v>
      </c>
      <c r="CW1221" s="4" t="s">
        <v>415</v>
      </c>
      <c r="CX1221" s="4" t="s">
        <v>2517</v>
      </c>
      <c r="CY1221" s="6">
        <f>0</f>
        <v>0</v>
      </c>
      <c r="CZ1221" s="6">
        <f>3135000</f>
        <v>3135000</v>
      </c>
      <c r="DA1221" s="6">
        <f>1</f>
        <v>1</v>
      </c>
      <c r="DC1221" s="4" t="s">
        <v>241</v>
      </c>
      <c r="DD1221" s="4" t="s">
        <v>241</v>
      </c>
      <c r="DF1221" s="4" t="s">
        <v>241</v>
      </c>
      <c r="DG1221" s="6">
        <f>0</f>
        <v>0</v>
      </c>
      <c r="DI1221" s="4" t="s">
        <v>241</v>
      </c>
      <c r="DJ1221" s="4" t="s">
        <v>241</v>
      </c>
      <c r="DK1221" s="4" t="s">
        <v>241</v>
      </c>
      <c r="DL1221" s="4" t="s">
        <v>241</v>
      </c>
      <c r="DM1221" s="4" t="s">
        <v>278</v>
      </c>
      <c r="DN1221" s="4" t="s">
        <v>278</v>
      </c>
      <c r="DO1221" s="6" t="s">
        <v>241</v>
      </c>
      <c r="DP1221" s="4" t="s">
        <v>241</v>
      </c>
      <c r="DQ1221" s="4" t="s">
        <v>241</v>
      </c>
      <c r="DR1221" s="4" t="s">
        <v>241</v>
      </c>
      <c r="DS1221" s="4" t="s">
        <v>241</v>
      </c>
      <c r="DV1221" s="4" t="s">
        <v>1299</v>
      </c>
      <c r="DW1221" s="4" t="s">
        <v>353</v>
      </c>
      <c r="GN1221" s="4" t="s">
        <v>2630</v>
      </c>
      <c r="HO1221" s="4" t="s">
        <v>323</v>
      </c>
      <c r="HR1221" s="4" t="s">
        <v>278</v>
      </c>
      <c r="HS1221" s="4" t="s">
        <v>278</v>
      </c>
      <c r="HT1221" s="4" t="s">
        <v>241</v>
      </c>
      <c r="HU1221" s="4" t="s">
        <v>241</v>
      </c>
      <c r="HV1221" s="4" t="s">
        <v>241</v>
      </c>
      <c r="HW1221" s="4" t="s">
        <v>241</v>
      </c>
      <c r="HX1221" s="4" t="s">
        <v>241</v>
      </c>
      <c r="HY1221" s="4" t="s">
        <v>241</v>
      </c>
      <c r="HZ1221" s="4" t="s">
        <v>241</v>
      </c>
      <c r="IA1221" s="4" t="s">
        <v>241</v>
      </c>
      <c r="IB1221" s="4" t="s">
        <v>241</v>
      </c>
      <c r="IC1221" s="4" t="s">
        <v>241</v>
      </c>
      <c r="ID1221" s="4" t="s">
        <v>241</v>
      </c>
      <c r="IE1221" s="4" t="s">
        <v>241</v>
      </c>
      <c r="IF1221" s="4" t="s">
        <v>241</v>
      </c>
    </row>
    <row r="1222" spans="1:240" x14ac:dyDescent="0.4">
      <c r="A1222" s="4">
        <v>2</v>
      </c>
      <c r="B1222" s="4" t="s">
        <v>239</v>
      </c>
      <c r="C1222" s="4">
        <v>1526</v>
      </c>
      <c r="D1222" s="4">
        <v>1</v>
      </c>
      <c r="E1222" s="4">
        <v>3</v>
      </c>
      <c r="F1222" s="4" t="s">
        <v>240</v>
      </c>
      <c r="G1222" s="4" t="s">
        <v>241</v>
      </c>
      <c r="H1222" s="4" t="s">
        <v>241</v>
      </c>
      <c r="I1222" s="4" t="s">
        <v>1523</v>
      </c>
      <c r="J1222" s="4" t="s">
        <v>424</v>
      </c>
      <c r="K1222" s="4" t="s">
        <v>256</v>
      </c>
      <c r="L1222" s="4" t="s">
        <v>1522</v>
      </c>
      <c r="M1222" s="5" t="s">
        <v>1524</v>
      </c>
      <c r="N1222" s="4" t="s">
        <v>1522</v>
      </c>
      <c r="O1222" s="6">
        <f>599.1</f>
        <v>599.1</v>
      </c>
      <c r="P1222" s="4" t="s">
        <v>276</v>
      </c>
      <c r="Q1222" s="6">
        <f>102278352</f>
        <v>102278352</v>
      </c>
      <c r="R1222" s="6">
        <f>232450800</f>
        <v>232450800</v>
      </c>
      <c r="S1222" s="5" t="s">
        <v>452</v>
      </c>
      <c r="T1222" s="4" t="s">
        <v>296</v>
      </c>
      <c r="U1222" s="4" t="s">
        <v>358</v>
      </c>
      <c r="V1222" s="6">
        <f>4649016</f>
        <v>4649016</v>
      </c>
      <c r="W1222" s="6">
        <f>130172448</f>
        <v>130172448</v>
      </c>
      <c r="X1222" s="4" t="s">
        <v>243</v>
      </c>
      <c r="Y1222" s="4" t="s">
        <v>244</v>
      </c>
      <c r="Z1222" s="4" t="s">
        <v>465</v>
      </c>
      <c r="AA1222" s="4" t="s">
        <v>241</v>
      </c>
      <c r="AD1222" s="4" t="s">
        <v>241</v>
      </c>
      <c r="AE1222" s="5" t="s">
        <v>241</v>
      </c>
      <c r="AF1222" s="5" t="s">
        <v>241</v>
      </c>
      <c r="AH1222" s="5" t="s">
        <v>241</v>
      </c>
      <c r="AI1222" s="5" t="s">
        <v>249</v>
      </c>
      <c r="AJ1222" s="4" t="s">
        <v>251</v>
      </c>
      <c r="AK1222" s="4" t="s">
        <v>252</v>
      </c>
      <c r="AQ1222" s="4" t="s">
        <v>241</v>
      </c>
      <c r="AR1222" s="4" t="s">
        <v>241</v>
      </c>
      <c r="AS1222" s="4" t="s">
        <v>241</v>
      </c>
      <c r="AT1222" s="5" t="s">
        <v>241</v>
      </c>
      <c r="AU1222" s="5" t="s">
        <v>241</v>
      </c>
      <c r="AV1222" s="5" t="s">
        <v>241</v>
      </c>
      <c r="AY1222" s="4" t="s">
        <v>286</v>
      </c>
      <c r="AZ1222" s="4" t="s">
        <v>286</v>
      </c>
      <c r="BA1222" s="4" t="s">
        <v>254</v>
      </c>
      <c r="BB1222" s="4" t="s">
        <v>287</v>
      </c>
      <c r="BC1222" s="4" t="s">
        <v>255</v>
      </c>
      <c r="BD1222" s="4" t="s">
        <v>241</v>
      </c>
      <c r="BE1222" s="4" t="s">
        <v>257</v>
      </c>
      <c r="BF1222" s="4" t="s">
        <v>241</v>
      </c>
      <c r="BH1222" s="4" t="s">
        <v>500</v>
      </c>
      <c r="BJ1222" s="4" t="s">
        <v>288</v>
      </c>
      <c r="BK1222" s="5" t="s">
        <v>289</v>
      </c>
      <c r="BL1222" s="4" t="s">
        <v>290</v>
      </c>
      <c r="BM1222" s="4" t="s">
        <v>290</v>
      </c>
      <c r="BN1222" s="4" t="s">
        <v>241</v>
      </c>
      <c r="BO1222" s="6">
        <f>0</f>
        <v>0</v>
      </c>
      <c r="BP1222" s="6">
        <f>-4649016</f>
        <v>-4649016</v>
      </c>
      <c r="BQ1222" s="4" t="s">
        <v>263</v>
      </c>
      <c r="BR1222" s="4" t="s">
        <v>264</v>
      </c>
      <c r="BS1222" s="4" t="s">
        <v>241</v>
      </c>
      <c r="BT1222" s="4" t="s">
        <v>241</v>
      </c>
      <c r="BU1222" s="4" t="s">
        <v>241</v>
      </c>
      <c r="BV1222" s="4" t="s">
        <v>241</v>
      </c>
      <c r="CE1222" s="4" t="s">
        <v>264</v>
      </c>
      <c r="CF1222" s="4" t="s">
        <v>241</v>
      </c>
      <c r="CG1222" s="4" t="s">
        <v>241</v>
      </c>
      <c r="CK1222" s="4" t="s">
        <v>291</v>
      </c>
      <c r="CL1222" s="4" t="s">
        <v>266</v>
      </c>
      <c r="CM1222" s="4" t="s">
        <v>241</v>
      </c>
      <c r="CO1222" s="4" t="s">
        <v>355</v>
      </c>
      <c r="CP1222" s="5" t="s">
        <v>268</v>
      </c>
      <c r="CQ1222" s="4" t="s">
        <v>269</v>
      </c>
      <c r="CR1222" s="4" t="s">
        <v>270</v>
      </c>
      <c r="CS1222" s="4" t="s">
        <v>293</v>
      </c>
      <c r="CT1222" s="4" t="s">
        <v>241</v>
      </c>
      <c r="CU1222" s="4">
        <v>0.02</v>
      </c>
      <c r="CV1222" s="4" t="s">
        <v>271</v>
      </c>
      <c r="CW1222" s="4" t="s">
        <v>1329</v>
      </c>
      <c r="CX1222" s="4" t="s">
        <v>295</v>
      </c>
      <c r="CY1222" s="6">
        <f>0</f>
        <v>0</v>
      </c>
      <c r="CZ1222" s="6">
        <f>232450800</f>
        <v>232450800</v>
      </c>
      <c r="DA1222" s="6">
        <f>102278352</f>
        <v>102278352</v>
      </c>
      <c r="DC1222" s="4" t="s">
        <v>241</v>
      </c>
      <c r="DD1222" s="4" t="s">
        <v>241</v>
      </c>
      <c r="DF1222" s="4" t="s">
        <v>241</v>
      </c>
      <c r="DG1222" s="6">
        <f>0</f>
        <v>0</v>
      </c>
      <c r="DI1222" s="4" t="s">
        <v>241</v>
      </c>
      <c r="DJ1222" s="4" t="s">
        <v>241</v>
      </c>
      <c r="DK1222" s="4" t="s">
        <v>241</v>
      </c>
      <c r="DL1222" s="4" t="s">
        <v>241</v>
      </c>
      <c r="DM1222" s="4" t="s">
        <v>323</v>
      </c>
      <c r="DN1222" s="4" t="s">
        <v>278</v>
      </c>
      <c r="DO1222" s="6">
        <f>599.1</f>
        <v>599.1</v>
      </c>
      <c r="DP1222" s="4" t="s">
        <v>241</v>
      </c>
      <c r="DQ1222" s="4" t="s">
        <v>241</v>
      </c>
      <c r="DR1222" s="4" t="s">
        <v>241</v>
      </c>
      <c r="DS1222" s="4" t="s">
        <v>241</v>
      </c>
      <c r="DV1222" s="4" t="s">
        <v>1525</v>
      </c>
      <c r="DW1222" s="4" t="s">
        <v>277</v>
      </c>
      <c r="GN1222" s="4" t="s">
        <v>1526</v>
      </c>
      <c r="HO1222" s="4" t="s">
        <v>341</v>
      </c>
      <c r="HR1222" s="4" t="s">
        <v>278</v>
      </c>
      <c r="HS1222" s="4" t="s">
        <v>278</v>
      </c>
      <c r="HT1222" s="4" t="s">
        <v>241</v>
      </c>
      <c r="HU1222" s="4" t="s">
        <v>241</v>
      </c>
      <c r="HV1222" s="4" t="s">
        <v>241</v>
      </c>
      <c r="HW1222" s="4" t="s">
        <v>241</v>
      </c>
      <c r="HX1222" s="4" t="s">
        <v>241</v>
      </c>
      <c r="HY1222" s="4" t="s">
        <v>241</v>
      </c>
      <c r="HZ1222" s="4" t="s">
        <v>241</v>
      </c>
      <c r="IA1222" s="4" t="s">
        <v>241</v>
      </c>
      <c r="IB1222" s="4" t="s">
        <v>241</v>
      </c>
      <c r="IC1222" s="4" t="s">
        <v>241</v>
      </c>
      <c r="ID1222" s="4" t="s">
        <v>241</v>
      </c>
      <c r="IE1222" s="4" t="s">
        <v>241</v>
      </c>
      <c r="IF1222" s="4" t="s">
        <v>241</v>
      </c>
    </row>
    <row r="1223" spans="1:240" x14ac:dyDescent="0.4">
      <c r="A1223" s="4">
        <v>2</v>
      </c>
      <c r="B1223" s="4" t="s">
        <v>239</v>
      </c>
      <c r="C1223" s="4">
        <v>1529</v>
      </c>
      <c r="D1223" s="4">
        <v>1</v>
      </c>
      <c r="E1223" s="4">
        <v>1</v>
      </c>
      <c r="F1223" s="4" t="s">
        <v>240</v>
      </c>
      <c r="G1223" s="4" t="s">
        <v>241</v>
      </c>
      <c r="H1223" s="4" t="s">
        <v>241</v>
      </c>
      <c r="I1223" s="4" t="s">
        <v>1838</v>
      </c>
      <c r="J1223" s="4" t="s">
        <v>653</v>
      </c>
      <c r="K1223" s="4" t="s">
        <v>256</v>
      </c>
      <c r="L1223" s="4" t="s">
        <v>1837</v>
      </c>
      <c r="M1223" s="5" t="s">
        <v>878</v>
      </c>
      <c r="N1223" s="4" t="s">
        <v>1837</v>
      </c>
      <c r="O1223" s="6">
        <f>237.35</f>
        <v>237.35</v>
      </c>
      <c r="P1223" s="4" t="s">
        <v>276</v>
      </c>
      <c r="Q1223" s="6">
        <f>1</f>
        <v>1</v>
      </c>
      <c r="R1223" s="6">
        <f>45096500</f>
        <v>45096500</v>
      </c>
      <c r="S1223" s="5" t="s">
        <v>1839</v>
      </c>
      <c r="T1223" s="4" t="s">
        <v>441</v>
      </c>
      <c r="U1223" s="4" t="s">
        <v>441</v>
      </c>
      <c r="W1223" s="6">
        <f>45096499</f>
        <v>45096499</v>
      </c>
      <c r="X1223" s="4" t="s">
        <v>243</v>
      </c>
      <c r="Y1223" s="4" t="s">
        <v>244</v>
      </c>
      <c r="Z1223" s="4" t="s">
        <v>465</v>
      </c>
      <c r="AA1223" s="4" t="s">
        <v>241</v>
      </c>
      <c r="AD1223" s="4" t="s">
        <v>241</v>
      </c>
      <c r="AF1223" s="5" t="s">
        <v>241</v>
      </c>
      <c r="AI1223" s="5" t="s">
        <v>249</v>
      </c>
      <c r="AJ1223" s="4" t="s">
        <v>251</v>
      </c>
      <c r="AK1223" s="4" t="s">
        <v>252</v>
      </c>
      <c r="BA1223" s="4" t="s">
        <v>254</v>
      </c>
      <c r="BB1223" s="4" t="s">
        <v>241</v>
      </c>
      <c r="BC1223" s="4" t="s">
        <v>255</v>
      </c>
      <c r="BD1223" s="4" t="s">
        <v>241</v>
      </c>
      <c r="BE1223" s="4" t="s">
        <v>257</v>
      </c>
      <c r="BF1223" s="4" t="s">
        <v>241</v>
      </c>
      <c r="BH1223" s="4" t="s">
        <v>500</v>
      </c>
      <c r="BJ1223" s="4" t="s">
        <v>367</v>
      </c>
      <c r="BK1223" s="5" t="s">
        <v>249</v>
      </c>
      <c r="BL1223" s="4" t="s">
        <v>261</v>
      </c>
      <c r="BM1223" s="4" t="s">
        <v>290</v>
      </c>
      <c r="BN1223" s="4" t="s">
        <v>241</v>
      </c>
      <c r="BO1223" s="6">
        <f>0</f>
        <v>0</v>
      </c>
      <c r="BP1223" s="6">
        <f>0</f>
        <v>0</v>
      </c>
      <c r="BQ1223" s="4" t="s">
        <v>263</v>
      </c>
      <c r="BR1223" s="4" t="s">
        <v>264</v>
      </c>
      <c r="CF1223" s="4" t="s">
        <v>241</v>
      </c>
      <c r="CG1223" s="4" t="s">
        <v>241</v>
      </c>
      <c r="CK1223" s="4" t="s">
        <v>291</v>
      </c>
      <c r="CL1223" s="4" t="s">
        <v>266</v>
      </c>
      <c r="CM1223" s="4" t="s">
        <v>241</v>
      </c>
      <c r="CO1223" s="4" t="s">
        <v>398</v>
      </c>
      <c r="CP1223" s="5" t="s">
        <v>268</v>
      </c>
      <c r="CQ1223" s="4" t="s">
        <v>269</v>
      </c>
      <c r="CR1223" s="4" t="s">
        <v>270</v>
      </c>
      <c r="CS1223" s="4" t="s">
        <v>241</v>
      </c>
      <c r="CT1223" s="4" t="s">
        <v>241</v>
      </c>
      <c r="CU1223" s="4">
        <v>0</v>
      </c>
      <c r="CV1223" s="4" t="s">
        <v>271</v>
      </c>
      <c r="CW1223" s="4" t="s">
        <v>1830</v>
      </c>
      <c r="CX1223" s="4" t="s">
        <v>487</v>
      </c>
      <c r="CZ1223" s="6">
        <f>45096500</f>
        <v>45096500</v>
      </c>
      <c r="DA1223" s="6">
        <f>0</f>
        <v>0</v>
      </c>
      <c r="DC1223" s="4" t="s">
        <v>241</v>
      </c>
      <c r="DD1223" s="4" t="s">
        <v>241</v>
      </c>
      <c r="DF1223" s="4" t="s">
        <v>241</v>
      </c>
      <c r="DI1223" s="4" t="s">
        <v>241</v>
      </c>
      <c r="DJ1223" s="4" t="s">
        <v>241</v>
      </c>
      <c r="DK1223" s="4" t="s">
        <v>241</v>
      </c>
      <c r="DL1223" s="4" t="s">
        <v>241</v>
      </c>
      <c r="DM1223" s="4" t="s">
        <v>277</v>
      </c>
      <c r="DN1223" s="4" t="s">
        <v>278</v>
      </c>
      <c r="DO1223" s="6">
        <f>237.35</f>
        <v>237.35</v>
      </c>
      <c r="DP1223" s="4" t="s">
        <v>241</v>
      </c>
      <c r="DQ1223" s="4" t="s">
        <v>241</v>
      </c>
      <c r="DR1223" s="4" t="s">
        <v>241</v>
      </c>
      <c r="DS1223" s="4" t="s">
        <v>241</v>
      </c>
      <c r="DV1223" s="4" t="s">
        <v>1840</v>
      </c>
      <c r="DW1223" s="4" t="s">
        <v>277</v>
      </c>
      <c r="HO1223" s="4" t="s">
        <v>297</v>
      </c>
      <c r="HR1223" s="4" t="s">
        <v>278</v>
      </c>
      <c r="HS1223" s="4" t="s">
        <v>278</v>
      </c>
    </row>
    <row r="1224" spans="1:240" x14ac:dyDescent="0.4">
      <c r="A1224" s="4">
        <v>2</v>
      </c>
      <c r="B1224" s="4" t="s">
        <v>239</v>
      </c>
      <c r="C1224" s="4">
        <v>1530</v>
      </c>
      <c r="D1224" s="4">
        <v>1</v>
      </c>
      <c r="E1224" s="4">
        <v>3</v>
      </c>
      <c r="F1224" s="4" t="s">
        <v>240</v>
      </c>
      <c r="I1224" s="4" t="s">
        <v>241</v>
      </c>
      <c r="J1224" s="4" t="s">
        <v>1416</v>
      </c>
      <c r="K1224" s="4" t="s">
        <v>256</v>
      </c>
      <c r="L1224" s="4" t="s">
        <v>4078</v>
      </c>
      <c r="M1224" s="5" t="s">
        <v>4080</v>
      </c>
      <c r="N1224" s="4" t="s">
        <v>4078</v>
      </c>
      <c r="O1224" s="6">
        <f>897.12</f>
        <v>897.12</v>
      </c>
      <c r="P1224" s="4" t="s">
        <v>276</v>
      </c>
      <c r="Q1224" s="6">
        <f>39033720</f>
        <v>39033720</v>
      </c>
      <c r="R1224" s="6">
        <f>205440480</f>
        <v>205440480</v>
      </c>
      <c r="S1224" s="5" t="s">
        <v>4079</v>
      </c>
      <c r="T1224" s="4" t="s">
        <v>333</v>
      </c>
      <c r="U1224" s="4" t="s">
        <v>399</v>
      </c>
      <c r="V1224" s="6">
        <f>5546892</f>
        <v>5546892</v>
      </c>
      <c r="W1224" s="6">
        <f>166406760</f>
        <v>166406760</v>
      </c>
      <c r="X1224" s="4" t="s">
        <v>243</v>
      </c>
      <c r="Y1224" s="4" t="s">
        <v>244</v>
      </c>
      <c r="Z1224" s="4" t="s">
        <v>465</v>
      </c>
      <c r="AA1224" s="4" t="s">
        <v>241</v>
      </c>
      <c r="AD1224" s="4" t="s">
        <v>241</v>
      </c>
      <c r="AE1224" s="5" t="s">
        <v>241</v>
      </c>
      <c r="AF1224" s="5" t="s">
        <v>241</v>
      </c>
      <c r="AG1224" s="4" t="s">
        <v>241</v>
      </c>
      <c r="AH1224" s="5" t="s">
        <v>241</v>
      </c>
      <c r="AI1224" s="5" t="s">
        <v>249</v>
      </c>
      <c r="AJ1224" s="4" t="s">
        <v>251</v>
      </c>
      <c r="AK1224" s="4" t="s">
        <v>252</v>
      </c>
      <c r="AQ1224" s="4" t="s">
        <v>241</v>
      </c>
      <c r="AR1224" s="4" t="s">
        <v>241</v>
      </c>
      <c r="AS1224" s="4" t="s">
        <v>241</v>
      </c>
      <c r="AT1224" s="5" t="s">
        <v>241</v>
      </c>
      <c r="AU1224" s="5" t="s">
        <v>241</v>
      </c>
      <c r="AV1224" s="5" t="s">
        <v>241</v>
      </c>
      <c r="AY1224" s="4" t="s">
        <v>286</v>
      </c>
      <c r="AZ1224" s="4" t="s">
        <v>286</v>
      </c>
      <c r="BA1224" s="4" t="s">
        <v>254</v>
      </c>
      <c r="BB1224" s="4" t="s">
        <v>287</v>
      </c>
      <c r="BC1224" s="4" t="s">
        <v>255</v>
      </c>
      <c r="BD1224" s="4" t="s">
        <v>241</v>
      </c>
      <c r="BE1224" s="4" t="s">
        <v>257</v>
      </c>
      <c r="BF1224" s="4" t="s">
        <v>3926</v>
      </c>
      <c r="BJ1224" s="4" t="s">
        <v>288</v>
      </c>
      <c r="BK1224" s="5" t="s">
        <v>289</v>
      </c>
      <c r="BL1224" s="4" t="s">
        <v>290</v>
      </c>
      <c r="BM1224" s="4" t="s">
        <v>290</v>
      </c>
      <c r="BN1224" s="4" t="s">
        <v>241</v>
      </c>
      <c r="BO1224" s="6">
        <f>0</f>
        <v>0</v>
      </c>
      <c r="BP1224" s="6">
        <f>-5546892</f>
        <v>-5546892</v>
      </c>
      <c r="BQ1224" s="4" t="s">
        <v>263</v>
      </c>
      <c r="BR1224" s="4" t="s">
        <v>264</v>
      </c>
      <c r="BS1224" s="4" t="s">
        <v>241</v>
      </c>
      <c r="BT1224" s="4" t="s">
        <v>241</v>
      </c>
      <c r="BU1224" s="4" t="s">
        <v>241</v>
      </c>
      <c r="BV1224" s="4" t="s">
        <v>241</v>
      </c>
      <c r="CA1224" s="5" t="s">
        <v>4081</v>
      </c>
      <c r="CB1224" s="4" t="s">
        <v>263</v>
      </c>
      <c r="CC1224" s="4" t="s">
        <v>241</v>
      </c>
      <c r="CD1224" s="4" t="s">
        <v>241</v>
      </c>
      <c r="CE1224" s="4" t="s">
        <v>264</v>
      </c>
      <c r="CF1224" s="4" t="s">
        <v>241</v>
      </c>
      <c r="CG1224" s="4" t="s">
        <v>241</v>
      </c>
      <c r="CK1224" s="4" t="s">
        <v>291</v>
      </c>
      <c r="CL1224" s="4" t="s">
        <v>266</v>
      </c>
      <c r="CM1224" s="4" t="s">
        <v>278</v>
      </c>
      <c r="CO1224" s="4" t="s">
        <v>439</v>
      </c>
      <c r="CP1224" s="5" t="s">
        <v>268</v>
      </c>
      <c r="CQ1224" s="4" t="s">
        <v>269</v>
      </c>
      <c r="CR1224" s="4" t="s">
        <v>270</v>
      </c>
      <c r="CS1224" s="4" t="s">
        <v>293</v>
      </c>
      <c r="CT1224" s="4" t="s">
        <v>241</v>
      </c>
      <c r="CU1224" s="4">
        <v>2.7E-2</v>
      </c>
      <c r="CV1224" s="4" t="s">
        <v>271</v>
      </c>
      <c r="CW1224" s="4" t="s">
        <v>1329</v>
      </c>
      <c r="CX1224" s="4" t="s">
        <v>487</v>
      </c>
      <c r="CY1224" s="6">
        <f>0</f>
        <v>0</v>
      </c>
      <c r="CZ1224" s="6">
        <f>205440480</f>
        <v>205440480</v>
      </c>
      <c r="DA1224" s="6">
        <f>44580612</f>
        <v>44580612</v>
      </c>
      <c r="DB1224" s="6" t="s">
        <v>241</v>
      </c>
      <c r="DC1224" s="4" t="s">
        <v>241</v>
      </c>
      <c r="DD1224" s="4" t="s">
        <v>241</v>
      </c>
      <c r="DF1224" s="4" t="s">
        <v>241</v>
      </c>
      <c r="DG1224" s="6">
        <f>0</f>
        <v>0</v>
      </c>
      <c r="DH1224" s="5" t="s">
        <v>241</v>
      </c>
      <c r="DI1224" s="4" t="s">
        <v>241</v>
      </c>
      <c r="DJ1224" s="4" t="s">
        <v>241</v>
      </c>
      <c r="DK1224" s="4" t="s">
        <v>241</v>
      </c>
      <c r="DL1224" s="4" t="s">
        <v>241</v>
      </c>
      <c r="DM1224" s="4" t="s">
        <v>277</v>
      </c>
      <c r="DN1224" s="4" t="s">
        <v>278</v>
      </c>
      <c r="DO1224" s="6">
        <f>897.12</f>
        <v>897.12</v>
      </c>
      <c r="DP1224" s="4" t="s">
        <v>241</v>
      </c>
      <c r="DQ1224" s="4" t="s">
        <v>251</v>
      </c>
      <c r="DR1224" s="4" t="s">
        <v>3926</v>
      </c>
      <c r="DS1224" s="4" t="s">
        <v>3926</v>
      </c>
      <c r="DT1224" s="4" t="s">
        <v>241</v>
      </c>
      <c r="DU1224" s="4" t="s">
        <v>241</v>
      </c>
      <c r="DV1224" s="4" t="s">
        <v>4082</v>
      </c>
      <c r="DW1224" s="4" t="s">
        <v>277</v>
      </c>
      <c r="GN1224" s="4" t="s">
        <v>4083</v>
      </c>
      <c r="HR1224" s="4" t="s">
        <v>278</v>
      </c>
      <c r="HS1224" s="4" t="s">
        <v>278</v>
      </c>
      <c r="HT1224" s="4" t="s">
        <v>241</v>
      </c>
      <c r="HU1224" s="4" t="s">
        <v>241</v>
      </c>
      <c r="HV1224" s="4" t="s">
        <v>241</v>
      </c>
      <c r="HW1224" s="4" t="s">
        <v>241</v>
      </c>
      <c r="HX1224" s="4" t="s">
        <v>241</v>
      </c>
      <c r="HY1224" s="4" t="s">
        <v>241</v>
      </c>
      <c r="HZ1224" s="4" t="s">
        <v>241</v>
      </c>
      <c r="IA1224" s="4" t="s">
        <v>241</v>
      </c>
      <c r="IB1224" s="4" t="s">
        <v>241</v>
      </c>
      <c r="IC1224" s="4" t="s">
        <v>241</v>
      </c>
      <c r="ID1224" s="4" t="s">
        <v>241</v>
      </c>
      <c r="IE1224" s="4" t="s">
        <v>241</v>
      </c>
      <c r="IF1224" s="4" t="s">
        <v>241</v>
      </c>
    </row>
    <row r="1225" spans="1:240" x14ac:dyDescent="0.4">
      <c r="A1225" s="4">
        <v>2</v>
      </c>
      <c r="B1225" s="4" t="s">
        <v>239</v>
      </c>
      <c r="C1225" s="4">
        <v>1533</v>
      </c>
      <c r="D1225" s="4">
        <v>1</v>
      </c>
      <c r="E1225" s="4">
        <v>1</v>
      </c>
      <c r="F1225" s="4" t="s">
        <v>240</v>
      </c>
      <c r="G1225" s="4" t="s">
        <v>241</v>
      </c>
      <c r="H1225" s="4" t="s">
        <v>241</v>
      </c>
      <c r="I1225" s="4" t="s">
        <v>1870</v>
      </c>
      <c r="J1225" s="4" t="s">
        <v>875</v>
      </c>
      <c r="K1225" s="4" t="s">
        <v>256</v>
      </c>
      <c r="L1225" s="4" t="s">
        <v>1872</v>
      </c>
      <c r="M1225" s="5" t="s">
        <v>1873</v>
      </c>
      <c r="N1225" s="4" t="s">
        <v>1869</v>
      </c>
      <c r="O1225" s="6">
        <f>82.8</f>
        <v>82.8</v>
      </c>
      <c r="P1225" s="4" t="s">
        <v>276</v>
      </c>
      <c r="Q1225" s="6">
        <f>1</f>
        <v>1</v>
      </c>
      <c r="R1225" s="6">
        <f>4968000</f>
        <v>4968000</v>
      </c>
      <c r="S1225" s="5" t="s">
        <v>1871</v>
      </c>
      <c r="T1225" s="4" t="s">
        <v>348</v>
      </c>
      <c r="U1225" s="4" t="s">
        <v>668</v>
      </c>
      <c r="W1225" s="6">
        <f>4967999</f>
        <v>4967999</v>
      </c>
      <c r="X1225" s="4" t="s">
        <v>243</v>
      </c>
      <c r="Y1225" s="4" t="s">
        <v>244</v>
      </c>
      <c r="Z1225" s="4" t="s">
        <v>874</v>
      </c>
      <c r="AA1225" s="4" t="s">
        <v>241</v>
      </c>
      <c r="AD1225" s="4" t="s">
        <v>241</v>
      </c>
      <c r="AF1225" s="5" t="s">
        <v>241</v>
      </c>
      <c r="AI1225" s="5" t="s">
        <v>249</v>
      </c>
      <c r="AJ1225" s="4" t="s">
        <v>251</v>
      </c>
      <c r="AK1225" s="4" t="s">
        <v>252</v>
      </c>
      <c r="BA1225" s="4" t="s">
        <v>254</v>
      </c>
      <c r="BB1225" s="4" t="s">
        <v>241</v>
      </c>
      <c r="BC1225" s="4" t="s">
        <v>255</v>
      </c>
      <c r="BD1225" s="4" t="s">
        <v>241</v>
      </c>
      <c r="BE1225" s="4" t="s">
        <v>257</v>
      </c>
      <c r="BF1225" s="4" t="s">
        <v>241</v>
      </c>
      <c r="BJ1225" s="4" t="s">
        <v>367</v>
      </c>
      <c r="BK1225" s="5" t="s">
        <v>249</v>
      </c>
      <c r="BL1225" s="4" t="s">
        <v>261</v>
      </c>
      <c r="BM1225" s="4" t="s">
        <v>262</v>
      </c>
      <c r="BN1225" s="4" t="s">
        <v>241</v>
      </c>
      <c r="BO1225" s="6">
        <f>0</f>
        <v>0</v>
      </c>
      <c r="BP1225" s="6">
        <f>0</f>
        <v>0</v>
      </c>
      <c r="BQ1225" s="4" t="s">
        <v>263</v>
      </c>
      <c r="BR1225" s="4" t="s">
        <v>264</v>
      </c>
      <c r="CF1225" s="4" t="s">
        <v>241</v>
      </c>
      <c r="CG1225" s="4" t="s">
        <v>241</v>
      </c>
      <c r="CK1225" s="4" t="s">
        <v>265</v>
      </c>
      <c r="CL1225" s="4" t="s">
        <v>266</v>
      </c>
      <c r="CM1225" s="4" t="s">
        <v>241</v>
      </c>
      <c r="CO1225" s="4" t="s">
        <v>1021</v>
      </c>
      <c r="CP1225" s="5" t="s">
        <v>268</v>
      </c>
      <c r="CQ1225" s="4" t="s">
        <v>269</v>
      </c>
      <c r="CR1225" s="4" t="s">
        <v>270</v>
      </c>
      <c r="CS1225" s="4" t="s">
        <v>241</v>
      </c>
      <c r="CT1225" s="4" t="s">
        <v>241</v>
      </c>
      <c r="CU1225" s="4">
        <v>0</v>
      </c>
      <c r="CV1225" s="4" t="s">
        <v>271</v>
      </c>
      <c r="CW1225" s="4" t="s">
        <v>1830</v>
      </c>
      <c r="CX1225" s="4" t="s">
        <v>347</v>
      </c>
      <c r="CZ1225" s="6">
        <f>4968000</f>
        <v>4968000</v>
      </c>
      <c r="DA1225" s="6">
        <f>0</f>
        <v>0</v>
      </c>
      <c r="DC1225" s="4" t="s">
        <v>241</v>
      </c>
      <c r="DD1225" s="4" t="s">
        <v>241</v>
      </c>
      <c r="DF1225" s="4" t="s">
        <v>241</v>
      </c>
      <c r="DI1225" s="4" t="s">
        <v>241</v>
      </c>
      <c r="DJ1225" s="4" t="s">
        <v>241</v>
      </c>
      <c r="DK1225" s="4" t="s">
        <v>241</v>
      </c>
      <c r="DL1225" s="4" t="s">
        <v>241</v>
      </c>
      <c r="DM1225" s="4" t="s">
        <v>277</v>
      </c>
      <c r="DN1225" s="4" t="s">
        <v>278</v>
      </c>
      <c r="DO1225" s="6">
        <f>82.8</f>
        <v>82.8</v>
      </c>
      <c r="DP1225" s="4" t="s">
        <v>241</v>
      </c>
      <c r="DQ1225" s="4" t="s">
        <v>241</v>
      </c>
      <c r="DR1225" s="4" t="s">
        <v>241</v>
      </c>
      <c r="DS1225" s="4" t="s">
        <v>241</v>
      </c>
      <c r="DV1225" s="4" t="s">
        <v>1874</v>
      </c>
      <c r="DW1225" s="4" t="s">
        <v>277</v>
      </c>
      <c r="HO1225" s="4" t="s">
        <v>277</v>
      </c>
      <c r="HR1225" s="4" t="s">
        <v>278</v>
      </c>
      <c r="HS1225" s="4" t="s">
        <v>278</v>
      </c>
    </row>
    <row r="1226" spans="1:240" x14ac:dyDescent="0.4">
      <c r="A1226" s="4">
        <v>2</v>
      </c>
      <c r="B1226" s="4" t="s">
        <v>239</v>
      </c>
      <c r="C1226" s="4">
        <v>1534</v>
      </c>
      <c r="D1226" s="4">
        <v>1</v>
      </c>
      <c r="E1226" s="4">
        <v>1</v>
      </c>
      <c r="F1226" s="4" t="s">
        <v>240</v>
      </c>
      <c r="G1226" s="4" t="s">
        <v>241</v>
      </c>
      <c r="H1226" s="4" t="s">
        <v>241</v>
      </c>
      <c r="I1226" s="4" t="s">
        <v>1881</v>
      </c>
      <c r="J1226" s="4" t="s">
        <v>875</v>
      </c>
      <c r="K1226" s="4" t="s">
        <v>256</v>
      </c>
      <c r="L1226" s="4" t="s">
        <v>1882</v>
      </c>
      <c r="M1226" s="5" t="s">
        <v>1883</v>
      </c>
      <c r="N1226" s="4" t="s">
        <v>1872</v>
      </c>
      <c r="O1226" s="6">
        <f>97.72</f>
        <v>97.72</v>
      </c>
      <c r="P1226" s="4" t="s">
        <v>276</v>
      </c>
      <c r="Q1226" s="6">
        <f>1</f>
        <v>1</v>
      </c>
      <c r="R1226" s="6">
        <f>16514680</f>
        <v>16514680</v>
      </c>
      <c r="S1226" s="5" t="s">
        <v>439</v>
      </c>
      <c r="T1226" s="4" t="s">
        <v>348</v>
      </c>
      <c r="U1226" s="4" t="s">
        <v>453</v>
      </c>
      <c r="W1226" s="6">
        <f>16514679</f>
        <v>16514679</v>
      </c>
      <c r="X1226" s="4" t="s">
        <v>243</v>
      </c>
      <c r="Y1226" s="4" t="s">
        <v>244</v>
      </c>
      <c r="Z1226" s="4" t="s">
        <v>874</v>
      </c>
      <c r="AA1226" s="4" t="s">
        <v>241</v>
      </c>
      <c r="AD1226" s="4" t="s">
        <v>241</v>
      </c>
      <c r="AF1226" s="5" t="s">
        <v>241</v>
      </c>
      <c r="AI1226" s="5" t="s">
        <v>249</v>
      </c>
      <c r="AJ1226" s="4" t="s">
        <v>251</v>
      </c>
      <c r="AK1226" s="4" t="s">
        <v>252</v>
      </c>
      <c r="BA1226" s="4" t="s">
        <v>254</v>
      </c>
      <c r="BB1226" s="4" t="s">
        <v>241</v>
      </c>
      <c r="BC1226" s="4" t="s">
        <v>255</v>
      </c>
      <c r="BD1226" s="4" t="s">
        <v>241</v>
      </c>
      <c r="BE1226" s="4" t="s">
        <v>257</v>
      </c>
      <c r="BF1226" s="4" t="s">
        <v>241</v>
      </c>
      <c r="BJ1226" s="4" t="s">
        <v>367</v>
      </c>
      <c r="BK1226" s="5" t="s">
        <v>249</v>
      </c>
      <c r="BL1226" s="4" t="s">
        <v>261</v>
      </c>
      <c r="BM1226" s="4" t="s">
        <v>262</v>
      </c>
      <c r="BN1226" s="4" t="s">
        <v>241</v>
      </c>
      <c r="BO1226" s="6">
        <f>0</f>
        <v>0</v>
      </c>
      <c r="BP1226" s="6">
        <f>0</f>
        <v>0</v>
      </c>
      <c r="BQ1226" s="4" t="s">
        <v>263</v>
      </c>
      <c r="BR1226" s="4" t="s">
        <v>264</v>
      </c>
      <c r="CF1226" s="4" t="s">
        <v>241</v>
      </c>
      <c r="CG1226" s="4" t="s">
        <v>241</v>
      </c>
      <c r="CK1226" s="4" t="s">
        <v>291</v>
      </c>
      <c r="CL1226" s="4" t="s">
        <v>266</v>
      </c>
      <c r="CM1226" s="4" t="s">
        <v>241</v>
      </c>
      <c r="CO1226" s="4" t="s">
        <v>452</v>
      </c>
      <c r="CP1226" s="5" t="s">
        <v>268</v>
      </c>
      <c r="CQ1226" s="4" t="s">
        <v>269</v>
      </c>
      <c r="CR1226" s="4" t="s">
        <v>270</v>
      </c>
      <c r="CS1226" s="4" t="s">
        <v>241</v>
      </c>
      <c r="CT1226" s="4" t="s">
        <v>241</v>
      </c>
      <c r="CU1226" s="4">
        <v>0</v>
      </c>
      <c r="CV1226" s="4" t="s">
        <v>271</v>
      </c>
      <c r="CW1226" s="4" t="s">
        <v>1830</v>
      </c>
      <c r="CX1226" s="4" t="s">
        <v>347</v>
      </c>
      <c r="CZ1226" s="6">
        <f>16514680</f>
        <v>16514680</v>
      </c>
      <c r="DA1226" s="6">
        <f>0</f>
        <v>0</v>
      </c>
      <c r="DC1226" s="4" t="s">
        <v>241</v>
      </c>
      <c r="DD1226" s="4" t="s">
        <v>241</v>
      </c>
      <c r="DF1226" s="4" t="s">
        <v>241</v>
      </c>
      <c r="DI1226" s="4" t="s">
        <v>241</v>
      </c>
      <c r="DJ1226" s="4" t="s">
        <v>241</v>
      </c>
      <c r="DK1226" s="4" t="s">
        <v>241</v>
      </c>
      <c r="DL1226" s="4" t="s">
        <v>241</v>
      </c>
      <c r="DM1226" s="4" t="s">
        <v>277</v>
      </c>
      <c r="DN1226" s="4" t="s">
        <v>278</v>
      </c>
      <c r="DO1226" s="6">
        <f>97.72</f>
        <v>97.72</v>
      </c>
      <c r="DP1226" s="4" t="s">
        <v>241</v>
      </c>
      <c r="DQ1226" s="4" t="s">
        <v>241</v>
      </c>
      <c r="DR1226" s="4" t="s">
        <v>241</v>
      </c>
      <c r="DS1226" s="4" t="s">
        <v>241</v>
      </c>
      <c r="DV1226" s="4" t="s">
        <v>1884</v>
      </c>
      <c r="DW1226" s="4" t="s">
        <v>277</v>
      </c>
      <c r="HO1226" s="4" t="s">
        <v>277</v>
      </c>
      <c r="HR1226" s="4" t="s">
        <v>278</v>
      </c>
      <c r="HS1226" s="4" t="s">
        <v>278</v>
      </c>
    </row>
    <row r="1227" spans="1:240" x14ac:dyDescent="0.4">
      <c r="A1227" s="4">
        <v>2</v>
      </c>
      <c r="B1227" s="4" t="s">
        <v>239</v>
      </c>
      <c r="C1227" s="4">
        <v>1535</v>
      </c>
      <c r="D1227" s="4">
        <v>1</v>
      </c>
      <c r="E1227" s="4">
        <v>1</v>
      </c>
      <c r="F1227" s="4" t="s">
        <v>240</v>
      </c>
      <c r="G1227" s="4" t="s">
        <v>241</v>
      </c>
      <c r="H1227" s="4" t="s">
        <v>241</v>
      </c>
      <c r="I1227" s="4" t="s">
        <v>1887</v>
      </c>
      <c r="J1227" s="4" t="s">
        <v>875</v>
      </c>
      <c r="K1227" s="4" t="s">
        <v>256</v>
      </c>
      <c r="L1227" s="4" t="s">
        <v>1882</v>
      </c>
      <c r="M1227" s="5" t="s">
        <v>1888</v>
      </c>
      <c r="N1227" s="4" t="s">
        <v>1872</v>
      </c>
      <c r="O1227" s="6">
        <f>158.64</f>
        <v>158.63999999999999</v>
      </c>
      <c r="P1227" s="4" t="s">
        <v>276</v>
      </c>
      <c r="Q1227" s="6">
        <f>1</f>
        <v>1</v>
      </c>
      <c r="R1227" s="6">
        <f>26968800</f>
        <v>26968800</v>
      </c>
      <c r="S1227" s="5" t="s">
        <v>376</v>
      </c>
      <c r="T1227" s="4" t="s">
        <v>348</v>
      </c>
      <c r="U1227" s="4" t="s">
        <v>335</v>
      </c>
      <c r="W1227" s="6">
        <f>26968799</f>
        <v>26968799</v>
      </c>
      <c r="X1227" s="4" t="s">
        <v>243</v>
      </c>
      <c r="Y1227" s="4" t="s">
        <v>244</v>
      </c>
      <c r="Z1227" s="4" t="s">
        <v>874</v>
      </c>
      <c r="AA1227" s="4" t="s">
        <v>241</v>
      </c>
      <c r="AD1227" s="4" t="s">
        <v>241</v>
      </c>
      <c r="AF1227" s="5" t="s">
        <v>241</v>
      </c>
      <c r="AI1227" s="5" t="s">
        <v>249</v>
      </c>
      <c r="AJ1227" s="4" t="s">
        <v>251</v>
      </c>
      <c r="AK1227" s="4" t="s">
        <v>252</v>
      </c>
      <c r="BA1227" s="4" t="s">
        <v>254</v>
      </c>
      <c r="BB1227" s="4" t="s">
        <v>241</v>
      </c>
      <c r="BC1227" s="4" t="s">
        <v>255</v>
      </c>
      <c r="BD1227" s="4" t="s">
        <v>241</v>
      </c>
      <c r="BE1227" s="4" t="s">
        <v>257</v>
      </c>
      <c r="BF1227" s="4" t="s">
        <v>241</v>
      </c>
      <c r="BJ1227" s="4" t="s">
        <v>367</v>
      </c>
      <c r="BK1227" s="5" t="s">
        <v>249</v>
      </c>
      <c r="BL1227" s="4" t="s">
        <v>261</v>
      </c>
      <c r="BM1227" s="4" t="s">
        <v>262</v>
      </c>
      <c r="BN1227" s="4" t="s">
        <v>241</v>
      </c>
      <c r="BO1227" s="6">
        <f>0</f>
        <v>0</v>
      </c>
      <c r="BP1227" s="6">
        <f>0</f>
        <v>0</v>
      </c>
      <c r="BQ1227" s="4" t="s">
        <v>263</v>
      </c>
      <c r="BR1227" s="4" t="s">
        <v>264</v>
      </c>
      <c r="CF1227" s="4" t="s">
        <v>241</v>
      </c>
      <c r="CG1227" s="4" t="s">
        <v>241</v>
      </c>
      <c r="CK1227" s="4" t="s">
        <v>291</v>
      </c>
      <c r="CL1227" s="4" t="s">
        <v>266</v>
      </c>
      <c r="CM1227" s="4" t="s">
        <v>241</v>
      </c>
      <c r="CO1227" s="4" t="s">
        <v>387</v>
      </c>
      <c r="CP1227" s="5" t="s">
        <v>268</v>
      </c>
      <c r="CQ1227" s="4" t="s">
        <v>269</v>
      </c>
      <c r="CR1227" s="4" t="s">
        <v>270</v>
      </c>
      <c r="CS1227" s="4" t="s">
        <v>241</v>
      </c>
      <c r="CT1227" s="4" t="s">
        <v>241</v>
      </c>
      <c r="CU1227" s="4">
        <v>0</v>
      </c>
      <c r="CV1227" s="4" t="s">
        <v>271</v>
      </c>
      <c r="CW1227" s="4" t="s">
        <v>1830</v>
      </c>
      <c r="CX1227" s="4" t="s">
        <v>347</v>
      </c>
      <c r="CZ1227" s="6">
        <f>26968800</f>
        <v>26968800</v>
      </c>
      <c r="DA1227" s="6">
        <f>0</f>
        <v>0</v>
      </c>
      <c r="DC1227" s="4" t="s">
        <v>241</v>
      </c>
      <c r="DD1227" s="4" t="s">
        <v>241</v>
      </c>
      <c r="DF1227" s="4" t="s">
        <v>241</v>
      </c>
      <c r="DI1227" s="4" t="s">
        <v>241</v>
      </c>
      <c r="DJ1227" s="4" t="s">
        <v>241</v>
      </c>
      <c r="DK1227" s="4" t="s">
        <v>241</v>
      </c>
      <c r="DL1227" s="4" t="s">
        <v>241</v>
      </c>
      <c r="DM1227" s="4" t="s">
        <v>277</v>
      </c>
      <c r="DN1227" s="4" t="s">
        <v>278</v>
      </c>
      <c r="DO1227" s="6">
        <f>158.64</f>
        <v>158.63999999999999</v>
      </c>
      <c r="DP1227" s="4" t="s">
        <v>241</v>
      </c>
      <c r="DQ1227" s="4" t="s">
        <v>241</v>
      </c>
      <c r="DR1227" s="4" t="s">
        <v>241</v>
      </c>
      <c r="DS1227" s="4" t="s">
        <v>241</v>
      </c>
      <c r="DV1227" s="4" t="s">
        <v>1889</v>
      </c>
      <c r="DW1227" s="4" t="s">
        <v>277</v>
      </c>
      <c r="HO1227" s="4" t="s">
        <v>277</v>
      </c>
      <c r="HR1227" s="4" t="s">
        <v>278</v>
      </c>
      <c r="HS1227" s="4" t="s">
        <v>278</v>
      </c>
    </row>
    <row r="1228" spans="1:240" x14ac:dyDescent="0.4">
      <c r="A1228" s="4">
        <v>2</v>
      </c>
      <c r="B1228" s="4" t="s">
        <v>239</v>
      </c>
      <c r="C1228" s="4">
        <v>1536</v>
      </c>
      <c r="D1228" s="4">
        <v>1</v>
      </c>
      <c r="E1228" s="4">
        <v>3</v>
      </c>
      <c r="F1228" s="4" t="s">
        <v>240</v>
      </c>
      <c r="G1228" s="4" t="s">
        <v>241</v>
      </c>
      <c r="H1228" s="4" t="s">
        <v>241</v>
      </c>
      <c r="I1228" s="4" t="s">
        <v>1514</v>
      </c>
      <c r="J1228" s="4" t="s">
        <v>1404</v>
      </c>
      <c r="K1228" s="4" t="s">
        <v>256</v>
      </c>
      <c r="L1228" s="4" t="s">
        <v>1336</v>
      </c>
      <c r="M1228" s="5" t="s">
        <v>1515</v>
      </c>
      <c r="N1228" s="4" t="s">
        <v>1336</v>
      </c>
      <c r="O1228" s="6">
        <f>38</f>
        <v>38</v>
      </c>
      <c r="P1228" s="4" t="s">
        <v>276</v>
      </c>
      <c r="Q1228" s="6">
        <f>1177544</f>
        <v>1177544</v>
      </c>
      <c r="R1228" s="6">
        <f>4826000</f>
        <v>4826000</v>
      </c>
      <c r="S1228" s="5" t="s">
        <v>442</v>
      </c>
      <c r="T1228" s="4" t="s">
        <v>274</v>
      </c>
      <c r="U1228" s="4" t="s">
        <v>401</v>
      </c>
      <c r="V1228" s="6">
        <f>202692</f>
        <v>202692</v>
      </c>
      <c r="W1228" s="6">
        <f>3648456</f>
        <v>3648456</v>
      </c>
      <c r="X1228" s="4" t="s">
        <v>243</v>
      </c>
      <c r="Y1228" s="4" t="s">
        <v>244</v>
      </c>
      <c r="Z1228" s="4" t="s">
        <v>1338</v>
      </c>
      <c r="AA1228" s="4" t="s">
        <v>241</v>
      </c>
      <c r="AD1228" s="4" t="s">
        <v>241</v>
      </c>
      <c r="AE1228" s="5" t="s">
        <v>241</v>
      </c>
      <c r="AF1228" s="5" t="s">
        <v>241</v>
      </c>
      <c r="AH1228" s="5" t="s">
        <v>241</v>
      </c>
      <c r="AI1228" s="5" t="s">
        <v>249</v>
      </c>
      <c r="AJ1228" s="4" t="s">
        <v>251</v>
      </c>
      <c r="AK1228" s="4" t="s">
        <v>252</v>
      </c>
      <c r="AQ1228" s="4" t="s">
        <v>241</v>
      </c>
      <c r="AR1228" s="4" t="s">
        <v>241</v>
      </c>
      <c r="AS1228" s="4" t="s">
        <v>241</v>
      </c>
      <c r="AT1228" s="5" t="s">
        <v>241</v>
      </c>
      <c r="AU1228" s="5" t="s">
        <v>241</v>
      </c>
      <c r="AV1228" s="5" t="s">
        <v>241</v>
      </c>
      <c r="AY1228" s="4" t="s">
        <v>286</v>
      </c>
      <c r="AZ1228" s="4" t="s">
        <v>286</v>
      </c>
      <c r="BA1228" s="4" t="s">
        <v>254</v>
      </c>
      <c r="BB1228" s="4" t="s">
        <v>287</v>
      </c>
      <c r="BC1228" s="4" t="s">
        <v>255</v>
      </c>
      <c r="BD1228" s="4" t="s">
        <v>241</v>
      </c>
      <c r="BE1228" s="4" t="s">
        <v>257</v>
      </c>
      <c r="BF1228" s="4" t="s">
        <v>241</v>
      </c>
      <c r="BJ1228" s="4" t="s">
        <v>288</v>
      </c>
      <c r="BK1228" s="5" t="s">
        <v>289</v>
      </c>
      <c r="BL1228" s="4" t="s">
        <v>290</v>
      </c>
      <c r="BM1228" s="4" t="s">
        <v>290</v>
      </c>
      <c r="BN1228" s="4" t="s">
        <v>241</v>
      </c>
      <c r="BO1228" s="6">
        <f>0</f>
        <v>0</v>
      </c>
      <c r="BP1228" s="6">
        <f>-202692</f>
        <v>-202692</v>
      </c>
      <c r="BQ1228" s="4" t="s">
        <v>263</v>
      </c>
      <c r="BR1228" s="4" t="s">
        <v>264</v>
      </c>
      <c r="BS1228" s="4" t="s">
        <v>241</v>
      </c>
      <c r="BT1228" s="4" t="s">
        <v>241</v>
      </c>
      <c r="BU1228" s="4" t="s">
        <v>241</v>
      </c>
      <c r="BV1228" s="4" t="s">
        <v>241</v>
      </c>
      <c r="CE1228" s="4" t="s">
        <v>264</v>
      </c>
      <c r="CF1228" s="4" t="s">
        <v>241</v>
      </c>
      <c r="CG1228" s="4" t="s">
        <v>241</v>
      </c>
      <c r="CK1228" s="4" t="s">
        <v>291</v>
      </c>
      <c r="CL1228" s="4" t="s">
        <v>266</v>
      </c>
      <c r="CM1228" s="4" t="s">
        <v>241</v>
      </c>
      <c r="CO1228" s="4" t="s">
        <v>446</v>
      </c>
      <c r="CP1228" s="5" t="s">
        <v>268</v>
      </c>
      <c r="CQ1228" s="4" t="s">
        <v>269</v>
      </c>
      <c r="CR1228" s="4" t="s">
        <v>270</v>
      </c>
      <c r="CS1228" s="4" t="s">
        <v>293</v>
      </c>
      <c r="CT1228" s="4" t="s">
        <v>241</v>
      </c>
      <c r="CU1228" s="4">
        <v>4.2000000000000003E-2</v>
      </c>
      <c r="CV1228" s="4" t="s">
        <v>271</v>
      </c>
      <c r="CW1228" s="4" t="s">
        <v>1329</v>
      </c>
      <c r="CX1228" s="4" t="s">
        <v>347</v>
      </c>
      <c r="CY1228" s="6">
        <f>0</f>
        <v>0</v>
      </c>
      <c r="CZ1228" s="6">
        <f>4826000</f>
        <v>4826000</v>
      </c>
      <c r="DA1228" s="6">
        <f>1177544</f>
        <v>1177544</v>
      </c>
      <c r="DC1228" s="4" t="s">
        <v>241</v>
      </c>
      <c r="DD1228" s="4" t="s">
        <v>241</v>
      </c>
      <c r="DF1228" s="4" t="s">
        <v>241</v>
      </c>
      <c r="DG1228" s="6">
        <f>0</f>
        <v>0</v>
      </c>
      <c r="DI1228" s="4" t="s">
        <v>241</v>
      </c>
      <c r="DJ1228" s="4" t="s">
        <v>241</v>
      </c>
      <c r="DK1228" s="4" t="s">
        <v>241</v>
      </c>
      <c r="DL1228" s="4" t="s">
        <v>241</v>
      </c>
      <c r="DM1228" s="4" t="s">
        <v>277</v>
      </c>
      <c r="DN1228" s="4" t="s">
        <v>278</v>
      </c>
      <c r="DO1228" s="6">
        <f>38</f>
        <v>38</v>
      </c>
      <c r="DP1228" s="4" t="s">
        <v>241</v>
      </c>
      <c r="DQ1228" s="4" t="s">
        <v>241</v>
      </c>
      <c r="DR1228" s="4" t="s">
        <v>241</v>
      </c>
      <c r="DS1228" s="4" t="s">
        <v>241</v>
      </c>
      <c r="DV1228" s="4" t="s">
        <v>1516</v>
      </c>
      <c r="DW1228" s="4" t="s">
        <v>277</v>
      </c>
      <c r="GN1228" s="4" t="s">
        <v>1517</v>
      </c>
      <c r="HO1228" s="4" t="s">
        <v>300</v>
      </c>
      <c r="HR1228" s="4" t="s">
        <v>278</v>
      </c>
      <c r="HS1228" s="4" t="s">
        <v>278</v>
      </c>
      <c r="HT1228" s="4" t="s">
        <v>241</v>
      </c>
      <c r="HU1228" s="4" t="s">
        <v>241</v>
      </c>
      <c r="HV1228" s="4" t="s">
        <v>241</v>
      </c>
      <c r="HW1228" s="4" t="s">
        <v>241</v>
      </c>
      <c r="HX1228" s="4" t="s">
        <v>241</v>
      </c>
      <c r="HY1228" s="4" t="s">
        <v>241</v>
      </c>
      <c r="HZ1228" s="4" t="s">
        <v>241</v>
      </c>
      <c r="IA1228" s="4" t="s">
        <v>241</v>
      </c>
      <c r="IB1228" s="4" t="s">
        <v>241</v>
      </c>
      <c r="IC1228" s="4" t="s">
        <v>241</v>
      </c>
      <c r="ID1228" s="4" t="s">
        <v>241</v>
      </c>
      <c r="IE1228" s="4" t="s">
        <v>241</v>
      </c>
      <c r="IF1228" s="4" t="s">
        <v>241</v>
      </c>
    </row>
    <row r="1229" spans="1:240" x14ac:dyDescent="0.4">
      <c r="A1229" s="4">
        <v>2</v>
      </c>
      <c r="B1229" s="4" t="s">
        <v>239</v>
      </c>
      <c r="C1229" s="4">
        <v>1537</v>
      </c>
      <c r="D1229" s="4">
        <v>1</v>
      </c>
      <c r="E1229" s="4">
        <v>3</v>
      </c>
      <c r="F1229" s="4" t="s">
        <v>240</v>
      </c>
      <c r="G1229" s="4" t="s">
        <v>241</v>
      </c>
      <c r="H1229" s="4" t="s">
        <v>241</v>
      </c>
      <c r="I1229" s="4" t="s">
        <v>1514</v>
      </c>
      <c r="J1229" s="4" t="s">
        <v>1404</v>
      </c>
      <c r="K1229" s="4" t="s">
        <v>256</v>
      </c>
      <c r="L1229" s="4" t="s">
        <v>3764</v>
      </c>
      <c r="M1229" s="5" t="s">
        <v>1515</v>
      </c>
      <c r="N1229" s="4" t="s">
        <v>3764</v>
      </c>
      <c r="O1229" s="6">
        <f>456</f>
        <v>456</v>
      </c>
      <c r="P1229" s="4" t="s">
        <v>276</v>
      </c>
      <c r="Q1229" s="6">
        <f>17587920</f>
        <v>17587920</v>
      </c>
      <c r="R1229" s="6">
        <f>43320000</f>
        <v>43320000</v>
      </c>
      <c r="S1229" s="5" t="s">
        <v>442</v>
      </c>
      <c r="T1229" s="4" t="s">
        <v>441</v>
      </c>
      <c r="U1229" s="4" t="s">
        <v>401</v>
      </c>
      <c r="V1229" s="6">
        <f>1429560</f>
        <v>1429560</v>
      </c>
      <c r="W1229" s="6">
        <f>25732080</f>
        <v>25732080</v>
      </c>
      <c r="X1229" s="4" t="s">
        <v>243</v>
      </c>
      <c r="Y1229" s="4" t="s">
        <v>244</v>
      </c>
      <c r="Z1229" s="4" t="s">
        <v>1338</v>
      </c>
      <c r="AA1229" s="4" t="s">
        <v>241</v>
      </c>
      <c r="AD1229" s="4" t="s">
        <v>241</v>
      </c>
      <c r="AE1229" s="5" t="s">
        <v>241</v>
      </c>
      <c r="AF1229" s="5" t="s">
        <v>241</v>
      </c>
      <c r="AH1229" s="5" t="s">
        <v>241</v>
      </c>
      <c r="AI1229" s="5" t="s">
        <v>249</v>
      </c>
      <c r="AJ1229" s="4" t="s">
        <v>251</v>
      </c>
      <c r="AK1229" s="4" t="s">
        <v>252</v>
      </c>
      <c r="AQ1229" s="4" t="s">
        <v>241</v>
      </c>
      <c r="AR1229" s="4" t="s">
        <v>241</v>
      </c>
      <c r="AS1229" s="4" t="s">
        <v>241</v>
      </c>
      <c r="AT1229" s="5" t="s">
        <v>241</v>
      </c>
      <c r="AU1229" s="5" t="s">
        <v>241</v>
      </c>
      <c r="AV1229" s="5" t="s">
        <v>241</v>
      </c>
      <c r="AY1229" s="4" t="s">
        <v>286</v>
      </c>
      <c r="AZ1229" s="4" t="s">
        <v>286</v>
      </c>
      <c r="BA1229" s="4" t="s">
        <v>254</v>
      </c>
      <c r="BB1229" s="4" t="s">
        <v>287</v>
      </c>
      <c r="BC1229" s="4" t="s">
        <v>255</v>
      </c>
      <c r="BD1229" s="4" t="s">
        <v>241</v>
      </c>
      <c r="BE1229" s="4" t="s">
        <v>257</v>
      </c>
      <c r="BF1229" s="4" t="s">
        <v>241</v>
      </c>
      <c r="BJ1229" s="4" t="s">
        <v>288</v>
      </c>
      <c r="BK1229" s="5" t="s">
        <v>289</v>
      </c>
      <c r="BL1229" s="4" t="s">
        <v>290</v>
      </c>
      <c r="BM1229" s="4" t="s">
        <v>290</v>
      </c>
      <c r="BN1229" s="4" t="s">
        <v>241</v>
      </c>
      <c r="BO1229" s="6">
        <f>0</f>
        <v>0</v>
      </c>
      <c r="BP1229" s="6">
        <f>-1429560</f>
        <v>-1429560</v>
      </c>
      <c r="BQ1229" s="4" t="s">
        <v>263</v>
      </c>
      <c r="BR1229" s="4" t="s">
        <v>264</v>
      </c>
      <c r="BS1229" s="4" t="s">
        <v>241</v>
      </c>
      <c r="BT1229" s="4" t="s">
        <v>241</v>
      </c>
      <c r="BU1229" s="4" t="s">
        <v>241</v>
      </c>
      <c r="BV1229" s="4" t="s">
        <v>241</v>
      </c>
      <c r="CE1229" s="4" t="s">
        <v>264</v>
      </c>
      <c r="CF1229" s="4" t="s">
        <v>241</v>
      </c>
      <c r="CG1229" s="4" t="s">
        <v>241</v>
      </c>
      <c r="CK1229" s="4" t="s">
        <v>291</v>
      </c>
      <c r="CL1229" s="4" t="s">
        <v>266</v>
      </c>
      <c r="CM1229" s="4" t="s">
        <v>241</v>
      </c>
      <c r="CO1229" s="4" t="s">
        <v>446</v>
      </c>
      <c r="CP1229" s="5" t="s">
        <v>268</v>
      </c>
      <c r="CQ1229" s="4" t="s">
        <v>269</v>
      </c>
      <c r="CR1229" s="4" t="s">
        <v>270</v>
      </c>
      <c r="CS1229" s="4" t="s">
        <v>293</v>
      </c>
      <c r="CT1229" s="4" t="s">
        <v>241</v>
      </c>
      <c r="CU1229" s="4">
        <v>3.3000000000000002E-2</v>
      </c>
      <c r="CV1229" s="4" t="s">
        <v>271</v>
      </c>
      <c r="CW1229" s="4" t="s">
        <v>272</v>
      </c>
      <c r="CX1229" s="4" t="s">
        <v>487</v>
      </c>
      <c r="CY1229" s="6">
        <f>0</f>
        <v>0</v>
      </c>
      <c r="CZ1229" s="6">
        <f>43320000</f>
        <v>43320000</v>
      </c>
      <c r="DA1229" s="6">
        <f>17587920</f>
        <v>17587920</v>
      </c>
      <c r="DC1229" s="4" t="s">
        <v>241</v>
      </c>
      <c r="DD1229" s="4" t="s">
        <v>241</v>
      </c>
      <c r="DF1229" s="4" t="s">
        <v>241</v>
      </c>
      <c r="DG1229" s="6">
        <f>0</f>
        <v>0</v>
      </c>
      <c r="DI1229" s="4" t="s">
        <v>241</v>
      </c>
      <c r="DJ1229" s="4" t="s">
        <v>241</v>
      </c>
      <c r="DK1229" s="4" t="s">
        <v>241</v>
      </c>
      <c r="DL1229" s="4" t="s">
        <v>241</v>
      </c>
      <c r="DM1229" s="4" t="s">
        <v>277</v>
      </c>
      <c r="DN1229" s="4" t="s">
        <v>278</v>
      </c>
      <c r="DO1229" s="6">
        <f>456</f>
        <v>456</v>
      </c>
      <c r="DP1229" s="4" t="s">
        <v>241</v>
      </c>
      <c r="DQ1229" s="4" t="s">
        <v>241</v>
      </c>
      <c r="DR1229" s="4" t="s">
        <v>241</v>
      </c>
      <c r="DS1229" s="4" t="s">
        <v>241</v>
      </c>
      <c r="DV1229" s="4" t="s">
        <v>1516</v>
      </c>
      <c r="DW1229" s="4" t="s">
        <v>323</v>
      </c>
      <c r="GN1229" s="4" t="s">
        <v>3765</v>
      </c>
      <c r="HO1229" s="4" t="s">
        <v>300</v>
      </c>
      <c r="HR1229" s="4" t="s">
        <v>278</v>
      </c>
      <c r="HS1229" s="4" t="s">
        <v>278</v>
      </c>
      <c r="HT1229" s="4" t="s">
        <v>241</v>
      </c>
      <c r="HU1229" s="4" t="s">
        <v>241</v>
      </c>
      <c r="HV1229" s="4" t="s">
        <v>241</v>
      </c>
      <c r="HW1229" s="4" t="s">
        <v>241</v>
      </c>
      <c r="HX1229" s="4" t="s">
        <v>241</v>
      </c>
      <c r="HY1229" s="4" t="s">
        <v>241</v>
      </c>
      <c r="HZ1229" s="4" t="s">
        <v>241</v>
      </c>
      <c r="IA1229" s="4" t="s">
        <v>241</v>
      </c>
      <c r="IB1229" s="4" t="s">
        <v>241</v>
      </c>
      <c r="IC1229" s="4" t="s">
        <v>241</v>
      </c>
      <c r="ID1229" s="4" t="s">
        <v>241</v>
      </c>
      <c r="IE1229" s="4" t="s">
        <v>241</v>
      </c>
      <c r="IF1229" s="4" t="s">
        <v>241</v>
      </c>
    </row>
    <row r="1230" spans="1:240" x14ac:dyDescent="0.4">
      <c r="A1230" s="4">
        <v>2</v>
      </c>
      <c r="B1230" s="4" t="s">
        <v>239</v>
      </c>
      <c r="C1230" s="4">
        <v>1538</v>
      </c>
      <c r="D1230" s="4">
        <v>1</v>
      </c>
      <c r="E1230" s="4">
        <v>1</v>
      </c>
      <c r="F1230" s="4" t="s">
        <v>240</v>
      </c>
      <c r="G1230" s="4" t="s">
        <v>241</v>
      </c>
      <c r="H1230" s="4" t="s">
        <v>241</v>
      </c>
      <c r="I1230" s="4" t="s">
        <v>1514</v>
      </c>
      <c r="J1230" s="4" t="s">
        <v>1404</v>
      </c>
      <c r="K1230" s="4" t="s">
        <v>256</v>
      </c>
      <c r="L1230" s="4" t="s">
        <v>1976</v>
      </c>
      <c r="M1230" s="5" t="s">
        <v>1515</v>
      </c>
      <c r="N1230" s="4" t="s">
        <v>1976</v>
      </c>
      <c r="O1230" s="6">
        <f>2349</f>
        <v>2349</v>
      </c>
      <c r="P1230" s="4" t="s">
        <v>276</v>
      </c>
      <c r="Q1230" s="6">
        <f>1</f>
        <v>1</v>
      </c>
      <c r="R1230" s="6">
        <f>382887000</f>
        <v>382887000</v>
      </c>
      <c r="S1230" s="5" t="s">
        <v>442</v>
      </c>
      <c r="T1230" s="4" t="s">
        <v>348</v>
      </c>
      <c r="U1230" s="4" t="s">
        <v>348</v>
      </c>
      <c r="W1230" s="6">
        <f>382886999</f>
        <v>382886999</v>
      </c>
      <c r="X1230" s="4" t="s">
        <v>243</v>
      </c>
      <c r="Y1230" s="4" t="s">
        <v>244</v>
      </c>
      <c r="Z1230" s="4" t="s">
        <v>1338</v>
      </c>
      <c r="AA1230" s="4" t="s">
        <v>241</v>
      </c>
      <c r="AD1230" s="4" t="s">
        <v>241</v>
      </c>
      <c r="AF1230" s="5" t="s">
        <v>241</v>
      </c>
      <c r="AI1230" s="5" t="s">
        <v>249</v>
      </c>
      <c r="AJ1230" s="4" t="s">
        <v>251</v>
      </c>
      <c r="AK1230" s="4" t="s">
        <v>252</v>
      </c>
      <c r="BA1230" s="4" t="s">
        <v>254</v>
      </c>
      <c r="BB1230" s="4" t="s">
        <v>241</v>
      </c>
      <c r="BC1230" s="4" t="s">
        <v>255</v>
      </c>
      <c r="BD1230" s="4" t="s">
        <v>241</v>
      </c>
      <c r="BE1230" s="4" t="s">
        <v>257</v>
      </c>
      <c r="BF1230" s="4" t="s">
        <v>241</v>
      </c>
      <c r="BJ1230" s="4" t="s">
        <v>374</v>
      </c>
      <c r="BK1230" s="5" t="s">
        <v>375</v>
      </c>
      <c r="BL1230" s="4" t="s">
        <v>261</v>
      </c>
      <c r="BM1230" s="4" t="s">
        <v>290</v>
      </c>
      <c r="BN1230" s="4" t="s">
        <v>241</v>
      </c>
      <c r="BO1230" s="6">
        <f>0</f>
        <v>0</v>
      </c>
      <c r="BP1230" s="6">
        <f>0</f>
        <v>0</v>
      </c>
      <c r="BQ1230" s="4" t="s">
        <v>263</v>
      </c>
      <c r="BR1230" s="4" t="s">
        <v>264</v>
      </c>
      <c r="CF1230" s="4" t="s">
        <v>241</v>
      </c>
      <c r="CG1230" s="4" t="s">
        <v>241</v>
      </c>
      <c r="CK1230" s="4" t="s">
        <v>291</v>
      </c>
      <c r="CL1230" s="4" t="s">
        <v>266</v>
      </c>
      <c r="CM1230" s="4" t="s">
        <v>241</v>
      </c>
      <c r="CO1230" s="4" t="s">
        <v>446</v>
      </c>
      <c r="CP1230" s="5" t="s">
        <v>268</v>
      </c>
      <c r="CQ1230" s="4" t="s">
        <v>269</v>
      </c>
      <c r="CR1230" s="4" t="s">
        <v>270</v>
      </c>
      <c r="CS1230" s="4" t="s">
        <v>241</v>
      </c>
      <c r="CT1230" s="4" t="s">
        <v>241</v>
      </c>
      <c r="CU1230" s="4">
        <v>0</v>
      </c>
      <c r="CV1230" s="4" t="s">
        <v>271</v>
      </c>
      <c r="CW1230" s="4" t="s">
        <v>1920</v>
      </c>
      <c r="CX1230" s="4" t="s">
        <v>347</v>
      </c>
      <c r="CZ1230" s="6">
        <f>382887000</f>
        <v>382887000</v>
      </c>
      <c r="DA1230" s="6">
        <f>0</f>
        <v>0</v>
      </c>
      <c r="DC1230" s="4" t="s">
        <v>241</v>
      </c>
      <c r="DD1230" s="4" t="s">
        <v>241</v>
      </c>
      <c r="DF1230" s="4" t="s">
        <v>241</v>
      </c>
      <c r="DI1230" s="4" t="s">
        <v>241</v>
      </c>
      <c r="DJ1230" s="4" t="s">
        <v>241</v>
      </c>
      <c r="DK1230" s="4" t="s">
        <v>241</v>
      </c>
      <c r="DL1230" s="4" t="s">
        <v>241</v>
      </c>
      <c r="DM1230" s="4" t="s">
        <v>277</v>
      </c>
      <c r="DN1230" s="4" t="s">
        <v>278</v>
      </c>
      <c r="DO1230" s="6">
        <f>2349</f>
        <v>2349</v>
      </c>
      <c r="DP1230" s="4" t="s">
        <v>241</v>
      </c>
      <c r="DQ1230" s="4" t="s">
        <v>241</v>
      </c>
      <c r="DR1230" s="4" t="s">
        <v>241</v>
      </c>
      <c r="DS1230" s="4" t="s">
        <v>241</v>
      </c>
      <c r="DV1230" s="4" t="s">
        <v>1516</v>
      </c>
      <c r="DW1230" s="4" t="s">
        <v>297</v>
      </c>
      <c r="HO1230" s="4" t="s">
        <v>336</v>
      </c>
      <c r="HR1230" s="4" t="s">
        <v>278</v>
      </c>
      <c r="HS1230" s="4" t="s">
        <v>278</v>
      </c>
    </row>
    <row r="1231" spans="1:240" x14ac:dyDescent="0.4">
      <c r="A1231" s="4">
        <v>2</v>
      </c>
      <c r="B1231" s="4" t="s">
        <v>239</v>
      </c>
      <c r="C1231" s="4">
        <v>1539</v>
      </c>
      <c r="D1231" s="4">
        <v>1</v>
      </c>
      <c r="E1231" s="4">
        <v>3</v>
      </c>
      <c r="F1231" s="4" t="s">
        <v>240</v>
      </c>
      <c r="G1231" s="4" t="s">
        <v>241</v>
      </c>
      <c r="H1231" s="4" t="s">
        <v>241</v>
      </c>
      <c r="I1231" s="4" t="s">
        <v>1936</v>
      </c>
      <c r="J1231" s="4" t="s">
        <v>1404</v>
      </c>
      <c r="K1231" s="4" t="s">
        <v>256</v>
      </c>
      <c r="L1231" s="4" t="s">
        <v>1935</v>
      </c>
      <c r="M1231" s="5" t="s">
        <v>1938</v>
      </c>
      <c r="N1231" s="4" t="s">
        <v>1935</v>
      </c>
      <c r="O1231" s="6">
        <f>2959.03</f>
        <v>2959.03</v>
      </c>
      <c r="P1231" s="4" t="s">
        <v>276</v>
      </c>
      <c r="Q1231" s="6">
        <f>81837899</f>
        <v>81837899</v>
      </c>
      <c r="R1231" s="6">
        <f>186418890</f>
        <v>186418890</v>
      </c>
      <c r="S1231" s="5" t="s">
        <v>1937</v>
      </c>
      <c r="T1231" s="4" t="s">
        <v>441</v>
      </c>
      <c r="U1231" s="4" t="s">
        <v>371</v>
      </c>
      <c r="V1231" s="6">
        <f>6151823</f>
        <v>6151823</v>
      </c>
      <c r="W1231" s="6">
        <f>104580991</f>
        <v>104580991</v>
      </c>
      <c r="X1231" s="4" t="s">
        <v>243</v>
      </c>
      <c r="Y1231" s="4" t="s">
        <v>244</v>
      </c>
      <c r="Z1231" s="4" t="s">
        <v>1338</v>
      </c>
      <c r="AA1231" s="4" t="s">
        <v>241</v>
      </c>
      <c r="AD1231" s="4" t="s">
        <v>241</v>
      </c>
      <c r="AE1231" s="5" t="s">
        <v>241</v>
      </c>
      <c r="AF1231" s="5" t="s">
        <v>241</v>
      </c>
      <c r="AH1231" s="5" t="s">
        <v>241</v>
      </c>
      <c r="AI1231" s="5" t="s">
        <v>249</v>
      </c>
      <c r="AJ1231" s="4" t="s">
        <v>251</v>
      </c>
      <c r="AK1231" s="4" t="s">
        <v>252</v>
      </c>
      <c r="AQ1231" s="4" t="s">
        <v>241</v>
      </c>
      <c r="AR1231" s="4" t="s">
        <v>241</v>
      </c>
      <c r="AS1231" s="4" t="s">
        <v>241</v>
      </c>
      <c r="AT1231" s="5" t="s">
        <v>241</v>
      </c>
      <c r="AU1231" s="5" t="s">
        <v>241</v>
      </c>
      <c r="AV1231" s="5" t="s">
        <v>241</v>
      </c>
      <c r="AY1231" s="4" t="s">
        <v>286</v>
      </c>
      <c r="AZ1231" s="4" t="s">
        <v>286</v>
      </c>
      <c r="BA1231" s="4" t="s">
        <v>254</v>
      </c>
      <c r="BB1231" s="4" t="s">
        <v>287</v>
      </c>
      <c r="BC1231" s="4" t="s">
        <v>255</v>
      </c>
      <c r="BD1231" s="4" t="s">
        <v>241</v>
      </c>
      <c r="BE1231" s="4" t="s">
        <v>257</v>
      </c>
      <c r="BF1231" s="4" t="s">
        <v>241</v>
      </c>
      <c r="BJ1231" s="4" t="s">
        <v>288</v>
      </c>
      <c r="BK1231" s="5" t="s">
        <v>289</v>
      </c>
      <c r="BL1231" s="4" t="s">
        <v>290</v>
      </c>
      <c r="BM1231" s="4" t="s">
        <v>290</v>
      </c>
      <c r="BN1231" s="4" t="s">
        <v>241</v>
      </c>
      <c r="BO1231" s="6">
        <f>0</f>
        <v>0</v>
      </c>
      <c r="BP1231" s="6">
        <f>-6151823</f>
        <v>-6151823</v>
      </c>
      <c r="BQ1231" s="4" t="s">
        <v>263</v>
      </c>
      <c r="BR1231" s="4" t="s">
        <v>264</v>
      </c>
      <c r="BS1231" s="4" t="s">
        <v>241</v>
      </c>
      <c r="BT1231" s="4" t="s">
        <v>241</v>
      </c>
      <c r="BU1231" s="4" t="s">
        <v>241</v>
      </c>
      <c r="BV1231" s="4" t="s">
        <v>241</v>
      </c>
      <c r="CE1231" s="4" t="s">
        <v>264</v>
      </c>
      <c r="CF1231" s="4" t="s">
        <v>241</v>
      </c>
      <c r="CG1231" s="4" t="s">
        <v>241</v>
      </c>
      <c r="CK1231" s="4" t="s">
        <v>291</v>
      </c>
      <c r="CL1231" s="4" t="s">
        <v>266</v>
      </c>
      <c r="CM1231" s="4" t="s">
        <v>241</v>
      </c>
      <c r="CO1231" s="4" t="s">
        <v>407</v>
      </c>
      <c r="CP1231" s="5" t="s">
        <v>268</v>
      </c>
      <c r="CQ1231" s="4" t="s">
        <v>269</v>
      </c>
      <c r="CR1231" s="4" t="s">
        <v>270</v>
      </c>
      <c r="CS1231" s="4" t="s">
        <v>293</v>
      </c>
      <c r="CT1231" s="4" t="s">
        <v>241</v>
      </c>
      <c r="CU1231" s="4">
        <v>3.3000000000000002E-2</v>
      </c>
      <c r="CV1231" s="4" t="s">
        <v>271</v>
      </c>
      <c r="CW1231" s="4" t="s">
        <v>1920</v>
      </c>
      <c r="CX1231" s="4" t="s">
        <v>487</v>
      </c>
      <c r="CY1231" s="6">
        <f>0</f>
        <v>0</v>
      </c>
      <c r="CZ1231" s="6">
        <f>186418890</f>
        <v>186418890</v>
      </c>
      <c r="DA1231" s="6">
        <f>81837899</f>
        <v>81837899</v>
      </c>
      <c r="DC1231" s="4" t="s">
        <v>241</v>
      </c>
      <c r="DD1231" s="4" t="s">
        <v>241</v>
      </c>
      <c r="DF1231" s="4" t="s">
        <v>241</v>
      </c>
      <c r="DG1231" s="6">
        <f>0</f>
        <v>0</v>
      </c>
      <c r="DI1231" s="4" t="s">
        <v>241</v>
      </c>
      <c r="DJ1231" s="4" t="s">
        <v>241</v>
      </c>
      <c r="DK1231" s="4" t="s">
        <v>241</v>
      </c>
      <c r="DL1231" s="4" t="s">
        <v>241</v>
      </c>
      <c r="DM1231" s="4" t="s">
        <v>277</v>
      </c>
      <c r="DN1231" s="4" t="s">
        <v>278</v>
      </c>
      <c r="DO1231" s="6">
        <f>2959.03</f>
        <v>2959.03</v>
      </c>
      <c r="DP1231" s="4" t="s">
        <v>241</v>
      </c>
      <c r="DQ1231" s="4" t="s">
        <v>241</v>
      </c>
      <c r="DR1231" s="4" t="s">
        <v>241</v>
      </c>
      <c r="DS1231" s="4" t="s">
        <v>241</v>
      </c>
      <c r="DV1231" s="4" t="s">
        <v>1939</v>
      </c>
      <c r="DW1231" s="4" t="s">
        <v>277</v>
      </c>
      <c r="GN1231" s="4" t="s">
        <v>1940</v>
      </c>
      <c r="HO1231" s="4" t="s">
        <v>341</v>
      </c>
      <c r="HR1231" s="4" t="s">
        <v>278</v>
      </c>
      <c r="HS1231" s="4" t="s">
        <v>278</v>
      </c>
      <c r="HT1231" s="4" t="s">
        <v>241</v>
      </c>
      <c r="HU1231" s="4" t="s">
        <v>241</v>
      </c>
      <c r="HV1231" s="4" t="s">
        <v>241</v>
      </c>
      <c r="HW1231" s="4" t="s">
        <v>241</v>
      </c>
      <c r="HX1231" s="4" t="s">
        <v>241</v>
      </c>
      <c r="HY1231" s="4" t="s">
        <v>241</v>
      </c>
      <c r="HZ1231" s="4" t="s">
        <v>241</v>
      </c>
      <c r="IA1231" s="4" t="s">
        <v>241</v>
      </c>
      <c r="IB1231" s="4" t="s">
        <v>241</v>
      </c>
      <c r="IC1231" s="4" t="s">
        <v>241</v>
      </c>
      <c r="ID1231" s="4" t="s">
        <v>241</v>
      </c>
      <c r="IE1231" s="4" t="s">
        <v>241</v>
      </c>
      <c r="IF1231" s="4" t="s">
        <v>241</v>
      </c>
    </row>
    <row r="1232" spans="1:240" x14ac:dyDescent="0.4">
      <c r="A1232" s="4">
        <v>2</v>
      </c>
      <c r="B1232" s="4" t="s">
        <v>239</v>
      </c>
      <c r="C1232" s="4">
        <v>1540</v>
      </c>
      <c r="D1232" s="4">
        <v>1</v>
      </c>
      <c r="E1232" s="4">
        <v>3</v>
      </c>
      <c r="F1232" s="4" t="s">
        <v>240</v>
      </c>
      <c r="G1232" s="4" t="s">
        <v>241</v>
      </c>
      <c r="H1232" s="4" t="s">
        <v>241</v>
      </c>
      <c r="I1232" s="4" t="s">
        <v>1936</v>
      </c>
      <c r="J1232" s="4" t="s">
        <v>1404</v>
      </c>
      <c r="K1232" s="4" t="s">
        <v>256</v>
      </c>
      <c r="L1232" s="4" t="s">
        <v>454</v>
      </c>
      <c r="M1232" s="5" t="s">
        <v>1938</v>
      </c>
      <c r="N1232" s="4" t="s">
        <v>454</v>
      </c>
      <c r="O1232" s="6">
        <f>122.4</f>
        <v>122.4</v>
      </c>
      <c r="P1232" s="4" t="s">
        <v>276</v>
      </c>
      <c r="Q1232" s="6">
        <f>1</f>
        <v>1</v>
      </c>
      <c r="R1232" s="6">
        <f>9914400</f>
        <v>9914400</v>
      </c>
      <c r="S1232" s="5" t="s">
        <v>1937</v>
      </c>
      <c r="T1232" s="4" t="s">
        <v>401</v>
      </c>
      <c r="U1232" s="4" t="s">
        <v>371</v>
      </c>
      <c r="V1232" s="6">
        <f>555215</f>
        <v>555215</v>
      </c>
      <c r="W1232" s="6">
        <f>9914399</f>
        <v>9914399</v>
      </c>
      <c r="X1232" s="4" t="s">
        <v>243</v>
      </c>
      <c r="Y1232" s="4" t="s">
        <v>244</v>
      </c>
      <c r="Z1232" s="4" t="s">
        <v>1338</v>
      </c>
      <c r="AA1232" s="4" t="s">
        <v>241</v>
      </c>
      <c r="AD1232" s="4" t="s">
        <v>241</v>
      </c>
      <c r="AE1232" s="5" t="s">
        <v>241</v>
      </c>
      <c r="AF1232" s="5" t="s">
        <v>241</v>
      </c>
      <c r="AH1232" s="5" t="s">
        <v>241</v>
      </c>
      <c r="AI1232" s="5" t="s">
        <v>249</v>
      </c>
      <c r="AJ1232" s="4" t="s">
        <v>251</v>
      </c>
      <c r="AK1232" s="4" t="s">
        <v>252</v>
      </c>
      <c r="AQ1232" s="4" t="s">
        <v>241</v>
      </c>
      <c r="AR1232" s="4" t="s">
        <v>241</v>
      </c>
      <c r="AS1232" s="4" t="s">
        <v>241</v>
      </c>
      <c r="AT1232" s="5" t="s">
        <v>241</v>
      </c>
      <c r="AU1232" s="5" t="s">
        <v>241</v>
      </c>
      <c r="AV1232" s="5" t="s">
        <v>241</v>
      </c>
      <c r="AY1232" s="4" t="s">
        <v>286</v>
      </c>
      <c r="AZ1232" s="4" t="s">
        <v>286</v>
      </c>
      <c r="BA1232" s="4" t="s">
        <v>254</v>
      </c>
      <c r="BB1232" s="4" t="s">
        <v>287</v>
      </c>
      <c r="BC1232" s="4" t="s">
        <v>255</v>
      </c>
      <c r="BD1232" s="4" t="s">
        <v>241</v>
      </c>
      <c r="BE1232" s="4" t="s">
        <v>257</v>
      </c>
      <c r="BF1232" s="4" t="s">
        <v>241</v>
      </c>
      <c r="BJ1232" s="4" t="s">
        <v>288</v>
      </c>
      <c r="BK1232" s="5" t="s">
        <v>289</v>
      </c>
      <c r="BL1232" s="4" t="s">
        <v>290</v>
      </c>
      <c r="BM1232" s="4" t="s">
        <v>290</v>
      </c>
      <c r="BN1232" s="4" t="s">
        <v>241</v>
      </c>
      <c r="BO1232" s="6">
        <f>0</f>
        <v>0</v>
      </c>
      <c r="BP1232" s="6">
        <f>-555215</f>
        <v>-555215</v>
      </c>
      <c r="BQ1232" s="4" t="s">
        <v>263</v>
      </c>
      <c r="BR1232" s="4" t="s">
        <v>264</v>
      </c>
      <c r="BS1232" s="4" t="s">
        <v>241</v>
      </c>
      <c r="BT1232" s="4" t="s">
        <v>241</v>
      </c>
      <c r="BU1232" s="4" t="s">
        <v>241</v>
      </c>
      <c r="BV1232" s="4" t="s">
        <v>241</v>
      </c>
      <c r="CE1232" s="4" t="s">
        <v>264</v>
      </c>
      <c r="CF1232" s="4" t="s">
        <v>241</v>
      </c>
      <c r="CG1232" s="4" t="s">
        <v>241</v>
      </c>
      <c r="CK1232" s="4" t="s">
        <v>291</v>
      </c>
      <c r="CL1232" s="4" t="s">
        <v>266</v>
      </c>
      <c r="CM1232" s="4" t="s">
        <v>241</v>
      </c>
      <c r="CO1232" s="4" t="s">
        <v>407</v>
      </c>
      <c r="CP1232" s="5" t="s">
        <v>268</v>
      </c>
      <c r="CQ1232" s="4" t="s">
        <v>269</v>
      </c>
      <c r="CR1232" s="4" t="s">
        <v>270</v>
      </c>
      <c r="CS1232" s="4" t="s">
        <v>293</v>
      </c>
      <c r="CT1232" s="4" t="s">
        <v>241</v>
      </c>
      <c r="CU1232" s="4">
        <v>5.8999999999999997E-2</v>
      </c>
      <c r="CV1232" s="4" t="s">
        <v>271</v>
      </c>
      <c r="CW1232" s="4" t="s">
        <v>455</v>
      </c>
      <c r="CX1232" s="4" t="s">
        <v>347</v>
      </c>
      <c r="CY1232" s="6">
        <f>0</f>
        <v>0</v>
      </c>
      <c r="CZ1232" s="6">
        <f>9914400</f>
        <v>9914400</v>
      </c>
      <c r="DA1232" s="6">
        <f>1</f>
        <v>1</v>
      </c>
      <c r="DC1232" s="4" t="s">
        <v>241</v>
      </c>
      <c r="DD1232" s="4" t="s">
        <v>241</v>
      </c>
      <c r="DF1232" s="4" t="s">
        <v>241</v>
      </c>
      <c r="DG1232" s="6">
        <f>0</f>
        <v>0</v>
      </c>
      <c r="DI1232" s="4" t="s">
        <v>241</v>
      </c>
      <c r="DJ1232" s="4" t="s">
        <v>241</v>
      </c>
      <c r="DK1232" s="4" t="s">
        <v>241</v>
      </c>
      <c r="DL1232" s="4" t="s">
        <v>241</v>
      </c>
      <c r="DM1232" s="4" t="s">
        <v>277</v>
      </c>
      <c r="DN1232" s="4" t="s">
        <v>278</v>
      </c>
      <c r="DO1232" s="6">
        <f>122.4</f>
        <v>122.4</v>
      </c>
      <c r="DP1232" s="4" t="s">
        <v>241</v>
      </c>
      <c r="DQ1232" s="4" t="s">
        <v>241</v>
      </c>
      <c r="DR1232" s="4" t="s">
        <v>241</v>
      </c>
      <c r="DS1232" s="4" t="s">
        <v>241</v>
      </c>
      <c r="DV1232" s="4" t="s">
        <v>1939</v>
      </c>
      <c r="DW1232" s="4" t="s">
        <v>323</v>
      </c>
      <c r="GN1232" s="4" t="s">
        <v>3871</v>
      </c>
      <c r="HO1232" s="4" t="s">
        <v>341</v>
      </c>
      <c r="HR1232" s="4" t="s">
        <v>278</v>
      </c>
      <c r="HS1232" s="4" t="s">
        <v>278</v>
      </c>
      <c r="HT1232" s="4" t="s">
        <v>241</v>
      </c>
      <c r="HU1232" s="4" t="s">
        <v>241</v>
      </c>
      <c r="HV1232" s="4" t="s">
        <v>241</v>
      </c>
      <c r="HW1232" s="4" t="s">
        <v>241</v>
      </c>
      <c r="HX1232" s="4" t="s">
        <v>241</v>
      </c>
      <c r="HY1232" s="4" t="s">
        <v>241</v>
      </c>
      <c r="HZ1232" s="4" t="s">
        <v>241</v>
      </c>
      <c r="IA1232" s="4" t="s">
        <v>241</v>
      </c>
      <c r="IB1232" s="4" t="s">
        <v>241</v>
      </c>
      <c r="IC1232" s="4" t="s">
        <v>241</v>
      </c>
      <c r="ID1232" s="4" t="s">
        <v>241</v>
      </c>
      <c r="IE1232" s="4" t="s">
        <v>241</v>
      </c>
      <c r="IF1232" s="4" t="s">
        <v>241</v>
      </c>
    </row>
    <row r="1233" spans="1:240" x14ac:dyDescent="0.4">
      <c r="A1233" s="4">
        <v>2</v>
      </c>
      <c r="B1233" s="4" t="s">
        <v>239</v>
      </c>
      <c r="C1233" s="4">
        <v>1541</v>
      </c>
      <c r="D1233" s="4">
        <v>1</v>
      </c>
      <c r="E1233" s="4">
        <v>3</v>
      </c>
      <c r="F1233" s="4" t="s">
        <v>240</v>
      </c>
      <c r="G1233" s="4" t="s">
        <v>241</v>
      </c>
      <c r="H1233" s="4" t="s">
        <v>241</v>
      </c>
      <c r="I1233" s="4" t="s">
        <v>1936</v>
      </c>
      <c r="J1233" s="4" t="s">
        <v>1404</v>
      </c>
      <c r="K1233" s="4" t="s">
        <v>256</v>
      </c>
      <c r="L1233" s="4" t="s">
        <v>3764</v>
      </c>
      <c r="M1233" s="5" t="s">
        <v>1938</v>
      </c>
      <c r="N1233" s="4" t="s">
        <v>3764</v>
      </c>
      <c r="O1233" s="6">
        <f>460.8</f>
        <v>460.8</v>
      </c>
      <c r="P1233" s="4" t="s">
        <v>276</v>
      </c>
      <c r="Q1233" s="6">
        <f>828524</f>
        <v>828524</v>
      </c>
      <c r="R1233" s="6">
        <f>13363200</f>
        <v>13363200</v>
      </c>
      <c r="S1233" s="5" t="s">
        <v>3766</v>
      </c>
      <c r="T1233" s="4" t="s">
        <v>348</v>
      </c>
      <c r="U1233" s="4" t="s">
        <v>322</v>
      </c>
      <c r="V1233" s="6">
        <f>895334</f>
        <v>895334</v>
      </c>
      <c r="W1233" s="6">
        <f>12534676</f>
        <v>12534676</v>
      </c>
      <c r="X1233" s="4" t="s">
        <v>243</v>
      </c>
      <c r="Y1233" s="4" t="s">
        <v>244</v>
      </c>
      <c r="Z1233" s="4" t="s">
        <v>1338</v>
      </c>
      <c r="AA1233" s="4" t="s">
        <v>241</v>
      </c>
      <c r="AD1233" s="4" t="s">
        <v>241</v>
      </c>
      <c r="AE1233" s="5" t="s">
        <v>241</v>
      </c>
      <c r="AF1233" s="5" t="s">
        <v>241</v>
      </c>
      <c r="AH1233" s="5" t="s">
        <v>241</v>
      </c>
      <c r="AI1233" s="5" t="s">
        <v>249</v>
      </c>
      <c r="AJ1233" s="4" t="s">
        <v>251</v>
      </c>
      <c r="AK1233" s="4" t="s">
        <v>252</v>
      </c>
      <c r="AQ1233" s="4" t="s">
        <v>241</v>
      </c>
      <c r="AR1233" s="4" t="s">
        <v>241</v>
      </c>
      <c r="AS1233" s="4" t="s">
        <v>241</v>
      </c>
      <c r="AT1233" s="5" t="s">
        <v>241</v>
      </c>
      <c r="AU1233" s="5" t="s">
        <v>241</v>
      </c>
      <c r="AV1233" s="5" t="s">
        <v>241</v>
      </c>
      <c r="AY1233" s="4" t="s">
        <v>286</v>
      </c>
      <c r="AZ1233" s="4" t="s">
        <v>286</v>
      </c>
      <c r="BA1233" s="4" t="s">
        <v>254</v>
      </c>
      <c r="BB1233" s="4" t="s">
        <v>287</v>
      </c>
      <c r="BC1233" s="4" t="s">
        <v>255</v>
      </c>
      <c r="BD1233" s="4" t="s">
        <v>241</v>
      </c>
      <c r="BE1233" s="4" t="s">
        <v>257</v>
      </c>
      <c r="BF1233" s="4" t="s">
        <v>241</v>
      </c>
      <c r="BJ1233" s="4" t="s">
        <v>288</v>
      </c>
      <c r="BK1233" s="5" t="s">
        <v>289</v>
      </c>
      <c r="BL1233" s="4" t="s">
        <v>290</v>
      </c>
      <c r="BM1233" s="4" t="s">
        <v>290</v>
      </c>
      <c r="BN1233" s="4" t="s">
        <v>241</v>
      </c>
      <c r="BO1233" s="6">
        <f>0</f>
        <v>0</v>
      </c>
      <c r="BP1233" s="6">
        <f>-895334</f>
        <v>-895334</v>
      </c>
      <c r="BQ1233" s="4" t="s">
        <v>263</v>
      </c>
      <c r="BR1233" s="4" t="s">
        <v>264</v>
      </c>
      <c r="BS1233" s="4" t="s">
        <v>241</v>
      </c>
      <c r="BT1233" s="4" t="s">
        <v>241</v>
      </c>
      <c r="BU1233" s="4" t="s">
        <v>241</v>
      </c>
      <c r="BV1233" s="4" t="s">
        <v>241</v>
      </c>
      <c r="CE1233" s="4" t="s">
        <v>264</v>
      </c>
      <c r="CF1233" s="4" t="s">
        <v>241</v>
      </c>
      <c r="CG1233" s="4" t="s">
        <v>241</v>
      </c>
      <c r="CK1233" s="4" t="s">
        <v>291</v>
      </c>
      <c r="CL1233" s="4" t="s">
        <v>266</v>
      </c>
      <c r="CM1233" s="4" t="s">
        <v>241</v>
      </c>
      <c r="CO1233" s="4" t="s">
        <v>321</v>
      </c>
      <c r="CP1233" s="5" t="s">
        <v>268</v>
      </c>
      <c r="CQ1233" s="4" t="s">
        <v>269</v>
      </c>
      <c r="CR1233" s="4" t="s">
        <v>270</v>
      </c>
      <c r="CS1233" s="4" t="s">
        <v>293</v>
      </c>
      <c r="CT1233" s="4" t="s">
        <v>241</v>
      </c>
      <c r="CU1233" s="4">
        <v>6.7000000000000004E-2</v>
      </c>
      <c r="CV1233" s="4" t="s">
        <v>271</v>
      </c>
      <c r="CW1233" s="4" t="s">
        <v>272</v>
      </c>
      <c r="CX1233" s="4" t="s">
        <v>347</v>
      </c>
      <c r="CY1233" s="6">
        <f>0</f>
        <v>0</v>
      </c>
      <c r="CZ1233" s="6">
        <f>13363200</f>
        <v>13363200</v>
      </c>
      <c r="DA1233" s="6">
        <f>828524</f>
        <v>828524</v>
      </c>
      <c r="DC1233" s="4" t="s">
        <v>241</v>
      </c>
      <c r="DD1233" s="4" t="s">
        <v>241</v>
      </c>
      <c r="DF1233" s="4" t="s">
        <v>241</v>
      </c>
      <c r="DG1233" s="6">
        <f>0</f>
        <v>0</v>
      </c>
      <c r="DI1233" s="4" t="s">
        <v>241</v>
      </c>
      <c r="DJ1233" s="4" t="s">
        <v>241</v>
      </c>
      <c r="DK1233" s="4" t="s">
        <v>241</v>
      </c>
      <c r="DL1233" s="4" t="s">
        <v>241</v>
      </c>
      <c r="DM1233" s="4" t="s">
        <v>277</v>
      </c>
      <c r="DN1233" s="4" t="s">
        <v>278</v>
      </c>
      <c r="DO1233" s="6">
        <f>460.8</f>
        <v>460.8</v>
      </c>
      <c r="DP1233" s="4" t="s">
        <v>241</v>
      </c>
      <c r="DQ1233" s="4" t="s">
        <v>241</v>
      </c>
      <c r="DR1233" s="4" t="s">
        <v>241</v>
      </c>
      <c r="DS1233" s="4" t="s">
        <v>241</v>
      </c>
      <c r="DV1233" s="4" t="s">
        <v>1939</v>
      </c>
      <c r="DW1233" s="4" t="s">
        <v>297</v>
      </c>
      <c r="GN1233" s="4" t="s">
        <v>3767</v>
      </c>
      <c r="HO1233" s="4" t="s">
        <v>341</v>
      </c>
      <c r="HR1233" s="4" t="s">
        <v>278</v>
      </c>
      <c r="HS1233" s="4" t="s">
        <v>278</v>
      </c>
      <c r="HT1233" s="4" t="s">
        <v>241</v>
      </c>
      <c r="HU1233" s="4" t="s">
        <v>241</v>
      </c>
      <c r="HV1233" s="4" t="s">
        <v>241</v>
      </c>
      <c r="HW1233" s="4" t="s">
        <v>241</v>
      </c>
      <c r="HX1233" s="4" t="s">
        <v>241</v>
      </c>
      <c r="HY1233" s="4" t="s">
        <v>241</v>
      </c>
      <c r="HZ1233" s="4" t="s">
        <v>241</v>
      </c>
      <c r="IA1233" s="4" t="s">
        <v>241</v>
      </c>
      <c r="IB1233" s="4" t="s">
        <v>241</v>
      </c>
      <c r="IC1233" s="4" t="s">
        <v>241</v>
      </c>
      <c r="ID1233" s="4" t="s">
        <v>241</v>
      </c>
      <c r="IE1233" s="4" t="s">
        <v>241</v>
      </c>
      <c r="IF1233" s="4" t="s">
        <v>241</v>
      </c>
    </row>
    <row r="1234" spans="1:240" x14ac:dyDescent="0.4">
      <c r="A1234" s="4">
        <v>2</v>
      </c>
      <c r="B1234" s="4" t="s">
        <v>239</v>
      </c>
      <c r="C1234" s="4">
        <v>1542</v>
      </c>
      <c r="D1234" s="4">
        <v>1</v>
      </c>
      <c r="E1234" s="4">
        <v>3</v>
      </c>
      <c r="F1234" s="4" t="s">
        <v>240</v>
      </c>
      <c r="G1234" s="4" t="s">
        <v>241</v>
      </c>
      <c r="H1234" s="4" t="s">
        <v>241</v>
      </c>
      <c r="I1234" s="4" t="s">
        <v>1477</v>
      </c>
      <c r="J1234" s="4" t="s">
        <v>1404</v>
      </c>
      <c r="K1234" s="4" t="s">
        <v>256</v>
      </c>
      <c r="L1234" s="4" t="s">
        <v>1336</v>
      </c>
      <c r="M1234" s="5" t="s">
        <v>1478</v>
      </c>
      <c r="N1234" s="4" t="s">
        <v>1336</v>
      </c>
      <c r="O1234" s="6">
        <f>38.88</f>
        <v>38.880000000000003</v>
      </c>
      <c r="P1234" s="4" t="s">
        <v>276</v>
      </c>
      <c r="Q1234" s="6">
        <f>375290</f>
        <v>375290</v>
      </c>
      <c r="R1234" s="6">
        <f>4937760</f>
        <v>4937760</v>
      </c>
      <c r="S1234" s="5" t="s">
        <v>359</v>
      </c>
      <c r="T1234" s="4" t="s">
        <v>274</v>
      </c>
      <c r="U1234" s="4" t="s">
        <v>361</v>
      </c>
      <c r="V1234" s="6">
        <f>207385</f>
        <v>207385</v>
      </c>
      <c r="W1234" s="6">
        <f>4562470</f>
        <v>4562470</v>
      </c>
      <c r="X1234" s="4" t="s">
        <v>243</v>
      </c>
      <c r="Y1234" s="4" t="s">
        <v>244</v>
      </c>
      <c r="Z1234" s="4" t="s">
        <v>1338</v>
      </c>
      <c r="AA1234" s="4" t="s">
        <v>241</v>
      </c>
      <c r="AD1234" s="4" t="s">
        <v>241</v>
      </c>
      <c r="AE1234" s="5" t="s">
        <v>241</v>
      </c>
      <c r="AF1234" s="5" t="s">
        <v>241</v>
      </c>
      <c r="AH1234" s="5" t="s">
        <v>241</v>
      </c>
      <c r="AI1234" s="5" t="s">
        <v>249</v>
      </c>
      <c r="AJ1234" s="4" t="s">
        <v>251</v>
      </c>
      <c r="AK1234" s="4" t="s">
        <v>252</v>
      </c>
      <c r="AQ1234" s="4" t="s">
        <v>241</v>
      </c>
      <c r="AR1234" s="4" t="s">
        <v>241</v>
      </c>
      <c r="AS1234" s="4" t="s">
        <v>241</v>
      </c>
      <c r="AT1234" s="5" t="s">
        <v>241</v>
      </c>
      <c r="AU1234" s="5" t="s">
        <v>241</v>
      </c>
      <c r="AV1234" s="5" t="s">
        <v>241</v>
      </c>
      <c r="AY1234" s="4" t="s">
        <v>286</v>
      </c>
      <c r="AZ1234" s="4" t="s">
        <v>286</v>
      </c>
      <c r="BA1234" s="4" t="s">
        <v>254</v>
      </c>
      <c r="BB1234" s="4" t="s">
        <v>287</v>
      </c>
      <c r="BC1234" s="4" t="s">
        <v>255</v>
      </c>
      <c r="BD1234" s="4" t="s">
        <v>241</v>
      </c>
      <c r="BE1234" s="4" t="s">
        <v>257</v>
      </c>
      <c r="BF1234" s="4" t="s">
        <v>241</v>
      </c>
      <c r="BJ1234" s="4" t="s">
        <v>288</v>
      </c>
      <c r="BK1234" s="5" t="s">
        <v>289</v>
      </c>
      <c r="BL1234" s="4" t="s">
        <v>290</v>
      </c>
      <c r="BM1234" s="4" t="s">
        <v>290</v>
      </c>
      <c r="BN1234" s="4" t="s">
        <v>241</v>
      </c>
      <c r="BO1234" s="6">
        <f>0</f>
        <v>0</v>
      </c>
      <c r="BP1234" s="6">
        <f>-207385</f>
        <v>-207385</v>
      </c>
      <c r="BQ1234" s="4" t="s">
        <v>263</v>
      </c>
      <c r="BR1234" s="4" t="s">
        <v>264</v>
      </c>
      <c r="BS1234" s="4" t="s">
        <v>241</v>
      </c>
      <c r="BT1234" s="4" t="s">
        <v>241</v>
      </c>
      <c r="BU1234" s="4" t="s">
        <v>241</v>
      </c>
      <c r="BV1234" s="4" t="s">
        <v>241</v>
      </c>
      <c r="CE1234" s="4" t="s">
        <v>264</v>
      </c>
      <c r="CF1234" s="4" t="s">
        <v>241</v>
      </c>
      <c r="CG1234" s="4" t="s">
        <v>241</v>
      </c>
      <c r="CK1234" s="4" t="s">
        <v>291</v>
      </c>
      <c r="CL1234" s="4" t="s">
        <v>266</v>
      </c>
      <c r="CM1234" s="4" t="s">
        <v>241</v>
      </c>
      <c r="CO1234" s="4" t="s">
        <v>360</v>
      </c>
      <c r="CP1234" s="5" t="s">
        <v>268</v>
      </c>
      <c r="CQ1234" s="4" t="s">
        <v>269</v>
      </c>
      <c r="CR1234" s="4" t="s">
        <v>270</v>
      </c>
      <c r="CS1234" s="4" t="s">
        <v>293</v>
      </c>
      <c r="CT1234" s="4" t="s">
        <v>241</v>
      </c>
      <c r="CU1234" s="4">
        <v>4.2000000000000003E-2</v>
      </c>
      <c r="CV1234" s="4" t="s">
        <v>271</v>
      </c>
      <c r="CW1234" s="4" t="s">
        <v>1329</v>
      </c>
      <c r="CX1234" s="4" t="s">
        <v>347</v>
      </c>
      <c r="CY1234" s="6">
        <f>0</f>
        <v>0</v>
      </c>
      <c r="CZ1234" s="6">
        <f>4937760</f>
        <v>4937760</v>
      </c>
      <c r="DA1234" s="6">
        <f>375290</f>
        <v>375290</v>
      </c>
      <c r="DC1234" s="4" t="s">
        <v>241</v>
      </c>
      <c r="DD1234" s="4" t="s">
        <v>241</v>
      </c>
      <c r="DF1234" s="4" t="s">
        <v>241</v>
      </c>
      <c r="DG1234" s="6">
        <f>0</f>
        <v>0</v>
      </c>
      <c r="DI1234" s="4" t="s">
        <v>241</v>
      </c>
      <c r="DJ1234" s="4" t="s">
        <v>241</v>
      </c>
      <c r="DK1234" s="4" t="s">
        <v>241</v>
      </c>
      <c r="DL1234" s="4" t="s">
        <v>241</v>
      </c>
      <c r="DM1234" s="4" t="s">
        <v>277</v>
      </c>
      <c r="DN1234" s="4" t="s">
        <v>278</v>
      </c>
      <c r="DO1234" s="6">
        <f>38.88</f>
        <v>38.880000000000003</v>
      </c>
      <c r="DP1234" s="4" t="s">
        <v>241</v>
      </c>
      <c r="DQ1234" s="4" t="s">
        <v>241</v>
      </c>
      <c r="DR1234" s="4" t="s">
        <v>241</v>
      </c>
      <c r="DS1234" s="4" t="s">
        <v>241</v>
      </c>
      <c r="DV1234" s="4" t="s">
        <v>1479</v>
      </c>
      <c r="DW1234" s="4" t="s">
        <v>277</v>
      </c>
      <c r="GN1234" s="4" t="s">
        <v>1480</v>
      </c>
      <c r="HO1234" s="4" t="s">
        <v>341</v>
      </c>
      <c r="HR1234" s="4" t="s">
        <v>278</v>
      </c>
      <c r="HS1234" s="4" t="s">
        <v>278</v>
      </c>
      <c r="HT1234" s="4" t="s">
        <v>241</v>
      </c>
      <c r="HU1234" s="4" t="s">
        <v>241</v>
      </c>
      <c r="HV1234" s="4" t="s">
        <v>241</v>
      </c>
      <c r="HW1234" s="4" t="s">
        <v>241</v>
      </c>
      <c r="HX1234" s="4" t="s">
        <v>241</v>
      </c>
      <c r="HY1234" s="4" t="s">
        <v>241</v>
      </c>
      <c r="HZ1234" s="4" t="s">
        <v>241</v>
      </c>
      <c r="IA1234" s="4" t="s">
        <v>241</v>
      </c>
      <c r="IB1234" s="4" t="s">
        <v>241</v>
      </c>
      <c r="IC1234" s="4" t="s">
        <v>241</v>
      </c>
      <c r="ID1234" s="4" t="s">
        <v>241</v>
      </c>
      <c r="IE1234" s="4" t="s">
        <v>241</v>
      </c>
      <c r="IF1234" s="4" t="s">
        <v>241</v>
      </c>
    </row>
    <row r="1235" spans="1:240" x14ac:dyDescent="0.4">
      <c r="A1235" s="4">
        <v>2</v>
      </c>
      <c r="B1235" s="4" t="s">
        <v>239</v>
      </c>
      <c r="C1235" s="4">
        <v>1543</v>
      </c>
      <c r="D1235" s="4">
        <v>1</v>
      </c>
      <c r="E1235" s="4">
        <v>3</v>
      </c>
      <c r="F1235" s="4" t="s">
        <v>240</v>
      </c>
      <c r="G1235" s="4" t="s">
        <v>241</v>
      </c>
      <c r="H1235" s="4" t="s">
        <v>241</v>
      </c>
      <c r="I1235" s="4" t="s">
        <v>1477</v>
      </c>
      <c r="J1235" s="4" t="s">
        <v>1404</v>
      </c>
      <c r="K1235" s="4" t="s">
        <v>256</v>
      </c>
      <c r="L1235" s="4" t="s">
        <v>1941</v>
      </c>
      <c r="M1235" s="5" t="s">
        <v>1478</v>
      </c>
      <c r="N1235" s="4" t="s">
        <v>1941</v>
      </c>
      <c r="O1235" s="6">
        <f>2012</f>
        <v>2012</v>
      </c>
      <c r="P1235" s="4" t="s">
        <v>276</v>
      </c>
      <c r="Q1235" s="6">
        <f>104744720</f>
        <v>104744720</v>
      </c>
      <c r="R1235" s="6">
        <f>382280000</f>
        <v>382280000</v>
      </c>
      <c r="S1235" s="5" t="s">
        <v>359</v>
      </c>
      <c r="T1235" s="4" t="s">
        <v>441</v>
      </c>
      <c r="U1235" s="4" t="s">
        <v>361</v>
      </c>
      <c r="V1235" s="6">
        <f>12615240</f>
        <v>12615240</v>
      </c>
      <c r="W1235" s="6">
        <f>277535280</f>
        <v>277535280</v>
      </c>
      <c r="X1235" s="4" t="s">
        <v>243</v>
      </c>
      <c r="Y1235" s="4" t="s">
        <v>244</v>
      </c>
      <c r="Z1235" s="4" t="s">
        <v>1338</v>
      </c>
      <c r="AA1235" s="4" t="s">
        <v>241</v>
      </c>
      <c r="AD1235" s="4" t="s">
        <v>241</v>
      </c>
      <c r="AE1235" s="5" t="s">
        <v>241</v>
      </c>
      <c r="AF1235" s="5" t="s">
        <v>241</v>
      </c>
      <c r="AH1235" s="5" t="s">
        <v>241</v>
      </c>
      <c r="AI1235" s="5" t="s">
        <v>249</v>
      </c>
      <c r="AJ1235" s="4" t="s">
        <v>251</v>
      </c>
      <c r="AK1235" s="4" t="s">
        <v>252</v>
      </c>
      <c r="AQ1235" s="4" t="s">
        <v>241</v>
      </c>
      <c r="AR1235" s="4" t="s">
        <v>241</v>
      </c>
      <c r="AS1235" s="4" t="s">
        <v>241</v>
      </c>
      <c r="AT1235" s="5" t="s">
        <v>241</v>
      </c>
      <c r="AU1235" s="5" t="s">
        <v>241</v>
      </c>
      <c r="AV1235" s="5" t="s">
        <v>241</v>
      </c>
      <c r="AY1235" s="4" t="s">
        <v>286</v>
      </c>
      <c r="AZ1235" s="4" t="s">
        <v>286</v>
      </c>
      <c r="BA1235" s="4" t="s">
        <v>254</v>
      </c>
      <c r="BB1235" s="4" t="s">
        <v>287</v>
      </c>
      <c r="BC1235" s="4" t="s">
        <v>255</v>
      </c>
      <c r="BD1235" s="4" t="s">
        <v>241</v>
      </c>
      <c r="BE1235" s="4" t="s">
        <v>257</v>
      </c>
      <c r="BF1235" s="4" t="s">
        <v>241</v>
      </c>
      <c r="BJ1235" s="4" t="s">
        <v>288</v>
      </c>
      <c r="BK1235" s="5" t="s">
        <v>289</v>
      </c>
      <c r="BL1235" s="4" t="s">
        <v>290</v>
      </c>
      <c r="BM1235" s="4" t="s">
        <v>290</v>
      </c>
      <c r="BN1235" s="4" t="s">
        <v>241</v>
      </c>
      <c r="BO1235" s="6">
        <f>0</f>
        <v>0</v>
      </c>
      <c r="BP1235" s="6">
        <f>-12615240</f>
        <v>-12615240</v>
      </c>
      <c r="BQ1235" s="4" t="s">
        <v>263</v>
      </c>
      <c r="BR1235" s="4" t="s">
        <v>264</v>
      </c>
      <c r="BS1235" s="4" t="s">
        <v>241</v>
      </c>
      <c r="BT1235" s="4" t="s">
        <v>241</v>
      </c>
      <c r="BU1235" s="4" t="s">
        <v>241</v>
      </c>
      <c r="BV1235" s="4" t="s">
        <v>241</v>
      </c>
      <c r="CE1235" s="4" t="s">
        <v>264</v>
      </c>
      <c r="CF1235" s="4" t="s">
        <v>241</v>
      </c>
      <c r="CG1235" s="4" t="s">
        <v>241</v>
      </c>
      <c r="CK1235" s="4" t="s">
        <v>291</v>
      </c>
      <c r="CL1235" s="4" t="s">
        <v>266</v>
      </c>
      <c r="CM1235" s="4" t="s">
        <v>241</v>
      </c>
      <c r="CO1235" s="4" t="s">
        <v>360</v>
      </c>
      <c r="CP1235" s="5" t="s">
        <v>268</v>
      </c>
      <c r="CQ1235" s="4" t="s">
        <v>269</v>
      </c>
      <c r="CR1235" s="4" t="s">
        <v>270</v>
      </c>
      <c r="CS1235" s="4" t="s">
        <v>293</v>
      </c>
      <c r="CT1235" s="4" t="s">
        <v>241</v>
      </c>
      <c r="CU1235" s="4">
        <v>3.3000000000000002E-2</v>
      </c>
      <c r="CV1235" s="4" t="s">
        <v>271</v>
      </c>
      <c r="CW1235" s="4" t="s">
        <v>1920</v>
      </c>
      <c r="CX1235" s="4" t="s">
        <v>487</v>
      </c>
      <c r="CY1235" s="6">
        <f>0</f>
        <v>0</v>
      </c>
      <c r="CZ1235" s="6">
        <f>382280000</f>
        <v>382280000</v>
      </c>
      <c r="DA1235" s="6">
        <f>104744720</f>
        <v>104744720</v>
      </c>
      <c r="DC1235" s="4" t="s">
        <v>241</v>
      </c>
      <c r="DD1235" s="4" t="s">
        <v>241</v>
      </c>
      <c r="DF1235" s="4" t="s">
        <v>241</v>
      </c>
      <c r="DG1235" s="6">
        <f>0</f>
        <v>0</v>
      </c>
      <c r="DI1235" s="4" t="s">
        <v>241</v>
      </c>
      <c r="DJ1235" s="4" t="s">
        <v>241</v>
      </c>
      <c r="DK1235" s="4" t="s">
        <v>241</v>
      </c>
      <c r="DL1235" s="4" t="s">
        <v>241</v>
      </c>
      <c r="DM1235" s="4" t="s">
        <v>277</v>
      </c>
      <c r="DN1235" s="4" t="s">
        <v>278</v>
      </c>
      <c r="DO1235" s="6">
        <f>2012</f>
        <v>2012</v>
      </c>
      <c r="DP1235" s="4" t="s">
        <v>241</v>
      </c>
      <c r="DQ1235" s="4" t="s">
        <v>241</v>
      </c>
      <c r="DR1235" s="4" t="s">
        <v>241</v>
      </c>
      <c r="DS1235" s="4" t="s">
        <v>241</v>
      </c>
      <c r="DV1235" s="4" t="s">
        <v>1479</v>
      </c>
      <c r="DW1235" s="4" t="s">
        <v>323</v>
      </c>
      <c r="GN1235" s="4" t="s">
        <v>1942</v>
      </c>
      <c r="HO1235" s="4" t="s">
        <v>341</v>
      </c>
      <c r="HR1235" s="4" t="s">
        <v>278</v>
      </c>
      <c r="HS1235" s="4" t="s">
        <v>278</v>
      </c>
      <c r="HT1235" s="4" t="s">
        <v>241</v>
      </c>
      <c r="HU1235" s="4" t="s">
        <v>241</v>
      </c>
      <c r="HV1235" s="4" t="s">
        <v>241</v>
      </c>
      <c r="HW1235" s="4" t="s">
        <v>241</v>
      </c>
      <c r="HX1235" s="4" t="s">
        <v>241</v>
      </c>
      <c r="HY1235" s="4" t="s">
        <v>241</v>
      </c>
      <c r="HZ1235" s="4" t="s">
        <v>241</v>
      </c>
      <c r="IA1235" s="4" t="s">
        <v>241</v>
      </c>
      <c r="IB1235" s="4" t="s">
        <v>241</v>
      </c>
      <c r="IC1235" s="4" t="s">
        <v>241</v>
      </c>
      <c r="ID1235" s="4" t="s">
        <v>241</v>
      </c>
      <c r="IE1235" s="4" t="s">
        <v>241</v>
      </c>
      <c r="IF1235" s="4" t="s">
        <v>241</v>
      </c>
    </row>
    <row r="1236" spans="1:240" x14ac:dyDescent="0.4">
      <c r="A1236" s="4">
        <v>2</v>
      </c>
      <c r="B1236" s="4" t="s">
        <v>239</v>
      </c>
      <c r="C1236" s="4">
        <v>1544</v>
      </c>
      <c r="D1236" s="4">
        <v>1</v>
      </c>
      <c r="E1236" s="4">
        <v>3</v>
      </c>
      <c r="F1236" s="4" t="s">
        <v>240</v>
      </c>
      <c r="G1236" s="4" t="s">
        <v>241</v>
      </c>
      <c r="H1236" s="4" t="s">
        <v>241</v>
      </c>
      <c r="I1236" s="4" t="s">
        <v>1477</v>
      </c>
      <c r="J1236" s="4" t="s">
        <v>1404</v>
      </c>
      <c r="K1236" s="4" t="s">
        <v>256</v>
      </c>
      <c r="L1236" s="4" t="s">
        <v>3764</v>
      </c>
      <c r="M1236" s="5" t="s">
        <v>1478</v>
      </c>
      <c r="N1236" s="4" t="s">
        <v>3764</v>
      </c>
      <c r="O1236" s="6">
        <f>867.25</f>
        <v>867.25</v>
      </c>
      <c r="P1236" s="4" t="s">
        <v>276</v>
      </c>
      <c r="Q1236" s="6">
        <f>45149046</f>
        <v>45149046</v>
      </c>
      <c r="R1236" s="6">
        <f>164777500</f>
        <v>164777500</v>
      </c>
      <c r="S1236" s="5" t="s">
        <v>359</v>
      </c>
      <c r="T1236" s="4" t="s">
        <v>441</v>
      </c>
      <c r="U1236" s="4" t="s">
        <v>361</v>
      </c>
      <c r="V1236" s="6">
        <f>5437657</f>
        <v>5437657</v>
      </c>
      <c r="W1236" s="6">
        <f>119628454</f>
        <v>119628454</v>
      </c>
      <c r="X1236" s="4" t="s">
        <v>243</v>
      </c>
      <c r="Y1236" s="4" t="s">
        <v>244</v>
      </c>
      <c r="Z1236" s="4" t="s">
        <v>1338</v>
      </c>
      <c r="AA1236" s="4" t="s">
        <v>241</v>
      </c>
      <c r="AD1236" s="4" t="s">
        <v>241</v>
      </c>
      <c r="AE1236" s="5" t="s">
        <v>241</v>
      </c>
      <c r="AF1236" s="5" t="s">
        <v>241</v>
      </c>
      <c r="AH1236" s="5" t="s">
        <v>241</v>
      </c>
      <c r="AI1236" s="5" t="s">
        <v>249</v>
      </c>
      <c r="AJ1236" s="4" t="s">
        <v>251</v>
      </c>
      <c r="AK1236" s="4" t="s">
        <v>252</v>
      </c>
      <c r="AQ1236" s="4" t="s">
        <v>241</v>
      </c>
      <c r="AR1236" s="4" t="s">
        <v>241</v>
      </c>
      <c r="AS1236" s="4" t="s">
        <v>241</v>
      </c>
      <c r="AT1236" s="5" t="s">
        <v>241</v>
      </c>
      <c r="AU1236" s="5" t="s">
        <v>241</v>
      </c>
      <c r="AV1236" s="5" t="s">
        <v>241</v>
      </c>
      <c r="AY1236" s="4" t="s">
        <v>286</v>
      </c>
      <c r="AZ1236" s="4" t="s">
        <v>286</v>
      </c>
      <c r="BA1236" s="4" t="s">
        <v>254</v>
      </c>
      <c r="BB1236" s="4" t="s">
        <v>287</v>
      </c>
      <c r="BC1236" s="4" t="s">
        <v>255</v>
      </c>
      <c r="BD1236" s="4" t="s">
        <v>241</v>
      </c>
      <c r="BE1236" s="4" t="s">
        <v>257</v>
      </c>
      <c r="BF1236" s="4" t="s">
        <v>241</v>
      </c>
      <c r="BJ1236" s="4" t="s">
        <v>288</v>
      </c>
      <c r="BK1236" s="5" t="s">
        <v>289</v>
      </c>
      <c r="BL1236" s="4" t="s">
        <v>290</v>
      </c>
      <c r="BM1236" s="4" t="s">
        <v>290</v>
      </c>
      <c r="BN1236" s="4" t="s">
        <v>241</v>
      </c>
      <c r="BO1236" s="6">
        <f>0</f>
        <v>0</v>
      </c>
      <c r="BP1236" s="6">
        <f>-5437657</f>
        <v>-5437657</v>
      </c>
      <c r="BQ1236" s="4" t="s">
        <v>263</v>
      </c>
      <c r="BR1236" s="4" t="s">
        <v>264</v>
      </c>
      <c r="BS1236" s="4" t="s">
        <v>241</v>
      </c>
      <c r="BT1236" s="4" t="s">
        <v>241</v>
      </c>
      <c r="BU1236" s="4" t="s">
        <v>241</v>
      </c>
      <c r="BV1236" s="4" t="s">
        <v>241</v>
      </c>
      <c r="CE1236" s="4" t="s">
        <v>264</v>
      </c>
      <c r="CF1236" s="4" t="s">
        <v>241</v>
      </c>
      <c r="CG1236" s="4" t="s">
        <v>241</v>
      </c>
      <c r="CK1236" s="4" t="s">
        <v>291</v>
      </c>
      <c r="CL1236" s="4" t="s">
        <v>266</v>
      </c>
      <c r="CM1236" s="4" t="s">
        <v>241</v>
      </c>
      <c r="CO1236" s="4" t="s">
        <v>360</v>
      </c>
      <c r="CP1236" s="5" t="s">
        <v>268</v>
      </c>
      <c r="CQ1236" s="4" t="s">
        <v>269</v>
      </c>
      <c r="CR1236" s="4" t="s">
        <v>270</v>
      </c>
      <c r="CS1236" s="4" t="s">
        <v>293</v>
      </c>
      <c r="CT1236" s="4" t="s">
        <v>241</v>
      </c>
      <c r="CU1236" s="4">
        <v>3.3000000000000002E-2</v>
      </c>
      <c r="CV1236" s="4" t="s">
        <v>271</v>
      </c>
      <c r="CW1236" s="4" t="s">
        <v>272</v>
      </c>
      <c r="CX1236" s="4" t="s">
        <v>487</v>
      </c>
      <c r="CY1236" s="6">
        <f>0</f>
        <v>0</v>
      </c>
      <c r="CZ1236" s="6">
        <f>164777500</f>
        <v>164777500</v>
      </c>
      <c r="DA1236" s="6">
        <f>45149046</f>
        <v>45149046</v>
      </c>
      <c r="DC1236" s="4" t="s">
        <v>241</v>
      </c>
      <c r="DD1236" s="4" t="s">
        <v>241</v>
      </c>
      <c r="DF1236" s="4" t="s">
        <v>241</v>
      </c>
      <c r="DG1236" s="6">
        <f>0</f>
        <v>0</v>
      </c>
      <c r="DI1236" s="4" t="s">
        <v>241</v>
      </c>
      <c r="DJ1236" s="4" t="s">
        <v>241</v>
      </c>
      <c r="DK1236" s="4" t="s">
        <v>241</v>
      </c>
      <c r="DL1236" s="4" t="s">
        <v>241</v>
      </c>
      <c r="DM1236" s="4" t="s">
        <v>277</v>
      </c>
      <c r="DN1236" s="4" t="s">
        <v>278</v>
      </c>
      <c r="DO1236" s="6">
        <f>867.25</f>
        <v>867.25</v>
      </c>
      <c r="DP1236" s="4" t="s">
        <v>241</v>
      </c>
      <c r="DQ1236" s="4" t="s">
        <v>241</v>
      </c>
      <c r="DR1236" s="4" t="s">
        <v>241</v>
      </c>
      <c r="DS1236" s="4" t="s">
        <v>241</v>
      </c>
      <c r="DV1236" s="4" t="s">
        <v>1479</v>
      </c>
      <c r="DW1236" s="4" t="s">
        <v>297</v>
      </c>
      <c r="GN1236" s="4" t="s">
        <v>3768</v>
      </c>
      <c r="HO1236" s="4" t="s">
        <v>341</v>
      </c>
      <c r="HR1236" s="4" t="s">
        <v>278</v>
      </c>
      <c r="HS1236" s="4" t="s">
        <v>278</v>
      </c>
      <c r="HT1236" s="4" t="s">
        <v>241</v>
      </c>
      <c r="HU1236" s="4" t="s">
        <v>241</v>
      </c>
      <c r="HV1236" s="4" t="s">
        <v>241</v>
      </c>
      <c r="HW1236" s="4" t="s">
        <v>241</v>
      </c>
      <c r="HX1236" s="4" t="s">
        <v>241</v>
      </c>
      <c r="HY1236" s="4" t="s">
        <v>241</v>
      </c>
      <c r="HZ1236" s="4" t="s">
        <v>241</v>
      </c>
      <c r="IA1236" s="4" t="s">
        <v>241</v>
      </c>
      <c r="IB1236" s="4" t="s">
        <v>241</v>
      </c>
      <c r="IC1236" s="4" t="s">
        <v>241</v>
      </c>
      <c r="ID1236" s="4" t="s">
        <v>241</v>
      </c>
      <c r="IE1236" s="4" t="s">
        <v>241</v>
      </c>
      <c r="IF1236" s="4" t="s">
        <v>241</v>
      </c>
    </row>
    <row r="1237" spans="1:240" x14ac:dyDescent="0.4">
      <c r="A1237" s="4">
        <v>2</v>
      </c>
      <c r="B1237" s="4" t="s">
        <v>239</v>
      </c>
      <c r="C1237" s="4">
        <v>1545</v>
      </c>
      <c r="D1237" s="4">
        <v>1</v>
      </c>
      <c r="E1237" s="4">
        <v>3</v>
      </c>
      <c r="F1237" s="4" t="s">
        <v>240</v>
      </c>
      <c r="G1237" s="4" t="s">
        <v>241</v>
      </c>
      <c r="H1237" s="4" t="s">
        <v>241</v>
      </c>
      <c r="I1237" s="4" t="s">
        <v>1477</v>
      </c>
      <c r="J1237" s="4" t="s">
        <v>1404</v>
      </c>
      <c r="K1237" s="4" t="s">
        <v>256</v>
      </c>
      <c r="L1237" s="4" t="s">
        <v>1935</v>
      </c>
      <c r="M1237" s="5" t="s">
        <v>1478</v>
      </c>
      <c r="N1237" s="4" t="s">
        <v>1935</v>
      </c>
      <c r="O1237" s="6">
        <f>175.2</f>
        <v>175.2</v>
      </c>
      <c r="P1237" s="4" t="s">
        <v>276</v>
      </c>
      <c r="Q1237" s="6">
        <f>9120912</f>
        <v>9120912</v>
      </c>
      <c r="R1237" s="6">
        <f>33288000</f>
        <v>33288000</v>
      </c>
      <c r="S1237" s="5" t="s">
        <v>359</v>
      </c>
      <c r="T1237" s="4" t="s">
        <v>441</v>
      </c>
      <c r="U1237" s="4" t="s">
        <v>361</v>
      </c>
      <c r="V1237" s="6">
        <f>1098504</f>
        <v>1098504</v>
      </c>
      <c r="W1237" s="6">
        <f>24167088</f>
        <v>24167088</v>
      </c>
      <c r="X1237" s="4" t="s">
        <v>243</v>
      </c>
      <c r="Y1237" s="4" t="s">
        <v>244</v>
      </c>
      <c r="Z1237" s="4" t="s">
        <v>1338</v>
      </c>
      <c r="AA1237" s="4" t="s">
        <v>241</v>
      </c>
      <c r="AD1237" s="4" t="s">
        <v>241</v>
      </c>
      <c r="AE1237" s="5" t="s">
        <v>241</v>
      </c>
      <c r="AF1237" s="5" t="s">
        <v>241</v>
      </c>
      <c r="AH1237" s="5" t="s">
        <v>241</v>
      </c>
      <c r="AI1237" s="5" t="s">
        <v>249</v>
      </c>
      <c r="AJ1237" s="4" t="s">
        <v>251</v>
      </c>
      <c r="AK1237" s="4" t="s">
        <v>252</v>
      </c>
      <c r="AQ1237" s="4" t="s">
        <v>241</v>
      </c>
      <c r="AR1237" s="4" t="s">
        <v>241</v>
      </c>
      <c r="AS1237" s="4" t="s">
        <v>241</v>
      </c>
      <c r="AT1237" s="5" t="s">
        <v>241</v>
      </c>
      <c r="AU1237" s="5" t="s">
        <v>241</v>
      </c>
      <c r="AV1237" s="5" t="s">
        <v>241</v>
      </c>
      <c r="AY1237" s="4" t="s">
        <v>286</v>
      </c>
      <c r="AZ1237" s="4" t="s">
        <v>286</v>
      </c>
      <c r="BA1237" s="4" t="s">
        <v>254</v>
      </c>
      <c r="BB1237" s="4" t="s">
        <v>287</v>
      </c>
      <c r="BC1237" s="4" t="s">
        <v>255</v>
      </c>
      <c r="BD1237" s="4" t="s">
        <v>241</v>
      </c>
      <c r="BE1237" s="4" t="s">
        <v>257</v>
      </c>
      <c r="BF1237" s="4" t="s">
        <v>241</v>
      </c>
      <c r="BJ1237" s="4" t="s">
        <v>288</v>
      </c>
      <c r="BK1237" s="5" t="s">
        <v>289</v>
      </c>
      <c r="BL1237" s="4" t="s">
        <v>290</v>
      </c>
      <c r="BM1237" s="4" t="s">
        <v>290</v>
      </c>
      <c r="BN1237" s="4" t="s">
        <v>241</v>
      </c>
      <c r="BO1237" s="6">
        <f>0</f>
        <v>0</v>
      </c>
      <c r="BP1237" s="6">
        <f>-1098504</f>
        <v>-1098504</v>
      </c>
      <c r="BQ1237" s="4" t="s">
        <v>263</v>
      </c>
      <c r="BR1237" s="4" t="s">
        <v>264</v>
      </c>
      <c r="BS1237" s="4" t="s">
        <v>241</v>
      </c>
      <c r="BT1237" s="4" t="s">
        <v>241</v>
      </c>
      <c r="BU1237" s="4" t="s">
        <v>241</v>
      </c>
      <c r="BV1237" s="4" t="s">
        <v>241</v>
      </c>
      <c r="CE1237" s="4" t="s">
        <v>264</v>
      </c>
      <c r="CF1237" s="4" t="s">
        <v>241</v>
      </c>
      <c r="CG1237" s="4" t="s">
        <v>241</v>
      </c>
      <c r="CK1237" s="4" t="s">
        <v>291</v>
      </c>
      <c r="CL1237" s="4" t="s">
        <v>266</v>
      </c>
      <c r="CM1237" s="4" t="s">
        <v>241</v>
      </c>
      <c r="CO1237" s="4" t="s">
        <v>360</v>
      </c>
      <c r="CP1237" s="5" t="s">
        <v>268</v>
      </c>
      <c r="CQ1237" s="4" t="s">
        <v>269</v>
      </c>
      <c r="CR1237" s="4" t="s">
        <v>270</v>
      </c>
      <c r="CS1237" s="4" t="s">
        <v>293</v>
      </c>
      <c r="CT1237" s="4" t="s">
        <v>241</v>
      </c>
      <c r="CU1237" s="4">
        <v>3.3000000000000002E-2</v>
      </c>
      <c r="CV1237" s="4" t="s">
        <v>271</v>
      </c>
      <c r="CW1237" s="4" t="s">
        <v>1920</v>
      </c>
      <c r="CX1237" s="4" t="s">
        <v>487</v>
      </c>
      <c r="CY1237" s="6">
        <f>0</f>
        <v>0</v>
      </c>
      <c r="CZ1237" s="6">
        <f>33288000</f>
        <v>33288000</v>
      </c>
      <c r="DA1237" s="6">
        <f>9120912</f>
        <v>9120912</v>
      </c>
      <c r="DC1237" s="4" t="s">
        <v>241</v>
      </c>
      <c r="DD1237" s="4" t="s">
        <v>241</v>
      </c>
      <c r="DF1237" s="4" t="s">
        <v>241</v>
      </c>
      <c r="DG1237" s="6">
        <f>0</f>
        <v>0</v>
      </c>
      <c r="DI1237" s="4" t="s">
        <v>241</v>
      </c>
      <c r="DJ1237" s="4" t="s">
        <v>241</v>
      </c>
      <c r="DK1237" s="4" t="s">
        <v>241</v>
      </c>
      <c r="DL1237" s="4" t="s">
        <v>241</v>
      </c>
      <c r="DM1237" s="4" t="s">
        <v>277</v>
      </c>
      <c r="DN1237" s="4" t="s">
        <v>278</v>
      </c>
      <c r="DO1237" s="6">
        <f>175.2</f>
        <v>175.2</v>
      </c>
      <c r="DP1237" s="4" t="s">
        <v>241</v>
      </c>
      <c r="DQ1237" s="4" t="s">
        <v>241</v>
      </c>
      <c r="DR1237" s="4" t="s">
        <v>241</v>
      </c>
      <c r="DS1237" s="4" t="s">
        <v>241</v>
      </c>
      <c r="DV1237" s="4" t="s">
        <v>1479</v>
      </c>
      <c r="DW1237" s="4" t="s">
        <v>336</v>
      </c>
      <c r="GN1237" s="4" t="s">
        <v>1943</v>
      </c>
      <c r="HO1237" s="4" t="s">
        <v>341</v>
      </c>
      <c r="HR1237" s="4" t="s">
        <v>278</v>
      </c>
      <c r="HS1237" s="4" t="s">
        <v>278</v>
      </c>
      <c r="HT1237" s="4" t="s">
        <v>241</v>
      </c>
      <c r="HU1237" s="4" t="s">
        <v>241</v>
      </c>
      <c r="HV1237" s="4" t="s">
        <v>241</v>
      </c>
      <c r="HW1237" s="4" t="s">
        <v>241</v>
      </c>
      <c r="HX1237" s="4" t="s">
        <v>241</v>
      </c>
      <c r="HY1237" s="4" t="s">
        <v>241</v>
      </c>
      <c r="HZ1237" s="4" t="s">
        <v>241</v>
      </c>
      <c r="IA1237" s="4" t="s">
        <v>241</v>
      </c>
      <c r="IB1237" s="4" t="s">
        <v>241</v>
      </c>
      <c r="IC1237" s="4" t="s">
        <v>241</v>
      </c>
      <c r="ID1237" s="4" t="s">
        <v>241</v>
      </c>
      <c r="IE1237" s="4" t="s">
        <v>241</v>
      </c>
      <c r="IF1237" s="4" t="s">
        <v>241</v>
      </c>
    </row>
    <row r="1238" spans="1:240" x14ac:dyDescent="0.4">
      <c r="A1238" s="4">
        <v>2</v>
      </c>
      <c r="B1238" s="4" t="s">
        <v>239</v>
      </c>
      <c r="C1238" s="4">
        <v>1546</v>
      </c>
      <c r="D1238" s="4">
        <v>1</v>
      </c>
      <c r="E1238" s="4">
        <v>1</v>
      </c>
      <c r="F1238" s="4" t="s">
        <v>240</v>
      </c>
      <c r="G1238" s="4" t="s">
        <v>241</v>
      </c>
      <c r="H1238" s="4" t="s">
        <v>241</v>
      </c>
      <c r="I1238" s="4" t="s">
        <v>1477</v>
      </c>
      <c r="J1238" s="4" t="s">
        <v>1404</v>
      </c>
      <c r="K1238" s="4" t="s">
        <v>256</v>
      </c>
      <c r="L1238" s="4" t="s">
        <v>1934</v>
      </c>
      <c r="M1238" s="5" t="s">
        <v>1478</v>
      </c>
      <c r="N1238" s="4" t="s">
        <v>1934</v>
      </c>
      <c r="O1238" s="6">
        <f>237.15</f>
        <v>237.15</v>
      </c>
      <c r="P1238" s="4" t="s">
        <v>276</v>
      </c>
      <c r="Q1238" s="6">
        <f>1</f>
        <v>1</v>
      </c>
      <c r="R1238" s="6">
        <f>45058500</f>
        <v>45058500</v>
      </c>
      <c r="S1238" s="5" t="s">
        <v>359</v>
      </c>
      <c r="T1238" s="4" t="s">
        <v>348</v>
      </c>
      <c r="U1238" s="4" t="s">
        <v>371</v>
      </c>
      <c r="W1238" s="6">
        <f>45058499</f>
        <v>45058499</v>
      </c>
      <c r="X1238" s="4" t="s">
        <v>243</v>
      </c>
      <c r="Y1238" s="4" t="s">
        <v>244</v>
      </c>
      <c r="Z1238" s="4" t="s">
        <v>1338</v>
      </c>
      <c r="AA1238" s="4" t="s">
        <v>241</v>
      </c>
      <c r="AD1238" s="4" t="s">
        <v>241</v>
      </c>
      <c r="AF1238" s="5" t="s">
        <v>241</v>
      </c>
      <c r="AI1238" s="5" t="s">
        <v>249</v>
      </c>
      <c r="AJ1238" s="4" t="s">
        <v>251</v>
      </c>
      <c r="AK1238" s="4" t="s">
        <v>252</v>
      </c>
      <c r="BA1238" s="4" t="s">
        <v>254</v>
      </c>
      <c r="BB1238" s="4" t="s">
        <v>241</v>
      </c>
      <c r="BC1238" s="4" t="s">
        <v>255</v>
      </c>
      <c r="BD1238" s="4" t="s">
        <v>241</v>
      </c>
      <c r="BE1238" s="4" t="s">
        <v>257</v>
      </c>
      <c r="BF1238" s="4" t="s">
        <v>241</v>
      </c>
      <c r="BJ1238" s="4" t="s">
        <v>367</v>
      </c>
      <c r="BK1238" s="5" t="s">
        <v>249</v>
      </c>
      <c r="BL1238" s="4" t="s">
        <v>261</v>
      </c>
      <c r="BM1238" s="4" t="s">
        <v>262</v>
      </c>
      <c r="BN1238" s="4" t="s">
        <v>241</v>
      </c>
      <c r="BO1238" s="6">
        <f>0</f>
        <v>0</v>
      </c>
      <c r="BP1238" s="6">
        <f>0</f>
        <v>0</v>
      </c>
      <c r="BQ1238" s="4" t="s">
        <v>263</v>
      </c>
      <c r="BR1238" s="4" t="s">
        <v>264</v>
      </c>
      <c r="CF1238" s="4" t="s">
        <v>241</v>
      </c>
      <c r="CG1238" s="4" t="s">
        <v>241</v>
      </c>
      <c r="CK1238" s="4" t="s">
        <v>291</v>
      </c>
      <c r="CL1238" s="4" t="s">
        <v>266</v>
      </c>
      <c r="CM1238" s="4" t="s">
        <v>241</v>
      </c>
      <c r="CO1238" s="4" t="s">
        <v>360</v>
      </c>
      <c r="CP1238" s="5" t="s">
        <v>268</v>
      </c>
      <c r="CQ1238" s="4" t="s">
        <v>269</v>
      </c>
      <c r="CR1238" s="4" t="s">
        <v>270</v>
      </c>
      <c r="CS1238" s="4" t="s">
        <v>241</v>
      </c>
      <c r="CT1238" s="4" t="s">
        <v>241</v>
      </c>
      <c r="CU1238" s="4">
        <v>0</v>
      </c>
      <c r="CV1238" s="4" t="s">
        <v>271</v>
      </c>
      <c r="CW1238" s="4" t="s">
        <v>1920</v>
      </c>
      <c r="CX1238" s="4" t="s">
        <v>347</v>
      </c>
      <c r="CZ1238" s="6">
        <f>45058500</f>
        <v>45058500</v>
      </c>
      <c r="DA1238" s="6">
        <f>0</f>
        <v>0</v>
      </c>
      <c r="DC1238" s="4" t="s">
        <v>241</v>
      </c>
      <c r="DD1238" s="4" t="s">
        <v>241</v>
      </c>
      <c r="DF1238" s="4" t="s">
        <v>241</v>
      </c>
      <c r="DI1238" s="4" t="s">
        <v>241</v>
      </c>
      <c r="DJ1238" s="4" t="s">
        <v>241</v>
      </c>
      <c r="DK1238" s="4" t="s">
        <v>241</v>
      </c>
      <c r="DL1238" s="4" t="s">
        <v>241</v>
      </c>
      <c r="DM1238" s="4" t="s">
        <v>277</v>
      </c>
      <c r="DN1238" s="4" t="s">
        <v>278</v>
      </c>
      <c r="DO1238" s="6">
        <f>237.15</f>
        <v>237.15</v>
      </c>
      <c r="DP1238" s="4" t="s">
        <v>241</v>
      </c>
      <c r="DQ1238" s="4" t="s">
        <v>241</v>
      </c>
      <c r="DR1238" s="4" t="s">
        <v>241</v>
      </c>
      <c r="DS1238" s="4" t="s">
        <v>241</v>
      </c>
      <c r="DV1238" s="4" t="s">
        <v>1479</v>
      </c>
      <c r="DW1238" s="4" t="s">
        <v>351</v>
      </c>
      <c r="HO1238" s="4" t="s">
        <v>277</v>
      </c>
      <c r="HR1238" s="4" t="s">
        <v>278</v>
      </c>
      <c r="HS1238" s="4" t="s">
        <v>278</v>
      </c>
    </row>
    <row r="1239" spans="1:240" x14ac:dyDescent="0.4">
      <c r="A1239" s="4">
        <v>2</v>
      </c>
      <c r="B1239" s="4" t="s">
        <v>239</v>
      </c>
      <c r="C1239" s="4">
        <v>1547</v>
      </c>
      <c r="D1239" s="4">
        <v>1</v>
      </c>
      <c r="E1239" s="4">
        <v>1</v>
      </c>
      <c r="F1239" s="4" t="s">
        <v>240</v>
      </c>
      <c r="G1239" s="4" t="s">
        <v>241</v>
      </c>
      <c r="H1239" s="4" t="s">
        <v>241</v>
      </c>
      <c r="I1239" s="4" t="s">
        <v>1944</v>
      </c>
      <c r="J1239" s="4" t="s">
        <v>1404</v>
      </c>
      <c r="K1239" s="4" t="s">
        <v>256</v>
      </c>
      <c r="L1239" s="4" t="s">
        <v>1935</v>
      </c>
      <c r="M1239" s="5" t="s">
        <v>1945</v>
      </c>
      <c r="N1239" s="4" t="s">
        <v>1935</v>
      </c>
      <c r="O1239" s="6">
        <f>186.34</f>
        <v>186.34</v>
      </c>
      <c r="P1239" s="4" t="s">
        <v>276</v>
      </c>
      <c r="Q1239" s="6">
        <f>1</f>
        <v>1</v>
      </c>
      <c r="R1239" s="6">
        <f>10994060</f>
        <v>10994060</v>
      </c>
      <c r="S1239" s="5" t="s">
        <v>442</v>
      </c>
      <c r="T1239" s="4" t="s">
        <v>348</v>
      </c>
      <c r="U1239" s="4" t="s">
        <v>348</v>
      </c>
      <c r="W1239" s="6">
        <f>10994059</f>
        <v>10994059</v>
      </c>
      <c r="X1239" s="4" t="s">
        <v>243</v>
      </c>
      <c r="Y1239" s="4" t="s">
        <v>244</v>
      </c>
      <c r="Z1239" s="4" t="s">
        <v>1338</v>
      </c>
      <c r="AA1239" s="4" t="s">
        <v>241</v>
      </c>
      <c r="AD1239" s="4" t="s">
        <v>241</v>
      </c>
      <c r="AF1239" s="5" t="s">
        <v>241</v>
      </c>
      <c r="AI1239" s="5" t="s">
        <v>249</v>
      </c>
      <c r="AJ1239" s="4" t="s">
        <v>251</v>
      </c>
      <c r="AK1239" s="4" t="s">
        <v>252</v>
      </c>
      <c r="BA1239" s="4" t="s">
        <v>254</v>
      </c>
      <c r="BB1239" s="4" t="s">
        <v>241</v>
      </c>
      <c r="BC1239" s="4" t="s">
        <v>255</v>
      </c>
      <c r="BD1239" s="4" t="s">
        <v>241</v>
      </c>
      <c r="BE1239" s="4" t="s">
        <v>257</v>
      </c>
      <c r="BF1239" s="4" t="s">
        <v>241</v>
      </c>
      <c r="BJ1239" s="4" t="s">
        <v>374</v>
      </c>
      <c r="BK1239" s="5" t="s">
        <v>375</v>
      </c>
      <c r="BL1239" s="4" t="s">
        <v>261</v>
      </c>
      <c r="BM1239" s="4" t="s">
        <v>290</v>
      </c>
      <c r="BN1239" s="4" t="s">
        <v>241</v>
      </c>
      <c r="BO1239" s="6">
        <f>0</f>
        <v>0</v>
      </c>
      <c r="BP1239" s="6">
        <f>0</f>
        <v>0</v>
      </c>
      <c r="BQ1239" s="4" t="s">
        <v>263</v>
      </c>
      <c r="BR1239" s="4" t="s">
        <v>264</v>
      </c>
      <c r="CF1239" s="4" t="s">
        <v>241</v>
      </c>
      <c r="CG1239" s="4" t="s">
        <v>241</v>
      </c>
      <c r="CK1239" s="4" t="s">
        <v>291</v>
      </c>
      <c r="CL1239" s="4" t="s">
        <v>266</v>
      </c>
      <c r="CM1239" s="4" t="s">
        <v>241</v>
      </c>
      <c r="CO1239" s="4" t="s">
        <v>446</v>
      </c>
      <c r="CP1239" s="5" t="s">
        <v>268</v>
      </c>
      <c r="CQ1239" s="4" t="s">
        <v>269</v>
      </c>
      <c r="CR1239" s="4" t="s">
        <v>270</v>
      </c>
      <c r="CS1239" s="4" t="s">
        <v>241</v>
      </c>
      <c r="CT1239" s="4" t="s">
        <v>241</v>
      </c>
      <c r="CU1239" s="4">
        <v>0</v>
      </c>
      <c r="CV1239" s="4" t="s">
        <v>271</v>
      </c>
      <c r="CW1239" s="4" t="s">
        <v>1920</v>
      </c>
      <c r="CX1239" s="4" t="s">
        <v>347</v>
      </c>
      <c r="CZ1239" s="6">
        <f>10994060</f>
        <v>10994060</v>
      </c>
      <c r="DA1239" s="6">
        <f>0</f>
        <v>0</v>
      </c>
      <c r="DC1239" s="4" t="s">
        <v>241</v>
      </c>
      <c r="DD1239" s="4" t="s">
        <v>241</v>
      </c>
      <c r="DF1239" s="4" t="s">
        <v>241</v>
      </c>
      <c r="DI1239" s="4" t="s">
        <v>241</v>
      </c>
      <c r="DJ1239" s="4" t="s">
        <v>241</v>
      </c>
      <c r="DK1239" s="4" t="s">
        <v>241</v>
      </c>
      <c r="DL1239" s="4" t="s">
        <v>241</v>
      </c>
      <c r="DM1239" s="4" t="s">
        <v>277</v>
      </c>
      <c r="DN1239" s="4" t="s">
        <v>278</v>
      </c>
      <c r="DO1239" s="6">
        <f>186.34</f>
        <v>186.34</v>
      </c>
      <c r="DP1239" s="4" t="s">
        <v>241</v>
      </c>
      <c r="DQ1239" s="4" t="s">
        <v>241</v>
      </c>
      <c r="DR1239" s="4" t="s">
        <v>241</v>
      </c>
      <c r="DS1239" s="4" t="s">
        <v>241</v>
      </c>
      <c r="DV1239" s="4" t="s">
        <v>1946</v>
      </c>
      <c r="DW1239" s="4" t="s">
        <v>277</v>
      </c>
      <c r="HO1239" s="4" t="s">
        <v>336</v>
      </c>
      <c r="HR1239" s="4" t="s">
        <v>278</v>
      </c>
      <c r="HS1239" s="4" t="s">
        <v>278</v>
      </c>
    </row>
    <row r="1240" spans="1:240" x14ac:dyDescent="0.4">
      <c r="A1240" s="4">
        <v>2</v>
      </c>
      <c r="B1240" s="4" t="s">
        <v>239</v>
      </c>
      <c r="C1240" s="4">
        <v>1548</v>
      </c>
      <c r="D1240" s="4">
        <v>1</v>
      </c>
      <c r="E1240" s="4">
        <v>3</v>
      </c>
      <c r="F1240" s="4" t="s">
        <v>240</v>
      </c>
      <c r="G1240" s="4" t="s">
        <v>241</v>
      </c>
      <c r="H1240" s="4" t="s">
        <v>241</v>
      </c>
      <c r="I1240" s="4" t="s">
        <v>1944</v>
      </c>
      <c r="J1240" s="4" t="s">
        <v>1404</v>
      </c>
      <c r="K1240" s="4" t="s">
        <v>256</v>
      </c>
      <c r="L1240" s="4" t="s">
        <v>1935</v>
      </c>
      <c r="M1240" s="5" t="s">
        <v>1945</v>
      </c>
      <c r="N1240" s="4" t="s">
        <v>1935</v>
      </c>
      <c r="O1240" s="6">
        <f>3223</f>
        <v>3223</v>
      </c>
      <c r="P1240" s="4" t="s">
        <v>276</v>
      </c>
      <c r="Q1240" s="6">
        <f>102065964</f>
        <v>102065964</v>
      </c>
      <c r="R1240" s="6">
        <f>251394000</f>
        <v>251394000</v>
      </c>
      <c r="S1240" s="5" t="s">
        <v>442</v>
      </c>
      <c r="T1240" s="4" t="s">
        <v>441</v>
      </c>
      <c r="U1240" s="4" t="s">
        <v>401</v>
      </c>
      <c r="V1240" s="6">
        <f>8296002</f>
        <v>8296002</v>
      </c>
      <c r="W1240" s="6">
        <f>149328036</f>
        <v>149328036</v>
      </c>
      <c r="X1240" s="4" t="s">
        <v>243</v>
      </c>
      <c r="Y1240" s="4" t="s">
        <v>244</v>
      </c>
      <c r="Z1240" s="4" t="s">
        <v>1338</v>
      </c>
      <c r="AA1240" s="4" t="s">
        <v>241</v>
      </c>
      <c r="AD1240" s="4" t="s">
        <v>241</v>
      </c>
      <c r="AE1240" s="5" t="s">
        <v>241</v>
      </c>
      <c r="AF1240" s="5" t="s">
        <v>241</v>
      </c>
      <c r="AH1240" s="5" t="s">
        <v>241</v>
      </c>
      <c r="AI1240" s="5" t="s">
        <v>249</v>
      </c>
      <c r="AJ1240" s="4" t="s">
        <v>251</v>
      </c>
      <c r="AK1240" s="4" t="s">
        <v>252</v>
      </c>
      <c r="AQ1240" s="4" t="s">
        <v>241</v>
      </c>
      <c r="AR1240" s="4" t="s">
        <v>241</v>
      </c>
      <c r="AS1240" s="4" t="s">
        <v>241</v>
      </c>
      <c r="AT1240" s="5" t="s">
        <v>241</v>
      </c>
      <c r="AU1240" s="5" t="s">
        <v>241</v>
      </c>
      <c r="AV1240" s="5" t="s">
        <v>241</v>
      </c>
      <c r="AY1240" s="4" t="s">
        <v>286</v>
      </c>
      <c r="AZ1240" s="4" t="s">
        <v>286</v>
      </c>
      <c r="BA1240" s="4" t="s">
        <v>254</v>
      </c>
      <c r="BB1240" s="4" t="s">
        <v>287</v>
      </c>
      <c r="BC1240" s="4" t="s">
        <v>255</v>
      </c>
      <c r="BD1240" s="4" t="s">
        <v>241</v>
      </c>
      <c r="BE1240" s="4" t="s">
        <v>257</v>
      </c>
      <c r="BF1240" s="4" t="s">
        <v>241</v>
      </c>
      <c r="BJ1240" s="4" t="s">
        <v>288</v>
      </c>
      <c r="BK1240" s="5" t="s">
        <v>289</v>
      </c>
      <c r="BL1240" s="4" t="s">
        <v>290</v>
      </c>
      <c r="BM1240" s="4" t="s">
        <v>290</v>
      </c>
      <c r="BN1240" s="4" t="s">
        <v>241</v>
      </c>
      <c r="BO1240" s="6">
        <f>0</f>
        <v>0</v>
      </c>
      <c r="BP1240" s="6">
        <f>-8296002</f>
        <v>-8296002</v>
      </c>
      <c r="BQ1240" s="4" t="s">
        <v>263</v>
      </c>
      <c r="BR1240" s="4" t="s">
        <v>264</v>
      </c>
      <c r="BS1240" s="4" t="s">
        <v>241</v>
      </c>
      <c r="BT1240" s="4" t="s">
        <v>241</v>
      </c>
      <c r="BU1240" s="4" t="s">
        <v>241</v>
      </c>
      <c r="BV1240" s="4" t="s">
        <v>241</v>
      </c>
      <c r="CE1240" s="4" t="s">
        <v>264</v>
      </c>
      <c r="CF1240" s="4" t="s">
        <v>241</v>
      </c>
      <c r="CG1240" s="4" t="s">
        <v>241</v>
      </c>
      <c r="CK1240" s="4" t="s">
        <v>291</v>
      </c>
      <c r="CL1240" s="4" t="s">
        <v>266</v>
      </c>
      <c r="CM1240" s="4" t="s">
        <v>241</v>
      </c>
      <c r="CO1240" s="4" t="s">
        <v>446</v>
      </c>
      <c r="CP1240" s="5" t="s">
        <v>268</v>
      </c>
      <c r="CQ1240" s="4" t="s">
        <v>269</v>
      </c>
      <c r="CR1240" s="4" t="s">
        <v>270</v>
      </c>
      <c r="CS1240" s="4" t="s">
        <v>293</v>
      </c>
      <c r="CT1240" s="4" t="s">
        <v>241</v>
      </c>
      <c r="CU1240" s="4">
        <v>3.3000000000000002E-2</v>
      </c>
      <c r="CV1240" s="4" t="s">
        <v>271</v>
      </c>
      <c r="CW1240" s="4" t="s">
        <v>1920</v>
      </c>
      <c r="CX1240" s="4" t="s">
        <v>487</v>
      </c>
      <c r="CY1240" s="6">
        <f>0</f>
        <v>0</v>
      </c>
      <c r="CZ1240" s="6">
        <f>251394000</f>
        <v>251394000</v>
      </c>
      <c r="DA1240" s="6">
        <f>102065964</f>
        <v>102065964</v>
      </c>
      <c r="DC1240" s="4" t="s">
        <v>241</v>
      </c>
      <c r="DD1240" s="4" t="s">
        <v>241</v>
      </c>
      <c r="DF1240" s="4" t="s">
        <v>241</v>
      </c>
      <c r="DG1240" s="6">
        <f>0</f>
        <v>0</v>
      </c>
      <c r="DI1240" s="4" t="s">
        <v>241</v>
      </c>
      <c r="DJ1240" s="4" t="s">
        <v>241</v>
      </c>
      <c r="DK1240" s="4" t="s">
        <v>241</v>
      </c>
      <c r="DL1240" s="4" t="s">
        <v>241</v>
      </c>
      <c r="DM1240" s="4" t="s">
        <v>277</v>
      </c>
      <c r="DN1240" s="4" t="s">
        <v>278</v>
      </c>
      <c r="DO1240" s="6">
        <f>3223</f>
        <v>3223</v>
      </c>
      <c r="DP1240" s="4" t="s">
        <v>241</v>
      </c>
      <c r="DQ1240" s="4" t="s">
        <v>241</v>
      </c>
      <c r="DR1240" s="4" t="s">
        <v>241</v>
      </c>
      <c r="DS1240" s="4" t="s">
        <v>241</v>
      </c>
      <c r="DV1240" s="4" t="s">
        <v>1946</v>
      </c>
      <c r="DW1240" s="4" t="s">
        <v>323</v>
      </c>
      <c r="GN1240" s="4" t="s">
        <v>1947</v>
      </c>
      <c r="HO1240" s="4" t="s">
        <v>341</v>
      </c>
      <c r="HR1240" s="4" t="s">
        <v>278</v>
      </c>
      <c r="HS1240" s="4" t="s">
        <v>278</v>
      </c>
      <c r="HT1240" s="4" t="s">
        <v>241</v>
      </c>
      <c r="HU1240" s="4" t="s">
        <v>241</v>
      </c>
      <c r="HV1240" s="4" t="s">
        <v>241</v>
      </c>
      <c r="HW1240" s="4" t="s">
        <v>241</v>
      </c>
      <c r="HX1240" s="4" t="s">
        <v>241</v>
      </c>
      <c r="HY1240" s="4" t="s">
        <v>241</v>
      </c>
      <c r="HZ1240" s="4" t="s">
        <v>241</v>
      </c>
      <c r="IA1240" s="4" t="s">
        <v>241</v>
      </c>
      <c r="IB1240" s="4" t="s">
        <v>241</v>
      </c>
      <c r="IC1240" s="4" t="s">
        <v>241</v>
      </c>
      <c r="ID1240" s="4" t="s">
        <v>241</v>
      </c>
      <c r="IE1240" s="4" t="s">
        <v>241</v>
      </c>
      <c r="IF1240" s="4" t="s">
        <v>241</v>
      </c>
    </row>
    <row r="1241" spans="1:240" x14ac:dyDescent="0.4">
      <c r="A1241" s="4">
        <v>2</v>
      </c>
      <c r="B1241" s="4" t="s">
        <v>239</v>
      </c>
      <c r="C1241" s="4">
        <v>1549</v>
      </c>
      <c r="D1241" s="4">
        <v>1</v>
      </c>
      <c r="E1241" s="4">
        <v>1</v>
      </c>
      <c r="F1241" s="4" t="s">
        <v>240</v>
      </c>
      <c r="G1241" s="4" t="s">
        <v>241</v>
      </c>
      <c r="H1241" s="4" t="s">
        <v>241</v>
      </c>
      <c r="I1241" s="4" t="s">
        <v>1963</v>
      </c>
      <c r="J1241" s="4" t="s">
        <v>1404</v>
      </c>
      <c r="K1241" s="4" t="s">
        <v>256</v>
      </c>
      <c r="L1241" s="4" t="s">
        <v>1935</v>
      </c>
      <c r="M1241" s="5" t="s">
        <v>1965</v>
      </c>
      <c r="N1241" s="4" t="s">
        <v>1935</v>
      </c>
      <c r="O1241" s="6">
        <f>770</f>
        <v>770</v>
      </c>
      <c r="P1241" s="4" t="s">
        <v>276</v>
      </c>
      <c r="Q1241" s="6">
        <f>1</f>
        <v>1</v>
      </c>
      <c r="R1241" s="6">
        <f>167090000</f>
        <v>167090000</v>
      </c>
      <c r="S1241" s="5" t="s">
        <v>1964</v>
      </c>
      <c r="T1241" s="4" t="s">
        <v>441</v>
      </c>
      <c r="U1241" s="4" t="s">
        <v>441</v>
      </c>
      <c r="W1241" s="6">
        <f>167089999</f>
        <v>167089999</v>
      </c>
      <c r="X1241" s="4" t="s">
        <v>243</v>
      </c>
      <c r="Y1241" s="4" t="s">
        <v>244</v>
      </c>
      <c r="Z1241" s="4" t="s">
        <v>1338</v>
      </c>
      <c r="AA1241" s="4" t="s">
        <v>241</v>
      </c>
      <c r="AD1241" s="4" t="s">
        <v>241</v>
      </c>
      <c r="AF1241" s="5" t="s">
        <v>241</v>
      </c>
      <c r="AI1241" s="5" t="s">
        <v>249</v>
      </c>
      <c r="AJ1241" s="4" t="s">
        <v>251</v>
      </c>
      <c r="AK1241" s="4" t="s">
        <v>252</v>
      </c>
      <c r="BA1241" s="4" t="s">
        <v>254</v>
      </c>
      <c r="BB1241" s="4" t="s">
        <v>241</v>
      </c>
      <c r="BC1241" s="4" t="s">
        <v>255</v>
      </c>
      <c r="BD1241" s="4" t="s">
        <v>241</v>
      </c>
      <c r="BE1241" s="4" t="s">
        <v>257</v>
      </c>
      <c r="BF1241" s="4" t="s">
        <v>241</v>
      </c>
      <c r="BJ1241" s="4" t="s">
        <v>367</v>
      </c>
      <c r="BK1241" s="5" t="s">
        <v>249</v>
      </c>
      <c r="BL1241" s="4" t="s">
        <v>261</v>
      </c>
      <c r="BM1241" s="4" t="s">
        <v>290</v>
      </c>
      <c r="BN1241" s="4" t="s">
        <v>241</v>
      </c>
      <c r="BO1241" s="6">
        <f>0</f>
        <v>0</v>
      </c>
      <c r="BP1241" s="6">
        <f>0</f>
        <v>0</v>
      </c>
      <c r="BQ1241" s="4" t="s">
        <v>263</v>
      </c>
      <c r="BR1241" s="4" t="s">
        <v>264</v>
      </c>
      <c r="CF1241" s="4" t="s">
        <v>241</v>
      </c>
      <c r="CG1241" s="4" t="s">
        <v>241</v>
      </c>
      <c r="CK1241" s="4" t="s">
        <v>291</v>
      </c>
      <c r="CL1241" s="4" t="s">
        <v>266</v>
      </c>
      <c r="CM1241" s="4" t="s">
        <v>241</v>
      </c>
      <c r="CO1241" s="4" t="s">
        <v>398</v>
      </c>
      <c r="CP1241" s="5" t="s">
        <v>268</v>
      </c>
      <c r="CQ1241" s="4" t="s">
        <v>269</v>
      </c>
      <c r="CR1241" s="4" t="s">
        <v>270</v>
      </c>
      <c r="CS1241" s="4" t="s">
        <v>241</v>
      </c>
      <c r="CT1241" s="4" t="s">
        <v>241</v>
      </c>
      <c r="CU1241" s="4">
        <v>0</v>
      </c>
      <c r="CV1241" s="4" t="s">
        <v>271</v>
      </c>
      <c r="CW1241" s="4" t="s">
        <v>1920</v>
      </c>
      <c r="CX1241" s="4" t="s">
        <v>487</v>
      </c>
      <c r="CZ1241" s="6">
        <f>167090000</f>
        <v>167090000</v>
      </c>
      <c r="DA1241" s="6">
        <f>0</f>
        <v>0</v>
      </c>
      <c r="DC1241" s="4" t="s">
        <v>241</v>
      </c>
      <c r="DD1241" s="4" t="s">
        <v>241</v>
      </c>
      <c r="DF1241" s="4" t="s">
        <v>241</v>
      </c>
      <c r="DI1241" s="4" t="s">
        <v>241</v>
      </c>
      <c r="DJ1241" s="4" t="s">
        <v>241</v>
      </c>
      <c r="DK1241" s="4" t="s">
        <v>241</v>
      </c>
      <c r="DL1241" s="4" t="s">
        <v>241</v>
      </c>
      <c r="DM1241" s="4" t="s">
        <v>277</v>
      </c>
      <c r="DN1241" s="4" t="s">
        <v>278</v>
      </c>
      <c r="DO1241" s="6">
        <f>770</f>
        <v>770</v>
      </c>
      <c r="DP1241" s="4" t="s">
        <v>241</v>
      </c>
      <c r="DQ1241" s="4" t="s">
        <v>241</v>
      </c>
      <c r="DR1241" s="4" t="s">
        <v>241</v>
      </c>
      <c r="DS1241" s="4" t="s">
        <v>241</v>
      </c>
      <c r="DV1241" s="4" t="s">
        <v>1966</v>
      </c>
      <c r="DW1241" s="4" t="s">
        <v>277</v>
      </c>
      <c r="HO1241" s="4" t="s">
        <v>297</v>
      </c>
      <c r="HR1241" s="4" t="s">
        <v>278</v>
      </c>
      <c r="HS1241" s="4" t="s">
        <v>278</v>
      </c>
    </row>
    <row r="1242" spans="1:240" x14ac:dyDescent="0.4">
      <c r="A1242" s="4">
        <v>2</v>
      </c>
      <c r="B1242" s="4" t="s">
        <v>239</v>
      </c>
      <c r="C1242" s="4">
        <v>1550</v>
      </c>
      <c r="D1242" s="4">
        <v>1</v>
      </c>
      <c r="E1242" s="4">
        <v>3</v>
      </c>
      <c r="F1242" s="4" t="s">
        <v>240</v>
      </c>
      <c r="G1242" s="4" t="s">
        <v>241</v>
      </c>
      <c r="H1242" s="4" t="s">
        <v>241</v>
      </c>
      <c r="I1242" s="4" t="s">
        <v>1441</v>
      </c>
      <c r="J1242" s="4" t="s">
        <v>1404</v>
      </c>
      <c r="K1242" s="4" t="s">
        <v>256</v>
      </c>
      <c r="L1242" s="4" t="s">
        <v>1336</v>
      </c>
      <c r="M1242" s="5" t="s">
        <v>1443</v>
      </c>
      <c r="N1242" s="4" t="s">
        <v>1336</v>
      </c>
      <c r="O1242" s="6">
        <f>39.75</f>
        <v>39.75</v>
      </c>
      <c r="P1242" s="4" t="s">
        <v>276</v>
      </c>
      <c r="Q1242" s="6">
        <f>1655834</f>
        <v>1655834</v>
      </c>
      <c r="R1242" s="6">
        <f>5048250</f>
        <v>5048250</v>
      </c>
      <c r="S1242" s="5" t="s">
        <v>1442</v>
      </c>
      <c r="T1242" s="4" t="s">
        <v>274</v>
      </c>
      <c r="U1242" s="4" t="s">
        <v>348</v>
      </c>
      <c r="V1242" s="6">
        <f>212026</f>
        <v>212026</v>
      </c>
      <c r="W1242" s="6">
        <f>3392416</f>
        <v>3392416</v>
      </c>
      <c r="X1242" s="4" t="s">
        <v>243</v>
      </c>
      <c r="Y1242" s="4" t="s">
        <v>244</v>
      </c>
      <c r="Z1242" s="4" t="s">
        <v>1338</v>
      </c>
      <c r="AA1242" s="4" t="s">
        <v>241</v>
      </c>
      <c r="AD1242" s="4" t="s">
        <v>241</v>
      </c>
      <c r="AE1242" s="5" t="s">
        <v>241</v>
      </c>
      <c r="AF1242" s="5" t="s">
        <v>241</v>
      </c>
      <c r="AH1242" s="5" t="s">
        <v>241</v>
      </c>
      <c r="AI1242" s="5" t="s">
        <v>249</v>
      </c>
      <c r="AJ1242" s="4" t="s">
        <v>251</v>
      </c>
      <c r="AK1242" s="4" t="s">
        <v>252</v>
      </c>
      <c r="AQ1242" s="4" t="s">
        <v>241</v>
      </c>
      <c r="AR1242" s="4" t="s">
        <v>241</v>
      </c>
      <c r="AS1242" s="4" t="s">
        <v>241</v>
      </c>
      <c r="AT1242" s="5" t="s">
        <v>241</v>
      </c>
      <c r="AU1242" s="5" t="s">
        <v>241</v>
      </c>
      <c r="AV1242" s="5" t="s">
        <v>241</v>
      </c>
      <c r="AY1242" s="4" t="s">
        <v>286</v>
      </c>
      <c r="AZ1242" s="4" t="s">
        <v>286</v>
      </c>
      <c r="BA1242" s="4" t="s">
        <v>254</v>
      </c>
      <c r="BB1242" s="4" t="s">
        <v>287</v>
      </c>
      <c r="BC1242" s="4" t="s">
        <v>255</v>
      </c>
      <c r="BD1242" s="4" t="s">
        <v>241</v>
      </c>
      <c r="BE1242" s="4" t="s">
        <v>257</v>
      </c>
      <c r="BF1242" s="4" t="s">
        <v>241</v>
      </c>
      <c r="BJ1242" s="4" t="s">
        <v>288</v>
      </c>
      <c r="BK1242" s="5" t="s">
        <v>289</v>
      </c>
      <c r="BL1242" s="4" t="s">
        <v>290</v>
      </c>
      <c r="BM1242" s="4" t="s">
        <v>290</v>
      </c>
      <c r="BN1242" s="4" t="s">
        <v>241</v>
      </c>
      <c r="BO1242" s="6">
        <f>0</f>
        <v>0</v>
      </c>
      <c r="BP1242" s="6">
        <f>-212026</f>
        <v>-212026</v>
      </c>
      <c r="BQ1242" s="4" t="s">
        <v>263</v>
      </c>
      <c r="BR1242" s="4" t="s">
        <v>264</v>
      </c>
      <c r="BS1242" s="4" t="s">
        <v>241</v>
      </c>
      <c r="BT1242" s="4" t="s">
        <v>241</v>
      </c>
      <c r="BU1242" s="4" t="s">
        <v>241</v>
      </c>
      <c r="BV1242" s="4" t="s">
        <v>241</v>
      </c>
      <c r="CE1242" s="4" t="s">
        <v>264</v>
      </c>
      <c r="CF1242" s="4" t="s">
        <v>241</v>
      </c>
      <c r="CG1242" s="4" t="s">
        <v>241</v>
      </c>
      <c r="CK1242" s="4" t="s">
        <v>291</v>
      </c>
      <c r="CL1242" s="4" t="s">
        <v>266</v>
      </c>
      <c r="CM1242" s="4" t="s">
        <v>241</v>
      </c>
      <c r="CO1242" s="4" t="s">
        <v>1444</v>
      </c>
      <c r="CP1242" s="5" t="s">
        <v>268</v>
      </c>
      <c r="CQ1242" s="4" t="s">
        <v>269</v>
      </c>
      <c r="CR1242" s="4" t="s">
        <v>270</v>
      </c>
      <c r="CS1242" s="4" t="s">
        <v>293</v>
      </c>
      <c r="CT1242" s="4" t="s">
        <v>241</v>
      </c>
      <c r="CU1242" s="4">
        <v>4.2000000000000003E-2</v>
      </c>
      <c r="CV1242" s="4" t="s">
        <v>271</v>
      </c>
      <c r="CW1242" s="4" t="s">
        <v>1329</v>
      </c>
      <c r="CX1242" s="4" t="s">
        <v>347</v>
      </c>
      <c r="CY1242" s="6">
        <f>0</f>
        <v>0</v>
      </c>
      <c r="CZ1242" s="6">
        <f>5048250</f>
        <v>5048250</v>
      </c>
      <c r="DA1242" s="6">
        <f>1655834</f>
        <v>1655834</v>
      </c>
      <c r="DC1242" s="4" t="s">
        <v>241</v>
      </c>
      <c r="DD1242" s="4" t="s">
        <v>241</v>
      </c>
      <c r="DF1242" s="4" t="s">
        <v>241</v>
      </c>
      <c r="DG1242" s="6">
        <f>0</f>
        <v>0</v>
      </c>
      <c r="DI1242" s="4" t="s">
        <v>241</v>
      </c>
      <c r="DJ1242" s="4" t="s">
        <v>241</v>
      </c>
      <c r="DK1242" s="4" t="s">
        <v>241</v>
      </c>
      <c r="DL1242" s="4" t="s">
        <v>241</v>
      </c>
      <c r="DM1242" s="4" t="s">
        <v>277</v>
      </c>
      <c r="DN1242" s="4" t="s">
        <v>278</v>
      </c>
      <c r="DO1242" s="6">
        <f>39.75</f>
        <v>39.75</v>
      </c>
      <c r="DP1242" s="4" t="s">
        <v>241</v>
      </c>
      <c r="DQ1242" s="4" t="s">
        <v>241</v>
      </c>
      <c r="DR1242" s="4" t="s">
        <v>241</v>
      </c>
      <c r="DS1242" s="4" t="s">
        <v>241</v>
      </c>
      <c r="DV1242" s="4" t="s">
        <v>1445</v>
      </c>
      <c r="DW1242" s="4" t="s">
        <v>277</v>
      </c>
      <c r="GN1242" s="4" t="s">
        <v>1446</v>
      </c>
      <c r="HO1242" s="4" t="s">
        <v>341</v>
      </c>
      <c r="HR1242" s="4" t="s">
        <v>278</v>
      </c>
      <c r="HS1242" s="4" t="s">
        <v>278</v>
      </c>
      <c r="HT1242" s="4" t="s">
        <v>241</v>
      </c>
      <c r="HU1242" s="4" t="s">
        <v>241</v>
      </c>
      <c r="HV1242" s="4" t="s">
        <v>241</v>
      </c>
      <c r="HW1242" s="4" t="s">
        <v>241</v>
      </c>
      <c r="HX1242" s="4" t="s">
        <v>241</v>
      </c>
      <c r="HY1242" s="4" t="s">
        <v>241</v>
      </c>
      <c r="HZ1242" s="4" t="s">
        <v>241</v>
      </c>
      <c r="IA1242" s="4" t="s">
        <v>241</v>
      </c>
      <c r="IB1242" s="4" t="s">
        <v>241</v>
      </c>
      <c r="IC1242" s="4" t="s">
        <v>241</v>
      </c>
      <c r="ID1242" s="4" t="s">
        <v>241</v>
      </c>
      <c r="IE1242" s="4" t="s">
        <v>241</v>
      </c>
      <c r="IF1242" s="4" t="s">
        <v>241</v>
      </c>
    </row>
    <row r="1243" spans="1:240" x14ac:dyDescent="0.4">
      <c r="A1243" s="4">
        <v>2</v>
      </c>
      <c r="B1243" s="4" t="s">
        <v>239</v>
      </c>
      <c r="C1243" s="4">
        <v>1551</v>
      </c>
      <c r="D1243" s="4">
        <v>1</v>
      </c>
      <c r="E1243" s="4">
        <v>3</v>
      </c>
      <c r="F1243" s="4" t="s">
        <v>240</v>
      </c>
      <c r="G1243" s="4" t="s">
        <v>241</v>
      </c>
      <c r="H1243" s="4" t="s">
        <v>241</v>
      </c>
      <c r="I1243" s="4" t="s">
        <v>1441</v>
      </c>
      <c r="J1243" s="4" t="s">
        <v>1404</v>
      </c>
      <c r="K1243" s="4" t="s">
        <v>256</v>
      </c>
      <c r="L1243" s="4" t="s">
        <v>1941</v>
      </c>
      <c r="M1243" s="5" t="s">
        <v>1443</v>
      </c>
      <c r="N1243" s="4" t="s">
        <v>1941</v>
      </c>
      <c r="O1243" s="6">
        <f>2805.9</f>
        <v>2805.9</v>
      </c>
      <c r="P1243" s="4" t="s">
        <v>276</v>
      </c>
      <c r="Q1243" s="6">
        <f>28681914</f>
        <v>28681914</v>
      </c>
      <c r="R1243" s="6">
        <f>53312100</f>
        <v>53312100</v>
      </c>
      <c r="S1243" s="5" t="s">
        <v>1449</v>
      </c>
      <c r="T1243" s="4" t="s">
        <v>441</v>
      </c>
      <c r="U1243" s="4" t="s">
        <v>322</v>
      </c>
      <c r="V1243" s="6">
        <f>1759299</f>
        <v>1759299</v>
      </c>
      <c r="W1243" s="6">
        <f>24630186</f>
        <v>24630186</v>
      </c>
      <c r="X1243" s="4" t="s">
        <v>243</v>
      </c>
      <c r="Y1243" s="4" t="s">
        <v>244</v>
      </c>
      <c r="Z1243" s="4" t="s">
        <v>1338</v>
      </c>
      <c r="AA1243" s="4" t="s">
        <v>241</v>
      </c>
      <c r="AD1243" s="4" t="s">
        <v>241</v>
      </c>
      <c r="AE1243" s="5" t="s">
        <v>241</v>
      </c>
      <c r="AF1243" s="5" t="s">
        <v>241</v>
      </c>
      <c r="AH1243" s="5" t="s">
        <v>241</v>
      </c>
      <c r="AI1243" s="5" t="s">
        <v>249</v>
      </c>
      <c r="AJ1243" s="4" t="s">
        <v>251</v>
      </c>
      <c r="AK1243" s="4" t="s">
        <v>252</v>
      </c>
      <c r="AQ1243" s="4" t="s">
        <v>241</v>
      </c>
      <c r="AR1243" s="4" t="s">
        <v>241</v>
      </c>
      <c r="AS1243" s="4" t="s">
        <v>241</v>
      </c>
      <c r="AT1243" s="5" t="s">
        <v>241</v>
      </c>
      <c r="AU1243" s="5" t="s">
        <v>241</v>
      </c>
      <c r="AV1243" s="5" t="s">
        <v>241</v>
      </c>
      <c r="AY1243" s="4" t="s">
        <v>286</v>
      </c>
      <c r="AZ1243" s="4" t="s">
        <v>286</v>
      </c>
      <c r="BA1243" s="4" t="s">
        <v>254</v>
      </c>
      <c r="BB1243" s="4" t="s">
        <v>287</v>
      </c>
      <c r="BC1243" s="4" t="s">
        <v>255</v>
      </c>
      <c r="BD1243" s="4" t="s">
        <v>241</v>
      </c>
      <c r="BE1243" s="4" t="s">
        <v>257</v>
      </c>
      <c r="BF1243" s="4" t="s">
        <v>241</v>
      </c>
      <c r="BJ1243" s="4" t="s">
        <v>288</v>
      </c>
      <c r="BK1243" s="5" t="s">
        <v>289</v>
      </c>
      <c r="BL1243" s="4" t="s">
        <v>290</v>
      </c>
      <c r="BM1243" s="4" t="s">
        <v>290</v>
      </c>
      <c r="BN1243" s="4" t="s">
        <v>241</v>
      </c>
      <c r="BO1243" s="6">
        <f>0</f>
        <v>0</v>
      </c>
      <c r="BP1243" s="6">
        <f>-1759299</f>
        <v>-1759299</v>
      </c>
      <c r="BQ1243" s="4" t="s">
        <v>263</v>
      </c>
      <c r="BR1243" s="4" t="s">
        <v>264</v>
      </c>
      <c r="BS1243" s="4" t="s">
        <v>241</v>
      </c>
      <c r="BT1243" s="4" t="s">
        <v>241</v>
      </c>
      <c r="BU1243" s="4" t="s">
        <v>241</v>
      </c>
      <c r="BV1243" s="4" t="s">
        <v>241</v>
      </c>
      <c r="CE1243" s="4" t="s">
        <v>264</v>
      </c>
      <c r="CF1243" s="4" t="s">
        <v>241</v>
      </c>
      <c r="CG1243" s="4" t="s">
        <v>241</v>
      </c>
      <c r="CK1243" s="4" t="s">
        <v>291</v>
      </c>
      <c r="CL1243" s="4" t="s">
        <v>266</v>
      </c>
      <c r="CM1243" s="4" t="s">
        <v>241</v>
      </c>
      <c r="CO1243" s="4" t="s">
        <v>321</v>
      </c>
      <c r="CP1243" s="5" t="s">
        <v>268</v>
      </c>
      <c r="CQ1243" s="4" t="s">
        <v>269</v>
      </c>
      <c r="CR1243" s="4" t="s">
        <v>270</v>
      </c>
      <c r="CS1243" s="4" t="s">
        <v>293</v>
      </c>
      <c r="CT1243" s="4" t="s">
        <v>241</v>
      </c>
      <c r="CU1243" s="4">
        <v>3.3000000000000002E-2</v>
      </c>
      <c r="CV1243" s="4" t="s">
        <v>271</v>
      </c>
      <c r="CW1243" s="4" t="s">
        <v>1920</v>
      </c>
      <c r="CX1243" s="4" t="s">
        <v>487</v>
      </c>
      <c r="CY1243" s="6">
        <f>0</f>
        <v>0</v>
      </c>
      <c r="CZ1243" s="6">
        <f>53312100</f>
        <v>53312100</v>
      </c>
      <c r="DA1243" s="6">
        <f>28681914</f>
        <v>28681914</v>
      </c>
      <c r="DC1243" s="4" t="s">
        <v>241</v>
      </c>
      <c r="DD1243" s="4" t="s">
        <v>241</v>
      </c>
      <c r="DF1243" s="4" t="s">
        <v>241</v>
      </c>
      <c r="DG1243" s="6">
        <f>0</f>
        <v>0</v>
      </c>
      <c r="DI1243" s="4" t="s">
        <v>241</v>
      </c>
      <c r="DJ1243" s="4" t="s">
        <v>241</v>
      </c>
      <c r="DK1243" s="4" t="s">
        <v>241</v>
      </c>
      <c r="DL1243" s="4" t="s">
        <v>241</v>
      </c>
      <c r="DM1243" s="4" t="s">
        <v>277</v>
      </c>
      <c r="DN1243" s="4" t="s">
        <v>278</v>
      </c>
      <c r="DO1243" s="6">
        <f>2805.9</f>
        <v>2805.9</v>
      </c>
      <c r="DP1243" s="4" t="s">
        <v>241</v>
      </c>
      <c r="DQ1243" s="4" t="s">
        <v>241</v>
      </c>
      <c r="DR1243" s="4" t="s">
        <v>241</v>
      </c>
      <c r="DS1243" s="4" t="s">
        <v>241</v>
      </c>
      <c r="DV1243" s="4" t="s">
        <v>1445</v>
      </c>
      <c r="DW1243" s="4" t="s">
        <v>323</v>
      </c>
      <c r="GN1243" s="4" t="s">
        <v>1948</v>
      </c>
      <c r="HO1243" s="4" t="s">
        <v>341</v>
      </c>
      <c r="HR1243" s="4" t="s">
        <v>278</v>
      </c>
      <c r="HS1243" s="4" t="s">
        <v>278</v>
      </c>
      <c r="HT1243" s="4" t="s">
        <v>241</v>
      </c>
      <c r="HU1243" s="4" t="s">
        <v>241</v>
      </c>
      <c r="HV1243" s="4" t="s">
        <v>241</v>
      </c>
      <c r="HW1243" s="4" t="s">
        <v>241</v>
      </c>
      <c r="HX1243" s="4" t="s">
        <v>241</v>
      </c>
      <c r="HY1243" s="4" t="s">
        <v>241</v>
      </c>
      <c r="HZ1243" s="4" t="s">
        <v>241</v>
      </c>
      <c r="IA1243" s="4" t="s">
        <v>241</v>
      </c>
      <c r="IB1243" s="4" t="s">
        <v>241</v>
      </c>
      <c r="IC1243" s="4" t="s">
        <v>241</v>
      </c>
      <c r="ID1243" s="4" t="s">
        <v>241</v>
      </c>
      <c r="IE1243" s="4" t="s">
        <v>241</v>
      </c>
      <c r="IF1243" s="4" t="s">
        <v>241</v>
      </c>
    </row>
    <row r="1244" spans="1:240" x14ac:dyDescent="0.4">
      <c r="A1244" s="4">
        <v>2</v>
      </c>
      <c r="B1244" s="4" t="s">
        <v>239</v>
      </c>
      <c r="C1244" s="4">
        <v>1552</v>
      </c>
      <c r="D1244" s="4">
        <v>1</v>
      </c>
      <c r="E1244" s="4">
        <v>3</v>
      </c>
      <c r="F1244" s="4" t="s">
        <v>240</v>
      </c>
      <c r="G1244" s="4" t="s">
        <v>241</v>
      </c>
      <c r="H1244" s="4" t="s">
        <v>241</v>
      </c>
      <c r="I1244" s="4" t="s">
        <v>1441</v>
      </c>
      <c r="J1244" s="4" t="s">
        <v>1404</v>
      </c>
      <c r="K1244" s="4" t="s">
        <v>256</v>
      </c>
      <c r="L1244" s="4" t="s">
        <v>1941</v>
      </c>
      <c r="M1244" s="5" t="s">
        <v>1443</v>
      </c>
      <c r="N1244" s="4" t="s">
        <v>1941</v>
      </c>
      <c r="O1244" s="6">
        <f>1080</f>
        <v>1080</v>
      </c>
      <c r="P1244" s="4" t="s">
        <v>276</v>
      </c>
      <c r="Q1244" s="6">
        <f>10914480</f>
        <v>10914480</v>
      </c>
      <c r="R1244" s="6">
        <f>176040000</f>
        <v>176040000</v>
      </c>
      <c r="S1244" s="5" t="s">
        <v>1449</v>
      </c>
      <c r="T1244" s="4" t="s">
        <v>348</v>
      </c>
      <c r="U1244" s="4" t="s">
        <v>322</v>
      </c>
      <c r="V1244" s="6">
        <f>11794680</f>
        <v>11794680</v>
      </c>
      <c r="W1244" s="6">
        <f>165125520</f>
        <v>165125520</v>
      </c>
      <c r="X1244" s="4" t="s">
        <v>243</v>
      </c>
      <c r="Y1244" s="4" t="s">
        <v>244</v>
      </c>
      <c r="Z1244" s="4" t="s">
        <v>1338</v>
      </c>
      <c r="AA1244" s="4" t="s">
        <v>241</v>
      </c>
      <c r="AD1244" s="4" t="s">
        <v>241</v>
      </c>
      <c r="AE1244" s="5" t="s">
        <v>241</v>
      </c>
      <c r="AF1244" s="5" t="s">
        <v>241</v>
      </c>
      <c r="AH1244" s="5" t="s">
        <v>241</v>
      </c>
      <c r="AI1244" s="5" t="s">
        <v>249</v>
      </c>
      <c r="AJ1244" s="4" t="s">
        <v>251</v>
      </c>
      <c r="AK1244" s="4" t="s">
        <v>252</v>
      </c>
      <c r="AQ1244" s="4" t="s">
        <v>241</v>
      </c>
      <c r="AR1244" s="4" t="s">
        <v>241</v>
      </c>
      <c r="AS1244" s="4" t="s">
        <v>241</v>
      </c>
      <c r="AT1244" s="5" t="s">
        <v>241</v>
      </c>
      <c r="AU1244" s="5" t="s">
        <v>241</v>
      </c>
      <c r="AV1244" s="5" t="s">
        <v>241</v>
      </c>
      <c r="AY1244" s="4" t="s">
        <v>286</v>
      </c>
      <c r="AZ1244" s="4" t="s">
        <v>286</v>
      </c>
      <c r="BA1244" s="4" t="s">
        <v>254</v>
      </c>
      <c r="BB1244" s="4" t="s">
        <v>287</v>
      </c>
      <c r="BC1244" s="4" t="s">
        <v>255</v>
      </c>
      <c r="BD1244" s="4" t="s">
        <v>241</v>
      </c>
      <c r="BE1244" s="4" t="s">
        <v>257</v>
      </c>
      <c r="BF1244" s="4" t="s">
        <v>241</v>
      </c>
      <c r="BJ1244" s="4" t="s">
        <v>288</v>
      </c>
      <c r="BK1244" s="5" t="s">
        <v>289</v>
      </c>
      <c r="BL1244" s="4" t="s">
        <v>290</v>
      </c>
      <c r="BM1244" s="4" t="s">
        <v>290</v>
      </c>
      <c r="BN1244" s="4" t="s">
        <v>241</v>
      </c>
      <c r="BO1244" s="6">
        <f>0</f>
        <v>0</v>
      </c>
      <c r="BP1244" s="6">
        <f>-11794680</f>
        <v>-11794680</v>
      </c>
      <c r="BQ1244" s="4" t="s">
        <v>263</v>
      </c>
      <c r="BR1244" s="4" t="s">
        <v>264</v>
      </c>
      <c r="BS1244" s="4" t="s">
        <v>241</v>
      </c>
      <c r="BT1244" s="4" t="s">
        <v>241</v>
      </c>
      <c r="BU1244" s="4" t="s">
        <v>241</v>
      </c>
      <c r="BV1244" s="4" t="s">
        <v>241</v>
      </c>
      <c r="CE1244" s="4" t="s">
        <v>264</v>
      </c>
      <c r="CF1244" s="4" t="s">
        <v>241</v>
      </c>
      <c r="CG1244" s="4" t="s">
        <v>241</v>
      </c>
      <c r="CK1244" s="4" t="s">
        <v>291</v>
      </c>
      <c r="CL1244" s="4" t="s">
        <v>266</v>
      </c>
      <c r="CM1244" s="4" t="s">
        <v>241</v>
      </c>
      <c r="CO1244" s="4" t="s">
        <v>321</v>
      </c>
      <c r="CP1244" s="5" t="s">
        <v>268</v>
      </c>
      <c r="CQ1244" s="4" t="s">
        <v>269</v>
      </c>
      <c r="CR1244" s="4" t="s">
        <v>270</v>
      </c>
      <c r="CS1244" s="4" t="s">
        <v>293</v>
      </c>
      <c r="CT1244" s="4" t="s">
        <v>241</v>
      </c>
      <c r="CU1244" s="4">
        <v>6.7000000000000004E-2</v>
      </c>
      <c r="CV1244" s="4" t="s">
        <v>271</v>
      </c>
      <c r="CW1244" s="4" t="s">
        <v>1920</v>
      </c>
      <c r="CX1244" s="4" t="s">
        <v>347</v>
      </c>
      <c r="CY1244" s="6">
        <f>0</f>
        <v>0</v>
      </c>
      <c r="CZ1244" s="6">
        <f>176040000</f>
        <v>176040000</v>
      </c>
      <c r="DA1244" s="6">
        <f>10914480</f>
        <v>10914480</v>
      </c>
      <c r="DC1244" s="4" t="s">
        <v>241</v>
      </c>
      <c r="DD1244" s="4" t="s">
        <v>241</v>
      </c>
      <c r="DF1244" s="4" t="s">
        <v>241</v>
      </c>
      <c r="DG1244" s="6">
        <f>0</f>
        <v>0</v>
      </c>
      <c r="DI1244" s="4" t="s">
        <v>241</v>
      </c>
      <c r="DJ1244" s="4" t="s">
        <v>241</v>
      </c>
      <c r="DK1244" s="4" t="s">
        <v>241</v>
      </c>
      <c r="DL1244" s="4" t="s">
        <v>241</v>
      </c>
      <c r="DM1244" s="4" t="s">
        <v>277</v>
      </c>
      <c r="DN1244" s="4" t="s">
        <v>278</v>
      </c>
      <c r="DO1244" s="6">
        <f>1080</f>
        <v>1080</v>
      </c>
      <c r="DP1244" s="4" t="s">
        <v>241</v>
      </c>
      <c r="DQ1244" s="4" t="s">
        <v>241</v>
      </c>
      <c r="DR1244" s="4" t="s">
        <v>241</v>
      </c>
      <c r="DS1244" s="4" t="s">
        <v>241</v>
      </c>
      <c r="DV1244" s="4" t="s">
        <v>1445</v>
      </c>
      <c r="DW1244" s="4" t="s">
        <v>297</v>
      </c>
      <c r="GN1244" s="4" t="s">
        <v>1949</v>
      </c>
      <c r="HO1244" s="4" t="s">
        <v>341</v>
      </c>
      <c r="HR1244" s="4" t="s">
        <v>278</v>
      </c>
      <c r="HS1244" s="4" t="s">
        <v>278</v>
      </c>
      <c r="HT1244" s="4" t="s">
        <v>241</v>
      </c>
      <c r="HU1244" s="4" t="s">
        <v>241</v>
      </c>
      <c r="HV1244" s="4" t="s">
        <v>241</v>
      </c>
      <c r="HW1244" s="4" t="s">
        <v>241</v>
      </c>
      <c r="HX1244" s="4" t="s">
        <v>241</v>
      </c>
      <c r="HY1244" s="4" t="s">
        <v>241</v>
      </c>
      <c r="HZ1244" s="4" t="s">
        <v>241</v>
      </c>
      <c r="IA1244" s="4" t="s">
        <v>241</v>
      </c>
      <c r="IB1244" s="4" t="s">
        <v>241</v>
      </c>
      <c r="IC1244" s="4" t="s">
        <v>241</v>
      </c>
      <c r="ID1244" s="4" t="s">
        <v>241</v>
      </c>
      <c r="IE1244" s="4" t="s">
        <v>241</v>
      </c>
      <c r="IF1244" s="4" t="s">
        <v>241</v>
      </c>
    </row>
    <row r="1245" spans="1:240" x14ac:dyDescent="0.4">
      <c r="A1245" s="4">
        <v>2</v>
      </c>
      <c r="B1245" s="4" t="s">
        <v>239</v>
      </c>
      <c r="C1245" s="4">
        <v>1553</v>
      </c>
      <c r="D1245" s="4">
        <v>1</v>
      </c>
      <c r="E1245" s="4">
        <v>3</v>
      </c>
      <c r="F1245" s="4" t="s">
        <v>240</v>
      </c>
      <c r="G1245" s="4" t="s">
        <v>241</v>
      </c>
      <c r="H1245" s="4" t="s">
        <v>241</v>
      </c>
      <c r="I1245" s="4" t="s">
        <v>1441</v>
      </c>
      <c r="J1245" s="4" t="s">
        <v>1404</v>
      </c>
      <c r="K1245" s="4" t="s">
        <v>256</v>
      </c>
      <c r="L1245" s="4" t="s">
        <v>3764</v>
      </c>
      <c r="M1245" s="5" t="s">
        <v>1443</v>
      </c>
      <c r="N1245" s="4" t="s">
        <v>3764</v>
      </c>
      <c r="O1245" s="6">
        <f>963.5</f>
        <v>963.5</v>
      </c>
      <c r="P1245" s="4" t="s">
        <v>276</v>
      </c>
      <c r="Q1245" s="6">
        <f>49244492</f>
        <v>49244492</v>
      </c>
      <c r="R1245" s="6">
        <f>91532500</f>
        <v>91532500</v>
      </c>
      <c r="S1245" s="5" t="s">
        <v>1449</v>
      </c>
      <c r="T1245" s="4" t="s">
        <v>441</v>
      </c>
      <c r="U1245" s="4" t="s">
        <v>322</v>
      </c>
      <c r="V1245" s="6">
        <f>3020572</f>
        <v>3020572</v>
      </c>
      <c r="W1245" s="6">
        <f>42288008</f>
        <v>42288008</v>
      </c>
      <c r="X1245" s="4" t="s">
        <v>243</v>
      </c>
      <c r="Y1245" s="4" t="s">
        <v>244</v>
      </c>
      <c r="Z1245" s="4" t="s">
        <v>1338</v>
      </c>
      <c r="AA1245" s="4" t="s">
        <v>241</v>
      </c>
      <c r="AD1245" s="4" t="s">
        <v>241</v>
      </c>
      <c r="AE1245" s="5" t="s">
        <v>241</v>
      </c>
      <c r="AF1245" s="5" t="s">
        <v>241</v>
      </c>
      <c r="AH1245" s="5" t="s">
        <v>241</v>
      </c>
      <c r="AI1245" s="5" t="s">
        <v>249</v>
      </c>
      <c r="AJ1245" s="4" t="s">
        <v>251</v>
      </c>
      <c r="AK1245" s="4" t="s">
        <v>252</v>
      </c>
      <c r="AQ1245" s="4" t="s">
        <v>241</v>
      </c>
      <c r="AR1245" s="4" t="s">
        <v>241</v>
      </c>
      <c r="AS1245" s="4" t="s">
        <v>241</v>
      </c>
      <c r="AT1245" s="5" t="s">
        <v>241</v>
      </c>
      <c r="AU1245" s="5" t="s">
        <v>241</v>
      </c>
      <c r="AV1245" s="5" t="s">
        <v>241</v>
      </c>
      <c r="AY1245" s="4" t="s">
        <v>286</v>
      </c>
      <c r="AZ1245" s="4" t="s">
        <v>286</v>
      </c>
      <c r="BA1245" s="4" t="s">
        <v>254</v>
      </c>
      <c r="BB1245" s="4" t="s">
        <v>287</v>
      </c>
      <c r="BC1245" s="4" t="s">
        <v>255</v>
      </c>
      <c r="BD1245" s="4" t="s">
        <v>241</v>
      </c>
      <c r="BE1245" s="4" t="s">
        <v>257</v>
      </c>
      <c r="BF1245" s="4" t="s">
        <v>241</v>
      </c>
      <c r="BJ1245" s="4" t="s">
        <v>288</v>
      </c>
      <c r="BK1245" s="5" t="s">
        <v>289</v>
      </c>
      <c r="BL1245" s="4" t="s">
        <v>290</v>
      </c>
      <c r="BM1245" s="4" t="s">
        <v>290</v>
      </c>
      <c r="BN1245" s="4" t="s">
        <v>241</v>
      </c>
      <c r="BO1245" s="6">
        <f>0</f>
        <v>0</v>
      </c>
      <c r="BP1245" s="6">
        <f>-3020572</f>
        <v>-3020572</v>
      </c>
      <c r="BQ1245" s="4" t="s">
        <v>263</v>
      </c>
      <c r="BR1245" s="4" t="s">
        <v>264</v>
      </c>
      <c r="BS1245" s="4" t="s">
        <v>241</v>
      </c>
      <c r="BT1245" s="4" t="s">
        <v>241</v>
      </c>
      <c r="BU1245" s="4" t="s">
        <v>241</v>
      </c>
      <c r="BV1245" s="4" t="s">
        <v>241</v>
      </c>
      <c r="CE1245" s="4" t="s">
        <v>264</v>
      </c>
      <c r="CF1245" s="4" t="s">
        <v>241</v>
      </c>
      <c r="CG1245" s="4" t="s">
        <v>241</v>
      </c>
      <c r="CK1245" s="4" t="s">
        <v>291</v>
      </c>
      <c r="CL1245" s="4" t="s">
        <v>266</v>
      </c>
      <c r="CM1245" s="4" t="s">
        <v>241</v>
      </c>
      <c r="CO1245" s="4" t="s">
        <v>321</v>
      </c>
      <c r="CP1245" s="5" t="s">
        <v>268</v>
      </c>
      <c r="CQ1245" s="4" t="s">
        <v>269</v>
      </c>
      <c r="CR1245" s="4" t="s">
        <v>270</v>
      </c>
      <c r="CS1245" s="4" t="s">
        <v>293</v>
      </c>
      <c r="CT1245" s="4" t="s">
        <v>241</v>
      </c>
      <c r="CU1245" s="4">
        <v>3.3000000000000002E-2</v>
      </c>
      <c r="CV1245" s="4" t="s">
        <v>271</v>
      </c>
      <c r="CW1245" s="4" t="s">
        <v>272</v>
      </c>
      <c r="CX1245" s="4" t="s">
        <v>487</v>
      </c>
      <c r="CY1245" s="6">
        <f>0</f>
        <v>0</v>
      </c>
      <c r="CZ1245" s="6">
        <f>91532500</f>
        <v>91532500</v>
      </c>
      <c r="DA1245" s="6">
        <f>49244492</f>
        <v>49244492</v>
      </c>
      <c r="DC1245" s="4" t="s">
        <v>241</v>
      </c>
      <c r="DD1245" s="4" t="s">
        <v>241</v>
      </c>
      <c r="DF1245" s="4" t="s">
        <v>241</v>
      </c>
      <c r="DG1245" s="6">
        <f>0</f>
        <v>0</v>
      </c>
      <c r="DI1245" s="4" t="s">
        <v>241</v>
      </c>
      <c r="DJ1245" s="4" t="s">
        <v>241</v>
      </c>
      <c r="DK1245" s="4" t="s">
        <v>241</v>
      </c>
      <c r="DL1245" s="4" t="s">
        <v>241</v>
      </c>
      <c r="DM1245" s="4" t="s">
        <v>277</v>
      </c>
      <c r="DN1245" s="4" t="s">
        <v>278</v>
      </c>
      <c r="DO1245" s="6">
        <f>963.5</f>
        <v>963.5</v>
      </c>
      <c r="DP1245" s="4" t="s">
        <v>241</v>
      </c>
      <c r="DQ1245" s="4" t="s">
        <v>241</v>
      </c>
      <c r="DR1245" s="4" t="s">
        <v>241</v>
      </c>
      <c r="DS1245" s="4" t="s">
        <v>241</v>
      </c>
      <c r="DV1245" s="4" t="s">
        <v>1445</v>
      </c>
      <c r="DW1245" s="4" t="s">
        <v>336</v>
      </c>
      <c r="GN1245" s="4" t="s">
        <v>3769</v>
      </c>
      <c r="HO1245" s="4" t="s">
        <v>341</v>
      </c>
      <c r="HR1245" s="4" t="s">
        <v>278</v>
      </c>
      <c r="HS1245" s="4" t="s">
        <v>278</v>
      </c>
      <c r="HT1245" s="4" t="s">
        <v>241</v>
      </c>
      <c r="HU1245" s="4" t="s">
        <v>241</v>
      </c>
      <c r="HV1245" s="4" t="s">
        <v>241</v>
      </c>
      <c r="HW1245" s="4" t="s">
        <v>241</v>
      </c>
      <c r="HX1245" s="4" t="s">
        <v>241</v>
      </c>
      <c r="HY1245" s="4" t="s">
        <v>241</v>
      </c>
      <c r="HZ1245" s="4" t="s">
        <v>241</v>
      </c>
      <c r="IA1245" s="4" t="s">
        <v>241</v>
      </c>
      <c r="IB1245" s="4" t="s">
        <v>241</v>
      </c>
      <c r="IC1245" s="4" t="s">
        <v>241</v>
      </c>
      <c r="ID1245" s="4" t="s">
        <v>241</v>
      </c>
      <c r="IE1245" s="4" t="s">
        <v>241</v>
      </c>
      <c r="IF1245" s="4" t="s">
        <v>241</v>
      </c>
    </row>
    <row r="1246" spans="1:240" x14ac:dyDescent="0.4">
      <c r="A1246" s="4">
        <v>2</v>
      </c>
      <c r="B1246" s="4" t="s">
        <v>239</v>
      </c>
      <c r="C1246" s="4">
        <v>1554</v>
      </c>
      <c r="D1246" s="4">
        <v>1</v>
      </c>
      <c r="E1246" s="4">
        <v>3</v>
      </c>
      <c r="F1246" s="4" t="s">
        <v>240</v>
      </c>
      <c r="G1246" s="4" t="s">
        <v>241</v>
      </c>
      <c r="H1246" s="4" t="s">
        <v>241</v>
      </c>
      <c r="I1246" s="4" t="s">
        <v>1403</v>
      </c>
      <c r="J1246" s="4" t="s">
        <v>1404</v>
      </c>
      <c r="K1246" s="4" t="s">
        <v>256</v>
      </c>
      <c r="L1246" s="4" t="s">
        <v>1935</v>
      </c>
      <c r="M1246" s="5" t="s">
        <v>1405</v>
      </c>
      <c r="N1246" s="4" t="s">
        <v>1950</v>
      </c>
      <c r="O1246" s="6">
        <f>1983.14</f>
        <v>1983.14</v>
      </c>
      <c r="P1246" s="4" t="s">
        <v>276</v>
      </c>
      <c r="Q1246" s="6">
        <f>37138280</f>
        <v>37138280</v>
      </c>
      <c r="R1246" s="6">
        <f>120971540</f>
        <v>120971540</v>
      </c>
      <c r="S1246" s="5" t="s">
        <v>447</v>
      </c>
      <c r="T1246" s="4" t="s">
        <v>441</v>
      </c>
      <c r="U1246" s="4" t="s">
        <v>335</v>
      </c>
      <c r="V1246" s="6">
        <f>3992060</f>
        <v>3992060</v>
      </c>
      <c r="W1246" s="6">
        <f>83833260</f>
        <v>83833260</v>
      </c>
      <c r="X1246" s="4" t="s">
        <v>243</v>
      </c>
      <c r="Y1246" s="4" t="s">
        <v>244</v>
      </c>
      <c r="Z1246" s="4" t="s">
        <v>1338</v>
      </c>
      <c r="AA1246" s="4" t="s">
        <v>241</v>
      </c>
      <c r="AD1246" s="4" t="s">
        <v>241</v>
      </c>
      <c r="AE1246" s="5" t="s">
        <v>241</v>
      </c>
      <c r="AF1246" s="5" t="s">
        <v>241</v>
      </c>
      <c r="AH1246" s="5" t="s">
        <v>241</v>
      </c>
      <c r="AI1246" s="5" t="s">
        <v>249</v>
      </c>
      <c r="AJ1246" s="4" t="s">
        <v>251</v>
      </c>
      <c r="AK1246" s="4" t="s">
        <v>252</v>
      </c>
      <c r="AQ1246" s="4" t="s">
        <v>241</v>
      </c>
      <c r="AR1246" s="4" t="s">
        <v>241</v>
      </c>
      <c r="AS1246" s="4" t="s">
        <v>241</v>
      </c>
      <c r="AT1246" s="5" t="s">
        <v>241</v>
      </c>
      <c r="AU1246" s="5" t="s">
        <v>241</v>
      </c>
      <c r="AV1246" s="5" t="s">
        <v>241</v>
      </c>
      <c r="AY1246" s="4" t="s">
        <v>286</v>
      </c>
      <c r="AZ1246" s="4" t="s">
        <v>286</v>
      </c>
      <c r="BA1246" s="4" t="s">
        <v>254</v>
      </c>
      <c r="BB1246" s="4" t="s">
        <v>287</v>
      </c>
      <c r="BC1246" s="4" t="s">
        <v>255</v>
      </c>
      <c r="BD1246" s="4" t="s">
        <v>241</v>
      </c>
      <c r="BE1246" s="4" t="s">
        <v>257</v>
      </c>
      <c r="BF1246" s="4" t="s">
        <v>241</v>
      </c>
      <c r="BJ1246" s="4" t="s">
        <v>288</v>
      </c>
      <c r="BK1246" s="5" t="s">
        <v>289</v>
      </c>
      <c r="BL1246" s="4" t="s">
        <v>290</v>
      </c>
      <c r="BM1246" s="4" t="s">
        <v>290</v>
      </c>
      <c r="BN1246" s="4" t="s">
        <v>241</v>
      </c>
      <c r="BO1246" s="6">
        <f>0</f>
        <v>0</v>
      </c>
      <c r="BP1246" s="6">
        <f>-3992060</f>
        <v>-3992060</v>
      </c>
      <c r="BQ1246" s="4" t="s">
        <v>263</v>
      </c>
      <c r="BR1246" s="4" t="s">
        <v>264</v>
      </c>
      <c r="BS1246" s="4" t="s">
        <v>241</v>
      </c>
      <c r="BT1246" s="4" t="s">
        <v>241</v>
      </c>
      <c r="BU1246" s="4" t="s">
        <v>241</v>
      </c>
      <c r="BV1246" s="4" t="s">
        <v>241</v>
      </c>
      <c r="CE1246" s="4" t="s">
        <v>264</v>
      </c>
      <c r="CF1246" s="4" t="s">
        <v>241</v>
      </c>
      <c r="CG1246" s="4" t="s">
        <v>241</v>
      </c>
      <c r="CK1246" s="4" t="s">
        <v>291</v>
      </c>
      <c r="CL1246" s="4" t="s">
        <v>266</v>
      </c>
      <c r="CM1246" s="4" t="s">
        <v>241</v>
      </c>
      <c r="CO1246" s="4" t="s">
        <v>449</v>
      </c>
      <c r="CP1246" s="5" t="s">
        <v>268</v>
      </c>
      <c r="CQ1246" s="4" t="s">
        <v>269</v>
      </c>
      <c r="CR1246" s="4" t="s">
        <v>270</v>
      </c>
      <c r="CS1246" s="4" t="s">
        <v>293</v>
      </c>
      <c r="CT1246" s="4" t="s">
        <v>241</v>
      </c>
      <c r="CU1246" s="4">
        <v>3.3000000000000002E-2</v>
      </c>
      <c r="CV1246" s="4" t="s">
        <v>271</v>
      </c>
      <c r="CW1246" s="4" t="s">
        <v>1920</v>
      </c>
      <c r="CX1246" s="4" t="s">
        <v>487</v>
      </c>
      <c r="CY1246" s="6">
        <f>0</f>
        <v>0</v>
      </c>
      <c r="CZ1246" s="6">
        <f>120971540</f>
        <v>120971540</v>
      </c>
      <c r="DA1246" s="6">
        <f>37138280</f>
        <v>37138280</v>
      </c>
      <c r="DC1246" s="4" t="s">
        <v>241</v>
      </c>
      <c r="DD1246" s="4" t="s">
        <v>241</v>
      </c>
      <c r="DF1246" s="4" t="s">
        <v>241</v>
      </c>
      <c r="DG1246" s="6">
        <f>0</f>
        <v>0</v>
      </c>
      <c r="DI1246" s="4" t="s">
        <v>241</v>
      </c>
      <c r="DJ1246" s="4" t="s">
        <v>241</v>
      </c>
      <c r="DK1246" s="4" t="s">
        <v>241</v>
      </c>
      <c r="DL1246" s="4" t="s">
        <v>241</v>
      </c>
      <c r="DM1246" s="4" t="s">
        <v>277</v>
      </c>
      <c r="DN1246" s="4" t="s">
        <v>278</v>
      </c>
      <c r="DO1246" s="6">
        <f>1983.14</f>
        <v>1983.14</v>
      </c>
      <c r="DP1246" s="4" t="s">
        <v>241</v>
      </c>
      <c r="DQ1246" s="4" t="s">
        <v>241</v>
      </c>
      <c r="DR1246" s="4" t="s">
        <v>241</v>
      </c>
      <c r="DS1246" s="4" t="s">
        <v>241</v>
      </c>
      <c r="DV1246" s="4" t="s">
        <v>1406</v>
      </c>
      <c r="DW1246" s="4" t="s">
        <v>277</v>
      </c>
      <c r="GN1246" s="4" t="s">
        <v>1951</v>
      </c>
      <c r="HO1246" s="4" t="s">
        <v>341</v>
      </c>
      <c r="HR1246" s="4" t="s">
        <v>278</v>
      </c>
      <c r="HS1246" s="4" t="s">
        <v>278</v>
      </c>
      <c r="HT1246" s="4" t="s">
        <v>241</v>
      </c>
      <c r="HU1246" s="4" t="s">
        <v>241</v>
      </c>
      <c r="HV1246" s="4" t="s">
        <v>241</v>
      </c>
      <c r="HW1246" s="4" t="s">
        <v>241</v>
      </c>
      <c r="HX1246" s="4" t="s">
        <v>241</v>
      </c>
      <c r="HY1246" s="4" t="s">
        <v>241</v>
      </c>
      <c r="HZ1246" s="4" t="s">
        <v>241</v>
      </c>
      <c r="IA1246" s="4" t="s">
        <v>241</v>
      </c>
      <c r="IB1246" s="4" t="s">
        <v>241</v>
      </c>
      <c r="IC1246" s="4" t="s">
        <v>241</v>
      </c>
      <c r="ID1246" s="4" t="s">
        <v>241</v>
      </c>
      <c r="IE1246" s="4" t="s">
        <v>241</v>
      </c>
      <c r="IF1246" s="4" t="s">
        <v>241</v>
      </c>
    </row>
    <row r="1247" spans="1:240" x14ac:dyDescent="0.4">
      <c r="A1247" s="4">
        <v>2</v>
      </c>
      <c r="B1247" s="4" t="s">
        <v>239</v>
      </c>
      <c r="C1247" s="4">
        <v>1555</v>
      </c>
      <c r="D1247" s="4">
        <v>1</v>
      </c>
      <c r="E1247" s="4">
        <v>3</v>
      </c>
      <c r="F1247" s="4" t="s">
        <v>240</v>
      </c>
      <c r="G1247" s="4" t="s">
        <v>241</v>
      </c>
      <c r="H1247" s="4" t="s">
        <v>241</v>
      </c>
      <c r="I1247" s="4" t="s">
        <v>1403</v>
      </c>
      <c r="J1247" s="4" t="s">
        <v>1404</v>
      </c>
      <c r="K1247" s="4" t="s">
        <v>256</v>
      </c>
      <c r="L1247" s="4" t="s">
        <v>1336</v>
      </c>
      <c r="M1247" s="5" t="s">
        <v>1405</v>
      </c>
      <c r="N1247" s="4" t="s">
        <v>1360</v>
      </c>
      <c r="O1247" s="6">
        <f>39.74</f>
        <v>39.74</v>
      </c>
      <c r="P1247" s="4" t="s">
        <v>276</v>
      </c>
      <c r="Q1247" s="6">
        <f>572113</f>
        <v>572113</v>
      </c>
      <c r="R1247" s="6">
        <f>4848280</f>
        <v>4848280</v>
      </c>
      <c r="S1247" s="5" t="s">
        <v>447</v>
      </c>
      <c r="T1247" s="4" t="s">
        <v>274</v>
      </c>
      <c r="U1247" s="4" t="s">
        <v>335</v>
      </c>
      <c r="V1247" s="6">
        <f>203627</f>
        <v>203627</v>
      </c>
      <c r="W1247" s="6">
        <f>4276167</f>
        <v>4276167</v>
      </c>
      <c r="X1247" s="4" t="s">
        <v>243</v>
      </c>
      <c r="Y1247" s="4" t="s">
        <v>244</v>
      </c>
      <c r="Z1247" s="4" t="s">
        <v>1338</v>
      </c>
      <c r="AA1247" s="4" t="s">
        <v>241</v>
      </c>
      <c r="AD1247" s="4" t="s">
        <v>241</v>
      </c>
      <c r="AE1247" s="5" t="s">
        <v>241</v>
      </c>
      <c r="AF1247" s="5" t="s">
        <v>241</v>
      </c>
      <c r="AH1247" s="5" t="s">
        <v>241</v>
      </c>
      <c r="AI1247" s="5" t="s">
        <v>249</v>
      </c>
      <c r="AJ1247" s="4" t="s">
        <v>251</v>
      </c>
      <c r="AK1247" s="4" t="s">
        <v>252</v>
      </c>
      <c r="AQ1247" s="4" t="s">
        <v>241</v>
      </c>
      <c r="AR1247" s="4" t="s">
        <v>241</v>
      </c>
      <c r="AS1247" s="4" t="s">
        <v>241</v>
      </c>
      <c r="AT1247" s="5" t="s">
        <v>241</v>
      </c>
      <c r="AU1247" s="5" t="s">
        <v>241</v>
      </c>
      <c r="AV1247" s="5" t="s">
        <v>241</v>
      </c>
      <c r="AY1247" s="4" t="s">
        <v>286</v>
      </c>
      <c r="AZ1247" s="4" t="s">
        <v>286</v>
      </c>
      <c r="BA1247" s="4" t="s">
        <v>254</v>
      </c>
      <c r="BB1247" s="4" t="s">
        <v>287</v>
      </c>
      <c r="BC1247" s="4" t="s">
        <v>255</v>
      </c>
      <c r="BD1247" s="4" t="s">
        <v>241</v>
      </c>
      <c r="BE1247" s="4" t="s">
        <v>257</v>
      </c>
      <c r="BF1247" s="4" t="s">
        <v>241</v>
      </c>
      <c r="BJ1247" s="4" t="s">
        <v>288</v>
      </c>
      <c r="BK1247" s="5" t="s">
        <v>289</v>
      </c>
      <c r="BL1247" s="4" t="s">
        <v>290</v>
      </c>
      <c r="BM1247" s="4" t="s">
        <v>290</v>
      </c>
      <c r="BN1247" s="4" t="s">
        <v>241</v>
      </c>
      <c r="BO1247" s="6">
        <f>0</f>
        <v>0</v>
      </c>
      <c r="BP1247" s="6">
        <f>-203627</f>
        <v>-203627</v>
      </c>
      <c r="BQ1247" s="4" t="s">
        <v>263</v>
      </c>
      <c r="BR1247" s="4" t="s">
        <v>264</v>
      </c>
      <c r="BS1247" s="4" t="s">
        <v>241</v>
      </c>
      <c r="BT1247" s="4" t="s">
        <v>241</v>
      </c>
      <c r="BU1247" s="4" t="s">
        <v>241</v>
      </c>
      <c r="BV1247" s="4" t="s">
        <v>241</v>
      </c>
      <c r="CE1247" s="4" t="s">
        <v>264</v>
      </c>
      <c r="CF1247" s="4" t="s">
        <v>241</v>
      </c>
      <c r="CG1247" s="4" t="s">
        <v>241</v>
      </c>
      <c r="CK1247" s="4" t="s">
        <v>291</v>
      </c>
      <c r="CL1247" s="4" t="s">
        <v>266</v>
      </c>
      <c r="CM1247" s="4" t="s">
        <v>241</v>
      </c>
      <c r="CO1247" s="4" t="s">
        <v>449</v>
      </c>
      <c r="CP1247" s="5" t="s">
        <v>268</v>
      </c>
      <c r="CQ1247" s="4" t="s">
        <v>269</v>
      </c>
      <c r="CR1247" s="4" t="s">
        <v>270</v>
      </c>
      <c r="CS1247" s="4" t="s">
        <v>293</v>
      </c>
      <c r="CT1247" s="4" t="s">
        <v>241</v>
      </c>
      <c r="CU1247" s="4">
        <v>4.2000000000000003E-2</v>
      </c>
      <c r="CV1247" s="4" t="s">
        <v>271</v>
      </c>
      <c r="CW1247" s="4" t="s">
        <v>1329</v>
      </c>
      <c r="CX1247" s="4" t="s">
        <v>347</v>
      </c>
      <c r="CY1247" s="6">
        <f>0</f>
        <v>0</v>
      </c>
      <c r="CZ1247" s="6">
        <f>4848280</f>
        <v>4848280</v>
      </c>
      <c r="DA1247" s="6">
        <f>572113</f>
        <v>572113</v>
      </c>
      <c r="DC1247" s="4" t="s">
        <v>241</v>
      </c>
      <c r="DD1247" s="4" t="s">
        <v>241</v>
      </c>
      <c r="DF1247" s="4" t="s">
        <v>241</v>
      </c>
      <c r="DG1247" s="6">
        <f>0</f>
        <v>0</v>
      </c>
      <c r="DI1247" s="4" t="s">
        <v>241</v>
      </c>
      <c r="DJ1247" s="4" t="s">
        <v>241</v>
      </c>
      <c r="DK1247" s="4" t="s">
        <v>241</v>
      </c>
      <c r="DL1247" s="4" t="s">
        <v>241</v>
      </c>
      <c r="DM1247" s="4" t="s">
        <v>277</v>
      </c>
      <c r="DN1247" s="4" t="s">
        <v>278</v>
      </c>
      <c r="DO1247" s="6">
        <f>39.74</f>
        <v>39.74</v>
      </c>
      <c r="DP1247" s="4" t="s">
        <v>241</v>
      </c>
      <c r="DQ1247" s="4" t="s">
        <v>241</v>
      </c>
      <c r="DR1247" s="4" t="s">
        <v>241</v>
      </c>
      <c r="DS1247" s="4" t="s">
        <v>241</v>
      </c>
      <c r="DV1247" s="4" t="s">
        <v>1406</v>
      </c>
      <c r="DW1247" s="4" t="s">
        <v>323</v>
      </c>
      <c r="GN1247" s="4" t="s">
        <v>1407</v>
      </c>
      <c r="HO1247" s="4" t="s">
        <v>341</v>
      </c>
      <c r="HR1247" s="4" t="s">
        <v>278</v>
      </c>
      <c r="HS1247" s="4" t="s">
        <v>278</v>
      </c>
      <c r="HT1247" s="4" t="s">
        <v>241</v>
      </c>
      <c r="HU1247" s="4" t="s">
        <v>241</v>
      </c>
      <c r="HV1247" s="4" t="s">
        <v>241</v>
      </c>
      <c r="HW1247" s="4" t="s">
        <v>241</v>
      </c>
      <c r="HX1247" s="4" t="s">
        <v>241</v>
      </c>
      <c r="HY1247" s="4" t="s">
        <v>241</v>
      </c>
      <c r="HZ1247" s="4" t="s">
        <v>241</v>
      </c>
      <c r="IA1247" s="4" t="s">
        <v>241</v>
      </c>
      <c r="IB1247" s="4" t="s">
        <v>241</v>
      </c>
      <c r="IC1247" s="4" t="s">
        <v>241</v>
      </c>
      <c r="ID1247" s="4" t="s">
        <v>241</v>
      </c>
      <c r="IE1247" s="4" t="s">
        <v>241</v>
      </c>
      <c r="IF1247" s="4" t="s">
        <v>241</v>
      </c>
    </row>
    <row r="1248" spans="1:240" x14ac:dyDescent="0.4">
      <c r="A1248" s="4">
        <v>2</v>
      </c>
      <c r="B1248" s="4" t="s">
        <v>239</v>
      </c>
      <c r="C1248" s="4">
        <v>1556</v>
      </c>
      <c r="D1248" s="4">
        <v>1</v>
      </c>
      <c r="E1248" s="4">
        <v>3</v>
      </c>
      <c r="F1248" s="4" t="s">
        <v>240</v>
      </c>
      <c r="G1248" s="4" t="s">
        <v>241</v>
      </c>
      <c r="H1248" s="4" t="s">
        <v>241</v>
      </c>
      <c r="I1248" s="4" t="s">
        <v>1403</v>
      </c>
      <c r="J1248" s="4" t="s">
        <v>1404</v>
      </c>
      <c r="K1248" s="4" t="s">
        <v>256</v>
      </c>
      <c r="L1248" s="4" t="s">
        <v>3764</v>
      </c>
      <c r="M1248" s="5" t="s">
        <v>1405</v>
      </c>
      <c r="N1248" s="4" t="s">
        <v>3770</v>
      </c>
      <c r="O1248" s="6">
        <f>289.45</f>
        <v>289.45</v>
      </c>
      <c r="P1248" s="4" t="s">
        <v>276</v>
      </c>
      <c r="Q1248" s="6">
        <f>7787370</f>
        <v>7787370</v>
      </c>
      <c r="R1248" s="6">
        <f>16498650</f>
        <v>16498650</v>
      </c>
      <c r="S1248" s="5" t="s">
        <v>1442</v>
      </c>
      <c r="T1248" s="4" t="s">
        <v>441</v>
      </c>
      <c r="U1248" s="4" t="s">
        <v>348</v>
      </c>
      <c r="V1248" s="6">
        <f>544455</f>
        <v>544455</v>
      </c>
      <c r="W1248" s="6">
        <f>8711280</f>
        <v>8711280</v>
      </c>
      <c r="X1248" s="4" t="s">
        <v>243</v>
      </c>
      <c r="Y1248" s="4" t="s">
        <v>244</v>
      </c>
      <c r="Z1248" s="4" t="s">
        <v>1338</v>
      </c>
      <c r="AA1248" s="4" t="s">
        <v>241</v>
      </c>
      <c r="AD1248" s="4" t="s">
        <v>241</v>
      </c>
      <c r="AE1248" s="5" t="s">
        <v>241</v>
      </c>
      <c r="AF1248" s="5" t="s">
        <v>241</v>
      </c>
      <c r="AH1248" s="5" t="s">
        <v>241</v>
      </c>
      <c r="AI1248" s="5" t="s">
        <v>249</v>
      </c>
      <c r="AJ1248" s="4" t="s">
        <v>251</v>
      </c>
      <c r="AK1248" s="4" t="s">
        <v>252</v>
      </c>
      <c r="AQ1248" s="4" t="s">
        <v>241</v>
      </c>
      <c r="AR1248" s="4" t="s">
        <v>241</v>
      </c>
      <c r="AS1248" s="4" t="s">
        <v>241</v>
      </c>
      <c r="AT1248" s="5" t="s">
        <v>241</v>
      </c>
      <c r="AU1248" s="5" t="s">
        <v>241</v>
      </c>
      <c r="AV1248" s="5" t="s">
        <v>241</v>
      </c>
      <c r="AY1248" s="4" t="s">
        <v>286</v>
      </c>
      <c r="AZ1248" s="4" t="s">
        <v>286</v>
      </c>
      <c r="BA1248" s="4" t="s">
        <v>254</v>
      </c>
      <c r="BB1248" s="4" t="s">
        <v>287</v>
      </c>
      <c r="BC1248" s="4" t="s">
        <v>255</v>
      </c>
      <c r="BD1248" s="4" t="s">
        <v>241</v>
      </c>
      <c r="BE1248" s="4" t="s">
        <v>257</v>
      </c>
      <c r="BF1248" s="4" t="s">
        <v>241</v>
      </c>
      <c r="BJ1248" s="4" t="s">
        <v>288</v>
      </c>
      <c r="BK1248" s="5" t="s">
        <v>289</v>
      </c>
      <c r="BL1248" s="4" t="s">
        <v>290</v>
      </c>
      <c r="BM1248" s="4" t="s">
        <v>290</v>
      </c>
      <c r="BN1248" s="4" t="s">
        <v>241</v>
      </c>
      <c r="BO1248" s="6">
        <f>0</f>
        <v>0</v>
      </c>
      <c r="BP1248" s="6">
        <f>-544455</f>
        <v>-544455</v>
      </c>
      <c r="BQ1248" s="4" t="s">
        <v>263</v>
      </c>
      <c r="BR1248" s="4" t="s">
        <v>264</v>
      </c>
      <c r="BS1248" s="4" t="s">
        <v>241</v>
      </c>
      <c r="BT1248" s="4" t="s">
        <v>241</v>
      </c>
      <c r="BU1248" s="4" t="s">
        <v>241</v>
      </c>
      <c r="BV1248" s="4" t="s">
        <v>241</v>
      </c>
      <c r="CE1248" s="4" t="s">
        <v>264</v>
      </c>
      <c r="CF1248" s="4" t="s">
        <v>241</v>
      </c>
      <c r="CG1248" s="4" t="s">
        <v>241</v>
      </c>
      <c r="CK1248" s="4" t="s">
        <v>291</v>
      </c>
      <c r="CL1248" s="4" t="s">
        <v>266</v>
      </c>
      <c r="CM1248" s="4" t="s">
        <v>241</v>
      </c>
      <c r="CO1248" s="4" t="s">
        <v>1444</v>
      </c>
      <c r="CP1248" s="5" t="s">
        <v>268</v>
      </c>
      <c r="CQ1248" s="4" t="s">
        <v>269</v>
      </c>
      <c r="CR1248" s="4" t="s">
        <v>270</v>
      </c>
      <c r="CS1248" s="4" t="s">
        <v>293</v>
      </c>
      <c r="CT1248" s="4" t="s">
        <v>241</v>
      </c>
      <c r="CU1248" s="4">
        <v>3.3000000000000002E-2</v>
      </c>
      <c r="CV1248" s="4" t="s">
        <v>271</v>
      </c>
      <c r="CW1248" s="4" t="s">
        <v>272</v>
      </c>
      <c r="CX1248" s="4" t="s">
        <v>487</v>
      </c>
      <c r="CY1248" s="6">
        <f>0</f>
        <v>0</v>
      </c>
      <c r="CZ1248" s="6">
        <f>16498650</f>
        <v>16498650</v>
      </c>
      <c r="DA1248" s="6">
        <f>7787370</f>
        <v>7787370</v>
      </c>
      <c r="DC1248" s="4" t="s">
        <v>241</v>
      </c>
      <c r="DD1248" s="4" t="s">
        <v>241</v>
      </c>
      <c r="DF1248" s="4" t="s">
        <v>241</v>
      </c>
      <c r="DG1248" s="6">
        <f>0</f>
        <v>0</v>
      </c>
      <c r="DI1248" s="4" t="s">
        <v>241</v>
      </c>
      <c r="DJ1248" s="4" t="s">
        <v>241</v>
      </c>
      <c r="DK1248" s="4" t="s">
        <v>241</v>
      </c>
      <c r="DL1248" s="4" t="s">
        <v>241</v>
      </c>
      <c r="DM1248" s="4" t="s">
        <v>277</v>
      </c>
      <c r="DN1248" s="4" t="s">
        <v>278</v>
      </c>
      <c r="DO1248" s="6">
        <f>289.45</f>
        <v>289.45</v>
      </c>
      <c r="DP1248" s="4" t="s">
        <v>241</v>
      </c>
      <c r="DQ1248" s="4" t="s">
        <v>241</v>
      </c>
      <c r="DR1248" s="4" t="s">
        <v>241</v>
      </c>
      <c r="DS1248" s="4" t="s">
        <v>241</v>
      </c>
      <c r="DV1248" s="4" t="s">
        <v>1406</v>
      </c>
      <c r="DW1248" s="4" t="s">
        <v>297</v>
      </c>
      <c r="GN1248" s="4" t="s">
        <v>3771</v>
      </c>
      <c r="HO1248" s="4" t="s">
        <v>341</v>
      </c>
      <c r="HR1248" s="4" t="s">
        <v>278</v>
      </c>
      <c r="HS1248" s="4" t="s">
        <v>278</v>
      </c>
      <c r="HT1248" s="4" t="s">
        <v>241</v>
      </c>
      <c r="HU1248" s="4" t="s">
        <v>241</v>
      </c>
      <c r="HV1248" s="4" t="s">
        <v>241</v>
      </c>
      <c r="HW1248" s="4" t="s">
        <v>241</v>
      </c>
      <c r="HX1248" s="4" t="s">
        <v>241</v>
      </c>
      <c r="HY1248" s="4" t="s">
        <v>241</v>
      </c>
      <c r="HZ1248" s="4" t="s">
        <v>241</v>
      </c>
      <c r="IA1248" s="4" t="s">
        <v>241</v>
      </c>
      <c r="IB1248" s="4" t="s">
        <v>241</v>
      </c>
      <c r="IC1248" s="4" t="s">
        <v>241</v>
      </c>
      <c r="ID1248" s="4" t="s">
        <v>241</v>
      </c>
      <c r="IE1248" s="4" t="s">
        <v>241</v>
      </c>
      <c r="IF1248" s="4" t="s">
        <v>241</v>
      </c>
    </row>
    <row r="1249" spans="1:240" x14ac:dyDescent="0.4">
      <c r="A1249" s="4">
        <v>2</v>
      </c>
      <c r="B1249" s="4" t="s">
        <v>239</v>
      </c>
      <c r="C1249" s="4">
        <v>1557</v>
      </c>
      <c r="D1249" s="4">
        <v>1</v>
      </c>
      <c r="E1249" s="4">
        <v>3</v>
      </c>
      <c r="F1249" s="4" t="s">
        <v>240</v>
      </c>
      <c r="G1249" s="4" t="s">
        <v>241</v>
      </c>
      <c r="H1249" s="4" t="s">
        <v>241</v>
      </c>
      <c r="I1249" s="4" t="s">
        <v>1891</v>
      </c>
      <c r="J1249" s="4" t="s">
        <v>1137</v>
      </c>
      <c r="K1249" s="4" t="s">
        <v>256</v>
      </c>
      <c r="L1249" s="4" t="s">
        <v>1890</v>
      </c>
      <c r="M1249" s="5" t="s">
        <v>1893</v>
      </c>
      <c r="N1249" s="4" t="s">
        <v>1890</v>
      </c>
      <c r="O1249" s="6">
        <f>5557.5</f>
        <v>5557.5</v>
      </c>
      <c r="P1249" s="4" t="s">
        <v>276</v>
      </c>
      <c r="Q1249" s="6">
        <f>52084890</f>
        <v>52084890</v>
      </c>
      <c r="R1249" s="6">
        <f>366795000</f>
        <v>366795000</v>
      </c>
      <c r="S1249" s="5" t="s">
        <v>1892</v>
      </c>
      <c r="T1249" s="4" t="s">
        <v>441</v>
      </c>
      <c r="U1249" s="4" t="s">
        <v>404</v>
      </c>
      <c r="V1249" s="6">
        <f>12104235</f>
        <v>12104235</v>
      </c>
      <c r="W1249" s="6">
        <f>314710110</f>
        <v>314710110</v>
      </c>
      <c r="X1249" s="4" t="s">
        <v>243</v>
      </c>
      <c r="Y1249" s="4" t="s">
        <v>244</v>
      </c>
      <c r="Z1249" s="4" t="s">
        <v>1338</v>
      </c>
      <c r="AA1249" s="4" t="s">
        <v>241</v>
      </c>
      <c r="AD1249" s="4" t="s">
        <v>241</v>
      </c>
      <c r="AE1249" s="5" t="s">
        <v>241</v>
      </c>
      <c r="AF1249" s="5" t="s">
        <v>241</v>
      </c>
      <c r="AH1249" s="5" t="s">
        <v>241</v>
      </c>
      <c r="AI1249" s="5" t="s">
        <v>249</v>
      </c>
      <c r="AJ1249" s="4" t="s">
        <v>251</v>
      </c>
      <c r="AK1249" s="4" t="s">
        <v>252</v>
      </c>
      <c r="AQ1249" s="4" t="s">
        <v>241</v>
      </c>
      <c r="AR1249" s="4" t="s">
        <v>241</v>
      </c>
      <c r="AS1249" s="4" t="s">
        <v>241</v>
      </c>
      <c r="AT1249" s="5" t="s">
        <v>241</v>
      </c>
      <c r="AU1249" s="5" t="s">
        <v>241</v>
      </c>
      <c r="AV1249" s="5" t="s">
        <v>241</v>
      </c>
      <c r="AY1249" s="4" t="s">
        <v>286</v>
      </c>
      <c r="AZ1249" s="4" t="s">
        <v>286</v>
      </c>
      <c r="BA1249" s="4" t="s">
        <v>254</v>
      </c>
      <c r="BB1249" s="4" t="s">
        <v>287</v>
      </c>
      <c r="BC1249" s="4" t="s">
        <v>255</v>
      </c>
      <c r="BD1249" s="4" t="s">
        <v>241</v>
      </c>
      <c r="BE1249" s="4" t="s">
        <v>257</v>
      </c>
      <c r="BF1249" s="4" t="s">
        <v>241</v>
      </c>
      <c r="BJ1249" s="4" t="s">
        <v>288</v>
      </c>
      <c r="BK1249" s="5" t="s">
        <v>289</v>
      </c>
      <c r="BL1249" s="4" t="s">
        <v>290</v>
      </c>
      <c r="BM1249" s="4" t="s">
        <v>290</v>
      </c>
      <c r="BN1249" s="4" t="s">
        <v>241</v>
      </c>
      <c r="BO1249" s="6">
        <f>0</f>
        <v>0</v>
      </c>
      <c r="BP1249" s="6">
        <f>-12104235</f>
        <v>-12104235</v>
      </c>
      <c r="BQ1249" s="4" t="s">
        <v>263</v>
      </c>
      <c r="BR1249" s="4" t="s">
        <v>264</v>
      </c>
      <c r="BS1249" s="4" t="s">
        <v>241</v>
      </c>
      <c r="BT1249" s="4" t="s">
        <v>241</v>
      </c>
      <c r="BU1249" s="4" t="s">
        <v>241</v>
      </c>
      <c r="BV1249" s="4" t="s">
        <v>241</v>
      </c>
      <c r="CE1249" s="4" t="s">
        <v>264</v>
      </c>
      <c r="CF1249" s="4" t="s">
        <v>241</v>
      </c>
      <c r="CG1249" s="4" t="s">
        <v>241</v>
      </c>
      <c r="CK1249" s="4" t="s">
        <v>291</v>
      </c>
      <c r="CL1249" s="4" t="s">
        <v>266</v>
      </c>
      <c r="CM1249" s="4" t="s">
        <v>241</v>
      </c>
      <c r="CO1249" s="4" t="s">
        <v>387</v>
      </c>
      <c r="CP1249" s="5" t="s">
        <v>268</v>
      </c>
      <c r="CQ1249" s="4" t="s">
        <v>269</v>
      </c>
      <c r="CR1249" s="4" t="s">
        <v>270</v>
      </c>
      <c r="CS1249" s="4" t="s">
        <v>293</v>
      </c>
      <c r="CT1249" s="4" t="s">
        <v>241</v>
      </c>
      <c r="CU1249" s="4">
        <v>3.3000000000000002E-2</v>
      </c>
      <c r="CV1249" s="4" t="s">
        <v>271</v>
      </c>
      <c r="CW1249" s="4" t="s">
        <v>1894</v>
      </c>
      <c r="CX1249" s="4" t="s">
        <v>487</v>
      </c>
      <c r="CY1249" s="6">
        <f>0</f>
        <v>0</v>
      </c>
      <c r="CZ1249" s="6">
        <f>366795000</f>
        <v>366795000</v>
      </c>
      <c r="DA1249" s="6">
        <f>52084890</f>
        <v>52084890</v>
      </c>
      <c r="DC1249" s="4" t="s">
        <v>241</v>
      </c>
      <c r="DD1249" s="4" t="s">
        <v>241</v>
      </c>
      <c r="DF1249" s="4" t="s">
        <v>241</v>
      </c>
      <c r="DG1249" s="6">
        <f>0</f>
        <v>0</v>
      </c>
      <c r="DI1249" s="4" t="s">
        <v>241</v>
      </c>
      <c r="DJ1249" s="4" t="s">
        <v>241</v>
      </c>
      <c r="DK1249" s="4" t="s">
        <v>241</v>
      </c>
      <c r="DL1249" s="4" t="s">
        <v>241</v>
      </c>
      <c r="DM1249" s="4" t="s">
        <v>277</v>
      </c>
      <c r="DN1249" s="4" t="s">
        <v>278</v>
      </c>
      <c r="DO1249" s="6">
        <f>5557.5</f>
        <v>5557.5</v>
      </c>
      <c r="DP1249" s="4" t="s">
        <v>241</v>
      </c>
      <c r="DQ1249" s="4" t="s">
        <v>241</v>
      </c>
      <c r="DR1249" s="4" t="s">
        <v>241</v>
      </c>
      <c r="DS1249" s="4" t="s">
        <v>241</v>
      </c>
      <c r="DV1249" s="4" t="s">
        <v>1895</v>
      </c>
      <c r="DW1249" s="4" t="s">
        <v>277</v>
      </c>
      <c r="GN1249" s="4" t="s">
        <v>1896</v>
      </c>
      <c r="HO1249" s="4" t="s">
        <v>341</v>
      </c>
      <c r="HR1249" s="4" t="s">
        <v>278</v>
      </c>
      <c r="HS1249" s="4" t="s">
        <v>278</v>
      </c>
      <c r="HT1249" s="4" t="s">
        <v>241</v>
      </c>
      <c r="HU1249" s="4" t="s">
        <v>241</v>
      </c>
      <c r="HV1249" s="4" t="s">
        <v>241</v>
      </c>
      <c r="HW1249" s="4" t="s">
        <v>241</v>
      </c>
      <c r="HX1249" s="4" t="s">
        <v>241</v>
      </c>
      <c r="HY1249" s="4" t="s">
        <v>241</v>
      </c>
      <c r="HZ1249" s="4" t="s">
        <v>241</v>
      </c>
      <c r="IA1249" s="4" t="s">
        <v>241</v>
      </c>
      <c r="IB1249" s="4" t="s">
        <v>241</v>
      </c>
      <c r="IC1249" s="4" t="s">
        <v>241</v>
      </c>
      <c r="ID1249" s="4" t="s">
        <v>241</v>
      </c>
      <c r="IE1249" s="4" t="s">
        <v>241</v>
      </c>
      <c r="IF1249" s="4" t="s">
        <v>241</v>
      </c>
    </row>
    <row r="1250" spans="1:240" x14ac:dyDescent="0.4">
      <c r="A1250" s="4">
        <v>2</v>
      </c>
      <c r="B1250" s="4" t="s">
        <v>239</v>
      </c>
      <c r="C1250" s="4">
        <v>1558</v>
      </c>
      <c r="D1250" s="4">
        <v>1</v>
      </c>
      <c r="E1250" s="4">
        <v>3</v>
      </c>
      <c r="F1250" s="4" t="s">
        <v>326</v>
      </c>
      <c r="G1250" s="4" t="s">
        <v>241</v>
      </c>
      <c r="H1250" s="4" t="s">
        <v>241</v>
      </c>
      <c r="I1250" s="4" t="s">
        <v>1891</v>
      </c>
      <c r="J1250" s="4" t="s">
        <v>1137</v>
      </c>
      <c r="K1250" s="4" t="s">
        <v>256</v>
      </c>
      <c r="L1250" s="4" t="s">
        <v>2626</v>
      </c>
      <c r="M1250" s="5" t="s">
        <v>1893</v>
      </c>
      <c r="N1250" s="4" t="s">
        <v>2624</v>
      </c>
      <c r="O1250" s="6">
        <f>0</f>
        <v>0</v>
      </c>
      <c r="P1250" s="4" t="s">
        <v>276</v>
      </c>
      <c r="Q1250" s="6">
        <f>543116</f>
        <v>543116</v>
      </c>
      <c r="R1250" s="6">
        <f>741960</f>
        <v>741960</v>
      </c>
      <c r="S1250" s="5" t="s">
        <v>2625</v>
      </c>
      <c r="T1250" s="4" t="s">
        <v>348</v>
      </c>
      <c r="U1250" s="4" t="s">
        <v>297</v>
      </c>
      <c r="V1250" s="6">
        <f>49711</f>
        <v>49711</v>
      </c>
      <c r="W1250" s="6">
        <f>198844</f>
        <v>198844</v>
      </c>
      <c r="X1250" s="4" t="s">
        <v>243</v>
      </c>
      <c r="Y1250" s="4" t="s">
        <v>244</v>
      </c>
      <c r="Z1250" s="4" t="s">
        <v>1338</v>
      </c>
      <c r="AA1250" s="4" t="s">
        <v>241</v>
      </c>
      <c r="AD1250" s="4" t="s">
        <v>241</v>
      </c>
      <c r="AE1250" s="5" t="s">
        <v>241</v>
      </c>
      <c r="AF1250" s="5" t="s">
        <v>241</v>
      </c>
      <c r="AH1250" s="5" t="s">
        <v>241</v>
      </c>
      <c r="AI1250" s="5" t="s">
        <v>249</v>
      </c>
      <c r="AJ1250" s="4" t="s">
        <v>251</v>
      </c>
      <c r="AK1250" s="4" t="s">
        <v>252</v>
      </c>
      <c r="AQ1250" s="4" t="s">
        <v>241</v>
      </c>
      <c r="AR1250" s="4" t="s">
        <v>241</v>
      </c>
      <c r="AS1250" s="4" t="s">
        <v>241</v>
      </c>
      <c r="AT1250" s="5" t="s">
        <v>241</v>
      </c>
      <c r="AU1250" s="5" t="s">
        <v>241</v>
      </c>
      <c r="AV1250" s="5" t="s">
        <v>241</v>
      </c>
      <c r="AY1250" s="4" t="s">
        <v>286</v>
      </c>
      <c r="AZ1250" s="4" t="s">
        <v>286</v>
      </c>
      <c r="BA1250" s="4" t="s">
        <v>254</v>
      </c>
      <c r="BB1250" s="4" t="s">
        <v>287</v>
      </c>
      <c r="BC1250" s="4" t="s">
        <v>255</v>
      </c>
      <c r="BD1250" s="4" t="s">
        <v>241</v>
      </c>
      <c r="BE1250" s="4" t="s">
        <v>257</v>
      </c>
      <c r="BF1250" s="4" t="s">
        <v>241</v>
      </c>
      <c r="BJ1250" s="4" t="s">
        <v>288</v>
      </c>
      <c r="BK1250" s="5" t="s">
        <v>289</v>
      </c>
      <c r="BL1250" s="4" t="s">
        <v>290</v>
      </c>
      <c r="BM1250" s="4" t="s">
        <v>290</v>
      </c>
      <c r="BN1250" s="4" t="s">
        <v>241</v>
      </c>
      <c r="BP1250" s="6">
        <f>-49711</f>
        <v>-49711</v>
      </c>
      <c r="BQ1250" s="4" t="s">
        <v>263</v>
      </c>
      <c r="BR1250" s="4" t="s">
        <v>264</v>
      </c>
      <c r="BS1250" s="4" t="s">
        <v>241</v>
      </c>
      <c r="BT1250" s="4" t="s">
        <v>241</v>
      </c>
      <c r="BU1250" s="4" t="s">
        <v>241</v>
      </c>
      <c r="BV1250" s="4" t="s">
        <v>241</v>
      </c>
      <c r="CE1250" s="4" t="s">
        <v>264</v>
      </c>
      <c r="CF1250" s="4" t="s">
        <v>241</v>
      </c>
      <c r="CG1250" s="4" t="s">
        <v>241</v>
      </c>
      <c r="CK1250" s="4" t="s">
        <v>291</v>
      </c>
      <c r="CL1250" s="4" t="s">
        <v>266</v>
      </c>
      <c r="CM1250" s="4" t="s">
        <v>241</v>
      </c>
      <c r="CO1250" s="4" t="s">
        <v>413</v>
      </c>
      <c r="CP1250" s="5" t="s">
        <v>268</v>
      </c>
      <c r="CQ1250" s="4" t="s">
        <v>269</v>
      </c>
      <c r="CR1250" s="4" t="s">
        <v>270</v>
      </c>
      <c r="CS1250" s="4" t="s">
        <v>293</v>
      </c>
      <c r="CT1250" s="4" t="s">
        <v>241</v>
      </c>
      <c r="CU1250" s="4">
        <v>6.7000000000000004E-2</v>
      </c>
      <c r="CV1250" s="4" t="s">
        <v>271</v>
      </c>
      <c r="CW1250" s="4" t="s">
        <v>415</v>
      </c>
      <c r="CX1250" s="4" t="s">
        <v>422</v>
      </c>
      <c r="CY1250" s="6">
        <f>0</f>
        <v>0</v>
      </c>
      <c r="CZ1250" s="6">
        <f>741960</f>
        <v>741960</v>
      </c>
      <c r="DA1250" s="6">
        <f>543116</f>
        <v>543116</v>
      </c>
      <c r="DC1250" s="4" t="s">
        <v>241</v>
      </c>
      <c r="DD1250" s="4" t="s">
        <v>241</v>
      </c>
      <c r="DF1250" s="4" t="s">
        <v>241</v>
      </c>
      <c r="DG1250" s="6">
        <f>0</f>
        <v>0</v>
      </c>
      <c r="DI1250" s="4" t="s">
        <v>241</v>
      </c>
      <c r="DJ1250" s="4" t="s">
        <v>241</v>
      </c>
      <c r="DK1250" s="4" t="s">
        <v>241</v>
      </c>
      <c r="DL1250" s="4" t="s">
        <v>241</v>
      </c>
      <c r="DM1250" s="4" t="s">
        <v>278</v>
      </c>
      <c r="DN1250" s="4" t="s">
        <v>278</v>
      </c>
      <c r="DO1250" s="6" t="s">
        <v>241</v>
      </c>
      <c r="DP1250" s="4" t="s">
        <v>241</v>
      </c>
      <c r="DQ1250" s="4" t="s">
        <v>241</v>
      </c>
      <c r="DR1250" s="4" t="s">
        <v>241</v>
      </c>
      <c r="DS1250" s="4" t="s">
        <v>241</v>
      </c>
      <c r="DV1250" s="4" t="s">
        <v>1895</v>
      </c>
      <c r="DW1250" s="4" t="s">
        <v>323</v>
      </c>
      <c r="GN1250" s="4" t="s">
        <v>2627</v>
      </c>
      <c r="HO1250" s="4" t="s">
        <v>300</v>
      </c>
      <c r="HR1250" s="4" t="s">
        <v>278</v>
      </c>
      <c r="HS1250" s="4" t="s">
        <v>278</v>
      </c>
      <c r="HT1250" s="4" t="s">
        <v>241</v>
      </c>
      <c r="HU1250" s="4" t="s">
        <v>241</v>
      </c>
      <c r="HV1250" s="4" t="s">
        <v>241</v>
      </c>
      <c r="HW1250" s="4" t="s">
        <v>241</v>
      </c>
      <c r="HX1250" s="4" t="s">
        <v>241</v>
      </c>
      <c r="HY1250" s="4" t="s">
        <v>241</v>
      </c>
      <c r="HZ1250" s="4" t="s">
        <v>241</v>
      </c>
      <c r="IA1250" s="4" t="s">
        <v>241</v>
      </c>
      <c r="IB1250" s="4" t="s">
        <v>241</v>
      </c>
      <c r="IC1250" s="4" t="s">
        <v>241</v>
      </c>
      <c r="ID1250" s="4" t="s">
        <v>241</v>
      </c>
      <c r="IE1250" s="4" t="s">
        <v>241</v>
      </c>
      <c r="IF1250" s="4" t="s">
        <v>241</v>
      </c>
    </row>
    <row r="1251" spans="1:240" x14ac:dyDescent="0.4">
      <c r="A1251" s="4">
        <v>2</v>
      </c>
      <c r="B1251" s="4" t="s">
        <v>239</v>
      </c>
      <c r="C1251" s="4">
        <v>1559</v>
      </c>
      <c r="D1251" s="4">
        <v>1</v>
      </c>
      <c r="E1251" s="4">
        <v>3</v>
      </c>
      <c r="F1251" s="4" t="s">
        <v>240</v>
      </c>
      <c r="G1251" s="4" t="s">
        <v>241</v>
      </c>
      <c r="H1251" s="4" t="s">
        <v>241</v>
      </c>
      <c r="I1251" s="4" t="s">
        <v>503</v>
      </c>
      <c r="J1251" s="4" t="s">
        <v>406</v>
      </c>
      <c r="K1251" s="4" t="s">
        <v>256</v>
      </c>
      <c r="L1251" s="4" t="s">
        <v>505</v>
      </c>
      <c r="M1251" s="5" t="s">
        <v>506</v>
      </c>
      <c r="N1251" s="4" t="s">
        <v>502</v>
      </c>
      <c r="O1251" s="6">
        <f>119.24</f>
        <v>119.24</v>
      </c>
      <c r="P1251" s="4" t="s">
        <v>276</v>
      </c>
      <c r="Q1251" s="6">
        <f>5274949</f>
        <v>5274949</v>
      </c>
      <c r="R1251" s="6">
        <f>26113560</f>
        <v>26113560</v>
      </c>
      <c r="S1251" s="5" t="s">
        <v>363</v>
      </c>
      <c r="T1251" s="4" t="s">
        <v>274</v>
      </c>
      <c r="U1251" s="4" t="s">
        <v>365</v>
      </c>
      <c r="V1251" s="6">
        <f>1096769</f>
        <v>1096769</v>
      </c>
      <c r="W1251" s="6">
        <f>20838611</f>
        <v>20838611</v>
      </c>
      <c r="X1251" s="4" t="s">
        <v>243</v>
      </c>
      <c r="Y1251" s="4" t="s">
        <v>244</v>
      </c>
      <c r="Z1251" s="4" t="s">
        <v>504</v>
      </c>
      <c r="AA1251" s="4" t="s">
        <v>241</v>
      </c>
      <c r="AD1251" s="4" t="s">
        <v>241</v>
      </c>
      <c r="AE1251" s="5" t="s">
        <v>241</v>
      </c>
      <c r="AF1251" s="5" t="s">
        <v>241</v>
      </c>
      <c r="AH1251" s="5" t="s">
        <v>241</v>
      </c>
      <c r="AI1251" s="5" t="s">
        <v>249</v>
      </c>
      <c r="AJ1251" s="4" t="s">
        <v>251</v>
      </c>
      <c r="AK1251" s="4" t="s">
        <v>252</v>
      </c>
      <c r="AQ1251" s="4" t="s">
        <v>241</v>
      </c>
      <c r="AR1251" s="4" t="s">
        <v>241</v>
      </c>
      <c r="AS1251" s="4" t="s">
        <v>241</v>
      </c>
      <c r="AT1251" s="5" t="s">
        <v>241</v>
      </c>
      <c r="AU1251" s="5" t="s">
        <v>241</v>
      </c>
      <c r="AV1251" s="5" t="s">
        <v>241</v>
      </c>
      <c r="AY1251" s="4" t="s">
        <v>286</v>
      </c>
      <c r="AZ1251" s="4" t="s">
        <v>286</v>
      </c>
      <c r="BA1251" s="4" t="s">
        <v>254</v>
      </c>
      <c r="BB1251" s="4" t="s">
        <v>287</v>
      </c>
      <c r="BC1251" s="4" t="s">
        <v>255</v>
      </c>
      <c r="BD1251" s="4" t="s">
        <v>241</v>
      </c>
      <c r="BE1251" s="4" t="s">
        <v>257</v>
      </c>
      <c r="BF1251" s="4" t="s">
        <v>241</v>
      </c>
      <c r="BJ1251" s="4" t="s">
        <v>288</v>
      </c>
      <c r="BK1251" s="5" t="s">
        <v>289</v>
      </c>
      <c r="BL1251" s="4" t="s">
        <v>290</v>
      </c>
      <c r="BM1251" s="4" t="s">
        <v>290</v>
      </c>
      <c r="BN1251" s="4" t="s">
        <v>241</v>
      </c>
      <c r="BO1251" s="6">
        <f>0</f>
        <v>0</v>
      </c>
      <c r="BP1251" s="6">
        <f>-1096769</f>
        <v>-1096769</v>
      </c>
      <c r="BQ1251" s="4" t="s">
        <v>263</v>
      </c>
      <c r="BR1251" s="4" t="s">
        <v>264</v>
      </c>
      <c r="BS1251" s="4" t="s">
        <v>241</v>
      </c>
      <c r="BT1251" s="4" t="s">
        <v>241</v>
      </c>
      <c r="BU1251" s="4" t="s">
        <v>241</v>
      </c>
      <c r="BV1251" s="4" t="s">
        <v>241</v>
      </c>
      <c r="CE1251" s="4" t="s">
        <v>264</v>
      </c>
      <c r="CF1251" s="4" t="s">
        <v>241</v>
      </c>
      <c r="CG1251" s="4" t="s">
        <v>241</v>
      </c>
      <c r="CK1251" s="4" t="s">
        <v>291</v>
      </c>
      <c r="CL1251" s="4" t="s">
        <v>266</v>
      </c>
      <c r="CM1251" s="4" t="s">
        <v>241</v>
      </c>
      <c r="CO1251" s="4" t="s">
        <v>364</v>
      </c>
      <c r="CP1251" s="5" t="s">
        <v>268</v>
      </c>
      <c r="CQ1251" s="4" t="s">
        <v>269</v>
      </c>
      <c r="CR1251" s="4" t="s">
        <v>270</v>
      </c>
      <c r="CS1251" s="4" t="s">
        <v>293</v>
      </c>
      <c r="CT1251" s="4" t="s">
        <v>241</v>
      </c>
      <c r="CU1251" s="4">
        <v>4.2000000000000003E-2</v>
      </c>
      <c r="CV1251" s="4" t="s">
        <v>271</v>
      </c>
      <c r="CW1251" s="4" t="s">
        <v>495</v>
      </c>
      <c r="CX1251" s="4" t="s">
        <v>347</v>
      </c>
      <c r="CY1251" s="6">
        <f>0</f>
        <v>0</v>
      </c>
      <c r="CZ1251" s="6">
        <f>26113560</f>
        <v>26113560</v>
      </c>
      <c r="DA1251" s="6">
        <f>5274949</f>
        <v>5274949</v>
      </c>
      <c r="DC1251" s="4" t="s">
        <v>241</v>
      </c>
      <c r="DD1251" s="4" t="s">
        <v>241</v>
      </c>
      <c r="DF1251" s="4" t="s">
        <v>241</v>
      </c>
      <c r="DG1251" s="6">
        <f>0</f>
        <v>0</v>
      </c>
      <c r="DI1251" s="4" t="s">
        <v>241</v>
      </c>
      <c r="DJ1251" s="4" t="s">
        <v>241</v>
      </c>
      <c r="DK1251" s="4" t="s">
        <v>241</v>
      </c>
      <c r="DL1251" s="4" t="s">
        <v>241</v>
      </c>
      <c r="DM1251" s="4" t="s">
        <v>277</v>
      </c>
      <c r="DN1251" s="4" t="s">
        <v>278</v>
      </c>
      <c r="DO1251" s="6">
        <f>119.24</f>
        <v>119.24</v>
      </c>
      <c r="DP1251" s="4" t="s">
        <v>241</v>
      </c>
      <c r="DQ1251" s="4" t="s">
        <v>241</v>
      </c>
      <c r="DR1251" s="4" t="s">
        <v>241</v>
      </c>
      <c r="DS1251" s="4" t="s">
        <v>241</v>
      </c>
      <c r="DV1251" s="4" t="s">
        <v>507</v>
      </c>
      <c r="DW1251" s="4" t="s">
        <v>277</v>
      </c>
      <c r="GN1251" s="4" t="s">
        <v>508</v>
      </c>
      <c r="HO1251" s="4" t="s">
        <v>341</v>
      </c>
      <c r="HR1251" s="4" t="s">
        <v>278</v>
      </c>
      <c r="HS1251" s="4" t="s">
        <v>278</v>
      </c>
      <c r="HT1251" s="4" t="s">
        <v>241</v>
      </c>
      <c r="HU1251" s="4" t="s">
        <v>241</v>
      </c>
      <c r="HV1251" s="4" t="s">
        <v>241</v>
      </c>
      <c r="HW1251" s="4" t="s">
        <v>241</v>
      </c>
      <c r="HX1251" s="4" t="s">
        <v>241</v>
      </c>
      <c r="HY1251" s="4" t="s">
        <v>241</v>
      </c>
      <c r="HZ1251" s="4" t="s">
        <v>241</v>
      </c>
      <c r="IA1251" s="4" t="s">
        <v>241</v>
      </c>
      <c r="IB1251" s="4" t="s">
        <v>241</v>
      </c>
      <c r="IC1251" s="4" t="s">
        <v>241</v>
      </c>
      <c r="ID1251" s="4" t="s">
        <v>241</v>
      </c>
      <c r="IE1251" s="4" t="s">
        <v>241</v>
      </c>
      <c r="IF1251" s="4" t="s">
        <v>241</v>
      </c>
    </row>
    <row r="1252" spans="1:240" x14ac:dyDescent="0.4">
      <c r="A1252" s="4">
        <v>2</v>
      </c>
      <c r="B1252" s="4" t="s">
        <v>239</v>
      </c>
      <c r="C1252" s="4">
        <v>1560</v>
      </c>
      <c r="D1252" s="4">
        <v>1</v>
      </c>
      <c r="E1252" s="4">
        <v>3</v>
      </c>
      <c r="F1252" s="4" t="s">
        <v>326</v>
      </c>
      <c r="G1252" s="4" t="s">
        <v>241</v>
      </c>
      <c r="H1252" s="4" t="s">
        <v>241</v>
      </c>
      <c r="I1252" s="4" t="s">
        <v>503</v>
      </c>
      <c r="J1252" s="4" t="s">
        <v>406</v>
      </c>
      <c r="K1252" s="4" t="s">
        <v>256</v>
      </c>
      <c r="L1252" s="4" t="s">
        <v>505</v>
      </c>
      <c r="M1252" s="5" t="s">
        <v>506</v>
      </c>
      <c r="N1252" s="4" t="s">
        <v>547</v>
      </c>
      <c r="O1252" s="6">
        <f>39.74</f>
        <v>39.74</v>
      </c>
      <c r="P1252" s="4" t="s">
        <v>276</v>
      </c>
      <c r="Q1252" s="6">
        <f>7140498</f>
        <v>7140498</v>
      </c>
      <c r="R1252" s="6">
        <f>9546120</f>
        <v>9546120</v>
      </c>
      <c r="S1252" s="5" t="s">
        <v>649</v>
      </c>
      <c r="T1252" s="4" t="s">
        <v>274</v>
      </c>
      <c r="U1252" s="4" t="s">
        <v>351</v>
      </c>
      <c r="V1252" s="6">
        <f>400937</f>
        <v>400937</v>
      </c>
      <c r="W1252" s="6">
        <f>2405622</f>
        <v>2405622</v>
      </c>
      <c r="X1252" s="4" t="s">
        <v>243</v>
      </c>
      <c r="Y1252" s="4" t="s">
        <v>244</v>
      </c>
      <c r="Z1252" s="4" t="s">
        <v>504</v>
      </c>
      <c r="AA1252" s="4" t="s">
        <v>241</v>
      </c>
      <c r="AD1252" s="4" t="s">
        <v>241</v>
      </c>
      <c r="AE1252" s="5" t="s">
        <v>241</v>
      </c>
      <c r="AF1252" s="5" t="s">
        <v>241</v>
      </c>
      <c r="AH1252" s="5" t="s">
        <v>241</v>
      </c>
      <c r="AI1252" s="5" t="s">
        <v>249</v>
      </c>
      <c r="AJ1252" s="4" t="s">
        <v>251</v>
      </c>
      <c r="AK1252" s="4" t="s">
        <v>252</v>
      </c>
      <c r="AQ1252" s="4" t="s">
        <v>241</v>
      </c>
      <c r="AR1252" s="4" t="s">
        <v>241</v>
      </c>
      <c r="AS1252" s="4" t="s">
        <v>241</v>
      </c>
      <c r="AT1252" s="5" t="s">
        <v>241</v>
      </c>
      <c r="AU1252" s="5" t="s">
        <v>241</v>
      </c>
      <c r="AV1252" s="5" t="s">
        <v>241</v>
      </c>
      <c r="AY1252" s="4" t="s">
        <v>286</v>
      </c>
      <c r="AZ1252" s="4" t="s">
        <v>286</v>
      </c>
      <c r="BA1252" s="4" t="s">
        <v>254</v>
      </c>
      <c r="BB1252" s="4" t="s">
        <v>287</v>
      </c>
      <c r="BC1252" s="4" t="s">
        <v>255</v>
      </c>
      <c r="BD1252" s="4" t="s">
        <v>241</v>
      </c>
      <c r="BE1252" s="4" t="s">
        <v>257</v>
      </c>
      <c r="BF1252" s="4" t="s">
        <v>241</v>
      </c>
      <c r="BJ1252" s="4" t="s">
        <v>288</v>
      </c>
      <c r="BK1252" s="5" t="s">
        <v>289</v>
      </c>
      <c r="BL1252" s="4" t="s">
        <v>290</v>
      </c>
      <c r="BM1252" s="4" t="s">
        <v>290</v>
      </c>
      <c r="BN1252" s="4" t="s">
        <v>241</v>
      </c>
      <c r="BO1252" s="6">
        <f>0</f>
        <v>0</v>
      </c>
      <c r="BP1252" s="6">
        <f>-400937</f>
        <v>-400937</v>
      </c>
      <c r="BQ1252" s="4" t="s">
        <v>263</v>
      </c>
      <c r="BR1252" s="4" t="s">
        <v>264</v>
      </c>
      <c r="BS1252" s="4" t="s">
        <v>241</v>
      </c>
      <c r="BT1252" s="4" t="s">
        <v>241</v>
      </c>
      <c r="BU1252" s="4" t="s">
        <v>241</v>
      </c>
      <c r="BV1252" s="4" t="s">
        <v>241</v>
      </c>
      <c r="CE1252" s="4" t="s">
        <v>264</v>
      </c>
      <c r="CF1252" s="4" t="s">
        <v>241</v>
      </c>
      <c r="CG1252" s="4" t="s">
        <v>241</v>
      </c>
      <c r="CK1252" s="4" t="s">
        <v>291</v>
      </c>
      <c r="CL1252" s="4" t="s">
        <v>266</v>
      </c>
      <c r="CM1252" s="4" t="s">
        <v>241</v>
      </c>
      <c r="CO1252" s="4" t="s">
        <v>350</v>
      </c>
      <c r="CP1252" s="5" t="s">
        <v>268</v>
      </c>
      <c r="CQ1252" s="4" t="s">
        <v>269</v>
      </c>
      <c r="CR1252" s="4" t="s">
        <v>270</v>
      </c>
      <c r="CS1252" s="4" t="s">
        <v>293</v>
      </c>
      <c r="CT1252" s="4" t="s">
        <v>241</v>
      </c>
      <c r="CU1252" s="4">
        <v>4.2000000000000003E-2</v>
      </c>
      <c r="CV1252" s="4" t="s">
        <v>271</v>
      </c>
      <c r="CW1252" s="4" t="s">
        <v>495</v>
      </c>
      <c r="CX1252" s="4" t="s">
        <v>347</v>
      </c>
      <c r="CY1252" s="6">
        <f>0</f>
        <v>0</v>
      </c>
      <c r="CZ1252" s="6">
        <f>9546120</f>
        <v>9546120</v>
      </c>
      <c r="DA1252" s="6">
        <f>7140498</f>
        <v>7140498</v>
      </c>
      <c r="DC1252" s="4" t="s">
        <v>241</v>
      </c>
      <c r="DD1252" s="4" t="s">
        <v>241</v>
      </c>
      <c r="DF1252" s="4" t="s">
        <v>241</v>
      </c>
      <c r="DG1252" s="6">
        <f>0</f>
        <v>0</v>
      </c>
      <c r="DI1252" s="4" t="s">
        <v>241</v>
      </c>
      <c r="DJ1252" s="4" t="s">
        <v>241</v>
      </c>
      <c r="DK1252" s="4" t="s">
        <v>241</v>
      </c>
      <c r="DL1252" s="4" t="s">
        <v>241</v>
      </c>
      <c r="DM1252" s="4" t="s">
        <v>278</v>
      </c>
      <c r="DN1252" s="4" t="s">
        <v>278</v>
      </c>
      <c r="DO1252" s="6">
        <f>39.74</f>
        <v>39.74</v>
      </c>
      <c r="DP1252" s="4" t="s">
        <v>241</v>
      </c>
      <c r="DQ1252" s="4" t="s">
        <v>241</v>
      </c>
      <c r="DR1252" s="4" t="s">
        <v>241</v>
      </c>
      <c r="DS1252" s="4" t="s">
        <v>241</v>
      </c>
      <c r="DV1252" s="4" t="s">
        <v>507</v>
      </c>
      <c r="DW1252" s="4" t="s">
        <v>323</v>
      </c>
      <c r="GN1252" s="4" t="s">
        <v>650</v>
      </c>
      <c r="HO1252" s="4" t="s">
        <v>341</v>
      </c>
      <c r="HR1252" s="4" t="s">
        <v>278</v>
      </c>
      <c r="HS1252" s="4" t="s">
        <v>278</v>
      </c>
      <c r="HT1252" s="4" t="s">
        <v>241</v>
      </c>
      <c r="HU1252" s="4" t="s">
        <v>241</v>
      </c>
      <c r="HV1252" s="4" t="s">
        <v>241</v>
      </c>
      <c r="HW1252" s="4" t="s">
        <v>241</v>
      </c>
      <c r="HX1252" s="4" t="s">
        <v>241</v>
      </c>
      <c r="HY1252" s="4" t="s">
        <v>241</v>
      </c>
      <c r="HZ1252" s="4" t="s">
        <v>241</v>
      </c>
      <c r="IA1252" s="4" t="s">
        <v>241</v>
      </c>
      <c r="IB1252" s="4" t="s">
        <v>241</v>
      </c>
      <c r="IC1252" s="4" t="s">
        <v>241</v>
      </c>
      <c r="ID1252" s="4" t="s">
        <v>241</v>
      </c>
      <c r="IE1252" s="4" t="s">
        <v>241</v>
      </c>
      <c r="IF1252" s="4" t="s">
        <v>241</v>
      </c>
    </row>
    <row r="1253" spans="1:240" x14ac:dyDescent="0.4">
      <c r="A1253" s="4">
        <v>2</v>
      </c>
      <c r="B1253" s="4" t="s">
        <v>239</v>
      </c>
      <c r="C1253" s="4">
        <v>1561</v>
      </c>
      <c r="D1253" s="4">
        <v>1</v>
      </c>
      <c r="E1253" s="4">
        <v>3</v>
      </c>
      <c r="F1253" s="4" t="s">
        <v>326</v>
      </c>
      <c r="G1253" s="4" t="s">
        <v>241</v>
      </c>
      <c r="H1253" s="4" t="s">
        <v>241</v>
      </c>
      <c r="I1253" s="4" t="s">
        <v>503</v>
      </c>
      <c r="J1253" s="4" t="s">
        <v>406</v>
      </c>
      <c r="K1253" s="4" t="s">
        <v>256</v>
      </c>
      <c r="L1253" s="4" t="s">
        <v>241</v>
      </c>
      <c r="M1253" s="5" t="s">
        <v>506</v>
      </c>
      <c r="N1253" s="4" t="s">
        <v>2622</v>
      </c>
      <c r="O1253" s="6">
        <f>0</f>
        <v>0</v>
      </c>
      <c r="P1253" s="4" t="s">
        <v>276</v>
      </c>
      <c r="Q1253" s="6">
        <f>2878323</f>
        <v>2878323</v>
      </c>
      <c r="R1253" s="6">
        <f>3142273</f>
        <v>3142273</v>
      </c>
      <c r="S1253" s="5" t="s">
        <v>2595</v>
      </c>
      <c r="T1253" s="4" t="s">
        <v>409</v>
      </c>
      <c r="U1253" s="4" t="s">
        <v>278</v>
      </c>
      <c r="V1253" s="6">
        <f>3142272</f>
        <v>3142272</v>
      </c>
      <c r="W1253" s="6">
        <f>263950</f>
        <v>263950</v>
      </c>
      <c r="X1253" s="4" t="s">
        <v>243</v>
      </c>
      <c r="Y1253" s="4" t="s">
        <v>244</v>
      </c>
      <c r="Z1253" s="4" t="s">
        <v>241</v>
      </c>
      <c r="AA1253" s="4" t="s">
        <v>241</v>
      </c>
      <c r="AD1253" s="4" t="s">
        <v>241</v>
      </c>
      <c r="AE1253" s="5" t="s">
        <v>241</v>
      </c>
      <c r="AF1253" s="5" t="s">
        <v>241</v>
      </c>
      <c r="AH1253" s="5" t="s">
        <v>241</v>
      </c>
      <c r="AI1253" s="5" t="s">
        <v>249</v>
      </c>
      <c r="AJ1253" s="4" t="s">
        <v>251</v>
      </c>
      <c r="AK1253" s="4" t="s">
        <v>252</v>
      </c>
      <c r="AQ1253" s="4" t="s">
        <v>241</v>
      </c>
      <c r="AR1253" s="4" t="s">
        <v>241</v>
      </c>
      <c r="AS1253" s="4" t="s">
        <v>241</v>
      </c>
      <c r="AT1253" s="5" t="s">
        <v>241</v>
      </c>
      <c r="AU1253" s="5" t="s">
        <v>241</v>
      </c>
      <c r="AV1253" s="5" t="s">
        <v>241</v>
      </c>
      <c r="AY1253" s="4" t="s">
        <v>286</v>
      </c>
      <c r="AZ1253" s="4" t="s">
        <v>286</v>
      </c>
      <c r="BA1253" s="4" t="s">
        <v>254</v>
      </c>
      <c r="BB1253" s="4" t="s">
        <v>287</v>
      </c>
      <c r="BC1253" s="4" t="s">
        <v>255</v>
      </c>
      <c r="BD1253" s="4" t="s">
        <v>241</v>
      </c>
      <c r="BE1253" s="4" t="s">
        <v>257</v>
      </c>
      <c r="BF1253" s="4" t="s">
        <v>241</v>
      </c>
      <c r="BJ1253" s="4" t="s">
        <v>288</v>
      </c>
      <c r="BK1253" s="5" t="s">
        <v>289</v>
      </c>
      <c r="BL1253" s="4" t="s">
        <v>290</v>
      </c>
      <c r="BM1253" s="4" t="s">
        <v>290</v>
      </c>
      <c r="BN1253" s="4" t="s">
        <v>241</v>
      </c>
      <c r="BP1253" s="6">
        <f>-263950</f>
        <v>-263950</v>
      </c>
      <c r="BQ1253" s="4" t="s">
        <v>263</v>
      </c>
      <c r="BR1253" s="4" t="s">
        <v>264</v>
      </c>
      <c r="BS1253" s="4" t="s">
        <v>241</v>
      </c>
      <c r="BT1253" s="4" t="s">
        <v>241</v>
      </c>
      <c r="BU1253" s="4" t="s">
        <v>241</v>
      </c>
      <c r="BV1253" s="4" t="s">
        <v>241</v>
      </c>
      <c r="CE1253" s="4" t="s">
        <v>264</v>
      </c>
      <c r="CF1253" s="4" t="s">
        <v>241</v>
      </c>
      <c r="CG1253" s="4" t="s">
        <v>241</v>
      </c>
      <c r="CK1253" s="4" t="s">
        <v>291</v>
      </c>
      <c r="CL1253" s="4" t="s">
        <v>266</v>
      </c>
      <c r="CM1253" s="4" t="s">
        <v>241</v>
      </c>
      <c r="CO1253" s="4" t="s">
        <v>426</v>
      </c>
      <c r="CP1253" s="5" t="s">
        <v>268</v>
      </c>
      <c r="CQ1253" s="4" t="s">
        <v>269</v>
      </c>
      <c r="CR1253" s="4" t="s">
        <v>270</v>
      </c>
      <c r="CS1253" s="4" t="s">
        <v>293</v>
      </c>
      <c r="CT1253" s="4" t="s">
        <v>241</v>
      </c>
      <c r="CU1253" s="4">
        <v>8.4000000000000005E-2</v>
      </c>
      <c r="CV1253" s="4" t="s">
        <v>271</v>
      </c>
      <c r="CW1253" s="4" t="s">
        <v>415</v>
      </c>
      <c r="CX1253" s="4" t="s">
        <v>2565</v>
      </c>
      <c r="CY1253" s="6">
        <f>0</f>
        <v>0</v>
      </c>
      <c r="CZ1253" s="6">
        <f>3142273</f>
        <v>3142273</v>
      </c>
      <c r="DA1253" s="6">
        <f>1</f>
        <v>1</v>
      </c>
      <c r="DC1253" s="4" t="s">
        <v>241</v>
      </c>
      <c r="DD1253" s="4" t="s">
        <v>241</v>
      </c>
      <c r="DF1253" s="4" t="s">
        <v>241</v>
      </c>
      <c r="DG1253" s="6">
        <f>0</f>
        <v>0</v>
      </c>
      <c r="DI1253" s="4" t="s">
        <v>241</v>
      </c>
      <c r="DJ1253" s="4" t="s">
        <v>241</v>
      </c>
      <c r="DK1253" s="4" t="s">
        <v>241</v>
      </c>
      <c r="DL1253" s="4" t="s">
        <v>241</v>
      </c>
      <c r="DM1253" s="4" t="s">
        <v>278</v>
      </c>
      <c r="DN1253" s="4" t="s">
        <v>278</v>
      </c>
      <c r="DO1253" s="6" t="s">
        <v>241</v>
      </c>
      <c r="DP1253" s="4" t="s">
        <v>241</v>
      </c>
      <c r="DQ1253" s="4" t="s">
        <v>241</v>
      </c>
      <c r="DR1253" s="4" t="s">
        <v>241</v>
      </c>
      <c r="DS1253" s="4" t="s">
        <v>241</v>
      </c>
      <c r="DV1253" s="4" t="s">
        <v>507</v>
      </c>
      <c r="DW1253" s="4" t="s">
        <v>297</v>
      </c>
      <c r="GN1253" s="4" t="s">
        <v>2623</v>
      </c>
      <c r="HO1253" s="4" t="s">
        <v>323</v>
      </c>
      <c r="HR1253" s="4" t="s">
        <v>278</v>
      </c>
      <c r="HS1253" s="4" t="s">
        <v>278</v>
      </c>
      <c r="HT1253" s="4" t="s">
        <v>241</v>
      </c>
      <c r="HU1253" s="4" t="s">
        <v>241</v>
      </c>
      <c r="HV1253" s="4" t="s">
        <v>241</v>
      </c>
      <c r="HW1253" s="4" t="s">
        <v>241</v>
      </c>
      <c r="HX1253" s="4" t="s">
        <v>241</v>
      </c>
      <c r="HY1253" s="4" t="s">
        <v>241</v>
      </c>
      <c r="HZ1253" s="4" t="s">
        <v>241</v>
      </c>
      <c r="IA1253" s="4" t="s">
        <v>241</v>
      </c>
      <c r="IB1253" s="4" t="s">
        <v>241</v>
      </c>
      <c r="IC1253" s="4" t="s">
        <v>241</v>
      </c>
      <c r="ID1253" s="4" t="s">
        <v>241</v>
      </c>
      <c r="IE1253" s="4" t="s">
        <v>241</v>
      </c>
      <c r="IF1253" s="4" t="s">
        <v>241</v>
      </c>
    </row>
    <row r="1254" spans="1:240" x14ac:dyDescent="0.4">
      <c r="A1254" s="4">
        <v>2</v>
      </c>
      <c r="B1254" s="4" t="s">
        <v>239</v>
      </c>
      <c r="C1254" s="4">
        <v>1562</v>
      </c>
      <c r="D1254" s="4">
        <v>1</v>
      </c>
      <c r="E1254" s="4">
        <v>1</v>
      </c>
      <c r="F1254" s="4" t="s">
        <v>240</v>
      </c>
      <c r="G1254" s="4" t="s">
        <v>241</v>
      </c>
      <c r="H1254" s="4" t="s">
        <v>241</v>
      </c>
      <c r="I1254" s="4" t="s">
        <v>1183</v>
      </c>
      <c r="J1254" s="4" t="s">
        <v>1184</v>
      </c>
      <c r="K1254" s="4" t="s">
        <v>256</v>
      </c>
      <c r="L1254" s="4" t="s">
        <v>1185</v>
      </c>
      <c r="M1254" s="5" t="s">
        <v>1186</v>
      </c>
      <c r="N1254" s="4" t="s">
        <v>1182</v>
      </c>
      <c r="O1254" s="6">
        <f>305.98</f>
        <v>305.98</v>
      </c>
      <c r="P1254" s="4" t="s">
        <v>276</v>
      </c>
      <c r="Q1254" s="6">
        <f>1</f>
        <v>1</v>
      </c>
      <c r="R1254" s="6">
        <f>29068100</f>
        <v>29068100</v>
      </c>
      <c r="S1254" s="5" t="s">
        <v>774</v>
      </c>
      <c r="T1254" s="4" t="s">
        <v>314</v>
      </c>
      <c r="U1254" s="4" t="s">
        <v>552</v>
      </c>
      <c r="W1254" s="6">
        <f>29068099</f>
        <v>29068099</v>
      </c>
      <c r="X1254" s="4" t="s">
        <v>243</v>
      </c>
      <c r="Y1254" s="4" t="s">
        <v>244</v>
      </c>
      <c r="Z1254" s="4" t="s">
        <v>465</v>
      </c>
      <c r="AA1254" s="4" t="s">
        <v>241</v>
      </c>
      <c r="AD1254" s="4" t="s">
        <v>241</v>
      </c>
      <c r="AF1254" s="5" t="s">
        <v>241</v>
      </c>
      <c r="AI1254" s="5" t="s">
        <v>249</v>
      </c>
      <c r="AJ1254" s="4" t="s">
        <v>251</v>
      </c>
      <c r="AK1254" s="4" t="s">
        <v>252</v>
      </c>
      <c r="BA1254" s="4" t="s">
        <v>254</v>
      </c>
      <c r="BB1254" s="4" t="s">
        <v>241</v>
      </c>
      <c r="BC1254" s="4" t="s">
        <v>255</v>
      </c>
      <c r="BD1254" s="4" t="s">
        <v>241</v>
      </c>
      <c r="BE1254" s="4" t="s">
        <v>257</v>
      </c>
      <c r="BF1254" s="4" t="s">
        <v>241</v>
      </c>
      <c r="BJ1254" s="4" t="s">
        <v>367</v>
      </c>
      <c r="BK1254" s="5" t="s">
        <v>249</v>
      </c>
      <c r="BL1254" s="4" t="s">
        <v>261</v>
      </c>
      <c r="BM1254" s="4" t="s">
        <v>262</v>
      </c>
      <c r="BN1254" s="4" t="s">
        <v>241</v>
      </c>
      <c r="BO1254" s="6">
        <f>0</f>
        <v>0</v>
      </c>
      <c r="BP1254" s="6">
        <f>0</f>
        <v>0</v>
      </c>
      <c r="BQ1254" s="4" t="s">
        <v>263</v>
      </c>
      <c r="BR1254" s="4" t="s">
        <v>264</v>
      </c>
      <c r="CF1254" s="4" t="s">
        <v>241</v>
      </c>
      <c r="CG1254" s="4" t="s">
        <v>241</v>
      </c>
      <c r="CK1254" s="4" t="s">
        <v>265</v>
      </c>
      <c r="CL1254" s="4" t="s">
        <v>266</v>
      </c>
      <c r="CM1254" s="4" t="s">
        <v>241</v>
      </c>
      <c r="CO1254" s="4" t="s">
        <v>662</v>
      </c>
      <c r="CP1254" s="5" t="s">
        <v>268</v>
      </c>
      <c r="CQ1254" s="4" t="s">
        <v>269</v>
      </c>
      <c r="CR1254" s="4" t="s">
        <v>270</v>
      </c>
      <c r="CS1254" s="4" t="s">
        <v>241</v>
      </c>
      <c r="CT1254" s="4" t="s">
        <v>241</v>
      </c>
      <c r="CU1254" s="4">
        <v>0</v>
      </c>
      <c r="CV1254" s="4" t="s">
        <v>271</v>
      </c>
      <c r="CW1254" s="4" t="s">
        <v>1176</v>
      </c>
      <c r="CX1254" s="4" t="s">
        <v>347</v>
      </c>
      <c r="CZ1254" s="6">
        <f>29068100</f>
        <v>29068100</v>
      </c>
      <c r="DA1254" s="6">
        <f>0</f>
        <v>0</v>
      </c>
      <c r="DC1254" s="4" t="s">
        <v>241</v>
      </c>
      <c r="DD1254" s="4" t="s">
        <v>241</v>
      </c>
      <c r="DF1254" s="4" t="s">
        <v>241</v>
      </c>
      <c r="DI1254" s="4" t="s">
        <v>241</v>
      </c>
      <c r="DJ1254" s="4" t="s">
        <v>241</v>
      </c>
      <c r="DK1254" s="4" t="s">
        <v>241</v>
      </c>
      <c r="DL1254" s="4" t="s">
        <v>241</v>
      </c>
      <c r="DM1254" s="4" t="s">
        <v>277</v>
      </c>
      <c r="DN1254" s="4" t="s">
        <v>278</v>
      </c>
      <c r="DO1254" s="6">
        <f>305.98</f>
        <v>305.98</v>
      </c>
      <c r="DP1254" s="4" t="s">
        <v>241</v>
      </c>
      <c r="DQ1254" s="4" t="s">
        <v>241</v>
      </c>
      <c r="DR1254" s="4" t="s">
        <v>241</v>
      </c>
      <c r="DS1254" s="4" t="s">
        <v>241</v>
      </c>
      <c r="DV1254" s="4" t="s">
        <v>1187</v>
      </c>
      <c r="DW1254" s="4" t="s">
        <v>277</v>
      </c>
      <c r="HO1254" s="4" t="s">
        <v>277</v>
      </c>
      <c r="HR1254" s="4" t="s">
        <v>278</v>
      </c>
      <c r="HS1254" s="4" t="s">
        <v>278</v>
      </c>
    </row>
    <row r="1255" spans="1:240" x14ac:dyDescent="0.4">
      <c r="A1255" s="4">
        <v>2</v>
      </c>
      <c r="B1255" s="4" t="s">
        <v>239</v>
      </c>
      <c r="C1255" s="4">
        <v>1563</v>
      </c>
      <c r="D1255" s="4">
        <v>1</v>
      </c>
      <c r="E1255" s="4">
        <v>3</v>
      </c>
      <c r="F1255" s="4" t="s">
        <v>240</v>
      </c>
      <c r="G1255" s="4" t="s">
        <v>241</v>
      </c>
      <c r="H1255" s="4" t="s">
        <v>241</v>
      </c>
      <c r="I1255" s="4" t="s">
        <v>1287</v>
      </c>
      <c r="J1255" s="4" t="s">
        <v>1137</v>
      </c>
      <c r="K1255" s="4" t="s">
        <v>256</v>
      </c>
      <c r="L1255" s="4" t="s">
        <v>1174</v>
      </c>
      <c r="M1255" s="5" t="s">
        <v>1139</v>
      </c>
      <c r="N1255" s="4" t="s">
        <v>1174</v>
      </c>
      <c r="O1255" s="6">
        <f>499.19</f>
        <v>499.19</v>
      </c>
      <c r="P1255" s="4" t="s">
        <v>276</v>
      </c>
      <c r="Q1255" s="6">
        <f>17326911</f>
        <v>17326911</v>
      </c>
      <c r="R1255" s="6">
        <f>133283730</f>
        <v>133283730</v>
      </c>
      <c r="S1255" s="5" t="s">
        <v>1288</v>
      </c>
      <c r="T1255" s="4" t="s">
        <v>357</v>
      </c>
      <c r="U1255" s="4" t="s">
        <v>391</v>
      </c>
      <c r="V1255" s="6">
        <f>3998511</f>
        <v>3998511</v>
      </c>
      <c r="W1255" s="6">
        <f>115956819</f>
        <v>115956819</v>
      </c>
      <c r="X1255" s="4" t="s">
        <v>243</v>
      </c>
      <c r="Y1255" s="4" t="s">
        <v>244</v>
      </c>
      <c r="Z1255" s="4" t="s">
        <v>465</v>
      </c>
      <c r="AA1255" s="4" t="s">
        <v>241</v>
      </c>
      <c r="AD1255" s="4" t="s">
        <v>241</v>
      </c>
      <c r="AE1255" s="5" t="s">
        <v>241</v>
      </c>
      <c r="AF1255" s="5" t="s">
        <v>241</v>
      </c>
      <c r="AH1255" s="5" t="s">
        <v>241</v>
      </c>
      <c r="AI1255" s="5" t="s">
        <v>249</v>
      </c>
      <c r="AJ1255" s="4" t="s">
        <v>251</v>
      </c>
      <c r="AK1255" s="4" t="s">
        <v>252</v>
      </c>
      <c r="AQ1255" s="4" t="s">
        <v>241</v>
      </c>
      <c r="AR1255" s="4" t="s">
        <v>241</v>
      </c>
      <c r="AS1255" s="4" t="s">
        <v>241</v>
      </c>
      <c r="AT1255" s="5" t="s">
        <v>241</v>
      </c>
      <c r="AU1255" s="5" t="s">
        <v>241</v>
      </c>
      <c r="AV1255" s="5" t="s">
        <v>241</v>
      </c>
      <c r="AY1255" s="4" t="s">
        <v>286</v>
      </c>
      <c r="AZ1255" s="4" t="s">
        <v>286</v>
      </c>
      <c r="BA1255" s="4" t="s">
        <v>254</v>
      </c>
      <c r="BB1255" s="4" t="s">
        <v>287</v>
      </c>
      <c r="BC1255" s="4" t="s">
        <v>255</v>
      </c>
      <c r="BD1255" s="4" t="s">
        <v>241</v>
      </c>
      <c r="BE1255" s="4" t="s">
        <v>257</v>
      </c>
      <c r="BF1255" s="4" t="s">
        <v>241</v>
      </c>
      <c r="BJ1255" s="4" t="s">
        <v>288</v>
      </c>
      <c r="BK1255" s="5" t="s">
        <v>289</v>
      </c>
      <c r="BL1255" s="4" t="s">
        <v>290</v>
      </c>
      <c r="BM1255" s="4" t="s">
        <v>290</v>
      </c>
      <c r="BN1255" s="4" t="s">
        <v>241</v>
      </c>
      <c r="BO1255" s="6">
        <f>0</f>
        <v>0</v>
      </c>
      <c r="BP1255" s="6">
        <f>-3998511</f>
        <v>-3998511</v>
      </c>
      <c r="BQ1255" s="4" t="s">
        <v>263</v>
      </c>
      <c r="BR1255" s="4" t="s">
        <v>264</v>
      </c>
      <c r="BS1255" s="4" t="s">
        <v>241</v>
      </c>
      <c r="BT1255" s="4" t="s">
        <v>241</v>
      </c>
      <c r="BU1255" s="4" t="s">
        <v>241</v>
      </c>
      <c r="BV1255" s="4" t="s">
        <v>241</v>
      </c>
      <c r="CE1255" s="4" t="s">
        <v>264</v>
      </c>
      <c r="CF1255" s="4" t="s">
        <v>241</v>
      </c>
      <c r="CG1255" s="4" t="s">
        <v>241</v>
      </c>
      <c r="CK1255" s="4" t="s">
        <v>291</v>
      </c>
      <c r="CL1255" s="4" t="s">
        <v>266</v>
      </c>
      <c r="CM1255" s="4" t="s">
        <v>241</v>
      </c>
      <c r="CO1255" s="4" t="s">
        <v>452</v>
      </c>
      <c r="CP1255" s="5" t="s">
        <v>268</v>
      </c>
      <c r="CQ1255" s="4" t="s">
        <v>269</v>
      </c>
      <c r="CR1255" s="4" t="s">
        <v>270</v>
      </c>
      <c r="CS1255" s="4" t="s">
        <v>293</v>
      </c>
      <c r="CT1255" s="4" t="s">
        <v>241</v>
      </c>
      <c r="CU1255" s="4">
        <v>0.03</v>
      </c>
      <c r="CV1255" s="4" t="s">
        <v>271</v>
      </c>
      <c r="CW1255" s="4" t="s">
        <v>1176</v>
      </c>
      <c r="CX1255" s="4" t="s">
        <v>487</v>
      </c>
      <c r="CY1255" s="6">
        <f>0</f>
        <v>0</v>
      </c>
      <c r="CZ1255" s="6">
        <f>133283730</f>
        <v>133283730</v>
      </c>
      <c r="DA1255" s="6">
        <f>17326911</f>
        <v>17326911</v>
      </c>
      <c r="DC1255" s="4" t="s">
        <v>241</v>
      </c>
      <c r="DD1255" s="4" t="s">
        <v>241</v>
      </c>
      <c r="DF1255" s="4" t="s">
        <v>241</v>
      </c>
      <c r="DG1255" s="6">
        <f>0</f>
        <v>0</v>
      </c>
      <c r="DI1255" s="4" t="s">
        <v>241</v>
      </c>
      <c r="DJ1255" s="4" t="s">
        <v>241</v>
      </c>
      <c r="DK1255" s="4" t="s">
        <v>241</v>
      </c>
      <c r="DL1255" s="4" t="s">
        <v>241</v>
      </c>
      <c r="DM1255" s="4" t="s">
        <v>277</v>
      </c>
      <c r="DN1255" s="4" t="s">
        <v>278</v>
      </c>
      <c r="DO1255" s="6">
        <f>499.19</f>
        <v>499.19</v>
      </c>
      <c r="DP1255" s="4" t="s">
        <v>241</v>
      </c>
      <c r="DQ1255" s="4" t="s">
        <v>241</v>
      </c>
      <c r="DR1255" s="4" t="s">
        <v>241</v>
      </c>
      <c r="DS1255" s="4" t="s">
        <v>241</v>
      </c>
      <c r="DV1255" s="4" t="s">
        <v>1289</v>
      </c>
      <c r="DW1255" s="4" t="s">
        <v>277</v>
      </c>
      <c r="GN1255" s="4" t="s">
        <v>1290</v>
      </c>
      <c r="HO1255" s="4" t="s">
        <v>341</v>
      </c>
      <c r="HR1255" s="4" t="s">
        <v>278</v>
      </c>
      <c r="HS1255" s="4" t="s">
        <v>278</v>
      </c>
      <c r="HT1255" s="4" t="s">
        <v>241</v>
      </c>
      <c r="HU1255" s="4" t="s">
        <v>241</v>
      </c>
      <c r="HV1255" s="4" t="s">
        <v>241</v>
      </c>
      <c r="HW1255" s="4" t="s">
        <v>241</v>
      </c>
      <c r="HX1255" s="4" t="s">
        <v>241</v>
      </c>
      <c r="HY1255" s="4" t="s">
        <v>241</v>
      </c>
      <c r="HZ1255" s="4" t="s">
        <v>241</v>
      </c>
      <c r="IA1255" s="4" t="s">
        <v>241</v>
      </c>
      <c r="IB1255" s="4" t="s">
        <v>241</v>
      </c>
      <c r="IC1255" s="4" t="s">
        <v>241</v>
      </c>
      <c r="ID1255" s="4" t="s">
        <v>241</v>
      </c>
      <c r="IE1255" s="4" t="s">
        <v>241</v>
      </c>
      <c r="IF1255" s="4" t="s">
        <v>241</v>
      </c>
    </row>
    <row r="1256" spans="1:240" x14ac:dyDescent="0.4">
      <c r="A1256" s="4">
        <v>2</v>
      </c>
      <c r="B1256" s="4" t="s">
        <v>239</v>
      </c>
      <c r="C1256" s="4">
        <v>1564</v>
      </c>
      <c r="D1256" s="4">
        <v>1</v>
      </c>
      <c r="E1256" s="4">
        <v>3</v>
      </c>
      <c r="F1256" s="4" t="s">
        <v>240</v>
      </c>
      <c r="I1256" s="4" t="s">
        <v>241</v>
      </c>
      <c r="J1256" s="4" t="s">
        <v>424</v>
      </c>
      <c r="K1256" s="4" t="s">
        <v>256</v>
      </c>
      <c r="L1256" s="4" t="s">
        <v>4032</v>
      </c>
      <c r="M1256" s="5" t="s">
        <v>1033</v>
      </c>
      <c r="N1256" s="4" t="s">
        <v>4032</v>
      </c>
      <c r="O1256" s="6">
        <f>1257.8</f>
        <v>1257.8</v>
      </c>
      <c r="P1256" s="4" t="s">
        <v>276</v>
      </c>
      <c r="Q1256" s="6">
        <f>40752720</f>
        <v>40752720</v>
      </c>
      <c r="R1256" s="6">
        <f>169803000</f>
        <v>169803000</v>
      </c>
      <c r="S1256" s="5" t="s">
        <v>3271</v>
      </c>
      <c r="T1256" s="4" t="s">
        <v>296</v>
      </c>
      <c r="U1256" s="4" t="s">
        <v>777</v>
      </c>
      <c r="V1256" s="6">
        <f>3396060</f>
        <v>3396060</v>
      </c>
      <c r="W1256" s="6">
        <f>129050280</f>
        <v>129050280</v>
      </c>
      <c r="X1256" s="4" t="s">
        <v>243</v>
      </c>
      <c r="Y1256" s="4" t="s">
        <v>244</v>
      </c>
      <c r="Z1256" s="4" t="s">
        <v>504</v>
      </c>
      <c r="AA1256" s="4" t="s">
        <v>241</v>
      </c>
      <c r="AD1256" s="4" t="s">
        <v>241</v>
      </c>
      <c r="AE1256" s="5" t="s">
        <v>241</v>
      </c>
      <c r="AF1256" s="5" t="s">
        <v>241</v>
      </c>
      <c r="AG1256" s="4" t="s">
        <v>241</v>
      </c>
      <c r="AH1256" s="5" t="s">
        <v>241</v>
      </c>
      <c r="AI1256" s="5" t="s">
        <v>249</v>
      </c>
      <c r="AJ1256" s="4" t="s">
        <v>251</v>
      </c>
      <c r="AK1256" s="4" t="s">
        <v>252</v>
      </c>
      <c r="AQ1256" s="4" t="s">
        <v>241</v>
      </c>
      <c r="AR1256" s="4" t="s">
        <v>241</v>
      </c>
      <c r="AS1256" s="4" t="s">
        <v>241</v>
      </c>
      <c r="AT1256" s="5" t="s">
        <v>241</v>
      </c>
      <c r="AU1256" s="5" t="s">
        <v>241</v>
      </c>
      <c r="AV1256" s="5" t="s">
        <v>241</v>
      </c>
      <c r="AY1256" s="4" t="s">
        <v>286</v>
      </c>
      <c r="AZ1256" s="4" t="s">
        <v>286</v>
      </c>
      <c r="BA1256" s="4" t="s">
        <v>254</v>
      </c>
      <c r="BB1256" s="4" t="s">
        <v>287</v>
      </c>
      <c r="BC1256" s="4" t="s">
        <v>255</v>
      </c>
      <c r="BD1256" s="4" t="s">
        <v>241</v>
      </c>
      <c r="BE1256" s="4" t="s">
        <v>257</v>
      </c>
      <c r="BF1256" s="4" t="s">
        <v>3926</v>
      </c>
      <c r="BH1256" s="4" t="s">
        <v>500</v>
      </c>
      <c r="BJ1256" s="4" t="s">
        <v>288</v>
      </c>
      <c r="BK1256" s="5" t="s">
        <v>289</v>
      </c>
      <c r="BL1256" s="4" t="s">
        <v>290</v>
      </c>
      <c r="BM1256" s="4" t="s">
        <v>290</v>
      </c>
      <c r="BN1256" s="4" t="s">
        <v>241</v>
      </c>
      <c r="BO1256" s="6">
        <f>0</f>
        <v>0</v>
      </c>
      <c r="BP1256" s="6">
        <f>-3396060</f>
        <v>-3396060</v>
      </c>
      <c r="BQ1256" s="4" t="s">
        <v>263</v>
      </c>
      <c r="BR1256" s="4" t="s">
        <v>264</v>
      </c>
      <c r="BS1256" s="4" t="s">
        <v>241</v>
      </c>
      <c r="BT1256" s="4" t="s">
        <v>241</v>
      </c>
      <c r="BU1256" s="4" t="s">
        <v>241</v>
      </c>
      <c r="BV1256" s="4" t="s">
        <v>241</v>
      </c>
      <c r="CA1256" s="5" t="s">
        <v>4033</v>
      </c>
      <c r="CB1256" s="4" t="s">
        <v>263</v>
      </c>
      <c r="CC1256" s="4" t="s">
        <v>241</v>
      </c>
      <c r="CD1256" s="4" t="s">
        <v>241</v>
      </c>
      <c r="CE1256" s="4" t="s">
        <v>264</v>
      </c>
      <c r="CF1256" s="4" t="s">
        <v>241</v>
      </c>
      <c r="CG1256" s="4" t="s">
        <v>241</v>
      </c>
      <c r="CK1256" s="4" t="s">
        <v>265</v>
      </c>
      <c r="CL1256" s="4" t="s">
        <v>266</v>
      </c>
      <c r="CM1256" s="4" t="s">
        <v>278</v>
      </c>
      <c r="CO1256" s="4" t="s">
        <v>662</v>
      </c>
      <c r="CP1256" s="5" t="s">
        <v>268</v>
      </c>
      <c r="CQ1256" s="4" t="s">
        <v>269</v>
      </c>
      <c r="CR1256" s="4" t="s">
        <v>270</v>
      </c>
      <c r="CS1256" s="4" t="s">
        <v>293</v>
      </c>
      <c r="CT1256" s="4" t="s">
        <v>241</v>
      </c>
      <c r="CU1256" s="4">
        <v>0.02</v>
      </c>
      <c r="CV1256" s="4" t="s">
        <v>271</v>
      </c>
      <c r="CW1256" s="4" t="s">
        <v>1329</v>
      </c>
      <c r="CX1256" s="4" t="s">
        <v>295</v>
      </c>
      <c r="CY1256" s="6">
        <f>0</f>
        <v>0</v>
      </c>
      <c r="CZ1256" s="6">
        <f>169803000</f>
        <v>169803000</v>
      </c>
      <c r="DA1256" s="6">
        <f>44148780</f>
        <v>44148780</v>
      </c>
      <c r="DB1256" s="6" t="s">
        <v>241</v>
      </c>
      <c r="DC1256" s="4" t="s">
        <v>241</v>
      </c>
      <c r="DD1256" s="4" t="s">
        <v>241</v>
      </c>
      <c r="DF1256" s="4" t="s">
        <v>241</v>
      </c>
      <c r="DG1256" s="6">
        <f>0</f>
        <v>0</v>
      </c>
      <c r="DH1256" s="5" t="s">
        <v>241</v>
      </c>
      <c r="DI1256" s="4" t="s">
        <v>241</v>
      </c>
      <c r="DJ1256" s="4" t="s">
        <v>241</v>
      </c>
      <c r="DK1256" s="4" t="s">
        <v>241</v>
      </c>
      <c r="DL1256" s="4" t="s">
        <v>241</v>
      </c>
      <c r="DM1256" s="4" t="s">
        <v>277</v>
      </c>
      <c r="DN1256" s="4" t="s">
        <v>278</v>
      </c>
      <c r="DO1256" s="6">
        <f>1257.8</f>
        <v>1257.8</v>
      </c>
      <c r="DP1256" s="4" t="s">
        <v>241</v>
      </c>
      <c r="DQ1256" s="4" t="s">
        <v>251</v>
      </c>
      <c r="DR1256" s="4" t="s">
        <v>3926</v>
      </c>
      <c r="DS1256" s="4" t="s">
        <v>3926</v>
      </c>
      <c r="DT1256" s="4" t="s">
        <v>241</v>
      </c>
      <c r="DU1256" s="4" t="s">
        <v>241</v>
      </c>
      <c r="DV1256" s="4" t="s">
        <v>3272</v>
      </c>
      <c r="DW1256" s="4" t="s">
        <v>277</v>
      </c>
      <c r="GN1256" s="4" t="s">
        <v>4034</v>
      </c>
      <c r="HR1256" s="4" t="s">
        <v>278</v>
      </c>
      <c r="HS1256" s="4" t="s">
        <v>278</v>
      </c>
      <c r="HT1256" s="4" t="s">
        <v>241</v>
      </c>
      <c r="HU1256" s="4" t="s">
        <v>241</v>
      </c>
      <c r="HV1256" s="4" t="s">
        <v>241</v>
      </c>
      <c r="HW1256" s="4" t="s">
        <v>241</v>
      </c>
      <c r="HX1256" s="4" t="s">
        <v>241</v>
      </c>
      <c r="HY1256" s="4" t="s">
        <v>241</v>
      </c>
      <c r="HZ1256" s="4" t="s">
        <v>241</v>
      </c>
      <c r="IA1256" s="4" t="s">
        <v>241</v>
      </c>
      <c r="IB1256" s="4" t="s">
        <v>241</v>
      </c>
      <c r="IC1256" s="4" t="s">
        <v>241</v>
      </c>
      <c r="ID1256" s="4" t="s">
        <v>241</v>
      </c>
      <c r="IE1256" s="4" t="s">
        <v>241</v>
      </c>
      <c r="IF1256" s="4" t="s">
        <v>241</v>
      </c>
    </row>
    <row r="1257" spans="1:240" x14ac:dyDescent="0.4">
      <c r="A1257" s="4">
        <v>2</v>
      </c>
      <c r="B1257" s="4" t="s">
        <v>239</v>
      </c>
      <c r="C1257" s="4">
        <v>1565</v>
      </c>
      <c r="D1257" s="4">
        <v>1</v>
      </c>
      <c r="E1257" s="4">
        <v>1</v>
      </c>
      <c r="F1257" s="4" t="s">
        <v>240</v>
      </c>
      <c r="G1257" s="4" t="s">
        <v>241</v>
      </c>
      <c r="H1257" s="4" t="s">
        <v>241</v>
      </c>
      <c r="I1257" s="4" t="s">
        <v>3270</v>
      </c>
      <c r="J1257" s="4" t="s">
        <v>424</v>
      </c>
      <c r="K1257" s="4" t="s">
        <v>256</v>
      </c>
      <c r="L1257" s="4" t="s">
        <v>454</v>
      </c>
      <c r="M1257" s="5" t="s">
        <v>1033</v>
      </c>
      <c r="N1257" s="4" t="s">
        <v>454</v>
      </c>
      <c r="O1257" s="6">
        <f>82.81</f>
        <v>82.81</v>
      </c>
      <c r="P1257" s="4" t="s">
        <v>276</v>
      </c>
      <c r="Q1257" s="6">
        <f>1</f>
        <v>1</v>
      </c>
      <c r="R1257" s="6">
        <f>4968600</f>
        <v>4968600</v>
      </c>
      <c r="S1257" s="5" t="s">
        <v>3271</v>
      </c>
      <c r="T1257" s="4" t="s">
        <v>404</v>
      </c>
      <c r="U1257" s="4" t="s">
        <v>552</v>
      </c>
      <c r="W1257" s="6">
        <f>4968599</f>
        <v>4968599</v>
      </c>
      <c r="X1257" s="4" t="s">
        <v>243</v>
      </c>
      <c r="Y1257" s="4" t="s">
        <v>244</v>
      </c>
      <c r="Z1257" s="4" t="s">
        <v>504</v>
      </c>
      <c r="AA1257" s="4" t="s">
        <v>241</v>
      </c>
      <c r="AD1257" s="4" t="s">
        <v>241</v>
      </c>
      <c r="AF1257" s="5" t="s">
        <v>241</v>
      </c>
      <c r="AI1257" s="5" t="s">
        <v>249</v>
      </c>
      <c r="AJ1257" s="4" t="s">
        <v>251</v>
      </c>
      <c r="AK1257" s="4" t="s">
        <v>252</v>
      </c>
      <c r="BA1257" s="4" t="s">
        <v>254</v>
      </c>
      <c r="BB1257" s="4" t="s">
        <v>241</v>
      </c>
      <c r="BC1257" s="4" t="s">
        <v>255</v>
      </c>
      <c r="BD1257" s="4" t="s">
        <v>241</v>
      </c>
      <c r="BE1257" s="4" t="s">
        <v>257</v>
      </c>
      <c r="BF1257" s="4" t="s">
        <v>241</v>
      </c>
      <c r="BJ1257" s="4" t="s">
        <v>374</v>
      </c>
      <c r="BK1257" s="5" t="s">
        <v>375</v>
      </c>
      <c r="BL1257" s="4" t="s">
        <v>261</v>
      </c>
      <c r="BM1257" s="4" t="s">
        <v>262</v>
      </c>
      <c r="BN1257" s="4" t="s">
        <v>241</v>
      </c>
      <c r="BO1257" s="6">
        <f>0</f>
        <v>0</v>
      </c>
      <c r="BP1257" s="6">
        <f>0</f>
        <v>0</v>
      </c>
      <c r="BQ1257" s="4" t="s">
        <v>263</v>
      </c>
      <c r="BR1257" s="4" t="s">
        <v>264</v>
      </c>
      <c r="CF1257" s="4" t="s">
        <v>241</v>
      </c>
      <c r="CG1257" s="4" t="s">
        <v>241</v>
      </c>
      <c r="CK1257" s="4" t="s">
        <v>265</v>
      </c>
      <c r="CL1257" s="4" t="s">
        <v>266</v>
      </c>
      <c r="CM1257" s="4" t="s">
        <v>241</v>
      </c>
      <c r="CO1257" s="4" t="s">
        <v>662</v>
      </c>
      <c r="CP1257" s="5" t="s">
        <v>268</v>
      </c>
      <c r="CQ1257" s="4" t="s">
        <v>269</v>
      </c>
      <c r="CR1257" s="4" t="s">
        <v>270</v>
      </c>
      <c r="CS1257" s="4" t="s">
        <v>241</v>
      </c>
      <c r="CT1257" s="4" t="s">
        <v>241</v>
      </c>
      <c r="CU1257" s="4">
        <v>0</v>
      </c>
      <c r="CV1257" s="4" t="s">
        <v>271</v>
      </c>
      <c r="CW1257" s="4" t="s">
        <v>455</v>
      </c>
      <c r="CX1257" s="4" t="s">
        <v>273</v>
      </c>
      <c r="CZ1257" s="6">
        <f>4968600</f>
        <v>4968600</v>
      </c>
      <c r="DA1257" s="6">
        <f>0</f>
        <v>0</v>
      </c>
      <c r="DC1257" s="4" t="s">
        <v>241</v>
      </c>
      <c r="DD1257" s="4" t="s">
        <v>241</v>
      </c>
      <c r="DF1257" s="4" t="s">
        <v>241</v>
      </c>
      <c r="DI1257" s="4" t="s">
        <v>241</v>
      </c>
      <c r="DJ1257" s="4" t="s">
        <v>241</v>
      </c>
      <c r="DK1257" s="4" t="s">
        <v>241</v>
      </c>
      <c r="DL1257" s="4" t="s">
        <v>241</v>
      </c>
      <c r="DM1257" s="4" t="s">
        <v>277</v>
      </c>
      <c r="DN1257" s="4" t="s">
        <v>278</v>
      </c>
      <c r="DO1257" s="6">
        <f>82.81</f>
        <v>82.81</v>
      </c>
      <c r="DP1257" s="4" t="s">
        <v>241</v>
      </c>
      <c r="DQ1257" s="4" t="s">
        <v>241</v>
      </c>
      <c r="DR1257" s="4" t="s">
        <v>241</v>
      </c>
      <c r="DS1257" s="4" t="s">
        <v>241</v>
      </c>
      <c r="DV1257" s="4" t="s">
        <v>3272</v>
      </c>
      <c r="DW1257" s="4" t="s">
        <v>323</v>
      </c>
      <c r="HO1257" s="4" t="s">
        <v>277</v>
      </c>
      <c r="HR1257" s="4" t="s">
        <v>278</v>
      </c>
      <c r="HS1257" s="4" t="s">
        <v>278</v>
      </c>
    </row>
    <row r="1258" spans="1:240" x14ac:dyDescent="0.4">
      <c r="A1258" s="4">
        <v>2</v>
      </c>
      <c r="B1258" s="4" t="s">
        <v>239</v>
      </c>
      <c r="C1258" s="4">
        <v>1566</v>
      </c>
      <c r="D1258" s="4">
        <v>1</v>
      </c>
      <c r="E1258" s="4">
        <v>1</v>
      </c>
      <c r="F1258" s="4" t="s">
        <v>240</v>
      </c>
      <c r="G1258" s="4" t="s">
        <v>241</v>
      </c>
      <c r="H1258" s="4" t="s">
        <v>241</v>
      </c>
      <c r="I1258" s="4" t="s">
        <v>3270</v>
      </c>
      <c r="J1258" s="4" t="s">
        <v>424</v>
      </c>
      <c r="K1258" s="4" t="s">
        <v>256</v>
      </c>
      <c r="L1258" s="4" t="s">
        <v>429</v>
      </c>
      <c r="M1258" s="5" t="s">
        <v>1033</v>
      </c>
      <c r="N1258" s="4" t="s">
        <v>429</v>
      </c>
      <c r="O1258" s="6">
        <f>19.87</f>
        <v>19.87</v>
      </c>
      <c r="P1258" s="4" t="s">
        <v>276</v>
      </c>
      <c r="Q1258" s="6">
        <f>1</f>
        <v>1</v>
      </c>
      <c r="R1258" s="6">
        <f>1192200</f>
        <v>1192200</v>
      </c>
      <c r="S1258" s="5" t="s">
        <v>3271</v>
      </c>
      <c r="T1258" s="4" t="s">
        <v>274</v>
      </c>
      <c r="U1258" s="4" t="s">
        <v>552</v>
      </c>
      <c r="W1258" s="6">
        <f>1192199</f>
        <v>1192199</v>
      </c>
      <c r="X1258" s="4" t="s">
        <v>243</v>
      </c>
      <c r="Y1258" s="4" t="s">
        <v>244</v>
      </c>
      <c r="Z1258" s="4" t="s">
        <v>504</v>
      </c>
      <c r="AA1258" s="4" t="s">
        <v>241</v>
      </c>
      <c r="AD1258" s="4" t="s">
        <v>241</v>
      </c>
      <c r="AF1258" s="5" t="s">
        <v>241</v>
      </c>
      <c r="AI1258" s="5" t="s">
        <v>249</v>
      </c>
      <c r="AJ1258" s="4" t="s">
        <v>251</v>
      </c>
      <c r="AK1258" s="4" t="s">
        <v>252</v>
      </c>
      <c r="BA1258" s="4" t="s">
        <v>254</v>
      </c>
      <c r="BB1258" s="4" t="s">
        <v>241</v>
      </c>
      <c r="BC1258" s="4" t="s">
        <v>255</v>
      </c>
      <c r="BD1258" s="4" t="s">
        <v>241</v>
      </c>
      <c r="BE1258" s="4" t="s">
        <v>257</v>
      </c>
      <c r="BF1258" s="4" t="s">
        <v>241</v>
      </c>
      <c r="BJ1258" s="4" t="s">
        <v>367</v>
      </c>
      <c r="BK1258" s="5" t="s">
        <v>249</v>
      </c>
      <c r="BL1258" s="4" t="s">
        <v>261</v>
      </c>
      <c r="BM1258" s="4" t="s">
        <v>262</v>
      </c>
      <c r="BN1258" s="4" t="s">
        <v>241</v>
      </c>
      <c r="BO1258" s="6">
        <f>0</f>
        <v>0</v>
      </c>
      <c r="BP1258" s="6">
        <f>0</f>
        <v>0</v>
      </c>
      <c r="BQ1258" s="4" t="s">
        <v>263</v>
      </c>
      <c r="BR1258" s="4" t="s">
        <v>264</v>
      </c>
      <c r="CF1258" s="4" t="s">
        <v>241</v>
      </c>
      <c r="CG1258" s="4" t="s">
        <v>241</v>
      </c>
      <c r="CK1258" s="4" t="s">
        <v>265</v>
      </c>
      <c r="CL1258" s="4" t="s">
        <v>266</v>
      </c>
      <c r="CM1258" s="4" t="s">
        <v>241</v>
      </c>
      <c r="CO1258" s="4" t="s">
        <v>662</v>
      </c>
      <c r="CP1258" s="5" t="s">
        <v>268</v>
      </c>
      <c r="CQ1258" s="4" t="s">
        <v>269</v>
      </c>
      <c r="CR1258" s="4" t="s">
        <v>270</v>
      </c>
      <c r="CS1258" s="4" t="s">
        <v>241</v>
      </c>
      <c r="CT1258" s="4" t="s">
        <v>241</v>
      </c>
      <c r="CU1258" s="4">
        <v>0</v>
      </c>
      <c r="CV1258" s="4" t="s">
        <v>271</v>
      </c>
      <c r="CW1258" s="4" t="s">
        <v>272</v>
      </c>
      <c r="CX1258" s="4" t="s">
        <v>273</v>
      </c>
      <c r="CZ1258" s="6">
        <f>1192200</f>
        <v>1192200</v>
      </c>
      <c r="DA1258" s="6">
        <f>0</f>
        <v>0</v>
      </c>
      <c r="DC1258" s="4" t="s">
        <v>241</v>
      </c>
      <c r="DD1258" s="4" t="s">
        <v>241</v>
      </c>
      <c r="DF1258" s="4" t="s">
        <v>241</v>
      </c>
      <c r="DI1258" s="4" t="s">
        <v>241</v>
      </c>
      <c r="DJ1258" s="4" t="s">
        <v>241</v>
      </c>
      <c r="DK1258" s="4" t="s">
        <v>241</v>
      </c>
      <c r="DL1258" s="4" t="s">
        <v>241</v>
      </c>
      <c r="DM1258" s="4" t="s">
        <v>277</v>
      </c>
      <c r="DN1258" s="4" t="s">
        <v>278</v>
      </c>
      <c r="DO1258" s="6">
        <f>19.87</f>
        <v>19.87</v>
      </c>
      <c r="DP1258" s="4" t="s">
        <v>241</v>
      </c>
      <c r="DQ1258" s="4" t="s">
        <v>241</v>
      </c>
      <c r="DR1258" s="4" t="s">
        <v>241</v>
      </c>
      <c r="DS1258" s="4" t="s">
        <v>241</v>
      </c>
      <c r="DV1258" s="4" t="s">
        <v>3272</v>
      </c>
      <c r="DW1258" s="4" t="s">
        <v>297</v>
      </c>
      <c r="HO1258" s="4" t="s">
        <v>277</v>
      </c>
      <c r="HR1258" s="4" t="s">
        <v>278</v>
      </c>
      <c r="HS1258" s="4" t="s">
        <v>278</v>
      </c>
    </row>
    <row r="1259" spans="1:240" x14ac:dyDescent="0.4">
      <c r="A1259" s="4">
        <v>2</v>
      </c>
      <c r="B1259" s="4" t="s">
        <v>239</v>
      </c>
      <c r="C1259" s="4">
        <v>1567</v>
      </c>
      <c r="D1259" s="4">
        <v>1</v>
      </c>
      <c r="E1259" s="4">
        <v>1</v>
      </c>
      <c r="F1259" s="4" t="s">
        <v>240</v>
      </c>
      <c r="G1259" s="4" t="s">
        <v>241</v>
      </c>
      <c r="H1259" s="4" t="s">
        <v>241</v>
      </c>
      <c r="I1259" s="4" t="s">
        <v>1926</v>
      </c>
      <c r="J1259" s="4" t="s">
        <v>406</v>
      </c>
      <c r="K1259" s="4" t="s">
        <v>256</v>
      </c>
      <c r="L1259" s="4" t="s">
        <v>1925</v>
      </c>
      <c r="M1259" s="5" t="s">
        <v>1928</v>
      </c>
      <c r="N1259" s="4" t="s">
        <v>1925</v>
      </c>
      <c r="O1259" s="6">
        <f>140.77</f>
        <v>140.77000000000001</v>
      </c>
      <c r="P1259" s="4" t="s">
        <v>276</v>
      </c>
      <c r="Q1259" s="6">
        <f>1</f>
        <v>1</v>
      </c>
      <c r="R1259" s="6">
        <f>12669300</f>
        <v>12669300</v>
      </c>
      <c r="S1259" s="5" t="s">
        <v>1927</v>
      </c>
      <c r="T1259" s="4" t="s">
        <v>348</v>
      </c>
      <c r="U1259" s="4" t="s">
        <v>371</v>
      </c>
      <c r="W1259" s="6">
        <f>12669299</f>
        <v>12669299</v>
      </c>
      <c r="X1259" s="4" t="s">
        <v>243</v>
      </c>
      <c r="Y1259" s="4" t="s">
        <v>244</v>
      </c>
      <c r="Z1259" s="4" t="s">
        <v>504</v>
      </c>
      <c r="AA1259" s="4" t="s">
        <v>241</v>
      </c>
      <c r="AD1259" s="4" t="s">
        <v>241</v>
      </c>
      <c r="AF1259" s="5" t="s">
        <v>241</v>
      </c>
      <c r="AI1259" s="5" t="s">
        <v>249</v>
      </c>
      <c r="AJ1259" s="4" t="s">
        <v>251</v>
      </c>
      <c r="AK1259" s="4" t="s">
        <v>252</v>
      </c>
      <c r="BA1259" s="4" t="s">
        <v>254</v>
      </c>
      <c r="BB1259" s="4" t="s">
        <v>241</v>
      </c>
      <c r="BC1259" s="4" t="s">
        <v>255</v>
      </c>
      <c r="BD1259" s="4" t="s">
        <v>241</v>
      </c>
      <c r="BE1259" s="4" t="s">
        <v>257</v>
      </c>
      <c r="BF1259" s="4" t="s">
        <v>241</v>
      </c>
      <c r="BJ1259" s="4" t="s">
        <v>374</v>
      </c>
      <c r="BK1259" s="5" t="s">
        <v>375</v>
      </c>
      <c r="BL1259" s="4" t="s">
        <v>261</v>
      </c>
      <c r="BM1259" s="4" t="s">
        <v>262</v>
      </c>
      <c r="BN1259" s="4" t="s">
        <v>241</v>
      </c>
      <c r="BO1259" s="6">
        <f>0</f>
        <v>0</v>
      </c>
      <c r="BP1259" s="6">
        <f>0</f>
        <v>0</v>
      </c>
      <c r="BQ1259" s="4" t="s">
        <v>263</v>
      </c>
      <c r="BR1259" s="4" t="s">
        <v>264</v>
      </c>
      <c r="CF1259" s="4" t="s">
        <v>241</v>
      </c>
      <c r="CG1259" s="4" t="s">
        <v>241</v>
      </c>
      <c r="CK1259" s="4" t="s">
        <v>291</v>
      </c>
      <c r="CL1259" s="4" t="s">
        <v>266</v>
      </c>
      <c r="CM1259" s="4" t="s">
        <v>241</v>
      </c>
      <c r="CO1259" s="4" t="s">
        <v>360</v>
      </c>
      <c r="CP1259" s="5" t="s">
        <v>268</v>
      </c>
      <c r="CQ1259" s="4" t="s">
        <v>269</v>
      </c>
      <c r="CR1259" s="4" t="s">
        <v>270</v>
      </c>
      <c r="CS1259" s="4" t="s">
        <v>241</v>
      </c>
      <c r="CT1259" s="4" t="s">
        <v>241</v>
      </c>
      <c r="CU1259" s="4">
        <v>0</v>
      </c>
      <c r="CV1259" s="4" t="s">
        <v>271</v>
      </c>
      <c r="CW1259" s="4" t="s">
        <v>1920</v>
      </c>
      <c r="CX1259" s="4" t="s">
        <v>347</v>
      </c>
      <c r="CZ1259" s="6">
        <f>12669300</f>
        <v>12669300</v>
      </c>
      <c r="DA1259" s="6">
        <f>0</f>
        <v>0</v>
      </c>
      <c r="DC1259" s="4" t="s">
        <v>241</v>
      </c>
      <c r="DD1259" s="4" t="s">
        <v>241</v>
      </c>
      <c r="DF1259" s="4" t="s">
        <v>241</v>
      </c>
      <c r="DI1259" s="4" t="s">
        <v>241</v>
      </c>
      <c r="DJ1259" s="4" t="s">
        <v>241</v>
      </c>
      <c r="DK1259" s="4" t="s">
        <v>241</v>
      </c>
      <c r="DL1259" s="4" t="s">
        <v>241</v>
      </c>
      <c r="DM1259" s="4" t="s">
        <v>277</v>
      </c>
      <c r="DN1259" s="4" t="s">
        <v>278</v>
      </c>
      <c r="DO1259" s="6">
        <f>140.77</f>
        <v>140.77000000000001</v>
      </c>
      <c r="DP1259" s="4" t="s">
        <v>241</v>
      </c>
      <c r="DQ1259" s="4" t="s">
        <v>241</v>
      </c>
      <c r="DR1259" s="4" t="s">
        <v>241</v>
      </c>
      <c r="DS1259" s="4" t="s">
        <v>241</v>
      </c>
      <c r="DV1259" s="4" t="s">
        <v>1929</v>
      </c>
      <c r="DW1259" s="4" t="s">
        <v>277</v>
      </c>
      <c r="HO1259" s="4" t="s">
        <v>277</v>
      </c>
      <c r="HR1259" s="4" t="s">
        <v>278</v>
      </c>
      <c r="HS1259" s="4" t="s">
        <v>278</v>
      </c>
    </row>
    <row r="1260" spans="1:240" x14ac:dyDescent="0.4">
      <c r="A1260" s="4">
        <v>2</v>
      </c>
      <c r="B1260" s="4" t="s">
        <v>239</v>
      </c>
      <c r="C1260" s="4">
        <v>1568</v>
      </c>
      <c r="D1260" s="4">
        <v>1</v>
      </c>
      <c r="E1260" s="4">
        <v>1</v>
      </c>
      <c r="F1260" s="4" t="s">
        <v>240</v>
      </c>
      <c r="G1260" s="4" t="s">
        <v>241</v>
      </c>
      <c r="H1260" s="4" t="s">
        <v>241</v>
      </c>
      <c r="I1260" s="4" t="s">
        <v>3885</v>
      </c>
      <c r="J1260" s="4" t="s">
        <v>1404</v>
      </c>
      <c r="K1260" s="4" t="s">
        <v>256</v>
      </c>
      <c r="L1260" s="4" t="s">
        <v>1925</v>
      </c>
      <c r="M1260" s="5" t="s">
        <v>588</v>
      </c>
      <c r="N1260" s="4" t="s">
        <v>1925</v>
      </c>
      <c r="O1260" s="6">
        <f>230.09</f>
        <v>230.09</v>
      </c>
      <c r="P1260" s="4" t="s">
        <v>276</v>
      </c>
      <c r="Q1260" s="6">
        <f>1</f>
        <v>1</v>
      </c>
      <c r="R1260" s="6">
        <f>13805400</f>
        <v>13805400</v>
      </c>
      <c r="S1260" s="5" t="s">
        <v>3886</v>
      </c>
      <c r="T1260" s="4" t="s">
        <v>335</v>
      </c>
      <c r="U1260" s="4" t="s">
        <v>2143</v>
      </c>
      <c r="W1260" s="6">
        <f>13805399</f>
        <v>13805399</v>
      </c>
      <c r="X1260" s="4" t="s">
        <v>243</v>
      </c>
      <c r="Y1260" s="4" t="s">
        <v>244</v>
      </c>
      <c r="Z1260" s="4" t="s">
        <v>504</v>
      </c>
      <c r="AA1260" s="4" t="s">
        <v>241</v>
      </c>
      <c r="AD1260" s="4" t="s">
        <v>241</v>
      </c>
      <c r="AF1260" s="5" t="s">
        <v>241</v>
      </c>
      <c r="AI1260" s="5" t="s">
        <v>249</v>
      </c>
      <c r="AJ1260" s="4" t="s">
        <v>251</v>
      </c>
      <c r="AK1260" s="4" t="s">
        <v>252</v>
      </c>
      <c r="BA1260" s="4" t="s">
        <v>254</v>
      </c>
      <c r="BB1260" s="4" t="s">
        <v>241</v>
      </c>
      <c r="BC1260" s="4" t="s">
        <v>255</v>
      </c>
      <c r="BD1260" s="4" t="s">
        <v>241</v>
      </c>
      <c r="BE1260" s="4" t="s">
        <v>257</v>
      </c>
      <c r="BF1260" s="4" t="s">
        <v>241</v>
      </c>
      <c r="BH1260" s="4" t="s">
        <v>500</v>
      </c>
      <c r="BJ1260" s="4" t="s">
        <v>367</v>
      </c>
      <c r="BK1260" s="5" t="s">
        <v>249</v>
      </c>
      <c r="BL1260" s="4" t="s">
        <v>261</v>
      </c>
      <c r="BM1260" s="4" t="s">
        <v>262</v>
      </c>
      <c r="BN1260" s="4" t="s">
        <v>241</v>
      </c>
      <c r="BO1260" s="6">
        <f>0</f>
        <v>0</v>
      </c>
      <c r="BP1260" s="6">
        <f>0</f>
        <v>0</v>
      </c>
      <c r="BQ1260" s="4" t="s">
        <v>263</v>
      </c>
      <c r="BR1260" s="4" t="s">
        <v>264</v>
      </c>
      <c r="CF1260" s="4" t="s">
        <v>241</v>
      </c>
      <c r="CG1260" s="4" t="s">
        <v>241</v>
      </c>
      <c r="CK1260" s="4" t="s">
        <v>265</v>
      </c>
      <c r="CL1260" s="4" t="s">
        <v>266</v>
      </c>
      <c r="CM1260" s="4" t="s">
        <v>241</v>
      </c>
      <c r="CO1260" s="4" t="s">
        <v>2142</v>
      </c>
      <c r="CP1260" s="5" t="s">
        <v>268</v>
      </c>
      <c r="CQ1260" s="4" t="s">
        <v>269</v>
      </c>
      <c r="CR1260" s="4" t="s">
        <v>270</v>
      </c>
      <c r="CS1260" s="4" t="s">
        <v>241</v>
      </c>
      <c r="CT1260" s="4" t="s">
        <v>241</v>
      </c>
      <c r="CU1260" s="4">
        <v>0</v>
      </c>
      <c r="CV1260" s="4" t="s">
        <v>271</v>
      </c>
      <c r="CW1260" s="4" t="s">
        <v>456</v>
      </c>
      <c r="CX1260" s="4" t="s">
        <v>347</v>
      </c>
      <c r="CZ1260" s="6">
        <f>13805400</f>
        <v>13805400</v>
      </c>
      <c r="DA1260" s="6">
        <f>0</f>
        <v>0</v>
      </c>
      <c r="DC1260" s="4" t="s">
        <v>241</v>
      </c>
      <c r="DD1260" s="4" t="s">
        <v>241</v>
      </c>
      <c r="DF1260" s="4" t="s">
        <v>241</v>
      </c>
      <c r="DI1260" s="4" t="s">
        <v>241</v>
      </c>
      <c r="DJ1260" s="4" t="s">
        <v>241</v>
      </c>
      <c r="DK1260" s="4" t="s">
        <v>241</v>
      </c>
      <c r="DL1260" s="4" t="s">
        <v>241</v>
      </c>
      <c r="DM1260" s="4" t="s">
        <v>277</v>
      </c>
      <c r="DN1260" s="4" t="s">
        <v>278</v>
      </c>
      <c r="DO1260" s="6">
        <f>230.09</f>
        <v>230.09</v>
      </c>
      <c r="DP1260" s="4" t="s">
        <v>241</v>
      </c>
      <c r="DQ1260" s="4" t="s">
        <v>241</v>
      </c>
      <c r="DR1260" s="4" t="s">
        <v>241</v>
      </c>
      <c r="DS1260" s="4" t="s">
        <v>241</v>
      </c>
      <c r="DV1260" s="4" t="s">
        <v>3887</v>
      </c>
      <c r="DW1260" s="4" t="s">
        <v>277</v>
      </c>
      <c r="HO1260" s="4" t="s">
        <v>277</v>
      </c>
      <c r="HR1260" s="4" t="s">
        <v>278</v>
      </c>
      <c r="HS1260" s="4" t="s">
        <v>278</v>
      </c>
    </row>
    <row r="1261" spans="1:240" x14ac:dyDescent="0.4">
      <c r="A1261" s="4">
        <v>2</v>
      </c>
      <c r="B1261" s="4" t="s">
        <v>239</v>
      </c>
      <c r="C1261" s="4">
        <v>1569</v>
      </c>
      <c r="D1261" s="4">
        <v>1</v>
      </c>
      <c r="E1261" s="4">
        <v>1</v>
      </c>
      <c r="F1261" s="4" t="s">
        <v>240</v>
      </c>
      <c r="G1261" s="4" t="s">
        <v>241</v>
      </c>
      <c r="H1261" s="4" t="s">
        <v>241</v>
      </c>
      <c r="I1261" s="4" t="s">
        <v>3885</v>
      </c>
      <c r="J1261" s="4" t="s">
        <v>1404</v>
      </c>
      <c r="K1261" s="4" t="s">
        <v>256</v>
      </c>
      <c r="L1261" s="4" t="s">
        <v>1925</v>
      </c>
      <c r="M1261" s="5" t="s">
        <v>588</v>
      </c>
      <c r="N1261" s="4" t="s">
        <v>1925</v>
      </c>
      <c r="O1261" s="6">
        <f>73</f>
        <v>73</v>
      </c>
      <c r="P1261" s="4" t="s">
        <v>276</v>
      </c>
      <c r="Q1261" s="6">
        <f>1</f>
        <v>1</v>
      </c>
      <c r="R1261" s="6">
        <f>4380000</f>
        <v>4380000</v>
      </c>
      <c r="S1261" s="5" t="s">
        <v>3891</v>
      </c>
      <c r="T1261" s="4" t="s">
        <v>335</v>
      </c>
      <c r="U1261" s="4" t="s">
        <v>2143</v>
      </c>
      <c r="W1261" s="6">
        <f>4379999</f>
        <v>4379999</v>
      </c>
      <c r="X1261" s="4" t="s">
        <v>243</v>
      </c>
      <c r="Y1261" s="4" t="s">
        <v>244</v>
      </c>
      <c r="Z1261" s="4" t="s">
        <v>504</v>
      </c>
      <c r="AA1261" s="4" t="s">
        <v>241</v>
      </c>
      <c r="AD1261" s="4" t="s">
        <v>241</v>
      </c>
      <c r="AF1261" s="5" t="s">
        <v>241</v>
      </c>
      <c r="AI1261" s="5" t="s">
        <v>249</v>
      </c>
      <c r="AJ1261" s="4" t="s">
        <v>251</v>
      </c>
      <c r="AK1261" s="4" t="s">
        <v>252</v>
      </c>
      <c r="BA1261" s="4" t="s">
        <v>254</v>
      </c>
      <c r="BB1261" s="4" t="s">
        <v>241</v>
      </c>
      <c r="BC1261" s="4" t="s">
        <v>255</v>
      </c>
      <c r="BD1261" s="4" t="s">
        <v>241</v>
      </c>
      <c r="BE1261" s="4" t="s">
        <v>257</v>
      </c>
      <c r="BF1261" s="4" t="s">
        <v>241</v>
      </c>
      <c r="BJ1261" s="4" t="s">
        <v>374</v>
      </c>
      <c r="BK1261" s="5" t="s">
        <v>375</v>
      </c>
      <c r="BL1261" s="4" t="s">
        <v>261</v>
      </c>
      <c r="BM1261" s="4" t="s">
        <v>262</v>
      </c>
      <c r="BN1261" s="4" t="s">
        <v>241</v>
      </c>
      <c r="BO1261" s="6">
        <f>0</f>
        <v>0</v>
      </c>
      <c r="BP1261" s="6">
        <f>0</f>
        <v>0</v>
      </c>
      <c r="BQ1261" s="4" t="s">
        <v>263</v>
      </c>
      <c r="BR1261" s="4" t="s">
        <v>264</v>
      </c>
      <c r="CF1261" s="4" t="s">
        <v>241</v>
      </c>
      <c r="CG1261" s="4" t="s">
        <v>241</v>
      </c>
      <c r="CK1261" s="4" t="s">
        <v>265</v>
      </c>
      <c r="CL1261" s="4" t="s">
        <v>266</v>
      </c>
      <c r="CM1261" s="4" t="s">
        <v>241</v>
      </c>
      <c r="CO1261" s="4" t="s">
        <v>2142</v>
      </c>
      <c r="CP1261" s="5" t="s">
        <v>268</v>
      </c>
      <c r="CQ1261" s="4" t="s">
        <v>269</v>
      </c>
      <c r="CR1261" s="4" t="s">
        <v>270</v>
      </c>
      <c r="CS1261" s="4" t="s">
        <v>241</v>
      </c>
      <c r="CT1261" s="4" t="s">
        <v>241</v>
      </c>
      <c r="CU1261" s="4">
        <v>0</v>
      </c>
      <c r="CV1261" s="4" t="s">
        <v>271</v>
      </c>
      <c r="CW1261" s="4" t="s">
        <v>456</v>
      </c>
      <c r="CX1261" s="4" t="s">
        <v>347</v>
      </c>
      <c r="CZ1261" s="6">
        <f>4380000</f>
        <v>4380000</v>
      </c>
      <c r="DA1261" s="6">
        <f>0</f>
        <v>0</v>
      </c>
      <c r="DC1261" s="4" t="s">
        <v>241</v>
      </c>
      <c r="DD1261" s="4" t="s">
        <v>241</v>
      </c>
      <c r="DF1261" s="4" t="s">
        <v>241</v>
      </c>
      <c r="DI1261" s="4" t="s">
        <v>241</v>
      </c>
      <c r="DJ1261" s="4" t="s">
        <v>241</v>
      </c>
      <c r="DK1261" s="4" t="s">
        <v>241</v>
      </c>
      <c r="DL1261" s="4" t="s">
        <v>241</v>
      </c>
      <c r="DM1261" s="4" t="s">
        <v>277</v>
      </c>
      <c r="DN1261" s="4" t="s">
        <v>278</v>
      </c>
      <c r="DO1261" s="6">
        <f>73</f>
        <v>73</v>
      </c>
      <c r="DP1261" s="4" t="s">
        <v>241</v>
      </c>
      <c r="DQ1261" s="4" t="s">
        <v>241</v>
      </c>
      <c r="DR1261" s="4" t="s">
        <v>241</v>
      </c>
      <c r="DS1261" s="4" t="s">
        <v>241</v>
      </c>
      <c r="DV1261" s="4" t="s">
        <v>3887</v>
      </c>
      <c r="DW1261" s="4" t="s">
        <v>323</v>
      </c>
      <c r="HO1261" s="4" t="s">
        <v>277</v>
      </c>
      <c r="HR1261" s="4" t="s">
        <v>278</v>
      </c>
      <c r="HS1261" s="4" t="s">
        <v>278</v>
      </c>
    </row>
    <row r="1262" spans="1:240" x14ac:dyDescent="0.4">
      <c r="A1262" s="4">
        <v>2</v>
      </c>
      <c r="B1262" s="4" t="s">
        <v>239</v>
      </c>
      <c r="C1262" s="4">
        <v>1570</v>
      </c>
      <c r="D1262" s="4">
        <v>1</v>
      </c>
      <c r="E1262" s="4">
        <v>1</v>
      </c>
      <c r="F1262" s="4" t="s">
        <v>240</v>
      </c>
      <c r="G1262" s="4" t="s">
        <v>241</v>
      </c>
      <c r="H1262" s="4" t="s">
        <v>241</v>
      </c>
      <c r="I1262" s="4" t="s">
        <v>3885</v>
      </c>
      <c r="J1262" s="4" t="s">
        <v>1404</v>
      </c>
      <c r="K1262" s="4" t="s">
        <v>256</v>
      </c>
      <c r="L1262" s="4" t="s">
        <v>1925</v>
      </c>
      <c r="M1262" s="5" t="s">
        <v>588</v>
      </c>
      <c r="N1262" s="4" t="s">
        <v>1925</v>
      </c>
      <c r="O1262" s="6">
        <f>116</f>
        <v>116</v>
      </c>
      <c r="P1262" s="4" t="s">
        <v>276</v>
      </c>
      <c r="Q1262" s="6">
        <f>1</f>
        <v>1</v>
      </c>
      <c r="R1262" s="6">
        <f>6960000</f>
        <v>6960000</v>
      </c>
      <c r="S1262" s="5" t="s">
        <v>3891</v>
      </c>
      <c r="T1262" s="4" t="s">
        <v>441</v>
      </c>
      <c r="U1262" s="4" t="s">
        <v>2143</v>
      </c>
      <c r="W1262" s="6">
        <f>6959999</f>
        <v>6959999</v>
      </c>
      <c r="X1262" s="4" t="s">
        <v>243</v>
      </c>
      <c r="Y1262" s="4" t="s">
        <v>244</v>
      </c>
      <c r="Z1262" s="4" t="s">
        <v>504</v>
      </c>
      <c r="AA1262" s="4" t="s">
        <v>241</v>
      </c>
      <c r="AD1262" s="4" t="s">
        <v>241</v>
      </c>
      <c r="AF1262" s="5" t="s">
        <v>241</v>
      </c>
      <c r="AI1262" s="5" t="s">
        <v>249</v>
      </c>
      <c r="AJ1262" s="4" t="s">
        <v>251</v>
      </c>
      <c r="AK1262" s="4" t="s">
        <v>252</v>
      </c>
      <c r="BA1262" s="4" t="s">
        <v>254</v>
      </c>
      <c r="BB1262" s="4" t="s">
        <v>241</v>
      </c>
      <c r="BC1262" s="4" t="s">
        <v>255</v>
      </c>
      <c r="BD1262" s="4" t="s">
        <v>241</v>
      </c>
      <c r="BE1262" s="4" t="s">
        <v>257</v>
      </c>
      <c r="BF1262" s="4" t="s">
        <v>241</v>
      </c>
      <c r="BJ1262" s="4" t="s">
        <v>367</v>
      </c>
      <c r="BK1262" s="5" t="s">
        <v>249</v>
      </c>
      <c r="BL1262" s="4" t="s">
        <v>261</v>
      </c>
      <c r="BM1262" s="4" t="s">
        <v>262</v>
      </c>
      <c r="BN1262" s="4" t="s">
        <v>241</v>
      </c>
      <c r="BO1262" s="6">
        <f>0</f>
        <v>0</v>
      </c>
      <c r="BP1262" s="6">
        <f>0</f>
        <v>0</v>
      </c>
      <c r="BQ1262" s="4" t="s">
        <v>263</v>
      </c>
      <c r="BR1262" s="4" t="s">
        <v>264</v>
      </c>
      <c r="CF1262" s="4" t="s">
        <v>241</v>
      </c>
      <c r="CG1262" s="4" t="s">
        <v>241</v>
      </c>
      <c r="CK1262" s="4" t="s">
        <v>265</v>
      </c>
      <c r="CL1262" s="4" t="s">
        <v>266</v>
      </c>
      <c r="CM1262" s="4" t="s">
        <v>241</v>
      </c>
      <c r="CO1262" s="4" t="s">
        <v>2142</v>
      </c>
      <c r="CP1262" s="5" t="s">
        <v>268</v>
      </c>
      <c r="CQ1262" s="4" t="s">
        <v>269</v>
      </c>
      <c r="CR1262" s="4" t="s">
        <v>270</v>
      </c>
      <c r="CS1262" s="4" t="s">
        <v>241</v>
      </c>
      <c r="CT1262" s="4" t="s">
        <v>241</v>
      </c>
      <c r="CU1262" s="4">
        <v>0</v>
      </c>
      <c r="CV1262" s="4" t="s">
        <v>271</v>
      </c>
      <c r="CW1262" s="4" t="s">
        <v>456</v>
      </c>
      <c r="CX1262" s="4" t="s">
        <v>487</v>
      </c>
      <c r="CZ1262" s="6">
        <f>6960000</f>
        <v>6960000</v>
      </c>
      <c r="DA1262" s="6">
        <f>0</f>
        <v>0</v>
      </c>
      <c r="DC1262" s="4" t="s">
        <v>241</v>
      </c>
      <c r="DD1262" s="4" t="s">
        <v>241</v>
      </c>
      <c r="DF1262" s="4" t="s">
        <v>241</v>
      </c>
      <c r="DI1262" s="4" t="s">
        <v>241</v>
      </c>
      <c r="DJ1262" s="4" t="s">
        <v>241</v>
      </c>
      <c r="DK1262" s="4" t="s">
        <v>241</v>
      </c>
      <c r="DL1262" s="4" t="s">
        <v>241</v>
      </c>
      <c r="DM1262" s="4" t="s">
        <v>277</v>
      </c>
      <c r="DN1262" s="4" t="s">
        <v>278</v>
      </c>
      <c r="DO1262" s="6">
        <f>116</f>
        <v>116</v>
      </c>
      <c r="DP1262" s="4" t="s">
        <v>241</v>
      </c>
      <c r="DQ1262" s="4" t="s">
        <v>241</v>
      </c>
      <c r="DR1262" s="4" t="s">
        <v>241</v>
      </c>
      <c r="DS1262" s="4" t="s">
        <v>241</v>
      </c>
      <c r="DV1262" s="4" t="s">
        <v>3887</v>
      </c>
      <c r="DW1262" s="4" t="s">
        <v>297</v>
      </c>
      <c r="HO1262" s="4" t="s">
        <v>277</v>
      </c>
      <c r="HR1262" s="4" t="s">
        <v>278</v>
      </c>
      <c r="HS1262" s="4" t="s">
        <v>278</v>
      </c>
    </row>
    <row r="1263" spans="1:240" x14ac:dyDescent="0.4">
      <c r="A1263" s="4">
        <v>2</v>
      </c>
      <c r="B1263" s="4" t="s">
        <v>239</v>
      </c>
      <c r="C1263" s="4">
        <v>1571</v>
      </c>
      <c r="D1263" s="4">
        <v>1</v>
      </c>
      <c r="E1263" s="4">
        <v>3</v>
      </c>
      <c r="F1263" s="4" t="s">
        <v>240</v>
      </c>
      <c r="G1263" s="4" t="s">
        <v>241</v>
      </c>
      <c r="H1263" s="4" t="s">
        <v>241</v>
      </c>
      <c r="I1263" s="4" t="s">
        <v>1282</v>
      </c>
      <c r="J1263" s="4" t="s">
        <v>424</v>
      </c>
      <c r="K1263" s="4" t="s">
        <v>256</v>
      </c>
      <c r="L1263" s="4" t="s">
        <v>1174</v>
      </c>
      <c r="M1263" s="5" t="s">
        <v>1284</v>
      </c>
      <c r="N1263" s="4" t="s">
        <v>1281</v>
      </c>
      <c r="O1263" s="6">
        <f>1091.38</f>
        <v>1091.3800000000001</v>
      </c>
      <c r="P1263" s="4" t="s">
        <v>276</v>
      </c>
      <c r="Q1263" s="6">
        <f>66930660</f>
        <v>66930660</v>
      </c>
      <c r="R1263" s="6">
        <f>321781860</f>
        <v>321781860</v>
      </c>
      <c r="S1263" s="5" t="s">
        <v>1283</v>
      </c>
      <c r="T1263" s="4" t="s">
        <v>668</v>
      </c>
      <c r="U1263" s="4" t="s">
        <v>669</v>
      </c>
      <c r="V1263" s="6">
        <f>7079200</f>
        <v>7079200</v>
      </c>
      <c r="W1263" s="6">
        <f>254851200</f>
        <v>254851200</v>
      </c>
      <c r="X1263" s="4" t="s">
        <v>243</v>
      </c>
      <c r="Y1263" s="4" t="s">
        <v>244</v>
      </c>
      <c r="Z1263" s="4" t="s">
        <v>504</v>
      </c>
      <c r="AA1263" s="4" t="s">
        <v>241</v>
      </c>
      <c r="AD1263" s="4" t="s">
        <v>241</v>
      </c>
      <c r="AE1263" s="5" t="s">
        <v>241</v>
      </c>
      <c r="AF1263" s="5" t="s">
        <v>241</v>
      </c>
      <c r="AH1263" s="5" t="s">
        <v>241</v>
      </c>
      <c r="AI1263" s="5" t="s">
        <v>249</v>
      </c>
      <c r="AJ1263" s="4" t="s">
        <v>251</v>
      </c>
      <c r="AK1263" s="4" t="s">
        <v>252</v>
      </c>
      <c r="AQ1263" s="4" t="s">
        <v>241</v>
      </c>
      <c r="AR1263" s="4" t="s">
        <v>241</v>
      </c>
      <c r="AS1263" s="4" t="s">
        <v>241</v>
      </c>
      <c r="AT1263" s="5" t="s">
        <v>241</v>
      </c>
      <c r="AU1263" s="5" t="s">
        <v>241</v>
      </c>
      <c r="AV1263" s="5" t="s">
        <v>241</v>
      </c>
      <c r="AY1263" s="4" t="s">
        <v>286</v>
      </c>
      <c r="AZ1263" s="4" t="s">
        <v>286</v>
      </c>
      <c r="BA1263" s="4" t="s">
        <v>254</v>
      </c>
      <c r="BB1263" s="4" t="s">
        <v>287</v>
      </c>
      <c r="BC1263" s="4" t="s">
        <v>255</v>
      </c>
      <c r="BD1263" s="4" t="s">
        <v>241</v>
      </c>
      <c r="BE1263" s="4" t="s">
        <v>257</v>
      </c>
      <c r="BF1263" s="4" t="s">
        <v>241</v>
      </c>
      <c r="BH1263" s="4" t="s">
        <v>500</v>
      </c>
      <c r="BJ1263" s="4" t="s">
        <v>288</v>
      </c>
      <c r="BK1263" s="5" t="s">
        <v>289</v>
      </c>
      <c r="BL1263" s="4" t="s">
        <v>290</v>
      </c>
      <c r="BM1263" s="4" t="s">
        <v>290</v>
      </c>
      <c r="BN1263" s="4" t="s">
        <v>241</v>
      </c>
      <c r="BO1263" s="6">
        <f>0</f>
        <v>0</v>
      </c>
      <c r="BP1263" s="6">
        <f>-7079200</f>
        <v>-7079200</v>
      </c>
      <c r="BQ1263" s="4" t="s">
        <v>263</v>
      </c>
      <c r="BR1263" s="4" t="s">
        <v>264</v>
      </c>
      <c r="BS1263" s="4" t="s">
        <v>241</v>
      </c>
      <c r="BT1263" s="4" t="s">
        <v>241</v>
      </c>
      <c r="BU1263" s="4" t="s">
        <v>241</v>
      </c>
      <c r="BV1263" s="4" t="s">
        <v>241</v>
      </c>
      <c r="CE1263" s="4" t="s">
        <v>264</v>
      </c>
      <c r="CF1263" s="4" t="s">
        <v>241</v>
      </c>
      <c r="CG1263" s="4" t="s">
        <v>241</v>
      </c>
      <c r="CK1263" s="4" t="s">
        <v>291</v>
      </c>
      <c r="CL1263" s="4" t="s">
        <v>266</v>
      </c>
      <c r="CM1263" s="4" t="s">
        <v>241</v>
      </c>
      <c r="CO1263" s="4" t="s">
        <v>667</v>
      </c>
      <c r="CP1263" s="5" t="s">
        <v>268</v>
      </c>
      <c r="CQ1263" s="4" t="s">
        <v>269</v>
      </c>
      <c r="CR1263" s="4" t="s">
        <v>270</v>
      </c>
      <c r="CS1263" s="4" t="s">
        <v>293</v>
      </c>
      <c r="CT1263" s="4" t="s">
        <v>241</v>
      </c>
      <c r="CU1263" s="4">
        <v>2.1999999999999999E-2</v>
      </c>
      <c r="CV1263" s="4" t="s">
        <v>271</v>
      </c>
      <c r="CW1263" s="4" t="s">
        <v>1176</v>
      </c>
      <c r="CX1263" s="4" t="s">
        <v>295</v>
      </c>
      <c r="CY1263" s="6">
        <f>0</f>
        <v>0</v>
      </c>
      <c r="CZ1263" s="6">
        <f>321781860</f>
        <v>321781860</v>
      </c>
      <c r="DA1263" s="6">
        <f>66930660</f>
        <v>66930660</v>
      </c>
      <c r="DC1263" s="4" t="s">
        <v>241</v>
      </c>
      <c r="DD1263" s="4" t="s">
        <v>241</v>
      </c>
      <c r="DF1263" s="4" t="s">
        <v>241</v>
      </c>
      <c r="DG1263" s="6">
        <f>0</f>
        <v>0</v>
      </c>
      <c r="DI1263" s="4" t="s">
        <v>241</v>
      </c>
      <c r="DJ1263" s="4" t="s">
        <v>241</v>
      </c>
      <c r="DK1263" s="4" t="s">
        <v>241</v>
      </c>
      <c r="DL1263" s="4" t="s">
        <v>241</v>
      </c>
      <c r="DM1263" s="4" t="s">
        <v>277</v>
      </c>
      <c r="DN1263" s="4" t="s">
        <v>278</v>
      </c>
      <c r="DO1263" s="6">
        <f>1091.38</f>
        <v>1091.3800000000001</v>
      </c>
      <c r="DP1263" s="4" t="s">
        <v>241</v>
      </c>
      <c r="DQ1263" s="4" t="s">
        <v>241</v>
      </c>
      <c r="DR1263" s="4" t="s">
        <v>241</v>
      </c>
      <c r="DS1263" s="4" t="s">
        <v>241</v>
      </c>
      <c r="DV1263" s="4" t="s">
        <v>1285</v>
      </c>
      <c r="DW1263" s="4" t="s">
        <v>277</v>
      </c>
      <c r="GN1263" s="4" t="s">
        <v>1286</v>
      </c>
      <c r="HO1263" s="4" t="s">
        <v>341</v>
      </c>
      <c r="HR1263" s="4" t="s">
        <v>278</v>
      </c>
      <c r="HS1263" s="4" t="s">
        <v>278</v>
      </c>
      <c r="HT1263" s="4" t="s">
        <v>241</v>
      </c>
      <c r="HU1263" s="4" t="s">
        <v>241</v>
      </c>
      <c r="HV1263" s="4" t="s">
        <v>241</v>
      </c>
      <c r="HW1263" s="4" t="s">
        <v>241</v>
      </c>
      <c r="HX1263" s="4" t="s">
        <v>241</v>
      </c>
      <c r="HY1263" s="4" t="s">
        <v>241</v>
      </c>
      <c r="HZ1263" s="4" t="s">
        <v>241</v>
      </c>
      <c r="IA1263" s="4" t="s">
        <v>241</v>
      </c>
      <c r="IB1263" s="4" t="s">
        <v>241</v>
      </c>
      <c r="IC1263" s="4" t="s">
        <v>241</v>
      </c>
      <c r="ID1263" s="4" t="s">
        <v>241</v>
      </c>
      <c r="IE1263" s="4" t="s">
        <v>241</v>
      </c>
      <c r="IF1263" s="4" t="s">
        <v>241</v>
      </c>
    </row>
    <row r="1264" spans="1:240" x14ac:dyDescent="0.4">
      <c r="A1264" s="4">
        <v>2</v>
      </c>
      <c r="B1264" s="4" t="s">
        <v>239</v>
      </c>
      <c r="C1264" s="4">
        <v>1572</v>
      </c>
      <c r="D1264" s="4">
        <v>1</v>
      </c>
      <c r="E1264" s="4">
        <v>1</v>
      </c>
      <c r="F1264" s="4" t="s">
        <v>240</v>
      </c>
      <c r="G1264" s="4" t="s">
        <v>241</v>
      </c>
      <c r="H1264" s="4" t="s">
        <v>241</v>
      </c>
      <c r="I1264" s="4" t="s">
        <v>1282</v>
      </c>
      <c r="J1264" s="4" t="s">
        <v>424</v>
      </c>
      <c r="K1264" s="4" t="s">
        <v>256</v>
      </c>
      <c r="L1264" s="4" t="s">
        <v>429</v>
      </c>
      <c r="M1264" s="5" t="s">
        <v>1284</v>
      </c>
      <c r="N1264" s="4" t="s">
        <v>429</v>
      </c>
      <c r="O1264" s="6">
        <f>36</f>
        <v>36</v>
      </c>
      <c r="P1264" s="4" t="s">
        <v>276</v>
      </c>
      <c r="Q1264" s="6">
        <f>1</f>
        <v>1</v>
      </c>
      <c r="R1264" s="6">
        <f>3276000</f>
        <v>3276000</v>
      </c>
      <c r="S1264" s="5" t="s">
        <v>1283</v>
      </c>
      <c r="T1264" s="4" t="s">
        <v>274</v>
      </c>
      <c r="U1264" s="4" t="s">
        <v>408</v>
      </c>
      <c r="W1264" s="6">
        <f>3275999</f>
        <v>3275999</v>
      </c>
      <c r="X1264" s="4" t="s">
        <v>243</v>
      </c>
      <c r="Y1264" s="4" t="s">
        <v>244</v>
      </c>
      <c r="Z1264" s="4" t="s">
        <v>504</v>
      </c>
      <c r="AA1264" s="4" t="s">
        <v>241</v>
      </c>
      <c r="AD1264" s="4" t="s">
        <v>241</v>
      </c>
      <c r="AF1264" s="5" t="s">
        <v>241</v>
      </c>
      <c r="AI1264" s="5" t="s">
        <v>249</v>
      </c>
      <c r="AJ1264" s="4" t="s">
        <v>251</v>
      </c>
      <c r="AK1264" s="4" t="s">
        <v>252</v>
      </c>
      <c r="BA1264" s="4" t="s">
        <v>254</v>
      </c>
      <c r="BB1264" s="4" t="s">
        <v>241</v>
      </c>
      <c r="BC1264" s="4" t="s">
        <v>255</v>
      </c>
      <c r="BD1264" s="4" t="s">
        <v>241</v>
      </c>
      <c r="BE1264" s="4" t="s">
        <v>257</v>
      </c>
      <c r="BF1264" s="4" t="s">
        <v>241</v>
      </c>
      <c r="BJ1264" s="4" t="s">
        <v>367</v>
      </c>
      <c r="BK1264" s="5" t="s">
        <v>249</v>
      </c>
      <c r="BL1264" s="4" t="s">
        <v>261</v>
      </c>
      <c r="BM1264" s="4" t="s">
        <v>262</v>
      </c>
      <c r="BN1264" s="4" t="s">
        <v>241</v>
      </c>
      <c r="BO1264" s="6">
        <f>0</f>
        <v>0</v>
      </c>
      <c r="BP1264" s="6">
        <f>0</f>
        <v>0</v>
      </c>
      <c r="BQ1264" s="4" t="s">
        <v>263</v>
      </c>
      <c r="BR1264" s="4" t="s">
        <v>264</v>
      </c>
      <c r="CF1264" s="4" t="s">
        <v>241</v>
      </c>
      <c r="CG1264" s="4" t="s">
        <v>241</v>
      </c>
      <c r="CK1264" s="4" t="s">
        <v>291</v>
      </c>
      <c r="CL1264" s="4" t="s">
        <v>266</v>
      </c>
      <c r="CM1264" s="4" t="s">
        <v>241</v>
      </c>
      <c r="CO1264" s="4" t="s">
        <v>667</v>
      </c>
      <c r="CP1264" s="5" t="s">
        <v>268</v>
      </c>
      <c r="CQ1264" s="4" t="s">
        <v>269</v>
      </c>
      <c r="CR1264" s="4" t="s">
        <v>270</v>
      </c>
      <c r="CS1264" s="4" t="s">
        <v>241</v>
      </c>
      <c r="CT1264" s="4" t="s">
        <v>241</v>
      </c>
      <c r="CU1264" s="4">
        <v>0</v>
      </c>
      <c r="CV1264" s="4" t="s">
        <v>271</v>
      </c>
      <c r="CW1264" s="4" t="s">
        <v>272</v>
      </c>
      <c r="CX1264" s="4" t="s">
        <v>273</v>
      </c>
      <c r="CZ1264" s="6">
        <f>3276000</f>
        <v>3276000</v>
      </c>
      <c r="DA1264" s="6">
        <f>0</f>
        <v>0</v>
      </c>
      <c r="DC1264" s="4" t="s">
        <v>241</v>
      </c>
      <c r="DD1264" s="4" t="s">
        <v>241</v>
      </c>
      <c r="DF1264" s="4" t="s">
        <v>241</v>
      </c>
      <c r="DI1264" s="4" t="s">
        <v>241</v>
      </c>
      <c r="DJ1264" s="4" t="s">
        <v>241</v>
      </c>
      <c r="DK1264" s="4" t="s">
        <v>241</v>
      </c>
      <c r="DL1264" s="4" t="s">
        <v>241</v>
      </c>
      <c r="DM1264" s="4" t="s">
        <v>277</v>
      </c>
      <c r="DN1264" s="4" t="s">
        <v>278</v>
      </c>
      <c r="DO1264" s="6">
        <f>36</f>
        <v>36</v>
      </c>
      <c r="DP1264" s="4" t="s">
        <v>241</v>
      </c>
      <c r="DQ1264" s="4" t="s">
        <v>241</v>
      </c>
      <c r="DR1264" s="4" t="s">
        <v>241</v>
      </c>
      <c r="DS1264" s="4" t="s">
        <v>241</v>
      </c>
      <c r="DV1264" s="4" t="s">
        <v>1285</v>
      </c>
      <c r="DW1264" s="4" t="s">
        <v>323</v>
      </c>
      <c r="HO1264" s="4" t="s">
        <v>277</v>
      </c>
      <c r="HR1264" s="4" t="s">
        <v>278</v>
      </c>
      <c r="HS1264" s="4" t="s">
        <v>278</v>
      </c>
    </row>
    <row r="1265" spans="1:240" x14ac:dyDescent="0.4">
      <c r="A1265" s="4">
        <v>2</v>
      </c>
      <c r="B1265" s="4" t="s">
        <v>239</v>
      </c>
      <c r="C1265" s="4">
        <v>1573</v>
      </c>
      <c r="D1265" s="4">
        <v>1</v>
      </c>
      <c r="E1265" s="4">
        <v>3</v>
      </c>
      <c r="F1265" s="4" t="s">
        <v>240</v>
      </c>
      <c r="G1265" s="4" t="s">
        <v>241</v>
      </c>
      <c r="H1265" s="4" t="s">
        <v>241</v>
      </c>
      <c r="I1265" s="4" t="s">
        <v>1952</v>
      </c>
      <c r="J1265" s="4" t="s">
        <v>406</v>
      </c>
      <c r="K1265" s="4" t="s">
        <v>256</v>
      </c>
      <c r="L1265" s="4" t="s">
        <v>1953</v>
      </c>
      <c r="M1265" s="5" t="s">
        <v>1954</v>
      </c>
      <c r="N1265" s="4" t="s">
        <v>1925</v>
      </c>
      <c r="O1265" s="6">
        <f>270.08</f>
        <v>270.08</v>
      </c>
      <c r="P1265" s="4" t="s">
        <v>276</v>
      </c>
      <c r="Q1265" s="6">
        <f>36528320</f>
        <v>36528320</v>
      </c>
      <c r="R1265" s="6">
        <f>67520000</f>
        <v>67520000</v>
      </c>
      <c r="S1265" s="5" t="s">
        <v>1937</v>
      </c>
      <c r="T1265" s="4" t="s">
        <v>333</v>
      </c>
      <c r="U1265" s="4" t="s">
        <v>371</v>
      </c>
      <c r="V1265" s="6">
        <f>1823040</f>
        <v>1823040</v>
      </c>
      <c r="W1265" s="6">
        <f>30991680</f>
        <v>30991680</v>
      </c>
      <c r="X1265" s="4" t="s">
        <v>243</v>
      </c>
      <c r="Y1265" s="4" t="s">
        <v>244</v>
      </c>
      <c r="Z1265" s="4" t="s">
        <v>504</v>
      </c>
      <c r="AA1265" s="4" t="s">
        <v>241</v>
      </c>
      <c r="AD1265" s="4" t="s">
        <v>241</v>
      </c>
      <c r="AE1265" s="5" t="s">
        <v>241</v>
      </c>
      <c r="AF1265" s="5" t="s">
        <v>241</v>
      </c>
      <c r="AH1265" s="5" t="s">
        <v>241</v>
      </c>
      <c r="AI1265" s="5" t="s">
        <v>249</v>
      </c>
      <c r="AJ1265" s="4" t="s">
        <v>251</v>
      </c>
      <c r="AK1265" s="4" t="s">
        <v>252</v>
      </c>
      <c r="AQ1265" s="4" t="s">
        <v>241</v>
      </c>
      <c r="AR1265" s="4" t="s">
        <v>241</v>
      </c>
      <c r="AS1265" s="4" t="s">
        <v>241</v>
      </c>
      <c r="AT1265" s="5" t="s">
        <v>241</v>
      </c>
      <c r="AU1265" s="5" t="s">
        <v>241</v>
      </c>
      <c r="AV1265" s="5" t="s">
        <v>241</v>
      </c>
      <c r="AY1265" s="4" t="s">
        <v>286</v>
      </c>
      <c r="AZ1265" s="4" t="s">
        <v>286</v>
      </c>
      <c r="BA1265" s="4" t="s">
        <v>254</v>
      </c>
      <c r="BB1265" s="4" t="s">
        <v>287</v>
      </c>
      <c r="BC1265" s="4" t="s">
        <v>255</v>
      </c>
      <c r="BD1265" s="4" t="s">
        <v>241</v>
      </c>
      <c r="BE1265" s="4" t="s">
        <v>257</v>
      </c>
      <c r="BF1265" s="4" t="s">
        <v>241</v>
      </c>
      <c r="BH1265" s="4" t="s">
        <v>500</v>
      </c>
      <c r="BJ1265" s="4" t="s">
        <v>288</v>
      </c>
      <c r="BK1265" s="5" t="s">
        <v>289</v>
      </c>
      <c r="BL1265" s="4" t="s">
        <v>290</v>
      </c>
      <c r="BM1265" s="4" t="s">
        <v>290</v>
      </c>
      <c r="BN1265" s="4" t="s">
        <v>241</v>
      </c>
      <c r="BO1265" s="6">
        <f>0</f>
        <v>0</v>
      </c>
      <c r="BP1265" s="6">
        <f>-1823040</f>
        <v>-1823040</v>
      </c>
      <c r="BQ1265" s="4" t="s">
        <v>263</v>
      </c>
      <c r="BR1265" s="4" t="s">
        <v>264</v>
      </c>
      <c r="BS1265" s="4" t="s">
        <v>241</v>
      </c>
      <c r="BT1265" s="4" t="s">
        <v>241</v>
      </c>
      <c r="BU1265" s="4" t="s">
        <v>241</v>
      </c>
      <c r="BV1265" s="4" t="s">
        <v>241</v>
      </c>
      <c r="CE1265" s="4" t="s">
        <v>264</v>
      </c>
      <c r="CF1265" s="4" t="s">
        <v>241</v>
      </c>
      <c r="CG1265" s="4" t="s">
        <v>241</v>
      </c>
      <c r="CK1265" s="4" t="s">
        <v>291</v>
      </c>
      <c r="CL1265" s="4" t="s">
        <v>266</v>
      </c>
      <c r="CM1265" s="4" t="s">
        <v>241</v>
      </c>
      <c r="CO1265" s="4" t="s">
        <v>407</v>
      </c>
      <c r="CP1265" s="5" t="s">
        <v>268</v>
      </c>
      <c r="CQ1265" s="4" t="s">
        <v>269</v>
      </c>
      <c r="CR1265" s="4" t="s">
        <v>270</v>
      </c>
      <c r="CS1265" s="4" t="s">
        <v>293</v>
      </c>
      <c r="CT1265" s="4" t="s">
        <v>241</v>
      </c>
      <c r="CU1265" s="4">
        <v>2.7E-2</v>
      </c>
      <c r="CV1265" s="4" t="s">
        <v>271</v>
      </c>
      <c r="CW1265" s="4" t="s">
        <v>1920</v>
      </c>
      <c r="CX1265" s="4" t="s">
        <v>295</v>
      </c>
      <c r="CY1265" s="6">
        <f>0</f>
        <v>0</v>
      </c>
      <c r="CZ1265" s="6">
        <f>67520000</f>
        <v>67520000</v>
      </c>
      <c r="DA1265" s="6">
        <f>36528320</f>
        <v>36528320</v>
      </c>
      <c r="DC1265" s="4" t="s">
        <v>241</v>
      </c>
      <c r="DD1265" s="4" t="s">
        <v>241</v>
      </c>
      <c r="DF1265" s="4" t="s">
        <v>241</v>
      </c>
      <c r="DG1265" s="6">
        <f>0</f>
        <v>0</v>
      </c>
      <c r="DI1265" s="4" t="s">
        <v>241</v>
      </c>
      <c r="DJ1265" s="4" t="s">
        <v>241</v>
      </c>
      <c r="DK1265" s="4" t="s">
        <v>241</v>
      </c>
      <c r="DL1265" s="4" t="s">
        <v>241</v>
      </c>
      <c r="DM1265" s="4" t="s">
        <v>277</v>
      </c>
      <c r="DN1265" s="4" t="s">
        <v>278</v>
      </c>
      <c r="DO1265" s="6">
        <f>270.08</f>
        <v>270.08</v>
      </c>
      <c r="DP1265" s="4" t="s">
        <v>241</v>
      </c>
      <c r="DQ1265" s="4" t="s">
        <v>241</v>
      </c>
      <c r="DR1265" s="4" t="s">
        <v>241</v>
      </c>
      <c r="DS1265" s="4" t="s">
        <v>241</v>
      </c>
      <c r="DV1265" s="4" t="s">
        <v>1955</v>
      </c>
      <c r="DW1265" s="4" t="s">
        <v>277</v>
      </c>
      <c r="GN1265" s="4" t="s">
        <v>1956</v>
      </c>
      <c r="HO1265" s="4" t="s">
        <v>343</v>
      </c>
      <c r="HR1265" s="4" t="s">
        <v>278</v>
      </c>
      <c r="HS1265" s="4" t="s">
        <v>278</v>
      </c>
      <c r="HT1265" s="4" t="s">
        <v>241</v>
      </c>
      <c r="HU1265" s="4" t="s">
        <v>241</v>
      </c>
      <c r="HV1265" s="4" t="s">
        <v>241</v>
      </c>
      <c r="HW1265" s="4" t="s">
        <v>241</v>
      </c>
      <c r="HX1265" s="4" t="s">
        <v>241</v>
      </c>
      <c r="HY1265" s="4" t="s">
        <v>241</v>
      </c>
      <c r="HZ1265" s="4" t="s">
        <v>241</v>
      </c>
      <c r="IA1265" s="4" t="s">
        <v>241</v>
      </c>
      <c r="IB1265" s="4" t="s">
        <v>241</v>
      </c>
      <c r="IC1265" s="4" t="s">
        <v>241</v>
      </c>
      <c r="ID1265" s="4" t="s">
        <v>241</v>
      </c>
      <c r="IE1265" s="4" t="s">
        <v>241</v>
      </c>
      <c r="IF1265" s="4" t="s">
        <v>241</v>
      </c>
    </row>
    <row r="1266" spans="1:240" x14ac:dyDescent="0.4">
      <c r="A1266" s="4">
        <v>2</v>
      </c>
      <c r="B1266" s="4" t="s">
        <v>239</v>
      </c>
      <c r="C1266" s="4">
        <v>1574</v>
      </c>
      <c r="D1266" s="4">
        <v>1</v>
      </c>
      <c r="E1266" s="4">
        <v>1</v>
      </c>
      <c r="F1266" s="4" t="s">
        <v>240</v>
      </c>
      <c r="G1266" s="4" t="s">
        <v>241</v>
      </c>
      <c r="H1266" s="4" t="s">
        <v>241</v>
      </c>
      <c r="I1266" s="4" t="s">
        <v>1853</v>
      </c>
      <c r="J1266" s="4" t="s">
        <v>424</v>
      </c>
      <c r="K1266" s="4" t="s">
        <v>256</v>
      </c>
      <c r="L1266" s="4" t="s">
        <v>1854</v>
      </c>
      <c r="M1266" s="5" t="s">
        <v>1855</v>
      </c>
      <c r="N1266" s="4" t="s">
        <v>1846</v>
      </c>
      <c r="O1266" s="6">
        <f>67.48</f>
        <v>67.48</v>
      </c>
      <c r="P1266" s="4" t="s">
        <v>276</v>
      </c>
      <c r="Q1266" s="6">
        <f>1</f>
        <v>1</v>
      </c>
      <c r="R1266" s="6">
        <f>4048800</f>
        <v>4048800</v>
      </c>
      <c r="S1266" s="5" t="s">
        <v>248</v>
      </c>
      <c r="T1266" s="4" t="s">
        <v>274</v>
      </c>
      <c r="U1266" s="4" t="s">
        <v>275</v>
      </c>
      <c r="W1266" s="6">
        <f>4048799</f>
        <v>4048799</v>
      </c>
      <c r="X1266" s="4" t="s">
        <v>243</v>
      </c>
      <c r="Y1266" s="4" t="s">
        <v>244</v>
      </c>
      <c r="Z1266" s="4" t="s">
        <v>504</v>
      </c>
      <c r="AA1266" s="4" t="s">
        <v>241</v>
      </c>
      <c r="AD1266" s="4" t="s">
        <v>241</v>
      </c>
      <c r="AF1266" s="5" t="s">
        <v>241</v>
      </c>
      <c r="AI1266" s="5" t="s">
        <v>249</v>
      </c>
      <c r="AJ1266" s="4" t="s">
        <v>251</v>
      </c>
      <c r="AK1266" s="4" t="s">
        <v>252</v>
      </c>
      <c r="BA1266" s="4" t="s">
        <v>254</v>
      </c>
      <c r="BB1266" s="4" t="s">
        <v>241</v>
      </c>
      <c r="BC1266" s="4" t="s">
        <v>255</v>
      </c>
      <c r="BD1266" s="4" t="s">
        <v>241</v>
      </c>
      <c r="BE1266" s="4" t="s">
        <v>257</v>
      </c>
      <c r="BF1266" s="4" t="s">
        <v>241</v>
      </c>
      <c r="BH1266" s="4" t="s">
        <v>500</v>
      </c>
      <c r="BJ1266" s="4" t="s">
        <v>367</v>
      </c>
      <c r="BK1266" s="5" t="s">
        <v>249</v>
      </c>
      <c r="BL1266" s="4" t="s">
        <v>261</v>
      </c>
      <c r="BM1266" s="4" t="s">
        <v>262</v>
      </c>
      <c r="BN1266" s="4" t="s">
        <v>241</v>
      </c>
      <c r="BO1266" s="6">
        <f>0</f>
        <v>0</v>
      </c>
      <c r="BP1266" s="6">
        <f>0</f>
        <v>0</v>
      </c>
      <c r="BQ1266" s="4" t="s">
        <v>263</v>
      </c>
      <c r="BR1266" s="4" t="s">
        <v>264</v>
      </c>
      <c r="CF1266" s="4" t="s">
        <v>241</v>
      </c>
      <c r="CG1266" s="4" t="s">
        <v>241</v>
      </c>
      <c r="CK1266" s="4" t="s">
        <v>265</v>
      </c>
      <c r="CL1266" s="4" t="s">
        <v>266</v>
      </c>
      <c r="CM1266" s="4" t="s">
        <v>241</v>
      </c>
      <c r="CO1266" s="4" t="s">
        <v>267</v>
      </c>
      <c r="CP1266" s="5" t="s">
        <v>268</v>
      </c>
      <c r="CQ1266" s="4" t="s">
        <v>269</v>
      </c>
      <c r="CR1266" s="4" t="s">
        <v>270</v>
      </c>
      <c r="CS1266" s="4" t="s">
        <v>241</v>
      </c>
      <c r="CT1266" s="4" t="s">
        <v>241</v>
      </c>
      <c r="CU1266" s="4">
        <v>0</v>
      </c>
      <c r="CV1266" s="4" t="s">
        <v>271</v>
      </c>
      <c r="CW1266" s="4" t="s">
        <v>1830</v>
      </c>
      <c r="CX1266" s="4" t="s">
        <v>273</v>
      </c>
      <c r="CZ1266" s="6">
        <f>4048800</f>
        <v>4048800</v>
      </c>
      <c r="DA1266" s="6">
        <f>0</f>
        <v>0</v>
      </c>
      <c r="DC1266" s="4" t="s">
        <v>241</v>
      </c>
      <c r="DD1266" s="4" t="s">
        <v>241</v>
      </c>
      <c r="DF1266" s="4" t="s">
        <v>241</v>
      </c>
      <c r="DI1266" s="4" t="s">
        <v>241</v>
      </c>
      <c r="DJ1266" s="4" t="s">
        <v>241</v>
      </c>
      <c r="DK1266" s="4" t="s">
        <v>241</v>
      </c>
      <c r="DL1266" s="4" t="s">
        <v>241</v>
      </c>
      <c r="DM1266" s="4" t="s">
        <v>277</v>
      </c>
      <c r="DN1266" s="4" t="s">
        <v>278</v>
      </c>
      <c r="DO1266" s="6">
        <f>67.48</f>
        <v>67.48</v>
      </c>
      <c r="DP1266" s="4" t="s">
        <v>241</v>
      </c>
      <c r="DQ1266" s="4" t="s">
        <v>241</v>
      </c>
      <c r="DR1266" s="4" t="s">
        <v>241</v>
      </c>
      <c r="DS1266" s="4" t="s">
        <v>241</v>
      </c>
      <c r="DV1266" s="4" t="s">
        <v>1856</v>
      </c>
      <c r="DW1266" s="4" t="s">
        <v>277</v>
      </c>
      <c r="HO1266" s="4" t="s">
        <v>277</v>
      </c>
      <c r="HR1266" s="4" t="s">
        <v>278</v>
      </c>
      <c r="HS1266" s="4" t="s">
        <v>278</v>
      </c>
    </row>
    <row r="1267" spans="1:240" x14ac:dyDescent="0.4">
      <c r="A1267" s="4">
        <v>2</v>
      </c>
      <c r="B1267" s="4" t="s">
        <v>239</v>
      </c>
      <c r="C1267" s="4">
        <v>1575</v>
      </c>
      <c r="D1267" s="4">
        <v>1</v>
      </c>
      <c r="E1267" s="4">
        <v>3</v>
      </c>
      <c r="F1267" s="4" t="s">
        <v>240</v>
      </c>
      <c r="G1267" s="4" t="s">
        <v>241</v>
      </c>
      <c r="H1267" s="4" t="s">
        <v>241</v>
      </c>
      <c r="I1267" s="4" t="s">
        <v>1277</v>
      </c>
      <c r="J1267" s="4" t="s">
        <v>1137</v>
      </c>
      <c r="K1267" s="4" t="s">
        <v>256</v>
      </c>
      <c r="L1267" s="4" t="s">
        <v>1260</v>
      </c>
      <c r="M1267" s="5" t="s">
        <v>419</v>
      </c>
      <c r="N1267" s="4" t="s">
        <v>1260</v>
      </c>
      <c r="O1267" s="6">
        <f>1506.29</f>
        <v>1506.29</v>
      </c>
      <c r="P1267" s="4" t="s">
        <v>276</v>
      </c>
      <c r="Q1267" s="6">
        <f>74880652</f>
        <v>74880652</v>
      </c>
      <c r="R1267" s="6">
        <f>360003100</f>
        <v>360003100</v>
      </c>
      <c r="S1267" s="5" t="s">
        <v>1278</v>
      </c>
      <c r="T1267" s="4" t="s">
        <v>668</v>
      </c>
      <c r="U1267" s="4" t="s">
        <v>669</v>
      </c>
      <c r="V1267" s="6">
        <f>7920068</f>
        <v>7920068</v>
      </c>
      <c r="W1267" s="6">
        <f>285122448</f>
        <v>285122448</v>
      </c>
      <c r="X1267" s="4" t="s">
        <v>243</v>
      </c>
      <c r="Y1267" s="4" t="s">
        <v>244</v>
      </c>
      <c r="Z1267" s="4" t="s">
        <v>465</v>
      </c>
      <c r="AA1267" s="4" t="s">
        <v>241</v>
      </c>
      <c r="AD1267" s="4" t="s">
        <v>241</v>
      </c>
      <c r="AE1267" s="5" t="s">
        <v>241</v>
      </c>
      <c r="AF1267" s="5" t="s">
        <v>241</v>
      </c>
      <c r="AH1267" s="5" t="s">
        <v>241</v>
      </c>
      <c r="AI1267" s="5" t="s">
        <v>249</v>
      </c>
      <c r="AJ1267" s="4" t="s">
        <v>251</v>
      </c>
      <c r="AK1267" s="4" t="s">
        <v>252</v>
      </c>
      <c r="AQ1267" s="4" t="s">
        <v>241</v>
      </c>
      <c r="AR1267" s="4" t="s">
        <v>241</v>
      </c>
      <c r="AS1267" s="4" t="s">
        <v>241</v>
      </c>
      <c r="AT1267" s="5" t="s">
        <v>241</v>
      </c>
      <c r="AU1267" s="5" t="s">
        <v>241</v>
      </c>
      <c r="AV1267" s="5" t="s">
        <v>241</v>
      </c>
      <c r="AY1267" s="4" t="s">
        <v>286</v>
      </c>
      <c r="AZ1267" s="4" t="s">
        <v>286</v>
      </c>
      <c r="BA1267" s="4" t="s">
        <v>254</v>
      </c>
      <c r="BB1267" s="4" t="s">
        <v>287</v>
      </c>
      <c r="BC1267" s="4" t="s">
        <v>255</v>
      </c>
      <c r="BD1267" s="4" t="s">
        <v>241</v>
      </c>
      <c r="BE1267" s="4" t="s">
        <v>257</v>
      </c>
      <c r="BF1267" s="4" t="s">
        <v>241</v>
      </c>
      <c r="BH1267" s="4" t="s">
        <v>500</v>
      </c>
      <c r="BJ1267" s="4" t="s">
        <v>288</v>
      </c>
      <c r="BK1267" s="5" t="s">
        <v>289</v>
      </c>
      <c r="BL1267" s="4" t="s">
        <v>290</v>
      </c>
      <c r="BM1267" s="4" t="s">
        <v>290</v>
      </c>
      <c r="BN1267" s="4" t="s">
        <v>241</v>
      </c>
      <c r="BO1267" s="6">
        <f>0</f>
        <v>0</v>
      </c>
      <c r="BP1267" s="6">
        <f>-7920068</f>
        <v>-7920068</v>
      </c>
      <c r="BQ1267" s="4" t="s">
        <v>263</v>
      </c>
      <c r="BR1267" s="4" t="s">
        <v>264</v>
      </c>
      <c r="BS1267" s="4" t="s">
        <v>241</v>
      </c>
      <c r="BT1267" s="4" t="s">
        <v>241</v>
      </c>
      <c r="BU1267" s="4" t="s">
        <v>241</v>
      </c>
      <c r="BV1267" s="4" t="s">
        <v>241</v>
      </c>
      <c r="CE1267" s="4" t="s">
        <v>264</v>
      </c>
      <c r="CF1267" s="4" t="s">
        <v>241</v>
      </c>
      <c r="CG1267" s="4" t="s">
        <v>241</v>
      </c>
      <c r="CK1267" s="4" t="s">
        <v>291</v>
      </c>
      <c r="CL1267" s="4" t="s">
        <v>266</v>
      </c>
      <c r="CM1267" s="4" t="s">
        <v>241</v>
      </c>
      <c r="CO1267" s="4" t="s">
        <v>667</v>
      </c>
      <c r="CP1267" s="5" t="s">
        <v>268</v>
      </c>
      <c r="CQ1267" s="4" t="s">
        <v>269</v>
      </c>
      <c r="CR1267" s="4" t="s">
        <v>270</v>
      </c>
      <c r="CS1267" s="4" t="s">
        <v>293</v>
      </c>
      <c r="CT1267" s="4" t="s">
        <v>241</v>
      </c>
      <c r="CU1267" s="4">
        <v>2.1999999999999999E-2</v>
      </c>
      <c r="CV1267" s="4" t="s">
        <v>271</v>
      </c>
      <c r="CW1267" s="4" t="s">
        <v>1176</v>
      </c>
      <c r="CX1267" s="4" t="s">
        <v>295</v>
      </c>
      <c r="CY1267" s="6">
        <f>0</f>
        <v>0</v>
      </c>
      <c r="CZ1267" s="6">
        <f>360003100</f>
        <v>360003100</v>
      </c>
      <c r="DA1267" s="6">
        <f>74880652</f>
        <v>74880652</v>
      </c>
      <c r="DC1267" s="4" t="s">
        <v>241</v>
      </c>
      <c r="DD1267" s="4" t="s">
        <v>241</v>
      </c>
      <c r="DF1267" s="4" t="s">
        <v>241</v>
      </c>
      <c r="DG1267" s="6">
        <f>0</f>
        <v>0</v>
      </c>
      <c r="DI1267" s="4" t="s">
        <v>241</v>
      </c>
      <c r="DJ1267" s="4" t="s">
        <v>241</v>
      </c>
      <c r="DK1267" s="4" t="s">
        <v>241</v>
      </c>
      <c r="DL1267" s="4" t="s">
        <v>241</v>
      </c>
      <c r="DM1267" s="4" t="s">
        <v>277</v>
      </c>
      <c r="DN1267" s="4" t="s">
        <v>278</v>
      </c>
      <c r="DO1267" s="6">
        <f>1506.29</f>
        <v>1506.29</v>
      </c>
      <c r="DP1267" s="4" t="s">
        <v>241</v>
      </c>
      <c r="DQ1267" s="4" t="s">
        <v>241</v>
      </c>
      <c r="DR1267" s="4" t="s">
        <v>241</v>
      </c>
      <c r="DS1267" s="4" t="s">
        <v>241</v>
      </c>
      <c r="DV1267" s="4" t="s">
        <v>1279</v>
      </c>
      <c r="DW1267" s="4" t="s">
        <v>277</v>
      </c>
      <c r="GN1267" s="4" t="s">
        <v>1280</v>
      </c>
      <c r="HO1267" s="4" t="s">
        <v>341</v>
      </c>
      <c r="HR1267" s="4" t="s">
        <v>278</v>
      </c>
      <c r="HS1267" s="4" t="s">
        <v>278</v>
      </c>
      <c r="HT1267" s="4" t="s">
        <v>241</v>
      </c>
      <c r="HU1267" s="4" t="s">
        <v>241</v>
      </c>
      <c r="HV1267" s="4" t="s">
        <v>241</v>
      </c>
      <c r="HW1267" s="4" t="s">
        <v>241</v>
      </c>
      <c r="HX1267" s="4" t="s">
        <v>241</v>
      </c>
      <c r="HY1267" s="4" t="s">
        <v>241</v>
      </c>
      <c r="HZ1267" s="4" t="s">
        <v>241</v>
      </c>
      <c r="IA1267" s="4" t="s">
        <v>241</v>
      </c>
      <c r="IB1267" s="4" t="s">
        <v>241</v>
      </c>
      <c r="IC1267" s="4" t="s">
        <v>241</v>
      </c>
      <c r="ID1267" s="4" t="s">
        <v>241</v>
      </c>
      <c r="IE1267" s="4" t="s">
        <v>241</v>
      </c>
      <c r="IF1267" s="4" t="s">
        <v>241</v>
      </c>
    </row>
    <row r="1268" spans="1:240" x14ac:dyDescent="0.4">
      <c r="A1268" s="4">
        <v>2</v>
      </c>
      <c r="B1268" s="4" t="s">
        <v>239</v>
      </c>
      <c r="C1268" s="4">
        <v>1576</v>
      </c>
      <c r="D1268" s="4">
        <v>1</v>
      </c>
      <c r="E1268" s="4">
        <v>3</v>
      </c>
      <c r="F1268" s="4" t="s">
        <v>240</v>
      </c>
      <c r="G1268" s="4" t="s">
        <v>241</v>
      </c>
      <c r="H1268" s="4" t="s">
        <v>241</v>
      </c>
      <c r="I1268" s="4" t="s">
        <v>1274</v>
      </c>
      <c r="J1268" s="4" t="s">
        <v>424</v>
      </c>
      <c r="K1268" s="4" t="s">
        <v>256</v>
      </c>
      <c r="L1268" s="4" t="s">
        <v>1260</v>
      </c>
      <c r="M1268" s="5" t="s">
        <v>512</v>
      </c>
      <c r="N1268" s="4" t="s">
        <v>1260</v>
      </c>
      <c r="O1268" s="6">
        <f>1437.81</f>
        <v>1437.81</v>
      </c>
      <c r="P1268" s="4" t="s">
        <v>276</v>
      </c>
      <c r="Q1268" s="6">
        <f>14751960</f>
        <v>14751960</v>
      </c>
      <c r="R1268" s="6">
        <f>194104350</f>
        <v>194104350</v>
      </c>
      <c r="S1268" s="5" t="s">
        <v>1088</v>
      </c>
      <c r="T1268" s="4" t="s">
        <v>668</v>
      </c>
      <c r="U1268" s="4" t="s">
        <v>373</v>
      </c>
      <c r="V1268" s="6">
        <f>4270295</f>
        <v>4270295</v>
      </c>
      <c r="W1268" s="6">
        <f>179352390</f>
        <v>179352390</v>
      </c>
      <c r="X1268" s="4" t="s">
        <v>243</v>
      </c>
      <c r="Y1268" s="4" t="s">
        <v>244</v>
      </c>
      <c r="Z1268" s="4" t="s">
        <v>465</v>
      </c>
      <c r="AA1268" s="4" t="s">
        <v>241</v>
      </c>
      <c r="AD1268" s="4" t="s">
        <v>241</v>
      </c>
      <c r="AE1268" s="5" t="s">
        <v>241</v>
      </c>
      <c r="AF1268" s="5" t="s">
        <v>241</v>
      </c>
      <c r="AH1268" s="5" t="s">
        <v>241</v>
      </c>
      <c r="AI1268" s="5" t="s">
        <v>249</v>
      </c>
      <c r="AJ1268" s="4" t="s">
        <v>251</v>
      </c>
      <c r="AK1268" s="4" t="s">
        <v>252</v>
      </c>
      <c r="AQ1268" s="4" t="s">
        <v>241</v>
      </c>
      <c r="AR1268" s="4" t="s">
        <v>241</v>
      </c>
      <c r="AS1268" s="4" t="s">
        <v>241</v>
      </c>
      <c r="AT1268" s="5" t="s">
        <v>241</v>
      </c>
      <c r="AU1268" s="5" t="s">
        <v>241</v>
      </c>
      <c r="AV1268" s="5" t="s">
        <v>241</v>
      </c>
      <c r="AY1268" s="4" t="s">
        <v>286</v>
      </c>
      <c r="AZ1268" s="4" t="s">
        <v>286</v>
      </c>
      <c r="BA1268" s="4" t="s">
        <v>254</v>
      </c>
      <c r="BB1268" s="4" t="s">
        <v>287</v>
      </c>
      <c r="BC1268" s="4" t="s">
        <v>255</v>
      </c>
      <c r="BD1268" s="4" t="s">
        <v>241</v>
      </c>
      <c r="BE1268" s="4" t="s">
        <v>257</v>
      </c>
      <c r="BF1268" s="4" t="s">
        <v>241</v>
      </c>
      <c r="BH1268" s="4" t="s">
        <v>500</v>
      </c>
      <c r="BJ1268" s="4" t="s">
        <v>288</v>
      </c>
      <c r="BK1268" s="5" t="s">
        <v>289</v>
      </c>
      <c r="BL1268" s="4" t="s">
        <v>290</v>
      </c>
      <c r="BM1268" s="4" t="s">
        <v>290</v>
      </c>
      <c r="BN1268" s="4" t="s">
        <v>241</v>
      </c>
      <c r="BO1268" s="6">
        <f>0</f>
        <v>0</v>
      </c>
      <c r="BP1268" s="6">
        <f>-4270295</f>
        <v>-4270295</v>
      </c>
      <c r="BQ1268" s="4" t="s">
        <v>263</v>
      </c>
      <c r="BR1268" s="4" t="s">
        <v>264</v>
      </c>
      <c r="BS1268" s="4" t="s">
        <v>241</v>
      </c>
      <c r="BT1268" s="4" t="s">
        <v>241</v>
      </c>
      <c r="BU1268" s="4" t="s">
        <v>241</v>
      </c>
      <c r="BV1268" s="4" t="s">
        <v>241</v>
      </c>
      <c r="CE1268" s="4" t="s">
        <v>264</v>
      </c>
      <c r="CF1268" s="4" t="s">
        <v>241</v>
      </c>
      <c r="CG1268" s="4" t="s">
        <v>241</v>
      </c>
      <c r="CK1268" s="4" t="s">
        <v>265</v>
      </c>
      <c r="CL1268" s="4" t="s">
        <v>266</v>
      </c>
      <c r="CM1268" s="4" t="s">
        <v>241</v>
      </c>
      <c r="CO1268" s="4" t="s">
        <v>914</v>
      </c>
      <c r="CP1268" s="5" t="s">
        <v>268</v>
      </c>
      <c r="CQ1268" s="4" t="s">
        <v>269</v>
      </c>
      <c r="CR1268" s="4" t="s">
        <v>270</v>
      </c>
      <c r="CS1268" s="4" t="s">
        <v>293</v>
      </c>
      <c r="CT1268" s="4" t="s">
        <v>241</v>
      </c>
      <c r="CU1268" s="4">
        <v>2.1999999999999999E-2</v>
      </c>
      <c r="CV1268" s="4" t="s">
        <v>271</v>
      </c>
      <c r="CW1268" s="4" t="s">
        <v>1176</v>
      </c>
      <c r="CX1268" s="4" t="s">
        <v>295</v>
      </c>
      <c r="CY1268" s="6">
        <f>0</f>
        <v>0</v>
      </c>
      <c r="CZ1268" s="6">
        <f>194104350</f>
        <v>194104350</v>
      </c>
      <c r="DA1268" s="6">
        <f>14751960</f>
        <v>14751960</v>
      </c>
      <c r="DC1268" s="4" t="s">
        <v>241</v>
      </c>
      <c r="DD1268" s="4" t="s">
        <v>241</v>
      </c>
      <c r="DF1268" s="4" t="s">
        <v>241</v>
      </c>
      <c r="DG1268" s="6">
        <f>0</f>
        <v>0</v>
      </c>
      <c r="DI1268" s="4" t="s">
        <v>241</v>
      </c>
      <c r="DJ1268" s="4" t="s">
        <v>241</v>
      </c>
      <c r="DK1268" s="4" t="s">
        <v>241</v>
      </c>
      <c r="DL1268" s="4" t="s">
        <v>241</v>
      </c>
      <c r="DM1268" s="4" t="s">
        <v>277</v>
      </c>
      <c r="DN1268" s="4" t="s">
        <v>278</v>
      </c>
      <c r="DO1268" s="6">
        <f>1437.81</f>
        <v>1437.81</v>
      </c>
      <c r="DP1268" s="4" t="s">
        <v>241</v>
      </c>
      <c r="DQ1268" s="4" t="s">
        <v>241</v>
      </c>
      <c r="DR1268" s="4" t="s">
        <v>241</v>
      </c>
      <c r="DS1268" s="4" t="s">
        <v>241</v>
      </c>
      <c r="DV1268" s="4" t="s">
        <v>1275</v>
      </c>
      <c r="DW1268" s="4" t="s">
        <v>277</v>
      </c>
      <c r="GN1268" s="4" t="s">
        <v>1276</v>
      </c>
      <c r="HO1268" s="4" t="s">
        <v>300</v>
      </c>
      <c r="HR1268" s="4" t="s">
        <v>278</v>
      </c>
      <c r="HS1268" s="4" t="s">
        <v>278</v>
      </c>
      <c r="HT1268" s="4" t="s">
        <v>241</v>
      </c>
      <c r="HU1268" s="4" t="s">
        <v>241</v>
      </c>
      <c r="HV1268" s="4" t="s">
        <v>241</v>
      </c>
      <c r="HW1268" s="4" t="s">
        <v>241</v>
      </c>
      <c r="HX1268" s="4" t="s">
        <v>241</v>
      </c>
      <c r="HY1268" s="4" t="s">
        <v>241</v>
      </c>
      <c r="HZ1268" s="4" t="s">
        <v>241</v>
      </c>
      <c r="IA1268" s="4" t="s">
        <v>241</v>
      </c>
      <c r="IB1268" s="4" t="s">
        <v>241</v>
      </c>
      <c r="IC1268" s="4" t="s">
        <v>241</v>
      </c>
      <c r="ID1268" s="4" t="s">
        <v>241</v>
      </c>
      <c r="IE1268" s="4" t="s">
        <v>241</v>
      </c>
      <c r="IF1268" s="4" t="s">
        <v>241</v>
      </c>
    </row>
    <row r="1269" spans="1:240" x14ac:dyDescent="0.4">
      <c r="A1269" s="4">
        <v>2</v>
      </c>
      <c r="B1269" s="4" t="s">
        <v>239</v>
      </c>
      <c r="C1269" s="4">
        <v>1577</v>
      </c>
      <c r="D1269" s="4">
        <v>1</v>
      </c>
      <c r="E1269" s="4">
        <v>3</v>
      </c>
      <c r="F1269" s="4" t="s">
        <v>240</v>
      </c>
      <c r="G1269" s="4" t="s">
        <v>241</v>
      </c>
      <c r="H1269" s="4" t="s">
        <v>241</v>
      </c>
      <c r="I1269" s="4" t="s">
        <v>1261</v>
      </c>
      <c r="J1269" s="4" t="s">
        <v>424</v>
      </c>
      <c r="K1269" s="4" t="s">
        <v>256</v>
      </c>
      <c r="L1269" s="4" t="s">
        <v>1260</v>
      </c>
      <c r="M1269" s="5" t="s">
        <v>1263</v>
      </c>
      <c r="N1269" s="4" t="s">
        <v>1260</v>
      </c>
      <c r="O1269" s="6">
        <f>1367.91</f>
        <v>1367.91</v>
      </c>
      <c r="P1269" s="4" t="s">
        <v>276</v>
      </c>
      <c r="Q1269" s="6">
        <f>5909402</f>
        <v>5909402</v>
      </c>
      <c r="R1269" s="6">
        <f>184667850</f>
        <v>184667850</v>
      </c>
      <c r="S1269" s="5" t="s">
        <v>1262</v>
      </c>
      <c r="T1269" s="4" t="s">
        <v>668</v>
      </c>
      <c r="U1269" s="4" t="s">
        <v>835</v>
      </c>
      <c r="V1269" s="6">
        <f>4062692</f>
        <v>4062692</v>
      </c>
      <c r="W1269" s="6">
        <f>178758448</f>
        <v>178758448</v>
      </c>
      <c r="X1269" s="4" t="s">
        <v>243</v>
      </c>
      <c r="Y1269" s="4" t="s">
        <v>244</v>
      </c>
      <c r="Z1269" s="4" t="s">
        <v>465</v>
      </c>
      <c r="AA1269" s="4" t="s">
        <v>241</v>
      </c>
      <c r="AD1269" s="4" t="s">
        <v>241</v>
      </c>
      <c r="AE1269" s="5" t="s">
        <v>241</v>
      </c>
      <c r="AF1269" s="5" t="s">
        <v>241</v>
      </c>
      <c r="AH1269" s="5" t="s">
        <v>241</v>
      </c>
      <c r="AI1269" s="5" t="s">
        <v>249</v>
      </c>
      <c r="AJ1269" s="4" t="s">
        <v>251</v>
      </c>
      <c r="AK1269" s="4" t="s">
        <v>252</v>
      </c>
      <c r="AQ1269" s="4" t="s">
        <v>241</v>
      </c>
      <c r="AR1269" s="4" t="s">
        <v>241</v>
      </c>
      <c r="AS1269" s="4" t="s">
        <v>241</v>
      </c>
      <c r="AT1269" s="5" t="s">
        <v>241</v>
      </c>
      <c r="AU1269" s="5" t="s">
        <v>241</v>
      </c>
      <c r="AV1269" s="5" t="s">
        <v>241</v>
      </c>
      <c r="AY1269" s="4" t="s">
        <v>286</v>
      </c>
      <c r="AZ1269" s="4" t="s">
        <v>286</v>
      </c>
      <c r="BA1269" s="4" t="s">
        <v>254</v>
      </c>
      <c r="BB1269" s="4" t="s">
        <v>287</v>
      </c>
      <c r="BC1269" s="4" t="s">
        <v>255</v>
      </c>
      <c r="BD1269" s="4" t="s">
        <v>241</v>
      </c>
      <c r="BE1269" s="4" t="s">
        <v>257</v>
      </c>
      <c r="BF1269" s="4" t="s">
        <v>241</v>
      </c>
      <c r="BJ1269" s="4" t="s">
        <v>288</v>
      </c>
      <c r="BK1269" s="5" t="s">
        <v>289</v>
      </c>
      <c r="BL1269" s="4" t="s">
        <v>290</v>
      </c>
      <c r="BM1269" s="4" t="s">
        <v>290</v>
      </c>
      <c r="BN1269" s="4" t="s">
        <v>241</v>
      </c>
      <c r="BO1269" s="6">
        <f>0</f>
        <v>0</v>
      </c>
      <c r="BP1269" s="6">
        <f>-4062692</f>
        <v>-4062692</v>
      </c>
      <c r="BQ1269" s="4" t="s">
        <v>263</v>
      </c>
      <c r="BR1269" s="4" t="s">
        <v>264</v>
      </c>
      <c r="BS1269" s="4" t="s">
        <v>241</v>
      </c>
      <c r="BT1269" s="4" t="s">
        <v>241</v>
      </c>
      <c r="BU1269" s="4" t="s">
        <v>241</v>
      </c>
      <c r="BV1269" s="4" t="s">
        <v>241</v>
      </c>
      <c r="CE1269" s="4" t="s">
        <v>264</v>
      </c>
      <c r="CF1269" s="4" t="s">
        <v>241</v>
      </c>
      <c r="CG1269" s="4" t="s">
        <v>241</v>
      </c>
      <c r="CK1269" s="4" t="s">
        <v>265</v>
      </c>
      <c r="CL1269" s="4" t="s">
        <v>266</v>
      </c>
      <c r="CM1269" s="4" t="s">
        <v>241</v>
      </c>
      <c r="CO1269" s="4" t="s">
        <v>368</v>
      </c>
      <c r="CP1269" s="5" t="s">
        <v>268</v>
      </c>
      <c r="CQ1269" s="4" t="s">
        <v>269</v>
      </c>
      <c r="CR1269" s="4" t="s">
        <v>270</v>
      </c>
      <c r="CS1269" s="4" t="s">
        <v>293</v>
      </c>
      <c r="CT1269" s="4" t="s">
        <v>241</v>
      </c>
      <c r="CU1269" s="4">
        <v>2.1999999999999999E-2</v>
      </c>
      <c r="CV1269" s="4" t="s">
        <v>271</v>
      </c>
      <c r="CW1269" s="4" t="s">
        <v>1176</v>
      </c>
      <c r="CX1269" s="4" t="s">
        <v>295</v>
      </c>
      <c r="CY1269" s="6">
        <f>0</f>
        <v>0</v>
      </c>
      <c r="CZ1269" s="6">
        <f>184667850</f>
        <v>184667850</v>
      </c>
      <c r="DA1269" s="6">
        <f>5909402</f>
        <v>5909402</v>
      </c>
      <c r="DC1269" s="4" t="s">
        <v>241</v>
      </c>
      <c r="DD1269" s="4" t="s">
        <v>241</v>
      </c>
      <c r="DF1269" s="4" t="s">
        <v>241</v>
      </c>
      <c r="DG1269" s="6">
        <f>0</f>
        <v>0</v>
      </c>
      <c r="DI1269" s="4" t="s">
        <v>241</v>
      </c>
      <c r="DJ1269" s="4" t="s">
        <v>241</v>
      </c>
      <c r="DK1269" s="4" t="s">
        <v>241</v>
      </c>
      <c r="DL1269" s="4" t="s">
        <v>241</v>
      </c>
      <c r="DM1269" s="4" t="s">
        <v>323</v>
      </c>
      <c r="DN1269" s="4" t="s">
        <v>278</v>
      </c>
      <c r="DO1269" s="6">
        <f>1367.91</f>
        <v>1367.91</v>
      </c>
      <c r="DP1269" s="4" t="s">
        <v>241</v>
      </c>
      <c r="DQ1269" s="4" t="s">
        <v>241</v>
      </c>
      <c r="DR1269" s="4" t="s">
        <v>241</v>
      </c>
      <c r="DS1269" s="4" t="s">
        <v>241</v>
      </c>
      <c r="DV1269" s="4" t="s">
        <v>1264</v>
      </c>
      <c r="DW1269" s="4" t="s">
        <v>277</v>
      </c>
      <c r="GN1269" s="4" t="s">
        <v>1265</v>
      </c>
      <c r="HO1269" s="4" t="s">
        <v>300</v>
      </c>
      <c r="HR1269" s="4" t="s">
        <v>278</v>
      </c>
      <c r="HS1269" s="4" t="s">
        <v>278</v>
      </c>
      <c r="HT1269" s="4" t="s">
        <v>241</v>
      </c>
      <c r="HU1269" s="4" t="s">
        <v>241</v>
      </c>
      <c r="HV1269" s="4" t="s">
        <v>241</v>
      </c>
      <c r="HW1269" s="4" t="s">
        <v>241</v>
      </c>
      <c r="HX1269" s="4" t="s">
        <v>241</v>
      </c>
      <c r="HY1269" s="4" t="s">
        <v>241</v>
      </c>
      <c r="HZ1269" s="4" t="s">
        <v>241</v>
      </c>
      <c r="IA1269" s="4" t="s">
        <v>241</v>
      </c>
      <c r="IB1269" s="4" t="s">
        <v>241</v>
      </c>
      <c r="IC1269" s="4" t="s">
        <v>241</v>
      </c>
      <c r="ID1269" s="4" t="s">
        <v>241</v>
      </c>
      <c r="IE1269" s="4" t="s">
        <v>241</v>
      </c>
      <c r="IF1269" s="4" t="s">
        <v>241</v>
      </c>
    </row>
    <row r="1270" spans="1:240" x14ac:dyDescent="0.4">
      <c r="A1270" s="4">
        <v>2</v>
      </c>
      <c r="B1270" s="4" t="s">
        <v>239</v>
      </c>
      <c r="C1270" s="4">
        <v>1578</v>
      </c>
      <c r="D1270" s="4">
        <v>1</v>
      </c>
      <c r="E1270" s="4">
        <v>1</v>
      </c>
      <c r="F1270" s="4" t="s">
        <v>240</v>
      </c>
      <c r="G1270" s="4" t="s">
        <v>241</v>
      </c>
      <c r="H1270" s="4" t="s">
        <v>241</v>
      </c>
      <c r="I1270" s="4" t="s">
        <v>1261</v>
      </c>
      <c r="J1270" s="4" t="s">
        <v>424</v>
      </c>
      <c r="K1270" s="4" t="s">
        <v>256</v>
      </c>
      <c r="L1270" s="4" t="s">
        <v>414</v>
      </c>
      <c r="M1270" s="5" t="s">
        <v>1263</v>
      </c>
      <c r="N1270" s="4" t="s">
        <v>414</v>
      </c>
      <c r="O1270" s="6">
        <f>29.56</f>
        <v>29.56</v>
      </c>
      <c r="P1270" s="4" t="s">
        <v>276</v>
      </c>
      <c r="Q1270" s="6">
        <f>1</f>
        <v>1</v>
      </c>
      <c r="R1270" s="6">
        <f>1773600</f>
        <v>1773600</v>
      </c>
      <c r="S1270" s="5" t="s">
        <v>1262</v>
      </c>
      <c r="T1270" s="4" t="s">
        <v>348</v>
      </c>
      <c r="U1270" s="4" t="s">
        <v>333</v>
      </c>
      <c r="W1270" s="6">
        <f>1773599</f>
        <v>1773599</v>
      </c>
      <c r="X1270" s="4" t="s">
        <v>243</v>
      </c>
      <c r="Y1270" s="4" t="s">
        <v>244</v>
      </c>
      <c r="Z1270" s="4" t="s">
        <v>465</v>
      </c>
      <c r="AA1270" s="4" t="s">
        <v>241</v>
      </c>
      <c r="AD1270" s="4" t="s">
        <v>241</v>
      </c>
      <c r="AF1270" s="5" t="s">
        <v>241</v>
      </c>
      <c r="AI1270" s="5" t="s">
        <v>249</v>
      </c>
      <c r="AJ1270" s="4" t="s">
        <v>251</v>
      </c>
      <c r="AK1270" s="4" t="s">
        <v>252</v>
      </c>
      <c r="BA1270" s="4" t="s">
        <v>254</v>
      </c>
      <c r="BB1270" s="4" t="s">
        <v>241</v>
      </c>
      <c r="BC1270" s="4" t="s">
        <v>255</v>
      </c>
      <c r="BD1270" s="4" t="s">
        <v>241</v>
      </c>
      <c r="BE1270" s="4" t="s">
        <v>257</v>
      </c>
      <c r="BF1270" s="4" t="s">
        <v>241</v>
      </c>
      <c r="BJ1270" s="4" t="s">
        <v>367</v>
      </c>
      <c r="BK1270" s="5" t="s">
        <v>249</v>
      </c>
      <c r="BL1270" s="4" t="s">
        <v>261</v>
      </c>
      <c r="BM1270" s="4" t="s">
        <v>262</v>
      </c>
      <c r="BN1270" s="4" t="s">
        <v>241</v>
      </c>
      <c r="BO1270" s="6">
        <f>0</f>
        <v>0</v>
      </c>
      <c r="BP1270" s="6">
        <f>0</f>
        <v>0</v>
      </c>
      <c r="BQ1270" s="4" t="s">
        <v>263</v>
      </c>
      <c r="BR1270" s="4" t="s">
        <v>264</v>
      </c>
      <c r="CF1270" s="4" t="s">
        <v>241</v>
      </c>
      <c r="CG1270" s="4" t="s">
        <v>241</v>
      </c>
      <c r="CK1270" s="4" t="s">
        <v>265</v>
      </c>
      <c r="CL1270" s="4" t="s">
        <v>266</v>
      </c>
      <c r="CM1270" s="4" t="s">
        <v>241</v>
      </c>
      <c r="CO1270" s="4" t="s">
        <v>368</v>
      </c>
      <c r="CP1270" s="5" t="s">
        <v>268</v>
      </c>
      <c r="CQ1270" s="4" t="s">
        <v>269</v>
      </c>
      <c r="CR1270" s="4" t="s">
        <v>270</v>
      </c>
      <c r="CS1270" s="4" t="s">
        <v>241</v>
      </c>
      <c r="CT1270" s="4" t="s">
        <v>241</v>
      </c>
      <c r="CU1270" s="4">
        <v>0</v>
      </c>
      <c r="CV1270" s="4" t="s">
        <v>271</v>
      </c>
      <c r="CW1270" s="4" t="s">
        <v>415</v>
      </c>
      <c r="CX1270" s="4" t="s">
        <v>416</v>
      </c>
      <c r="CZ1270" s="6">
        <f>1773600</f>
        <v>1773600</v>
      </c>
      <c r="DA1270" s="6">
        <f>0</f>
        <v>0</v>
      </c>
      <c r="DC1270" s="4" t="s">
        <v>241</v>
      </c>
      <c r="DD1270" s="4" t="s">
        <v>241</v>
      </c>
      <c r="DF1270" s="4" t="s">
        <v>241</v>
      </c>
      <c r="DI1270" s="4" t="s">
        <v>241</v>
      </c>
      <c r="DJ1270" s="4" t="s">
        <v>241</v>
      </c>
      <c r="DK1270" s="4" t="s">
        <v>241</v>
      </c>
      <c r="DL1270" s="4" t="s">
        <v>241</v>
      </c>
      <c r="DM1270" s="4" t="s">
        <v>277</v>
      </c>
      <c r="DN1270" s="4" t="s">
        <v>278</v>
      </c>
      <c r="DO1270" s="6">
        <f>29.56</f>
        <v>29.56</v>
      </c>
      <c r="DP1270" s="4" t="s">
        <v>241</v>
      </c>
      <c r="DQ1270" s="4" t="s">
        <v>241</v>
      </c>
      <c r="DR1270" s="4" t="s">
        <v>241</v>
      </c>
      <c r="DS1270" s="4" t="s">
        <v>241</v>
      </c>
      <c r="DV1270" s="4" t="s">
        <v>1264</v>
      </c>
      <c r="DW1270" s="4" t="s">
        <v>323</v>
      </c>
      <c r="HO1270" s="4" t="s">
        <v>277</v>
      </c>
      <c r="HR1270" s="4" t="s">
        <v>278</v>
      </c>
      <c r="HS1270" s="4" t="s">
        <v>278</v>
      </c>
    </row>
    <row r="1271" spans="1:240" x14ac:dyDescent="0.4">
      <c r="A1271" s="4">
        <v>2</v>
      </c>
      <c r="B1271" s="4" t="s">
        <v>239</v>
      </c>
      <c r="C1271" s="4">
        <v>1579</v>
      </c>
      <c r="D1271" s="4">
        <v>1</v>
      </c>
      <c r="E1271" s="4">
        <v>1</v>
      </c>
      <c r="F1271" s="4" t="s">
        <v>240</v>
      </c>
      <c r="G1271" s="4" t="s">
        <v>241</v>
      </c>
      <c r="H1271" s="4" t="s">
        <v>241</v>
      </c>
      <c r="I1271" s="4" t="s">
        <v>1261</v>
      </c>
      <c r="J1271" s="4" t="s">
        <v>424</v>
      </c>
      <c r="K1271" s="4" t="s">
        <v>256</v>
      </c>
      <c r="L1271" s="4" t="s">
        <v>1930</v>
      </c>
      <c r="M1271" s="5" t="s">
        <v>1263</v>
      </c>
      <c r="N1271" s="4" t="s">
        <v>1930</v>
      </c>
      <c r="O1271" s="6">
        <f>45.13</f>
        <v>45.13</v>
      </c>
      <c r="P1271" s="4" t="s">
        <v>276</v>
      </c>
      <c r="Q1271" s="6">
        <f>1</f>
        <v>1</v>
      </c>
      <c r="R1271" s="6">
        <f>2707800</f>
        <v>2707800</v>
      </c>
      <c r="S1271" s="5" t="s">
        <v>1262</v>
      </c>
      <c r="T1271" s="4" t="s">
        <v>348</v>
      </c>
      <c r="U1271" s="4" t="s">
        <v>333</v>
      </c>
      <c r="W1271" s="6">
        <f>2707799</f>
        <v>2707799</v>
      </c>
      <c r="X1271" s="4" t="s">
        <v>243</v>
      </c>
      <c r="Y1271" s="4" t="s">
        <v>244</v>
      </c>
      <c r="Z1271" s="4" t="s">
        <v>465</v>
      </c>
      <c r="AA1271" s="4" t="s">
        <v>241</v>
      </c>
      <c r="AD1271" s="4" t="s">
        <v>241</v>
      </c>
      <c r="AF1271" s="5" t="s">
        <v>241</v>
      </c>
      <c r="AI1271" s="5" t="s">
        <v>249</v>
      </c>
      <c r="AJ1271" s="4" t="s">
        <v>251</v>
      </c>
      <c r="AK1271" s="4" t="s">
        <v>252</v>
      </c>
      <c r="BA1271" s="4" t="s">
        <v>254</v>
      </c>
      <c r="BB1271" s="4" t="s">
        <v>241</v>
      </c>
      <c r="BC1271" s="4" t="s">
        <v>255</v>
      </c>
      <c r="BD1271" s="4" t="s">
        <v>241</v>
      </c>
      <c r="BE1271" s="4" t="s">
        <v>257</v>
      </c>
      <c r="BF1271" s="4" t="s">
        <v>241</v>
      </c>
      <c r="BJ1271" s="4" t="s">
        <v>367</v>
      </c>
      <c r="BK1271" s="5" t="s">
        <v>249</v>
      </c>
      <c r="BL1271" s="4" t="s">
        <v>261</v>
      </c>
      <c r="BM1271" s="4" t="s">
        <v>262</v>
      </c>
      <c r="BN1271" s="4" t="s">
        <v>241</v>
      </c>
      <c r="BO1271" s="6">
        <f>0</f>
        <v>0</v>
      </c>
      <c r="BP1271" s="6">
        <f>0</f>
        <v>0</v>
      </c>
      <c r="BQ1271" s="4" t="s">
        <v>263</v>
      </c>
      <c r="BR1271" s="4" t="s">
        <v>264</v>
      </c>
      <c r="CF1271" s="4" t="s">
        <v>241</v>
      </c>
      <c r="CG1271" s="4" t="s">
        <v>241</v>
      </c>
      <c r="CK1271" s="4" t="s">
        <v>265</v>
      </c>
      <c r="CL1271" s="4" t="s">
        <v>266</v>
      </c>
      <c r="CM1271" s="4" t="s">
        <v>241</v>
      </c>
      <c r="CO1271" s="4" t="s">
        <v>368</v>
      </c>
      <c r="CP1271" s="5" t="s">
        <v>268</v>
      </c>
      <c r="CQ1271" s="4" t="s">
        <v>269</v>
      </c>
      <c r="CR1271" s="4" t="s">
        <v>270</v>
      </c>
      <c r="CS1271" s="4" t="s">
        <v>241</v>
      </c>
      <c r="CT1271" s="4" t="s">
        <v>241</v>
      </c>
      <c r="CU1271" s="4">
        <v>0</v>
      </c>
      <c r="CV1271" s="4" t="s">
        <v>271</v>
      </c>
      <c r="CW1271" s="4" t="s">
        <v>1920</v>
      </c>
      <c r="CX1271" s="4" t="s">
        <v>347</v>
      </c>
      <c r="CZ1271" s="6">
        <f>2707800</f>
        <v>2707800</v>
      </c>
      <c r="DA1271" s="6">
        <f>0</f>
        <v>0</v>
      </c>
      <c r="DC1271" s="4" t="s">
        <v>241</v>
      </c>
      <c r="DD1271" s="4" t="s">
        <v>241</v>
      </c>
      <c r="DF1271" s="4" t="s">
        <v>241</v>
      </c>
      <c r="DI1271" s="4" t="s">
        <v>241</v>
      </c>
      <c r="DJ1271" s="4" t="s">
        <v>241</v>
      </c>
      <c r="DK1271" s="4" t="s">
        <v>241</v>
      </c>
      <c r="DL1271" s="4" t="s">
        <v>241</v>
      </c>
      <c r="DM1271" s="4" t="s">
        <v>277</v>
      </c>
      <c r="DN1271" s="4" t="s">
        <v>278</v>
      </c>
      <c r="DO1271" s="6">
        <f>45.13</f>
        <v>45.13</v>
      </c>
      <c r="DP1271" s="4" t="s">
        <v>241</v>
      </c>
      <c r="DQ1271" s="4" t="s">
        <v>241</v>
      </c>
      <c r="DR1271" s="4" t="s">
        <v>241</v>
      </c>
      <c r="DS1271" s="4" t="s">
        <v>241</v>
      </c>
      <c r="DV1271" s="4" t="s">
        <v>1264</v>
      </c>
      <c r="DW1271" s="4" t="s">
        <v>297</v>
      </c>
      <c r="HO1271" s="4" t="s">
        <v>277</v>
      </c>
      <c r="HR1271" s="4" t="s">
        <v>278</v>
      </c>
      <c r="HS1271" s="4" t="s">
        <v>278</v>
      </c>
    </row>
    <row r="1272" spans="1:240" x14ac:dyDescent="0.4">
      <c r="A1272" s="4">
        <v>2</v>
      </c>
      <c r="B1272" s="4" t="s">
        <v>239</v>
      </c>
      <c r="C1272" s="4">
        <v>1580</v>
      </c>
      <c r="D1272" s="4">
        <v>1</v>
      </c>
      <c r="E1272" s="4">
        <v>3</v>
      </c>
      <c r="F1272" s="4" t="s">
        <v>326</v>
      </c>
      <c r="G1272" s="4" t="s">
        <v>241</v>
      </c>
      <c r="H1272" s="4" t="s">
        <v>241</v>
      </c>
      <c r="I1272" s="4" t="s">
        <v>1261</v>
      </c>
      <c r="J1272" s="4" t="s">
        <v>424</v>
      </c>
      <c r="K1272" s="4" t="s">
        <v>256</v>
      </c>
      <c r="L1272" s="4" t="s">
        <v>2620</v>
      </c>
      <c r="M1272" s="5" t="s">
        <v>1263</v>
      </c>
      <c r="N1272" s="4" t="s">
        <v>2618</v>
      </c>
      <c r="O1272" s="6">
        <f>0</f>
        <v>0</v>
      </c>
      <c r="P1272" s="4" t="s">
        <v>276</v>
      </c>
      <c r="Q1272" s="6">
        <f>507650</f>
        <v>507650</v>
      </c>
      <c r="R1272" s="6">
        <f>550000</f>
        <v>550000</v>
      </c>
      <c r="S1272" s="5" t="s">
        <v>2619</v>
      </c>
      <c r="T1272" s="4" t="s">
        <v>322</v>
      </c>
      <c r="U1272" s="4" t="s">
        <v>278</v>
      </c>
      <c r="V1272" s="6">
        <f>549999</f>
        <v>549999</v>
      </c>
      <c r="W1272" s="6">
        <f>42350</f>
        <v>42350</v>
      </c>
      <c r="X1272" s="4" t="s">
        <v>243</v>
      </c>
      <c r="Y1272" s="4" t="s">
        <v>244</v>
      </c>
      <c r="Z1272" s="4" t="s">
        <v>241</v>
      </c>
      <c r="AA1272" s="4" t="s">
        <v>241</v>
      </c>
      <c r="AD1272" s="4" t="s">
        <v>241</v>
      </c>
      <c r="AE1272" s="5" t="s">
        <v>241</v>
      </c>
      <c r="AF1272" s="5" t="s">
        <v>241</v>
      </c>
      <c r="AH1272" s="5" t="s">
        <v>241</v>
      </c>
      <c r="AI1272" s="5" t="s">
        <v>249</v>
      </c>
      <c r="AJ1272" s="4" t="s">
        <v>251</v>
      </c>
      <c r="AK1272" s="4" t="s">
        <v>252</v>
      </c>
      <c r="AQ1272" s="4" t="s">
        <v>241</v>
      </c>
      <c r="AR1272" s="4" t="s">
        <v>241</v>
      </c>
      <c r="AS1272" s="4" t="s">
        <v>241</v>
      </c>
      <c r="AT1272" s="5" t="s">
        <v>241</v>
      </c>
      <c r="AU1272" s="5" t="s">
        <v>241</v>
      </c>
      <c r="AV1272" s="5" t="s">
        <v>241</v>
      </c>
      <c r="AY1272" s="4" t="s">
        <v>286</v>
      </c>
      <c r="AZ1272" s="4" t="s">
        <v>286</v>
      </c>
      <c r="BA1272" s="4" t="s">
        <v>254</v>
      </c>
      <c r="BB1272" s="4" t="s">
        <v>287</v>
      </c>
      <c r="BC1272" s="4" t="s">
        <v>255</v>
      </c>
      <c r="BD1272" s="4" t="s">
        <v>241</v>
      </c>
      <c r="BE1272" s="4" t="s">
        <v>257</v>
      </c>
      <c r="BF1272" s="4" t="s">
        <v>241</v>
      </c>
      <c r="BJ1272" s="4" t="s">
        <v>288</v>
      </c>
      <c r="BK1272" s="5" t="s">
        <v>289</v>
      </c>
      <c r="BL1272" s="4" t="s">
        <v>290</v>
      </c>
      <c r="BM1272" s="4" t="s">
        <v>290</v>
      </c>
      <c r="BN1272" s="4" t="s">
        <v>241</v>
      </c>
      <c r="BP1272" s="6">
        <f>-42350</f>
        <v>-42350</v>
      </c>
      <c r="BQ1272" s="4" t="s">
        <v>263</v>
      </c>
      <c r="BR1272" s="4" t="s">
        <v>264</v>
      </c>
      <c r="BS1272" s="4" t="s">
        <v>241</v>
      </c>
      <c r="BT1272" s="4" t="s">
        <v>241</v>
      </c>
      <c r="BU1272" s="4" t="s">
        <v>241</v>
      </c>
      <c r="BV1272" s="4" t="s">
        <v>241</v>
      </c>
      <c r="CE1272" s="4" t="s">
        <v>264</v>
      </c>
      <c r="CF1272" s="4" t="s">
        <v>241</v>
      </c>
      <c r="CG1272" s="4" t="s">
        <v>241</v>
      </c>
      <c r="CK1272" s="4" t="s">
        <v>291</v>
      </c>
      <c r="CL1272" s="4" t="s">
        <v>266</v>
      </c>
      <c r="CM1272" s="4" t="s">
        <v>241</v>
      </c>
      <c r="CO1272" s="4" t="s">
        <v>426</v>
      </c>
      <c r="CP1272" s="5" t="s">
        <v>268</v>
      </c>
      <c r="CQ1272" s="4" t="s">
        <v>269</v>
      </c>
      <c r="CR1272" s="4" t="s">
        <v>270</v>
      </c>
      <c r="CS1272" s="4" t="s">
        <v>293</v>
      </c>
      <c r="CT1272" s="4" t="s">
        <v>241</v>
      </c>
      <c r="CU1272" s="4">
        <v>7.6999999999999999E-2</v>
      </c>
      <c r="CV1272" s="4" t="s">
        <v>271</v>
      </c>
      <c r="CW1272" s="4" t="s">
        <v>415</v>
      </c>
      <c r="CX1272" s="4" t="s">
        <v>428</v>
      </c>
      <c r="CY1272" s="6">
        <f>0</f>
        <v>0</v>
      </c>
      <c r="CZ1272" s="6">
        <f>550000</f>
        <v>550000</v>
      </c>
      <c r="DA1272" s="6">
        <f>1</f>
        <v>1</v>
      </c>
      <c r="DC1272" s="4" t="s">
        <v>241</v>
      </c>
      <c r="DD1272" s="4" t="s">
        <v>241</v>
      </c>
      <c r="DF1272" s="4" t="s">
        <v>241</v>
      </c>
      <c r="DG1272" s="6">
        <f>0</f>
        <v>0</v>
      </c>
      <c r="DI1272" s="4" t="s">
        <v>241</v>
      </c>
      <c r="DJ1272" s="4" t="s">
        <v>241</v>
      </c>
      <c r="DK1272" s="4" t="s">
        <v>241</v>
      </c>
      <c r="DL1272" s="4" t="s">
        <v>241</v>
      </c>
      <c r="DM1272" s="4" t="s">
        <v>278</v>
      </c>
      <c r="DN1272" s="4" t="s">
        <v>278</v>
      </c>
      <c r="DO1272" s="6" t="s">
        <v>241</v>
      </c>
      <c r="DP1272" s="4" t="s">
        <v>241</v>
      </c>
      <c r="DQ1272" s="4" t="s">
        <v>241</v>
      </c>
      <c r="DR1272" s="4" t="s">
        <v>241</v>
      </c>
      <c r="DS1272" s="4" t="s">
        <v>241</v>
      </c>
      <c r="DV1272" s="4" t="s">
        <v>1264</v>
      </c>
      <c r="DW1272" s="4" t="s">
        <v>336</v>
      </c>
      <c r="GN1272" s="4" t="s">
        <v>2621</v>
      </c>
      <c r="HO1272" s="4" t="s">
        <v>323</v>
      </c>
      <c r="HR1272" s="4" t="s">
        <v>278</v>
      </c>
      <c r="HS1272" s="4" t="s">
        <v>278</v>
      </c>
      <c r="HT1272" s="4" t="s">
        <v>241</v>
      </c>
      <c r="HU1272" s="4" t="s">
        <v>241</v>
      </c>
      <c r="HV1272" s="4" t="s">
        <v>241</v>
      </c>
      <c r="HW1272" s="4" t="s">
        <v>241</v>
      </c>
      <c r="HX1272" s="4" t="s">
        <v>241</v>
      </c>
      <c r="HY1272" s="4" t="s">
        <v>241</v>
      </c>
      <c r="HZ1272" s="4" t="s">
        <v>241</v>
      </c>
      <c r="IA1272" s="4" t="s">
        <v>241</v>
      </c>
      <c r="IB1272" s="4" t="s">
        <v>241</v>
      </c>
      <c r="IC1272" s="4" t="s">
        <v>241</v>
      </c>
      <c r="ID1272" s="4" t="s">
        <v>241</v>
      </c>
      <c r="IE1272" s="4" t="s">
        <v>241</v>
      </c>
      <c r="IF1272" s="4" t="s">
        <v>241</v>
      </c>
    </row>
    <row r="1273" spans="1:240" x14ac:dyDescent="0.4">
      <c r="A1273" s="4">
        <v>2</v>
      </c>
      <c r="B1273" s="4" t="s">
        <v>239</v>
      </c>
      <c r="C1273" s="4">
        <v>1581</v>
      </c>
      <c r="D1273" s="4">
        <v>1</v>
      </c>
      <c r="E1273" s="4">
        <v>1</v>
      </c>
      <c r="F1273" s="4" t="s">
        <v>240</v>
      </c>
      <c r="G1273" s="4" t="s">
        <v>241</v>
      </c>
      <c r="H1273" s="4" t="s">
        <v>241</v>
      </c>
      <c r="I1273" s="4" t="s">
        <v>1842</v>
      </c>
      <c r="J1273" s="4" t="s">
        <v>424</v>
      </c>
      <c r="K1273" s="4" t="s">
        <v>256</v>
      </c>
      <c r="L1273" s="4" t="s">
        <v>429</v>
      </c>
      <c r="M1273" s="5" t="s">
        <v>1843</v>
      </c>
      <c r="N1273" s="4" t="s">
        <v>429</v>
      </c>
      <c r="O1273" s="6">
        <f>33.12</f>
        <v>33.119999999999997</v>
      </c>
      <c r="P1273" s="4" t="s">
        <v>276</v>
      </c>
      <c r="Q1273" s="6">
        <f>1</f>
        <v>1</v>
      </c>
      <c r="R1273" s="6">
        <f>1987200</f>
        <v>1987200</v>
      </c>
      <c r="S1273" s="5" t="s">
        <v>2942</v>
      </c>
      <c r="T1273" s="4" t="s">
        <v>274</v>
      </c>
      <c r="U1273" s="4" t="s">
        <v>777</v>
      </c>
      <c r="W1273" s="6">
        <f>1987199</f>
        <v>1987199</v>
      </c>
      <c r="X1273" s="4" t="s">
        <v>243</v>
      </c>
      <c r="Y1273" s="4" t="s">
        <v>244</v>
      </c>
      <c r="Z1273" s="4" t="s">
        <v>504</v>
      </c>
      <c r="AA1273" s="4" t="s">
        <v>241</v>
      </c>
      <c r="AD1273" s="4" t="s">
        <v>241</v>
      </c>
      <c r="AF1273" s="5" t="s">
        <v>241</v>
      </c>
      <c r="AI1273" s="5" t="s">
        <v>249</v>
      </c>
      <c r="AJ1273" s="4" t="s">
        <v>251</v>
      </c>
      <c r="AK1273" s="4" t="s">
        <v>252</v>
      </c>
      <c r="BA1273" s="4" t="s">
        <v>254</v>
      </c>
      <c r="BB1273" s="4" t="s">
        <v>241</v>
      </c>
      <c r="BC1273" s="4" t="s">
        <v>255</v>
      </c>
      <c r="BD1273" s="4" t="s">
        <v>241</v>
      </c>
      <c r="BE1273" s="4" t="s">
        <v>257</v>
      </c>
      <c r="BF1273" s="4" t="s">
        <v>241</v>
      </c>
      <c r="BJ1273" s="4" t="s">
        <v>367</v>
      </c>
      <c r="BK1273" s="5" t="s">
        <v>249</v>
      </c>
      <c r="BL1273" s="4" t="s">
        <v>261</v>
      </c>
      <c r="BM1273" s="4" t="s">
        <v>262</v>
      </c>
      <c r="BN1273" s="4" t="s">
        <v>241</v>
      </c>
      <c r="BO1273" s="6">
        <f>0</f>
        <v>0</v>
      </c>
      <c r="BP1273" s="6">
        <f>0</f>
        <v>0</v>
      </c>
      <c r="BQ1273" s="4" t="s">
        <v>263</v>
      </c>
      <c r="BR1273" s="4" t="s">
        <v>264</v>
      </c>
      <c r="CF1273" s="4" t="s">
        <v>241</v>
      </c>
      <c r="CG1273" s="4" t="s">
        <v>241</v>
      </c>
      <c r="CK1273" s="4" t="s">
        <v>265</v>
      </c>
      <c r="CL1273" s="4" t="s">
        <v>266</v>
      </c>
      <c r="CM1273" s="4" t="s">
        <v>241</v>
      </c>
      <c r="CO1273" s="4" t="s">
        <v>956</v>
      </c>
      <c r="CP1273" s="5" t="s">
        <v>268</v>
      </c>
      <c r="CQ1273" s="4" t="s">
        <v>269</v>
      </c>
      <c r="CR1273" s="4" t="s">
        <v>270</v>
      </c>
      <c r="CS1273" s="4" t="s">
        <v>241</v>
      </c>
      <c r="CT1273" s="4" t="s">
        <v>241</v>
      </c>
      <c r="CU1273" s="4">
        <v>0</v>
      </c>
      <c r="CV1273" s="4" t="s">
        <v>271</v>
      </c>
      <c r="CW1273" s="4" t="s">
        <v>272</v>
      </c>
      <c r="CX1273" s="4" t="s">
        <v>273</v>
      </c>
      <c r="CZ1273" s="6">
        <f>1987200</f>
        <v>1987200</v>
      </c>
      <c r="DA1273" s="6">
        <f>0</f>
        <v>0</v>
      </c>
      <c r="DC1273" s="4" t="s">
        <v>241</v>
      </c>
      <c r="DD1273" s="4" t="s">
        <v>241</v>
      </c>
      <c r="DF1273" s="4" t="s">
        <v>241</v>
      </c>
      <c r="DI1273" s="4" t="s">
        <v>241</v>
      </c>
      <c r="DJ1273" s="4" t="s">
        <v>241</v>
      </c>
      <c r="DK1273" s="4" t="s">
        <v>241</v>
      </c>
      <c r="DL1273" s="4" t="s">
        <v>241</v>
      </c>
      <c r="DM1273" s="4" t="s">
        <v>277</v>
      </c>
      <c r="DN1273" s="4" t="s">
        <v>278</v>
      </c>
      <c r="DO1273" s="6">
        <f>33.12</f>
        <v>33.119999999999997</v>
      </c>
      <c r="DP1273" s="4" t="s">
        <v>241</v>
      </c>
      <c r="DQ1273" s="4" t="s">
        <v>241</v>
      </c>
      <c r="DR1273" s="4" t="s">
        <v>241</v>
      </c>
      <c r="DS1273" s="4" t="s">
        <v>241</v>
      </c>
      <c r="DV1273" s="4" t="s">
        <v>1844</v>
      </c>
      <c r="DW1273" s="4" t="s">
        <v>277</v>
      </c>
      <c r="HO1273" s="4" t="s">
        <v>277</v>
      </c>
      <c r="HR1273" s="4" t="s">
        <v>278</v>
      </c>
      <c r="HS1273" s="4" t="s">
        <v>278</v>
      </c>
    </row>
    <row r="1274" spans="1:240" x14ac:dyDescent="0.4">
      <c r="A1274" s="4">
        <v>2</v>
      </c>
      <c r="B1274" s="4" t="s">
        <v>239</v>
      </c>
      <c r="C1274" s="4">
        <v>1582</v>
      </c>
      <c r="D1274" s="4">
        <v>1</v>
      </c>
      <c r="E1274" s="4">
        <v>3</v>
      </c>
      <c r="F1274" s="4" t="s">
        <v>240</v>
      </c>
      <c r="G1274" s="4" t="s">
        <v>241</v>
      </c>
      <c r="H1274" s="4" t="s">
        <v>241</v>
      </c>
      <c r="I1274" s="4" t="s">
        <v>1842</v>
      </c>
      <c r="J1274" s="4" t="s">
        <v>424</v>
      </c>
      <c r="K1274" s="4" t="s">
        <v>256</v>
      </c>
      <c r="L1274" s="4" t="s">
        <v>1841</v>
      </c>
      <c r="M1274" s="5" t="s">
        <v>1843</v>
      </c>
      <c r="N1274" s="4" t="s">
        <v>1841</v>
      </c>
      <c r="O1274" s="6">
        <f>650.6</f>
        <v>650.6</v>
      </c>
      <c r="P1274" s="4" t="s">
        <v>276</v>
      </c>
      <c r="Q1274" s="6">
        <f>19427912</f>
        <v>19427912</v>
      </c>
      <c r="R1274" s="6">
        <f>99122000</f>
        <v>99122000</v>
      </c>
      <c r="S1274" s="5" t="s">
        <v>1593</v>
      </c>
      <c r="T1274" s="4" t="s">
        <v>348</v>
      </c>
      <c r="U1274" s="4" t="s">
        <v>353</v>
      </c>
      <c r="V1274" s="6">
        <f>6641174</f>
        <v>6641174</v>
      </c>
      <c r="W1274" s="6">
        <f>79694088</f>
        <v>79694088</v>
      </c>
      <c r="X1274" s="4" t="s">
        <v>243</v>
      </c>
      <c r="Y1274" s="4" t="s">
        <v>244</v>
      </c>
      <c r="Z1274" s="4" t="s">
        <v>504</v>
      </c>
      <c r="AA1274" s="4" t="s">
        <v>241</v>
      </c>
      <c r="AD1274" s="4" t="s">
        <v>241</v>
      </c>
      <c r="AE1274" s="5" t="s">
        <v>241</v>
      </c>
      <c r="AF1274" s="5" t="s">
        <v>241</v>
      </c>
      <c r="AH1274" s="5" t="s">
        <v>241</v>
      </c>
      <c r="AI1274" s="5" t="s">
        <v>249</v>
      </c>
      <c r="AJ1274" s="4" t="s">
        <v>251</v>
      </c>
      <c r="AK1274" s="4" t="s">
        <v>252</v>
      </c>
      <c r="AQ1274" s="4" t="s">
        <v>241</v>
      </c>
      <c r="AR1274" s="4" t="s">
        <v>241</v>
      </c>
      <c r="AS1274" s="4" t="s">
        <v>241</v>
      </c>
      <c r="AT1274" s="5" t="s">
        <v>241</v>
      </c>
      <c r="AU1274" s="5" t="s">
        <v>241</v>
      </c>
      <c r="AV1274" s="5" t="s">
        <v>241</v>
      </c>
      <c r="AY1274" s="4" t="s">
        <v>286</v>
      </c>
      <c r="AZ1274" s="4" t="s">
        <v>286</v>
      </c>
      <c r="BA1274" s="4" t="s">
        <v>254</v>
      </c>
      <c r="BB1274" s="4" t="s">
        <v>287</v>
      </c>
      <c r="BC1274" s="4" t="s">
        <v>255</v>
      </c>
      <c r="BD1274" s="4" t="s">
        <v>241</v>
      </c>
      <c r="BE1274" s="4" t="s">
        <v>257</v>
      </c>
      <c r="BF1274" s="4" t="s">
        <v>241</v>
      </c>
      <c r="BJ1274" s="4" t="s">
        <v>288</v>
      </c>
      <c r="BK1274" s="5" t="s">
        <v>289</v>
      </c>
      <c r="BL1274" s="4" t="s">
        <v>290</v>
      </c>
      <c r="BM1274" s="4" t="s">
        <v>290</v>
      </c>
      <c r="BN1274" s="4" t="s">
        <v>241</v>
      </c>
      <c r="BO1274" s="6">
        <f>0</f>
        <v>0</v>
      </c>
      <c r="BP1274" s="6">
        <f>-6641174</f>
        <v>-6641174</v>
      </c>
      <c r="BQ1274" s="4" t="s">
        <v>263</v>
      </c>
      <c r="BR1274" s="4" t="s">
        <v>264</v>
      </c>
      <c r="BS1274" s="4" t="s">
        <v>241</v>
      </c>
      <c r="BT1274" s="4" t="s">
        <v>241</v>
      </c>
      <c r="BU1274" s="4" t="s">
        <v>241</v>
      </c>
      <c r="BV1274" s="4" t="s">
        <v>241</v>
      </c>
      <c r="CE1274" s="4" t="s">
        <v>264</v>
      </c>
      <c r="CF1274" s="4" t="s">
        <v>241</v>
      </c>
      <c r="CG1274" s="4" t="s">
        <v>241</v>
      </c>
      <c r="CK1274" s="4" t="s">
        <v>291</v>
      </c>
      <c r="CL1274" s="4" t="s">
        <v>266</v>
      </c>
      <c r="CM1274" s="4" t="s">
        <v>241</v>
      </c>
      <c r="CO1274" s="4" t="s">
        <v>352</v>
      </c>
      <c r="CP1274" s="5" t="s">
        <v>268</v>
      </c>
      <c r="CQ1274" s="4" t="s">
        <v>269</v>
      </c>
      <c r="CR1274" s="4" t="s">
        <v>270</v>
      </c>
      <c r="CS1274" s="4" t="s">
        <v>293</v>
      </c>
      <c r="CT1274" s="4" t="s">
        <v>241</v>
      </c>
      <c r="CU1274" s="4">
        <v>6.7000000000000004E-2</v>
      </c>
      <c r="CV1274" s="4" t="s">
        <v>271</v>
      </c>
      <c r="CW1274" s="4" t="s">
        <v>1830</v>
      </c>
      <c r="CX1274" s="4" t="s">
        <v>347</v>
      </c>
      <c r="CY1274" s="6">
        <f>0</f>
        <v>0</v>
      </c>
      <c r="CZ1274" s="6">
        <f>99122000</f>
        <v>99122000</v>
      </c>
      <c r="DA1274" s="6">
        <f>19427912</f>
        <v>19427912</v>
      </c>
      <c r="DC1274" s="4" t="s">
        <v>241</v>
      </c>
      <c r="DD1274" s="4" t="s">
        <v>241</v>
      </c>
      <c r="DF1274" s="4" t="s">
        <v>241</v>
      </c>
      <c r="DG1274" s="6">
        <f>0</f>
        <v>0</v>
      </c>
      <c r="DI1274" s="4" t="s">
        <v>241</v>
      </c>
      <c r="DJ1274" s="4" t="s">
        <v>241</v>
      </c>
      <c r="DK1274" s="4" t="s">
        <v>241</v>
      </c>
      <c r="DL1274" s="4" t="s">
        <v>241</v>
      </c>
      <c r="DM1274" s="4" t="s">
        <v>277</v>
      </c>
      <c r="DN1274" s="4" t="s">
        <v>278</v>
      </c>
      <c r="DO1274" s="6">
        <f>650.6</f>
        <v>650.6</v>
      </c>
      <c r="DP1274" s="4" t="s">
        <v>241</v>
      </c>
      <c r="DQ1274" s="4" t="s">
        <v>241</v>
      </c>
      <c r="DR1274" s="4" t="s">
        <v>241</v>
      </c>
      <c r="DS1274" s="4" t="s">
        <v>241</v>
      </c>
      <c r="DV1274" s="4" t="s">
        <v>1844</v>
      </c>
      <c r="DW1274" s="4" t="s">
        <v>323</v>
      </c>
      <c r="GN1274" s="4" t="s">
        <v>1845</v>
      </c>
      <c r="HO1274" s="4" t="s">
        <v>300</v>
      </c>
      <c r="HR1274" s="4" t="s">
        <v>278</v>
      </c>
      <c r="HS1274" s="4" t="s">
        <v>278</v>
      </c>
      <c r="HT1274" s="4" t="s">
        <v>241</v>
      </c>
      <c r="HU1274" s="4" t="s">
        <v>241</v>
      </c>
      <c r="HV1274" s="4" t="s">
        <v>241</v>
      </c>
      <c r="HW1274" s="4" t="s">
        <v>241</v>
      </c>
      <c r="HX1274" s="4" t="s">
        <v>241</v>
      </c>
      <c r="HY1274" s="4" t="s">
        <v>241</v>
      </c>
      <c r="HZ1274" s="4" t="s">
        <v>241</v>
      </c>
      <c r="IA1274" s="4" t="s">
        <v>241</v>
      </c>
      <c r="IB1274" s="4" t="s">
        <v>241</v>
      </c>
      <c r="IC1274" s="4" t="s">
        <v>241</v>
      </c>
      <c r="ID1274" s="4" t="s">
        <v>241</v>
      </c>
      <c r="IE1274" s="4" t="s">
        <v>241</v>
      </c>
      <c r="IF1274" s="4" t="s">
        <v>241</v>
      </c>
    </row>
    <row r="1275" spans="1:240" x14ac:dyDescent="0.4">
      <c r="A1275" s="4">
        <v>2</v>
      </c>
      <c r="B1275" s="4" t="s">
        <v>239</v>
      </c>
      <c r="C1275" s="4">
        <v>1583</v>
      </c>
      <c r="D1275" s="4">
        <v>1</v>
      </c>
      <c r="E1275" s="4">
        <v>1</v>
      </c>
      <c r="F1275" s="4" t="s">
        <v>240</v>
      </c>
      <c r="G1275" s="4" t="s">
        <v>241</v>
      </c>
      <c r="H1275" s="4" t="s">
        <v>241</v>
      </c>
      <c r="I1275" s="4" t="s">
        <v>543</v>
      </c>
      <c r="J1275" s="4" t="s">
        <v>406</v>
      </c>
      <c r="K1275" s="4" t="s">
        <v>256</v>
      </c>
      <c r="L1275" s="4" t="s">
        <v>340</v>
      </c>
      <c r="M1275" s="5" t="s">
        <v>545</v>
      </c>
      <c r="N1275" s="4" t="s">
        <v>340</v>
      </c>
      <c r="O1275" s="6">
        <f>58.52</f>
        <v>58.52</v>
      </c>
      <c r="P1275" s="4" t="s">
        <v>276</v>
      </c>
      <c r="Q1275" s="6">
        <f>1</f>
        <v>1</v>
      </c>
      <c r="R1275" s="6">
        <f>20716080</f>
        <v>20716080</v>
      </c>
      <c r="S1275" s="5" t="s">
        <v>544</v>
      </c>
      <c r="T1275" s="4" t="s">
        <v>348</v>
      </c>
      <c r="U1275" s="4" t="s">
        <v>379</v>
      </c>
      <c r="W1275" s="6">
        <f>20716079</f>
        <v>20716079</v>
      </c>
      <c r="X1275" s="4" t="s">
        <v>243</v>
      </c>
      <c r="Y1275" s="4" t="s">
        <v>244</v>
      </c>
      <c r="Z1275" s="4" t="s">
        <v>504</v>
      </c>
      <c r="AA1275" s="4" t="s">
        <v>241</v>
      </c>
      <c r="AD1275" s="4" t="s">
        <v>241</v>
      </c>
      <c r="AF1275" s="5" t="s">
        <v>241</v>
      </c>
      <c r="AI1275" s="5" t="s">
        <v>249</v>
      </c>
      <c r="AJ1275" s="4" t="s">
        <v>251</v>
      </c>
      <c r="AK1275" s="4" t="s">
        <v>252</v>
      </c>
      <c r="BA1275" s="4" t="s">
        <v>254</v>
      </c>
      <c r="BB1275" s="4" t="s">
        <v>241</v>
      </c>
      <c r="BC1275" s="4" t="s">
        <v>255</v>
      </c>
      <c r="BD1275" s="4" t="s">
        <v>241</v>
      </c>
      <c r="BE1275" s="4" t="s">
        <v>257</v>
      </c>
      <c r="BF1275" s="4" t="s">
        <v>241</v>
      </c>
      <c r="BJ1275" s="4" t="s">
        <v>367</v>
      </c>
      <c r="BK1275" s="5" t="s">
        <v>249</v>
      </c>
      <c r="BL1275" s="4" t="s">
        <v>261</v>
      </c>
      <c r="BM1275" s="4" t="s">
        <v>262</v>
      </c>
      <c r="BN1275" s="4" t="s">
        <v>241</v>
      </c>
      <c r="BO1275" s="6">
        <f>0</f>
        <v>0</v>
      </c>
      <c r="BP1275" s="6">
        <f>0</f>
        <v>0</v>
      </c>
      <c r="BQ1275" s="4" t="s">
        <v>263</v>
      </c>
      <c r="BR1275" s="4" t="s">
        <v>264</v>
      </c>
      <c r="CF1275" s="4" t="s">
        <v>241</v>
      </c>
      <c r="CG1275" s="4" t="s">
        <v>241</v>
      </c>
      <c r="CK1275" s="4" t="s">
        <v>291</v>
      </c>
      <c r="CL1275" s="4" t="s">
        <v>266</v>
      </c>
      <c r="CM1275" s="4" t="s">
        <v>241</v>
      </c>
      <c r="CO1275" s="4" t="s">
        <v>292</v>
      </c>
      <c r="CP1275" s="5" t="s">
        <v>268</v>
      </c>
      <c r="CQ1275" s="4" t="s">
        <v>269</v>
      </c>
      <c r="CR1275" s="4" t="s">
        <v>270</v>
      </c>
      <c r="CS1275" s="4" t="s">
        <v>241</v>
      </c>
      <c r="CT1275" s="4" t="s">
        <v>241</v>
      </c>
      <c r="CU1275" s="4">
        <v>0</v>
      </c>
      <c r="CV1275" s="4" t="s">
        <v>271</v>
      </c>
      <c r="CW1275" s="4" t="s">
        <v>332</v>
      </c>
      <c r="CX1275" s="4" t="s">
        <v>347</v>
      </c>
      <c r="CZ1275" s="6">
        <f>20716080</f>
        <v>20716080</v>
      </c>
      <c r="DA1275" s="6">
        <f>0</f>
        <v>0</v>
      </c>
      <c r="DC1275" s="4" t="s">
        <v>241</v>
      </c>
      <c r="DD1275" s="4" t="s">
        <v>241</v>
      </c>
      <c r="DF1275" s="4" t="s">
        <v>241</v>
      </c>
      <c r="DI1275" s="4" t="s">
        <v>241</v>
      </c>
      <c r="DJ1275" s="4" t="s">
        <v>241</v>
      </c>
      <c r="DK1275" s="4" t="s">
        <v>241</v>
      </c>
      <c r="DL1275" s="4" t="s">
        <v>241</v>
      </c>
      <c r="DM1275" s="4" t="s">
        <v>277</v>
      </c>
      <c r="DN1275" s="4" t="s">
        <v>278</v>
      </c>
      <c r="DO1275" s="6">
        <f>58.52</f>
        <v>58.52</v>
      </c>
      <c r="DP1275" s="4" t="s">
        <v>241</v>
      </c>
      <c r="DQ1275" s="4" t="s">
        <v>241</v>
      </c>
      <c r="DR1275" s="4" t="s">
        <v>241</v>
      </c>
      <c r="DS1275" s="4" t="s">
        <v>241</v>
      </c>
      <c r="DV1275" s="4" t="s">
        <v>546</v>
      </c>
      <c r="DW1275" s="4" t="s">
        <v>277</v>
      </c>
      <c r="HO1275" s="4" t="s">
        <v>277</v>
      </c>
      <c r="HR1275" s="4" t="s">
        <v>278</v>
      </c>
      <c r="HS1275" s="4" t="s">
        <v>278</v>
      </c>
    </row>
    <row r="1276" spans="1:240" x14ac:dyDescent="0.4">
      <c r="A1276" s="4">
        <v>2</v>
      </c>
      <c r="B1276" s="4" t="s">
        <v>239</v>
      </c>
      <c r="C1276" s="4">
        <v>1584</v>
      </c>
      <c r="D1276" s="4">
        <v>1</v>
      </c>
      <c r="E1276" s="4">
        <v>1</v>
      </c>
      <c r="F1276" s="4" t="s">
        <v>240</v>
      </c>
      <c r="G1276" s="4" t="s">
        <v>241</v>
      </c>
      <c r="H1276" s="4" t="s">
        <v>241</v>
      </c>
      <c r="I1276" s="4" t="s">
        <v>543</v>
      </c>
      <c r="J1276" s="4" t="s">
        <v>406</v>
      </c>
      <c r="K1276" s="4" t="s">
        <v>256</v>
      </c>
      <c r="L1276" s="4" t="s">
        <v>542</v>
      </c>
      <c r="M1276" s="5" t="s">
        <v>545</v>
      </c>
      <c r="N1276" s="4" t="s">
        <v>542</v>
      </c>
      <c r="O1276" s="6">
        <f>316.8</f>
        <v>316.8</v>
      </c>
      <c r="P1276" s="4" t="s">
        <v>276</v>
      </c>
      <c r="Q1276" s="6">
        <f>1</f>
        <v>1</v>
      </c>
      <c r="R1276" s="6">
        <f>76348800</f>
        <v>76348800</v>
      </c>
      <c r="S1276" s="5" t="s">
        <v>544</v>
      </c>
      <c r="T1276" s="4" t="s">
        <v>274</v>
      </c>
      <c r="U1276" s="4" t="s">
        <v>274</v>
      </c>
      <c r="W1276" s="6">
        <f>76348799</f>
        <v>76348799</v>
      </c>
      <c r="X1276" s="4" t="s">
        <v>243</v>
      </c>
      <c r="Y1276" s="4" t="s">
        <v>244</v>
      </c>
      <c r="Z1276" s="4" t="s">
        <v>504</v>
      </c>
      <c r="AA1276" s="4" t="s">
        <v>241</v>
      </c>
      <c r="AD1276" s="4" t="s">
        <v>241</v>
      </c>
      <c r="AF1276" s="5" t="s">
        <v>241</v>
      </c>
      <c r="AI1276" s="5" t="s">
        <v>249</v>
      </c>
      <c r="AJ1276" s="4" t="s">
        <v>251</v>
      </c>
      <c r="AK1276" s="4" t="s">
        <v>252</v>
      </c>
      <c r="BA1276" s="4" t="s">
        <v>254</v>
      </c>
      <c r="BB1276" s="4" t="s">
        <v>241</v>
      </c>
      <c r="BC1276" s="4" t="s">
        <v>255</v>
      </c>
      <c r="BD1276" s="4" t="s">
        <v>241</v>
      </c>
      <c r="BE1276" s="4" t="s">
        <v>257</v>
      </c>
      <c r="BF1276" s="4" t="s">
        <v>241</v>
      </c>
      <c r="BJ1276" s="4" t="s">
        <v>367</v>
      </c>
      <c r="BK1276" s="5" t="s">
        <v>249</v>
      </c>
      <c r="BL1276" s="4" t="s">
        <v>261</v>
      </c>
      <c r="BM1276" s="4" t="s">
        <v>290</v>
      </c>
      <c r="BN1276" s="4" t="s">
        <v>241</v>
      </c>
      <c r="BO1276" s="6">
        <f>0</f>
        <v>0</v>
      </c>
      <c r="BP1276" s="6">
        <f>0</f>
        <v>0</v>
      </c>
      <c r="BQ1276" s="4" t="s">
        <v>263</v>
      </c>
      <c r="BR1276" s="4" t="s">
        <v>264</v>
      </c>
      <c r="CF1276" s="4" t="s">
        <v>241</v>
      </c>
      <c r="CG1276" s="4" t="s">
        <v>241</v>
      </c>
      <c r="CK1276" s="4" t="s">
        <v>291</v>
      </c>
      <c r="CL1276" s="4" t="s">
        <v>266</v>
      </c>
      <c r="CM1276" s="4" t="s">
        <v>241</v>
      </c>
      <c r="CO1276" s="4" t="s">
        <v>292</v>
      </c>
      <c r="CP1276" s="5" t="s">
        <v>268</v>
      </c>
      <c r="CQ1276" s="4" t="s">
        <v>269</v>
      </c>
      <c r="CR1276" s="4" t="s">
        <v>270</v>
      </c>
      <c r="CS1276" s="4" t="s">
        <v>241</v>
      </c>
      <c r="CT1276" s="4" t="s">
        <v>241</v>
      </c>
      <c r="CU1276" s="4">
        <v>0</v>
      </c>
      <c r="CV1276" s="4" t="s">
        <v>271</v>
      </c>
      <c r="CW1276" s="4" t="s">
        <v>495</v>
      </c>
      <c r="CX1276" s="4" t="s">
        <v>347</v>
      </c>
      <c r="CZ1276" s="6">
        <f>76348800</f>
        <v>76348800</v>
      </c>
      <c r="DA1276" s="6">
        <f>0</f>
        <v>0</v>
      </c>
      <c r="DC1276" s="4" t="s">
        <v>241</v>
      </c>
      <c r="DD1276" s="4" t="s">
        <v>241</v>
      </c>
      <c r="DF1276" s="4" t="s">
        <v>241</v>
      </c>
      <c r="DI1276" s="4" t="s">
        <v>241</v>
      </c>
      <c r="DJ1276" s="4" t="s">
        <v>241</v>
      </c>
      <c r="DK1276" s="4" t="s">
        <v>241</v>
      </c>
      <c r="DL1276" s="4" t="s">
        <v>241</v>
      </c>
      <c r="DM1276" s="4" t="s">
        <v>277</v>
      </c>
      <c r="DN1276" s="4" t="s">
        <v>278</v>
      </c>
      <c r="DO1276" s="6">
        <f>316.8</f>
        <v>316.8</v>
      </c>
      <c r="DP1276" s="4" t="s">
        <v>241</v>
      </c>
      <c r="DQ1276" s="4" t="s">
        <v>241</v>
      </c>
      <c r="DR1276" s="4" t="s">
        <v>241</v>
      </c>
      <c r="DS1276" s="4" t="s">
        <v>241</v>
      </c>
      <c r="DV1276" s="4" t="s">
        <v>546</v>
      </c>
      <c r="DW1276" s="4" t="s">
        <v>323</v>
      </c>
      <c r="HO1276" s="4" t="s">
        <v>300</v>
      </c>
      <c r="HR1276" s="4" t="s">
        <v>278</v>
      </c>
      <c r="HS1276" s="4" t="s">
        <v>278</v>
      </c>
    </row>
    <row r="1277" spans="1:240" x14ac:dyDescent="0.4">
      <c r="A1277" s="4">
        <v>2</v>
      </c>
      <c r="B1277" s="4" t="s">
        <v>239</v>
      </c>
      <c r="C1277" s="4">
        <v>1585</v>
      </c>
      <c r="D1277" s="4">
        <v>1</v>
      </c>
      <c r="E1277" s="4">
        <v>1</v>
      </c>
      <c r="F1277" s="4" t="s">
        <v>240</v>
      </c>
      <c r="G1277" s="4" t="s">
        <v>241</v>
      </c>
      <c r="H1277" s="4" t="s">
        <v>241</v>
      </c>
      <c r="I1277" s="4" t="s">
        <v>543</v>
      </c>
      <c r="J1277" s="4" t="s">
        <v>406</v>
      </c>
      <c r="K1277" s="4" t="s">
        <v>256</v>
      </c>
      <c r="L1277" s="4" t="s">
        <v>340</v>
      </c>
      <c r="M1277" s="5" t="s">
        <v>545</v>
      </c>
      <c r="N1277" s="4" t="s">
        <v>340</v>
      </c>
      <c r="O1277" s="6">
        <f>14.6</f>
        <v>14.6</v>
      </c>
      <c r="P1277" s="4" t="s">
        <v>276</v>
      </c>
      <c r="Q1277" s="6">
        <f>1</f>
        <v>1</v>
      </c>
      <c r="R1277" s="6">
        <f>10424400</f>
        <v>10424400</v>
      </c>
      <c r="S1277" s="5" t="s">
        <v>544</v>
      </c>
      <c r="T1277" s="4" t="s">
        <v>348</v>
      </c>
      <c r="U1277" s="4" t="s">
        <v>379</v>
      </c>
      <c r="W1277" s="6">
        <f>10424399</f>
        <v>10424399</v>
      </c>
      <c r="X1277" s="4" t="s">
        <v>243</v>
      </c>
      <c r="Y1277" s="4" t="s">
        <v>244</v>
      </c>
      <c r="Z1277" s="4" t="s">
        <v>504</v>
      </c>
      <c r="AA1277" s="4" t="s">
        <v>241</v>
      </c>
      <c r="AD1277" s="4" t="s">
        <v>241</v>
      </c>
      <c r="AF1277" s="5" t="s">
        <v>241</v>
      </c>
      <c r="AI1277" s="5" t="s">
        <v>249</v>
      </c>
      <c r="AJ1277" s="4" t="s">
        <v>251</v>
      </c>
      <c r="AK1277" s="4" t="s">
        <v>252</v>
      </c>
      <c r="BA1277" s="4" t="s">
        <v>254</v>
      </c>
      <c r="BB1277" s="4" t="s">
        <v>241</v>
      </c>
      <c r="BC1277" s="4" t="s">
        <v>255</v>
      </c>
      <c r="BD1277" s="4" t="s">
        <v>241</v>
      </c>
      <c r="BE1277" s="4" t="s">
        <v>257</v>
      </c>
      <c r="BF1277" s="4" t="s">
        <v>241</v>
      </c>
      <c r="BJ1277" s="4" t="s">
        <v>367</v>
      </c>
      <c r="BK1277" s="5" t="s">
        <v>249</v>
      </c>
      <c r="BL1277" s="4" t="s">
        <v>261</v>
      </c>
      <c r="BM1277" s="4" t="s">
        <v>262</v>
      </c>
      <c r="BN1277" s="4" t="s">
        <v>241</v>
      </c>
      <c r="BO1277" s="6">
        <f>0</f>
        <v>0</v>
      </c>
      <c r="BP1277" s="6">
        <f>0</f>
        <v>0</v>
      </c>
      <c r="BQ1277" s="4" t="s">
        <v>263</v>
      </c>
      <c r="BR1277" s="4" t="s">
        <v>264</v>
      </c>
      <c r="CF1277" s="4" t="s">
        <v>241</v>
      </c>
      <c r="CG1277" s="4" t="s">
        <v>241</v>
      </c>
      <c r="CK1277" s="4" t="s">
        <v>291</v>
      </c>
      <c r="CL1277" s="4" t="s">
        <v>266</v>
      </c>
      <c r="CM1277" s="4" t="s">
        <v>241</v>
      </c>
      <c r="CO1277" s="4" t="s">
        <v>292</v>
      </c>
      <c r="CP1277" s="5" t="s">
        <v>268</v>
      </c>
      <c r="CQ1277" s="4" t="s">
        <v>269</v>
      </c>
      <c r="CR1277" s="4" t="s">
        <v>270</v>
      </c>
      <c r="CS1277" s="4" t="s">
        <v>241</v>
      </c>
      <c r="CT1277" s="4" t="s">
        <v>241</v>
      </c>
      <c r="CU1277" s="4">
        <v>0</v>
      </c>
      <c r="CV1277" s="4" t="s">
        <v>271</v>
      </c>
      <c r="CW1277" s="4" t="s">
        <v>332</v>
      </c>
      <c r="CX1277" s="4" t="s">
        <v>347</v>
      </c>
      <c r="CZ1277" s="6">
        <f>10424400</f>
        <v>10424400</v>
      </c>
      <c r="DA1277" s="6">
        <f>0</f>
        <v>0</v>
      </c>
      <c r="DC1277" s="4" t="s">
        <v>241</v>
      </c>
      <c r="DD1277" s="4" t="s">
        <v>241</v>
      </c>
      <c r="DF1277" s="4" t="s">
        <v>241</v>
      </c>
      <c r="DI1277" s="4" t="s">
        <v>241</v>
      </c>
      <c r="DJ1277" s="4" t="s">
        <v>241</v>
      </c>
      <c r="DK1277" s="4" t="s">
        <v>241</v>
      </c>
      <c r="DL1277" s="4" t="s">
        <v>241</v>
      </c>
      <c r="DM1277" s="4" t="s">
        <v>277</v>
      </c>
      <c r="DN1277" s="4" t="s">
        <v>278</v>
      </c>
      <c r="DO1277" s="6">
        <f>14.6</f>
        <v>14.6</v>
      </c>
      <c r="DP1277" s="4" t="s">
        <v>241</v>
      </c>
      <c r="DQ1277" s="4" t="s">
        <v>241</v>
      </c>
      <c r="DR1277" s="4" t="s">
        <v>241</v>
      </c>
      <c r="DS1277" s="4" t="s">
        <v>241</v>
      </c>
      <c r="DV1277" s="4" t="s">
        <v>546</v>
      </c>
      <c r="DW1277" s="4" t="s">
        <v>297</v>
      </c>
      <c r="HO1277" s="4" t="s">
        <v>277</v>
      </c>
      <c r="HR1277" s="4" t="s">
        <v>278</v>
      </c>
      <c r="HS1277" s="4" t="s">
        <v>278</v>
      </c>
    </row>
    <row r="1278" spans="1:240" x14ac:dyDescent="0.4">
      <c r="A1278" s="4">
        <v>2</v>
      </c>
      <c r="B1278" s="4" t="s">
        <v>239</v>
      </c>
      <c r="C1278" s="4">
        <v>1586</v>
      </c>
      <c r="D1278" s="4">
        <v>1</v>
      </c>
      <c r="E1278" s="4">
        <v>1</v>
      </c>
      <c r="F1278" s="4" t="s">
        <v>240</v>
      </c>
      <c r="G1278" s="4" t="s">
        <v>241</v>
      </c>
      <c r="H1278" s="4" t="s">
        <v>241</v>
      </c>
      <c r="I1278" s="4" t="s">
        <v>543</v>
      </c>
      <c r="J1278" s="4" t="s">
        <v>406</v>
      </c>
      <c r="K1278" s="4" t="s">
        <v>256</v>
      </c>
      <c r="L1278" s="4" t="s">
        <v>340</v>
      </c>
      <c r="M1278" s="5" t="s">
        <v>545</v>
      </c>
      <c r="N1278" s="4" t="s">
        <v>340</v>
      </c>
      <c r="O1278" s="6">
        <f>29.16</f>
        <v>29.16</v>
      </c>
      <c r="P1278" s="4" t="s">
        <v>276</v>
      </c>
      <c r="Q1278" s="6">
        <f>1</f>
        <v>1</v>
      </c>
      <c r="R1278" s="6">
        <f>10410120</f>
        <v>10410120</v>
      </c>
      <c r="S1278" s="5" t="s">
        <v>544</v>
      </c>
      <c r="T1278" s="4" t="s">
        <v>348</v>
      </c>
      <c r="U1278" s="4" t="s">
        <v>379</v>
      </c>
      <c r="W1278" s="6">
        <f>10410119</f>
        <v>10410119</v>
      </c>
      <c r="X1278" s="4" t="s">
        <v>243</v>
      </c>
      <c r="Y1278" s="4" t="s">
        <v>244</v>
      </c>
      <c r="Z1278" s="4" t="s">
        <v>504</v>
      </c>
      <c r="AA1278" s="4" t="s">
        <v>241</v>
      </c>
      <c r="AD1278" s="4" t="s">
        <v>241</v>
      </c>
      <c r="AF1278" s="5" t="s">
        <v>241</v>
      </c>
      <c r="AI1278" s="5" t="s">
        <v>249</v>
      </c>
      <c r="AJ1278" s="4" t="s">
        <v>251</v>
      </c>
      <c r="AK1278" s="4" t="s">
        <v>252</v>
      </c>
      <c r="BA1278" s="4" t="s">
        <v>254</v>
      </c>
      <c r="BB1278" s="4" t="s">
        <v>241</v>
      </c>
      <c r="BC1278" s="4" t="s">
        <v>255</v>
      </c>
      <c r="BD1278" s="4" t="s">
        <v>241</v>
      </c>
      <c r="BE1278" s="4" t="s">
        <v>257</v>
      </c>
      <c r="BF1278" s="4" t="s">
        <v>241</v>
      </c>
      <c r="BJ1278" s="4" t="s">
        <v>367</v>
      </c>
      <c r="BK1278" s="5" t="s">
        <v>249</v>
      </c>
      <c r="BL1278" s="4" t="s">
        <v>261</v>
      </c>
      <c r="BM1278" s="4" t="s">
        <v>262</v>
      </c>
      <c r="BN1278" s="4" t="s">
        <v>241</v>
      </c>
      <c r="BO1278" s="6">
        <f>0</f>
        <v>0</v>
      </c>
      <c r="BP1278" s="6">
        <f>0</f>
        <v>0</v>
      </c>
      <c r="BQ1278" s="4" t="s">
        <v>263</v>
      </c>
      <c r="BR1278" s="4" t="s">
        <v>264</v>
      </c>
      <c r="CF1278" s="4" t="s">
        <v>241</v>
      </c>
      <c r="CG1278" s="4" t="s">
        <v>241</v>
      </c>
      <c r="CK1278" s="4" t="s">
        <v>291</v>
      </c>
      <c r="CL1278" s="4" t="s">
        <v>266</v>
      </c>
      <c r="CM1278" s="4" t="s">
        <v>241</v>
      </c>
      <c r="CO1278" s="4" t="s">
        <v>292</v>
      </c>
      <c r="CP1278" s="5" t="s">
        <v>268</v>
      </c>
      <c r="CQ1278" s="4" t="s">
        <v>269</v>
      </c>
      <c r="CR1278" s="4" t="s">
        <v>270</v>
      </c>
      <c r="CS1278" s="4" t="s">
        <v>241</v>
      </c>
      <c r="CT1278" s="4" t="s">
        <v>241</v>
      </c>
      <c r="CU1278" s="4">
        <v>0</v>
      </c>
      <c r="CV1278" s="4" t="s">
        <v>271</v>
      </c>
      <c r="CW1278" s="4" t="s">
        <v>332</v>
      </c>
      <c r="CX1278" s="4" t="s">
        <v>347</v>
      </c>
      <c r="CZ1278" s="6">
        <f>10410120</f>
        <v>10410120</v>
      </c>
      <c r="DA1278" s="6">
        <f>0</f>
        <v>0</v>
      </c>
      <c r="DC1278" s="4" t="s">
        <v>241</v>
      </c>
      <c r="DD1278" s="4" t="s">
        <v>241</v>
      </c>
      <c r="DF1278" s="4" t="s">
        <v>241</v>
      </c>
      <c r="DI1278" s="4" t="s">
        <v>241</v>
      </c>
      <c r="DJ1278" s="4" t="s">
        <v>241</v>
      </c>
      <c r="DK1278" s="4" t="s">
        <v>241</v>
      </c>
      <c r="DL1278" s="4" t="s">
        <v>241</v>
      </c>
      <c r="DM1278" s="4" t="s">
        <v>277</v>
      </c>
      <c r="DN1278" s="4" t="s">
        <v>278</v>
      </c>
      <c r="DO1278" s="6">
        <f>29.16</f>
        <v>29.16</v>
      </c>
      <c r="DP1278" s="4" t="s">
        <v>241</v>
      </c>
      <c r="DQ1278" s="4" t="s">
        <v>241</v>
      </c>
      <c r="DR1278" s="4" t="s">
        <v>241</v>
      </c>
      <c r="DS1278" s="4" t="s">
        <v>241</v>
      </c>
      <c r="DV1278" s="4" t="s">
        <v>546</v>
      </c>
      <c r="DW1278" s="4" t="s">
        <v>336</v>
      </c>
      <c r="HO1278" s="4" t="s">
        <v>277</v>
      </c>
      <c r="HR1278" s="4" t="s">
        <v>278</v>
      </c>
      <c r="HS1278" s="4" t="s">
        <v>278</v>
      </c>
    </row>
    <row r="1279" spans="1:240" x14ac:dyDescent="0.4">
      <c r="A1279" s="4">
        <v>2</v>
      </c>
      <c r="B1279" s="4" t="s">
        <v>239</v>
      </c>
      <c r="C1279" s="4">
        <v>1587</v>
      </c>
      <c r="D1279" s="4">
        <v>1</v>
      </c>
      <c r="E1279" s="4">
        <v>3</v>
      </c>
      <c r="F1279" s="4" t="s">
        <v>326</v>
      </c>
      <c r="G1279" s="4" t="s">
        <v>241</v>
      </c>
      <c r="H1279" s="4" t="s">
        <v>241</v>
      </c>
      <c r="I1279" s="4" t="s">
        <v>543</v>
      </c>
      <c r="J1279" s="4" t="s">
        <v>406</v>
      </c>
      <c r="K1279" s="4" t="s">
        <v>256</v>
      </c>
      <c r="L1279" s="4" t="s">
        <v>542</v>
      </c>
      <c r="M1279" s="5" t="s">
        <v>545</v>
      </c>
      <c r="N1279" s="4" t="s">
        <v>542</v>
      </c>
      <c r="O1279" s="6">
        <f>750.16</f>
        <v>750.16</v>
      </c>
      <c r="P1279" s="4" t="s">
        <v>276</v>
      </c>
      <c r="Q1279" s="6">
        <f>90108816</f>
        <v>90108816</v>
      </c>
      <c r="R1279" s="6">
        <f>181671000</f>
        <v>181671000</v>
      </c>
      <c r="S1279" s="5" t="s">
        <v>567</v>
      </c>
      <c r="T1279" s="4" t="s">
        <v>274</v>
      </c>
      <c r="U1279" s="4" t="s">
        <v>353</v>
      </c>
      <c r="V1279" s="6">
        <f>7630182</f>
        <v>7630182</v>
      </c>
      <c r="W1279" s="6">
        <f>91562184</f>
        <v>91562184</v>
      </c>
      <c r="X1279" s="4" t="s">
        <v>243</v>
      </c>
      <c r="Y1279" s="4" t="s">
        <v>244</v>
      </c>
      <c r="Z1279" s="4" t="s">
        <v>504</v>
      </c>
      <c r="AA1279" s="4" t="s">
        <v>241</v>
      </c>
      <c r="AD1279" s="4" t="s">
        <v>241</v>
      </c>
      <c r="AE1279" s="5" t="s">
        <v>241</v>
      </c>
      <c r="AF1279" s="5" t="s">
        <v>241</v>
      </c>
      <c r="AH1279" s="5" t="s">
        <v>241</v>
      </c>
      <c r="AI1279" s="5" t="s">
        <v>249</v>
      </c>
      <c r="AJ1279" s="4" t="s">
        <v>251</v>
      </c>
      <c r="AK1279" s="4" t="s">
        <v>252</v>
      </c>
      <c r="AQ1279" s="4" t="s">
        <v>241</v>
      </c>
      <c r="AR1279" s="4" t="s">
        <v>241</v>
      </c>
      <c r="AS1279" s="4" t="s">
        <v>241</v>
      </c>
      <c r="AT1279" s="5" t="s">
        <v>241</v>
      </c>
      <c r="AU1279" s="5" t="s">
        <v>241</v>
      </c>
      <c r="AV1279" s="5" t="s">
        <v>241</v>
      </c>
      <c r="AY1279" s="4" t="s">
        <v>286</v>
      </c>
      <c r="AZ1279" s="4" t="s">
        <v>286</v>
      </c>
      <c r="BA1279" s="4" t="s">
        <v>254</v>
      </c>
      <c r="BB1279" s="4" t="s">
        <v>287</v>
      </c>
      <c r="BC1279" s="4" t="s">
        <v>255</v>
      </c>
      <c r="BD1279" s="4" t="s">
        <v>241</v>
      </c>
      <c r="BE1279" s="4" t="s">
        <v>257</v>
      </c>
      <c r="BF1279" s="4" t="s">
        <v>241</v>
      </c>
      <c r="BJ1279" s="4" t="s">
        <v>288</v>
      </c>
      <c r="BK1279" s="5" t="s">
        <v>289</v>
      </c>
      <c r="BL1279" s="4" t="s">
        <v>290</v>
      </c>
      <c r="BM1279" s="4" t="s">
        <v>290</v>
      </c>
      <c r="BN1279" s="4" t="s">
        <v>241</v>
      </c>
      <c r="BO1279" s="6">
        <f>0</f>
        <v>0</v>
      </c>
      <c r="BP1279" s="6">
        <f>-7630182</f>
        <v>-7630182</v>
      </c>
      <c r="BQ1279" s="4" t="s">
        <v>263</v>
      </c>
      <c r="BR1279" s="4" t="s">
        <v>264</v>
      </c>
      <c r="BS1279" s="4" t="s">
        <v>241</v>
      </c>
      <c r="BT1279" s="4" t="s">
        <v>241</v>
      </c>
      <c r="BU1279" s="4" t="s">
        <v>241</v>
      </c>
      <c r="BV1279" s="4" t="s">
        <v>241</v>
      </c>
      <c r="CE1279" s="4" t="s">
        <v>264</v>
      </c>
      <c r="CF1279" s="4" t="s">
        <v>241</v>
      </c>
      <c r="CG1279" s="4" t="s">
        <v>241</v>
      </c>
      <c r="CK1279" s="4" t="s">
        <v>291</v>
      </c>
      <c r="CL1279" s="4" t="s">
        <v>266</v>
      </c>
      <c r="CM1279" s="4" t="s">
        <v>241</v>
      </c>
      <c r="CO1279" s="4" t="s">
        <v>352</v>
      </c>
      <c r="CP1279" s="5" t="s">
        <v>268</v>
      </c>
      <c r="CQ1279" s="4" t="s">
        <v>269</v>
      </c>
      <c r="CR1279" s="4" t="s">
        <v>270</v>
      </c>
      <c r="CS1279" s="4" t="s">
        <v>293</v>
      </c>
      <c r="CT1279" s="4" t="s">
        <v>241</v>
      </c>
      <c r="CU1279" s="4">
        <v>4.2000000000000003E-2</v>
      </c>
      <c r="CV1279" s="4" t="s">
        <v>271</v>
      </c>
      <c r="CW1279" s="4" t="s">
        <v>495</v>
      </c>
      <c r="CX1279" s="4" t="s">
        <v>347</v>
      </c>
      <c r="CY1279" s="6">
        <f>0</f>
        <v>0</v>
      </c>
      <c r="CZ1279" s="6">
        <f>181671000</f>
        <v>181671000</v>
      </c>
      <c r="DA1279" s="6">
        <f>90108816</f>
        <v>90108816</v>
      </c>
      <c r="DC1279" s="4" t="s">
        <v>241</v>
      </c>
      <c r="DD1279" s="4" t="s">
        <v>241</v>
      </c>
      <c r="DF1279" s="4" t="s">
        <v>241</v>
      </c>
      <c r="DG1279" s="6">
        <f>0</f>
        <v>0</v>
      </c>
      <c r="DI1279" s="4" t="s">
        <v>241</v>
      </c>
      <c r="DJ1279" s="4" t="s">
        <v>241</v>
      </c>
      <c r="DK1279" s="4" t="s">
        <v>241</v>
      </c>
      <c r="DL1279" s="4" t="s">
        <v>241</v>
      </c>
      <c r="DM1279" s="4" t="s">
        <v>278</v>
      </c>
      <c r="DN1279" s="4" t="s">
        <v>278</v>
      </c>
      <c r="DO1279" s="6">
        <f>750.16</f>
        <v>750.16</v>
      </c>
      <c r="DP1279" s="4" t="s">
        <v>241</v>
      </c>
      <c r="DQ1279" s="4" t="s">
        <v>241</v>
      </c>
      <c r="DR1279" s="4" t="s">
        <v>241</v>
      </c>
      <c r="DS1279" s="4" t="s">
        <v>241</v>
      </c>
      <c r="DV1279" s="4" t="s">
        <v>546</v>
      </c>
      <c r="DW1279" s="4" t="s">
        <v>351</v>
      </c>
      <c r="GN1279" s="4" t="s">
        <v>568</v>
      </c>
      <c r="HO1279" s="4" t="s">
        <v>300</v>
      </c>
      <c r="HR1279" s="4" t="s">
        <v>278</v>
      </c>
      <c r="HS1279" s="4" t="s">
        <v>278</v>
      </c>
      <c r="HT1279" s="4" t="s">
        <v>241</v>
      </c>
      <c r="HU1279" s="4" t="s">
        <v>241</v>
      </c>
      <c r="HV1279" s="4" t="s">
        <v>241</v>
      </c>
      <c r="HW1279" s="4" t="s">
        <v>241</v>
      </c>
      <c r="HX1279" s="4" t="s">
        <v>241</v>
      </c>
      <c r="HY1279" s="4" t="s">
        <v>241</v>
      </c>
      <c r="HZ1279" s="4" t="s">
        <v>241</v>
      </c>
      <c r="IA1279" s="4" t="s">
        <v>241</v>
      </c>
      <c r="IB1279" s="4" t="s">
        <v>241</v>
      </c>
      <c r="IC1279" s="4" t="s">
        <v>241</v>
      </c>
      <c r="ID1279" s="4" t="s">
        <v>241</v>
      </c>
      <c r="IE1279" s="4" t="s">
        <v>241</v>
      </c>
      <c r="IF1279" s="4" t="s">
        <v>241</v>
      </c>
    </row>
    <row r="1280" spans="1:240" x14ac:dyDescent="0.4">
      <c r="A1280" s="4">
        <v>2</v>
      </c>
      <c r="B1280" s="4" t="s">
        <v>239</v>
      </c>
      <c r="C1280" s="4">
        <v>1588</v>
      </c>
      <c r="D1280" s="4">
        <v>1</v>
      </c>
      <c r="E1280" s="4">
        <v>3</v>
      </c>
      <c r="F1280" s="4" t="s">
        <v>326</v>
      </c>
      <c r="G1280" s="4" t="s">
        <v>241</v>
      </c>
      <c r="H1280" s="4" t="s">
        <v>241</v>
      </c>
      <c r="I1280" s="4" t="s">
        <v>543</v>
      </c>
      <c r="J1280" s="4" t="s">
        <v>406</v>
      </c>
      <c r="K1280" s="4" t="s">
        <v>256</v>
      </c>
      <c r="L1280" s="4" t="s">
        <v>241</v>
      </c>
      <c r="M1280" s="5" t="s">
        <v>545</v>
      </c>
      <c r="N1280" s="4" t="s">
        <v>2616</v>
      </c>
      <c r="O1280" s="6">
        <f>0</f>
        <v>0</v>
      </c>
      <c r="P1280" s="4" t="s">
        <v>276</v>
      </c>
      <c r="Q1280" s="6">
        <f>1016669</f>
        <v>1016669</v>
      </c>
      <c r="R1280" s="6">
        <f>1109900</f>
        <v>1109900</v>
      </c>
      <c r="S1280" s="5" t="s">
        <v>2597</v>
      </c>
      <c r="T1280" s="4" t="s">
        <v>409</v>
      </c>
      <c r="U1280" s="4" t="s">
        <v>278</v>
      </c>
      <c r="V1280" s="6">
        <f>93231</f>
        <v>93231</v>
      </c>
      <c r="W1280" s="6">
        <f>93231</f>
        <v>93231</v>
      </c>
      <c r="X1280" s="4" t="s">
        <v>243</v>
      </c>
      <c r="Y1280" s="4" t="s">
        <v>244</v>
      </c>
      <c r="Z1280" s="4" t="s">
        <v>241</v>
      </c>
      <c r="AA1280" s="4" t="s">
        <v>241</v>
      </c>
      <c r="AD1280" s="4" t="s">
        <v>241</v>
      </c>
      <c r="AE1280" s="5" t="s">
        <v>241</v>
      </c>
      <c r="AF1280" s="5" t="s">
        <v>241</v>
      </c>
      <c r="AH1280" s="5" t="s">
        <v>241</v>
      </c>
      <c r="AI1280" s="5" t="s">
        <v>583</v>
      </c>
      <c r="AJ1280" s="4" t="s">
        <v>251</v>
      </c>
      <c r="AK1280" s="4" t="s">
        <v>252</v>
      </c>
      <c r="AQ1280" s="4" t="s">
        <v>241</v>
      </c>
      <c r="AR1280" s="4" t="s">
        <v>241</v>
      </c>
      <c r="AS1280" s="4" t="s">
        <v>241</v>
      </c>
      <c r="AT1280" s="5" t="s">
        <v>241</v>
      </c>
      <c r="AU1280" s="5" t="s">
        <v>241</v>
      </c>
      <c r="AV1280" s="5" t="s">
        <v>241</v>
      </c>
      <c r="AY1280" s="4" t="s">
        <v>286</v>
      </c>
      <c r="AZ1280" s="4" t="s">
        <v>286</v>
      </c>
      <c r="BA1280" s="4" t="s">
        <v>254</v>
      </c>
      <c r="BB1280" s="4" t="s">
        <v>287</v>
      </c>
      <c r="BC1280" s="4" t="s">
        <v>255</v>
      </c>
      <c r="BD1280" s="4" t="s">
        <v>241</v>
      </c>
      <c r="BE1280" s="4" t="s">
        <v>257</v>
      </c>
      <c r="BF1280" s="4" t="s">
        <v>241</v>
      </c>
      <c r="BJ1280" s="4" t="s">
        <v>288</v>
      </c>
      <c r="BK1280" s="5" t="s">
        <v>289</v>
      </c>
      <c r="BL1280" s="4" t="s">
        <v>290</v>
      </c>
      <c r="BM1280" s="4" t="s">
        <v>290</v>
      </c>
      <c r="BN1280" s="4" t="s">
        <v>241</v>
      </c>
      <c r="BP1280" s="6">
        <f>-93231</f>
        <v>-93231</v>
      </c>
      <c r="BQ1280" s="4" t="s">
        <v>263</v>
      </c>
      <c r="BR1280" s="4" t="s">
        <v>264</v>
      </c>
      <c r="BS1280" s="4" t="s">
        <v>241</v>
      </c>
      <c r="BT1280" s="4" t="s">
        <v>241</v>
      </c>
      <c r="BU1280" s="4" t="s">
        <v>241</v>
      </c>
      <c r="BV1280" s="4" t="s">
        <v>241</v>
      </c>
      <c r="CE1280" s="4" t="s">
        <v>264</v>
      </c>
      <c r="CF1280" s="4" t="s">
        <v>241</v>
      </c>
      <c r="CG1280" s="4" t="s">
        <v>241</v>
      </c>
      <c r="CK1280" s="4" t="s">
        <v>291</v>
      </c>
      <c r="CL1280" s="4" t="s">
        <v>266</v>
      </c>
      <c r="CM1280" s="4" t="s">
        <v>241</v>
      </c>
      <c r="CO1280" s="4" t="s">
        <v>426</v>
      </c>
      <c r="CP1280" s="5" t="s">
        <v>268</v>
      </c>
      <c r="CQ1280" s="4" t="s">
        <v>269</v>
      </c>
      <c r="CR1280" s="4" t="s">
        <v>270</v>
      </c>
      <c r="CS1280" s="4" t="s">
        <v>293</v>
      </c>
      <c r="CT1280" s="4" t="s">
        <v>241</v>
      </c>
      <c r="CU1280" s="4">
        <v>8.4000000000000005E-2</v>
      </c>
      <c r="CV1280" s="4" t="s">
        <v>271</v>
      </c>
      <c r="CW1280" s="4" t="s">
        <v>415</v>
      </c>
      <c r="CX1280" s="4" t="s">
        <v>2565</v>
      </c>
      <c r="CY1280" s="6">
        <f>0</f>
        <v>0</v>
      </c>
      <c r="CZ1280" s="6">
        <f>1109900</f>
        <v>1109900</v>
      </c>
      <c r="DA1280" s="6">
        <f>736976</f>
        <v>736976</v>
      </c>
      <c r="DC1280" s="4" t="s">
        <v>241</v>
      </c>
      <c r="DD1280" s="4" t="s">
        <v>241</v>
      </c>
      <c r="DF1280" s="4" t="s">
        <v>241</v>
      </c>
      <c r="DG1280" s="6">
        <f>0</f>
        <v>0</v>
      </c>
      <c r="DI1280" s="4" t="s">
        <v>241</v>
      </c>
      <c r="DJ1280" s="4" t="s">
        <v>241</v>
      </c>
      <c r="DK1280" s="4" t="s">
        <v>241</v>
      </c>
      <c r="DL1280" s="4" t="s">
        <v>241</v>
      </c>
      <c r="DM1280" s="4" t="s">
        <v>278</v>
      </c>
      <c r="DN1280" s="4" t="s">
        <v>278</v>
      </c>
      <c r="DO1280" s="6" t="s">
        <v>241</v>
      </c>
      <c r="DP1280" s="4" t="s">
        <v>241</v>
      </c>
      <c r="DQ1280" s="4" t="s">
        <v>241</v>
      </c>
      <c r="DR1280" s="4" t="s">
        <v>241</v>
      </c>
      <c r="DS1280" s="4" t="s">
        <v>241</v>
      </c>
      <c r="DV1280" s="4" t="s">
        <v>546</v>
      </c>
      <c r="DW1280" s="4" t="s">
        <v>300</v>
      </c>
      <c r="GN1280" s="4" t="s">
        <v>2617</v>
      </c>
      <c r="HO1280" s="4" t="s">
        <v>323</v>
      </c>
      <c r="HR1280" s="4" t="s">
        <v>278</v>
      </c>
      <c r="HS1280" s="4" t="s">
        <v>278</v>
      </c>
      <c r="HT1280" s="4" t="s">
        <v>241</v>
      </c>
      <c r="HU1280" s="4" t="s">
        <v>241</v>
      </c>
      <c r="HV1280" s="4" t="s">
        <v>241</v>
      </c>
      <c r="HW1280" s="4" t="s">
        <v>241</v>
      </c>
      <c r="HX1280" s="4" t="s">
        <v>241</v>
      </c>
      <c r="HY1280" s="4" t="s">
        <v>241</v>
      </c>
      <c r="HZ1280" s="4" t="s">
        <v>241</v>
      </c>
      <c r="IA1280" s="4" t="s">
        <v>241</v>
      </c>
      <c r="IB1280" s="4" t="s">
        <v>241</v>
      </c>
      <c r="IC1280" s="4" t="s">
        <v>241</v>
      </c>
      <c r="ID1280" s="4" t="s">
        <v>241</v>
      </c>
      <c r="IE1280" s="4" t="s">
        <v>241</v>
      </c>
      <c r="IF1280" s="4" t="s">
        <v>241</v>
      </c>
    </row>
    <row r="1281" spans="1:240" x14ac:dyDescent="0.4">
      <c r="A1281" s="4">
        <v>2</v>
      </c>
      <c r="B1281" s="4" t="s">
        <v>239</v>
      </c>
      <c r="C1281" s="4">
        <v>1589</v>
      </c>
      <c r="D1281" s="4">
        <v>1</v>
      </c>
      <c r="E1281" s="4">
        <v>3</v>
      </c>
      <c r="F1281" s="4" t="s">
        <v>240</v>
      </c>
      <c r="G1281" s="4" t="s">
        <v>241</v>
      </c>
      <c r="H1281" s="4" t="s">
        <v>241</v>
      </c>
      <c r="I1281" s="4" t="s">
        <v>581</v>
      </c>
      <c r="J1281" s="4" t="s">
        <v>406</v>
      </c>
      <c r="K1281" s="4" t="s">
        <v>256</v>
      </c>
      <c r="L1281" s="4" t="s">
        <v>542</v>
      </c>
      <c r="M1281" s="5" t="s">
        <v>584</v>
      </c>
      <c r="N1281" s="4" t="s">
        <v>542</v>
      </c>
      <c r="O1281" s="6">
        <f>861.13</f>
        <v>861.13</v>
      </c>
      <c r="P1281" s="4" t="s">
        <v>276</v>
      </c>
      <c r="Q1281" s="6">
        <f>50488057</f>
        <v>50488057</v>
      </c>
      <c r="R1281" s="6">
        <f>176531650</f>
        <v>176531650</v>
      </c>
      <c r="S1281" s="5" t="s">
        <v>582</v>
      </c>
      <c r="T1281" s="4" t="s">
        <v>274</v>
      </c>
      <c r="U1281" s="4" t="s">
        <v>371</v>
      </c>
      <c r="V1281" s="6">
        <f>7414329</f>
        <v>7414329</v>
      </c>
      <c r="W1281" s="6">
        <f>126043593</f>
        <v>126043593</v>
      </c>
      <c r="X1281" s="4" t="s">
        <v>243</v>
      </c>
      <c r="Y1281" s="4" t="s">
        <v>244</v>
      </c>
      <c r="Z1281" s="4" t="s">
        <v>504</v>
      </c>
      <c r="AA1281" s="4" t="s">
        <v>241</v>
      </c>
      <c r="AD1281" s="4" t="s">
        <v>241</v>
      </c>
      <c r="AE1281" s="5" t="s">
        <v>241</v>
      </c>
      <c r="AF1281" s="5" t="s">
        <v>241</v>
      </c>
      <c r="AH1281" s="5" t="s">
        <v>241</v>
      </c>
      <c r="AI1281" s="5" t="s">
        <v>583</v>
      </c>
      <c r="AJ1281" s="4" t="s">
        <v>251</v>
      </c>
      <c r="AK1281" s="4" t="s">
        <v>252</v>
      </c>
      <c r="AQ1281" s="4" t="s">
        <v>241</v>
      </c>
      <c r="AR1281" s="4" t="s">
        <v>241</v>
      </c>
      <c r="AS1281" s="4" t="s">
        <v>241</v>
      </c>
      <c r="AT1281" s="5" t="s">
        <v>241</v>
      </c>
      <c r="AU1281" s="5" t="s">
        <v>241</v>
      </c>
      <c r="AV1281" s="5" t="s">
        <v>241</v>
      </c>
      <c r="AY1281" s="4" t="s">
        <v>286</v>
      </c>
      <c r="AZ1281" s="4" t="s">
        <v>286</v>
      </c>
      <c r="BA1281" s="4" t="s">
        <v>254</v>
      </c>
      <c r="BB1281" s="4" t="s">
        <v>287</v>
      </c>
      <c r="BC1281" s="4" t="s">
        <v>255</v>
      </c>
      <c r="BD1281" s="4" t="s">
        <v>241</v>
      </c>
      <c r="BE1281" s="4" t="s">
        <v>257</v>
      </c>
      <c r="BF1281" s="4" t="s">
        <v>241</v>
      </c>
      <c r="BJ1281" s="4" t="s">
        <v>288</v>
      </c>
      <c r="BK1281" s="5" t="s">
        <v>289</v>
      </c>
      <c r="BL1281" s="4" t="s">
        <v>290</v>
      </c>
      <c r="BM1281" s="4" t="s">
        <v>290</v>
      </c>
      <c r="BN1281" s="4" t="s">
        <v>241</v>
      </c>
      <c r="BO1281" s="6">
        <f>0</f>
        <v>0</v>
      </c>
      <c r="BP1281" s="6">
        <f>-7414329</f>
        <v>-7414329</v>
      </c>
      <c r="BQ1281" s="4" t="s">
        <v>263</v>
      </c>
      <c r="BR1281" s="4" t="s">
        <v>264</v>
      </c>
      <c r="BS1281" s="4" t="s">
        <v>241</v>
      </c>
      <c r="BT1281" s="4" t="s">
        <v>241</v>
      </c>
      <c r="BU1281" s="4" t="s">
        <v>241</v>
      </c>
      <c r="BV1281" s="4" t="s">
        <v>241</v>
      </c>
      <c r="CE1281" s="4" t="s">
        <v>264</v>
      </c>
      <c r="CF1281" s="4" t="s">
        <v>241</v>
      </c>
      <c r="CG1281" s="4" t="s">
        <v>241</v>
      </c>
      <c r="CK1281" s="4" t="s">
        <v>291</v>
      </c>
      <c r="CL1281" s="4" t="s">
        <v>266</v>
      </c>
      <c r="CM1281" s="4" t="s">
        <v>241</v>
      </c>
      <c r="CO1281" s="4" t="s">
        <v>407</v>
      </c>
      <c r="CP1281" s="5" t="s">
        <v>268</v>
      </c>
      <c r="CQ1281" s="4" t="s">
        <v>269</v>
      </c>
      <c r="CR1281" s="4" t="s">
        <v>270</v>
      </c>
      <c r="CS1281" s="4" t="s">
        <v>293</v>
      </c>
      <c r="CT1281" s="4" t="s">
        <v>241</v>
      </c>
      <c r="CU1281" s="4">
        <v>4.2000000000000003E-2</v>
      </c>
      <c r="CV1281" s="4" t="s">
        <v>271</v>
      </c>
      <c r="CW1281" s="4" t="s">
        <v>495</v>
      </c>
      <c r="CX1281" s="4" t="s">
        <v>347</v>
      </c>
      <c r="CY1281" s="6">
        <f>0</f>
        <v>0</v>
      </c>
      <c r="CZ1281" s="6">
        <f>176531650</f>
        <v>176531650</v>
      </c>
      <c r="DA1281" s="6">
        <f>50488057</f>
        <v>50488057</v>
      </c>
      <c r="DC1281" s="4" t="s">
        <v>241</v>
      </c>
      <c r="DD1281" s="4" t="s">
        <v>241</v>
      </c>
      <c r="DF1281" s="4" t="s">
        <v>241</v>
      </c>
      <c r="DG1281" s="6">
        <f>0</f>
        <v>0</v>
      </c>
      <c r="DI1281" s="4" t="s">
        <v>241</v>
      </c>
      <c r="DJ1281" s="4" t="s">
        <v>241</v>
      </c>
      <c r="DK1281" s="4" t="s">
        <v>241</v>
      </c>
      <c r="DL1281" s="4" t="s">
        <v>241</v>
      </c>
      <c r="DM1281" s="4" t="s">
        <v>277</v>
      </c>
      <c r="DN1281" s="4" t="s">
        <v>278</v>
      </c>
      <c r="DO1281" s="6">
        <f>861.13</f>
        <v>861.13</v>
      </c>
      <c r="DP1281" s="4" t="s">
        <v>241</v>
      </c>
      <c r="DQ1281" s="4" t="s">
        <v>241</v>
      </c>
      <c r="DR1281" s="4" t="s">
        <v>241</v>
      </c>
      <c r="DS1281" s="4" t="s">
        <v>241</v>
      </c>
      <c r="DV1281" s="4" t="s">
        <v>585</v>
      </c>
      <c r="DW1281" s="4" t="s">
        <v>277</v>
      </c>
      <c r="GN1281" s="4" t="s">
        <v>586</v>
      </c>
      <c r="HO1281" s="4" t="s">
        <v>300</v>
      </c>
      <c r="HR1281" s="4" t="s">
        <v>278</v>
      </c>
      <c r="HS1281" s="4" t="s">
        <v>278</v>
      </c>
      <c r="HT1281" s="4" t="s">
        <v>241</v>
      </c>
      <c r="HU1281" s="4" t="s">
        <v>241</v>
      </c>
      <c r="HV1281" s="4" t="s">
        <v>241</v>
      </c>
      <c r="HW1281" s="4" t="s">
        <v>241</v>
      </c>
      <c r="HX1281" s="4" t="s">
        <v>241</v>
      </c>
      <c r="HY1281" s="4" t="s">
        <v>241</v>
      </c>
      <c r="HZ1281" s="4" t="s">
        <v>241</v>
      </c>
      <c r="IA1281" s="4" t="s">
        <v>241</v>
      </c>
      <c r="IB1281" s="4" t="s">
        <v>241</v>
      </c>
      <c r="IC1281" s="4" t="s">
        <v>241</v>
      </c>
      <c r="ID1281" s="4" t="s">
        <v>241</v>
      </c>
      <c r="IE1281" s="4" t="s">
        <v>241</v>
      </c>
      <c r="IF1281" s="4" t="s">
        <v>241</v>
      </c>
    </row>
    <row r="1282" spans="1:240" x14ac:dyDescent="0.4">
      <c r="A1282" s="4">
        <v>2</v>
      </c>
      <c r="B1282" s="4" t="s">
        <v>239</v>
      </c>
      <c r="C1282" s="4">
        <v>1590</v>
      </c>
      <c r="D1282" s="4">
        <v>1</v>
      </c>
      <c r="E1282" s="4">
        <v>1</v>
      </c>
      <c r="F1282" s="4" t="s">
        <v>240</v>
      </c>
      <c r="G1282" s="4" t="s">
        <v>241</v>
      </c>
      <c r="H1282" s="4" t="s">
        <v>241</v>
      </c>
      <c r="I1282" s="4" t="s">
        <v>581</v>
      </c>
      <c r="J1282" s="4" t="s">
        <v>406</v>
      </c>
      <c r="K1282" s="4" t="s">
        <v>256</v>
      </c>
      <c r="L1282" s="4" t="s">
        <v>340</v>
      </c>
      <c r="M1282" s="5" t="s">
        <v>584</v>
      </c>
      <c r="N1282" s="4" t="s">
        <v>542</v>
      </c>
      <c r="O1282" s="6">
        <f>122.4</f>
        <v>122.4</v>
      </c>
      <c r="P1282" s="4" t="s">
        <v>276</v>
      </c>
      <c r="Q1282" s="6">
        <f>1</f>
        <v>1</v>
      </c>
      <c r="R1282" s="6">
        <f>5018400</f>
        <v>5018400</v>
      </c>
      <c r="S1282" s="5" t="s">
        <v>582</v>
      </c>
      <c r="T1282" s="4" t="s">
        <v>348</v>
      </c>
      <c r="U1282" s="4" t="s">
        <v>348</v>
      </c>
      <c r="W1282" s="6">
        <f>5018399</f>
        <v>5018399</v>
      </c>
      <c r="X1282" s="4" t="s">
        <v>243</v>
      </c>
      <c r="Y1282" s="4" t="s">
        <v>244</v>
      </c>
      <c r="Z1282" s="4" t="s">
        <v>504</v>
      </c>
      <c r="AA1282" s="4" t="s">
        <v>241</v>
      </c>
      <c r="AD1282" s="4" t="s">
        <v>241</v>
      </c>
      <c r="AF1282" s="5" t="s">
        <v>241</v>
      </c>
      <c r="AI1282" s="5" t="s">
        <v>583</v>
      </c>
      <c r="AJ1282" s="4" t="s">
        <v>251</v>
      </c>
      <c r="AK1282" s="4" t="s">
        <v>252</v>
      </c>
      <c r="BA1282" s="4" t="s">
        <v>254</v>
      </c>
      <c r="BB1282" s="4" t="s">
        <v>241</v>
      </c>
      <c r="BC1282" s="4" t="s">
        <v>255</v>
      </c>
      <c r="BD1282" s="4" t="s">
        <v>241</v>
      </c>
      <c r="BE1282" s="4" t="s">
        <v>257</v>
      </c>
      <c r="BF1282" s="4" t="s">
        <v>241</v>
      </c>
      <c r="BJ1282" s="4" t="s">
        <v>259</v>
      </c>
      <c r="BK1282" s="5" t="s">
        <v>260</v>
      </c>
      <c r="BL1282" s="4" t="s">
        <v>261</v>
      </c>
      <c r="BM1282" s="4" t="s">
        <v>290</v>
      </c>
      <c r="BN1282" s="4" t="s">
        <v>241</v>
      </c>
      <c r="BO1282" s="6">
        <f>0</f>
        <v>0</v>
      </c>
      <c r="BP1282" s="6">
        <f>0</f>
        <v>0</v>
      </c>
      <c r="BQ1282" s="4" t="s">
        <v>263</v>
      </c>
      <c r="BR1282" s="4" t="s">
        <v>264</v>
      </c>
      <c r="CF1282" s="4" t="s">
        <v>241</v>
      </c>
      <c r="CG1282" s="4" t="s">
        <v>241</v>
      </c>
      <c r="CK1282" s="4" t="s">
        <v>291</v>
      </c>
      <c r="CL1282" s="4" t="s">
        <v>266</v>
      </c>
      <c r="CM1282" s="4" t="s">
        <v>241</v>
      </c>
      <c r="CO1282" s="4" t="s">
        <v>407</v>
      </c>
      <c r="CP1282" s="5" t="s">
        <v>268</v>
      </c>
      <c r="CQ1282" s="4" t="s">
        <v>269</v>
      </c>
      <c r="CR1282" s="4" t="s">
        <v>270</v>
      </c>
      <c r="CS1282" s="4" t="s">
        <v>241</v>
      </c>
      <c r="CT1282" s="4" t="s">
        <v>241</v>
      </c>
      <c r="CU1282" s="4">
        <v>0</v>
      </c>
      <c r="CV1282" s="4" t="s">
        <v>271</v>
      </c>
      <c r="CW1282" s="4" t="s">
        <v>332</v>
      </c>
      <c r="CX1282" s="4" t="s">
        <v>347</v>
      </c>
      <c r="CZ1282" s="6">
        <f>5018400</f>
        <v>5018400</v>
      </c>
      <c r="DA1282" s="6">
        <f>0</f>
        <v>0</v>
      </c>
      <c r="DC1282" s="4" t="s">
        <v>241</v>
      </c>
      <c r="DD1282" s="4" t="s">
        <v>241</v>
      </c>
      <c r="DF1282" s="4" t="s">
        <v>241</v>
      </c>
      <c r="DI1282" s="4" t="s">
        <v>241</v>
      </c>
      <c r="DJ1282" s="4" t="s">
        <v>241</v>
      </c>
      <c r="DK1282" s="4" t="s">
        <v>241</v>
      </c>
      <c r="DL1282" s="4" t="s">
        <v>241</v>
      </c>
      <c r="DM1282" s="4" t="s">
        <v>277</v>
      </c>
      <c r="DN1282" s="4" t="s">
        <v>278</v>
      </c>
      <c r="DO1282" s="6">
        <f>122.4</f>
        <v>122.4</v>
      </c>
      <c r="DP1282" s="4" t="s">
        <v>241</v>
      </c>
      <c r="DQ1282" s="4" t="s">
        <v>241</v>
      </c>
      <c r="DR1282" s="4" t="s">
        <v>241</v>
      </c>
      <c r="DS1282" s="4" t="s">
        <v>241</v>
      </c>
      <c r="DV1282" s="4" t="s">
        <v>585</v>
      </c>
      <c r="DW1282" s="4" t="s">
        <v>323</v>
      </c>
      <c r="HO1282" s="4" t="s">
        <v>351</v>
      </c>
      <c r="HR1282" s="4" t="s">
        <v>278</v>
      </c>
      <c r="HS1282" s="4" t="s">
        <v>278</v>
      </c>
    </row>
    <row r="1283" spans="1:240" x14ac:dyDescent="0.4">
      <c r="A1283" s="4">
        <v>2</v>
      </c>
      <c r="B1283" s="4" t="s">
        <v>239</v>
      </c>
      <c r="C1283" s="4">
        <v>1591</v>
      </c>
      <c r="D1283" s="4">
        <v>1</v>
      </c>
      <c r="E1283" s="4">
        <v>3</v>
      </c>
      <c r="F1283" s="4" t="s">
        <v>326</v>
      </c>
      <c r="G1283" s="4" t="s">
        <v>241</v>
      </c>
      <c r="H1283" s="4" t="s">
        <v>241</v>
      </c>
      <c r="I1283" s="4" t="s">
        <v>581</v>
      </c>
      <c r="J1283" s="4" t="s">
        <v>406</v>
      </c>
      <c r="K1283" s="4" t="s">
        <v>256</v>
      </c>
      <c r="L1283" s="4" t="s">
        <v>2614</v>
      </c>
      <c r="M1283" s="5" t="s">
        <v>584</v>
      </c>
      <c r="N1283" s="4" t="s">
        <v>2612</v>
      </c>
      <c r="O1283" s="6">
        <f>0</f>
        <v>0</v>
      </c>
      <c r="P1283" s="4" t="s">
        <v>276</v>
      </c>
      <c r="Q1283" s="6">
        <f>830088</f>
        <v>830088</v>
      </c>
      <c r="R1283" s="6">
        <f>1134000</f>
        <v>1134000</v>
      </c>
      <c r="S1283" s="5" t="s">
        <v>2613</v>
      </c>
      <c r="T1283" s="4" t="s">
        <v>348</v>
      </c>
      <c r="U1283" s="4" t="s">
        <v>297</v>
      </c>
      <c r="V1283" s="6">
        <f>75978</f>
        <v>75978</v>
      </c>
      <c r="W1283" s="6">
        <f>303912</f>
        <v>303912</v>
      </c>
      <c r="X1283" s="4" t="s">
        <v>243</v>
      </c>
      <c r="Y1283" s="4" t="s">
        <v>244</v>
      </c>
      <c r="Z1283" s="4" t="s">
        <v>504</v>
      </c>
      <c r="AA1283" s="4" t="s">
        <v>241</v>
      </c>
      <c r="AD1283" s="4" t="s">
        <v>241</v>
      </c>
      <c r="AE1283" s="5" t="s">
        <v>241</v>
      </c>
      <c r="AF1283" s="5" t="s">
        <v>241</v>
      </c>
      <c r="AH1283" s="5" t="s">
        <v>241</v>
      </c>
      <c r="AI1283" s="5" t="s">
        <v>249</v>
      </c>
      <c r="AJ1283" s="4" t="s">
        <v>251</v>
      </c>
      <c r="AK1283" s="4" t="s">
        <v>252</v>
      </c>
      <c r="AQ1283" s="4" t="s">
        <v>241</v>
      </c>
      <c r="AR1283" s="4" t="s">
        <v>241</v>
      </c>
      <c r="AS1283" s="4" t="s">
        <v>241</v>
      </c>
      <c r="AT1283" s="5" t="s">
        <v>241</v>
      </c>
      <c r="AU1283" s="5" t="s">
        <v>241</v>
      </c>
      <c r="AV1283" s="5" t="s">
        <v>241</v>
      </c>
      <c r="AY1283" s="4" t="s">
        <v>286</v>
      </c>
      <c r="AZ1283" s="4" t="s">
        <v>286</v>
      </c>
      <c r="BA1283" s="4" t="s">
        <v>254</v>
      </c>
      <c r="BB1283" s="4" t="s">
        <v>287</v>
      </c>
      <c r="BC1283" s="4" t="s">
        <v>255</v>
      </c>
      <c r="BD1283" s="4" t="s">
        <v>241</v>
      </c>
      <c r="BE1283" s="4" t="s">
        <v>257</v>
      </c>
      <c r="BF1283" s="4" t="s">
        <v>241</v>
      </c>
      <c r="BJ1283" s="4" t="s">
        <v>288</v>
      </c>
      <c r="BK1283" s="5" t="s">
        <v>289</v>
      </c>
      <c r="BL1283" s="4" t="s">
        <v>290</v>
      </c>
      <c r="BM1283" s="4" t="s">
        <v>290</v>
      </c>
      <c r="BN1283" s="4" t="s">
        <v>241</v>
      </c>
      <c r="BP1283" s="6">
        <f>-75978</f>
        <v>-75978</v>
      </c>
      <c r="BQ1283" s="4" t="s">
        <v>263</v>
      </c>
      <c r="BR1283" s="4" t="s">
        <v>264</v>
      </c>
      <c r="BS1283" s="4" t="s">
        <v>241</v>
      </c>
      <c r="BT1283" s="4" t="s">
        <v>241</v>
      </c>
      <c r="BU1283" s="4" t="s">
        <v>241</v>
      </c>
      <c r="BV1283" s="4" t="s">
        <v>241</v>
      </c>
      <c r="CE1283" s="4" t="s">
        <v>264</v>
      </c>
      <c r="CF1283" s="4" t="s">
        <v>241</v>
      </c>
      <c r="CG1283" s="4" t="s">
        <v>241</v>
      </c>
      <c r="CK1283" s="4" t="s">
        <v>291</v>
      </c>
      <c r="CL1283" s="4" t="s">
        <v>266</v>
      </c>
      <c r="CM1283" s="4" t="s">
        <v>241</v>
      </c>
      <c r="CO1283" s="4" t="s">
        <v>413</v>
      </c>
      <c r="CP1283" s="5" t="s">
        <v>268</v>
      </c>
      <c r="CQ1283" s="4" t="s">
        <v>269</v>
      </c>
      <c r="CR1283" s="4" t="s">
        <v>270</v>
      </c>
      <c r="CS1283" s="4" t="s">
        <v>293</v>
      </c>
      <c r="CT1283" s="4" t="s">
        <v>241</v>
      </c>
      <c r="CU1283" s="4">
        <v>6.7000000000000004E-2</v>
      </c>
      <c r="CV1283" s="4" t="s">
        <v>271</v>
      </c>
      <c r="CW1283" s="4" t="s">
        <v>415</v>
      </c>
      <c r="CX1283" s="4" t="s">
        <v>422</v>
      </c>
      <c r="CY1283" s="6">
        <f>0</f>
        <v>0</v>
      </c>
      <c r="CZ1283" s="6">
        <f>1134000</f>
        <v>1134000</v>
      </c>
      <c r="DA1283" s="6">
        <f>830088</f>
        <v>830088</v>
      </c>
      <c r="DC1283" s="4" t="s">
        <v>241</v>
      </c>
      <c r="DD1283" s="4" t="s">
        <v>241</v>
      </c>
      <c r="DF1283" s="4" t="s">
        <v>241</v>
      </c>
      <c r="DG1283" s="6">
        <f>0</f>
        <v>0</v>
      </c>
      <c r="DI1283" s="4" t="s">
        <v>241</v>
      </c>
      <c r="DJ1283" s="4" t="s">
        <v>241</v>
      </c>
      <c r="DK1283" s="4" t="s">
        <v>241</v>
      </c>
      <c r="DL1283" s="4" t="s">
        <v>241</v>
      </c>
      <c r="DM1283" s="4" t="s">
        <v>278</v>
      </c>
      <c r="DN1283" s="4" t="s">
        <v>278</v>
      </c>
      <c r="DO1283" s="6" t="s">
        <v>241</v>
      </c>
      <c r="DP1283" s="4" t="s">
        <v>241</v>
      </c>
      <c r="DQ1283" s="4" t="s">
        <v>241</v>
      </c>
      <c r="DR1283" s="4" t="s">
        <v>241</v>
      </c>
      <c r="DS1283" s="4" t="s">
        <v>241</v>
      </c>
      <c r="DV1283" s="4" t="s">
        <v>585</v>
      </c>
      <c r="DW1283" s="4" t="s">
        <v>297</v>
      </c>
      <c r="GN1283" s="4" t="s">
        <v>2615</v>
      </c>
      <c r="HO1283" s="4" t="s">
        <v>351</v>
      </c>
      <c r="HR1283" s="4" t="s">
        <v>278</v>
      </c>
      <c r="HS1283" s="4" t="s">
        <v>278</v>
      </c>
      <c r="HT1283" s="4" t="s">
        <v>241</v>
      </c>
      <c r="HU1283" s="4" t="s">
        <v>241</v>
      </c>
      <c r="HV1283" s="4" t="s">
        <v>241</v>
      </c>
      <c r="HW1283" s="4" t="s">
        <v>241</v>
      </c>
      <c r="HX1283" s="4" t="s">
        <v>241</v>
      </c>
      <c r="HY1283" s="4" t="s">
        <v>241</v>
      </c>
      <c r="HZ1283" s="4" t="s">
        <v>241</v>
      </c>
      <c r="IA1283" s="4" t="s">
        <v>241</v>
      </c>
      <c r="IB1283" s="4" t="s">
        <v>241</v>
      </c>
      <c r="IC1283" s="4" t="s">
        <v>241</v>
      </c>
      <c r="ID1283" s="4" t="s">
        <v>241</v>
      </c>
      <c r="IE1283" s="4" t="s">
        <v>241</v>
      </c>
      <c r="IF1283" s="4" t="s">
        <v>241</v>
      </c>
    </row>
    <row r="1284" spans="1:240" x14ac:dyDescent="0.4">
      <c r="A1284" s="4">
        <v>2</v>
      </c>
      <c r="B1284" s="4" t="s">
        <v>239</v>
      </c>
      <c r="C1284" s="4">
        <v>1592</v>
      </c>
      <c r="D1284" s="4">
        <v>1</v>
      </c>
      <c r="E1284" s="4">
        <v>3</v>
      </c>
      <c r="F1284" s="4" t="s">
        <v>326</v>
      </c>
      <c r="G1284" s="4" t="s">
        <v>241</v>
      </c>
      <c r="H1284" s="4" t="s">
        <v>241</v>
      </c>
      <c r="I1284" s="4" t="s">
        <v>581</v>
      </c>
      <c r="J1284" s="4" t="s">
        <v>406</v>
      </c>
      <c r="K1284" s="4" t="s">
        <v>256</v>
      </c>
      <c r="L1284" s="4" t="s">
        <v>2610</v>
      </c>
      <c r="M1284" s="5" t="s">
        <v>584</v>
      </c>
      <c r="N1284" s="4" t="s">
        <v>2609</v>
      </c>
      <c r="O1284" s="6">
        <f>0</f>
        <v>0</v>
      </c>
      <c r="P1284" s="4" t="s">
        <v>276</v>
      </c>
      <c r="Q1284" s="6">
        <f>790560</f>
        <v>790560</v>
      </c>
      <c r="R1284" s="6">
        <f>1080000</f>
        <v>1080000</v>
      </c>
      <c r="S1284" s="5" t="s">
        <v>388</v>
      </c>
      <c r="T1284" s="4" t="s">
        <v>348</v>
      </c>
      <c r="U1284" s="4" t="s">
        <v>297</v>
      </c>
      <c r="V1284" s="6">
        <f>72360</f>
        <v>72360</v>
      </c>
      <c r="W1284" s="6">
        <f>289440</f>
        <v>289440</v>
      </c>
      <c r="X1284" s="4" t="s">
        <v>243</v>
      </c>
      <c r="Y1284" s="4" t="s">
        <v>244</v>
      </c>
      <c r="Z1284" s="4" t="s">
        <v>504</v>
      </c>
      <c r="AA1284" s="4" t="s">
        <v>241</v>
      </c>
      <c r="AD1284" s="4" t="s">
        <v>241</v>
      </c>
      <c r="AE1284" s="5" t="s">
        <v>241</v>
      </c>
      <c r="AF1284" s="5" t="s">
        <v>241</v>
      </c>
      <c r="AH1284" s="5" t="s">
        <v>241</v>
      </c>
      <c r="AI1284" s="5" t="s">
        <v>249</v>
      </c>
      <c r="AJ1284" s="4" t="s">
        <v>251</v>
      </c>
      <c r="AK1284" s="4" t="s">
        <v>252</v>
      </c>
      <c r="AQ1284" s="4" t="s">
        <v>241</v>
      </c>
      <c r="AR1284" s="4" t="s">
        <v>241</v>
      </c>
      <c r="AS1284" s="4" t="s">
        <v>241</v>
      </c>
      <c r="AT1284" s="5" t="s">
        <v>241</v>
      </c>
      <c r="AU1284" s="5" t="s">
        <v>241</v>
      </c>
      <c r="AV1284" s="5" t="s">
        <v>241</v>
      </c>
      <c r="AY1284" s="4" t="s">
        <v>286</v>
      </c>
      <c r="AZ1284" s="4" t="s">
        <v>286</v>
      </c>
      <c r="BA1284" s="4" t="s">
        <v>254</v>
      </c>
      <c r="BB1284" s="4" t="s">
        <v>287</v>
      </c>
      <c r="BC1284" s="4" t="s">
        <v>255</v>
      </c>
      <c r="BD1284" s="4" t="s">
        <v>241</v>
      </c>
      <c r="BE1284" s="4" t="s">
        <v>257</v>
      </c>
      <c r="BF1284" s="4" t="s">
        <v>241</v>
      </c>
      <c r="BJ1284" s="4" t="s">
        <v>288</v>
      </c>
      <c r="BK1284" s="5" t="s">
        <v>289</v>
      </c>
      <c r="BL1284" s="4" t="s">
        <v>290</v>
      </c>
      <c r="BM1284" s="4" t="s">
        <v>290</v>
      </c>
      <c r="BN1284" s="4" t="s">
        <v>241</v>
      </c>
      <c r="BP1284" s="6">
        <f>-72360</f>
        <v>-72360</v>
      </c>
      <c r="BQ1284" s="4" t="s">
        <v>263</v>
      </c>
      <c r="BR1284" s="4" t="s">
        <v>264</v>
      </c>
      <c r="BS1284" s="4" t="s">
        <v>241</v>
      </c>
      <c r="BT1284" s="4" t="s">
        <v>241</v>
      </c>
      <c r="BU1284" s="4" t="s">
        <v>241</v>
      </c>
      <c r="BV1284" s="4" t="s">
        <v>241</v>
      </c>
      <c r="CE1284" s="4" t="s">
        <v>264</v>
      </c>
      <c r="CF1284" s="4" t="s">
        <v>241</v>
      </c>
      <c r="CG1284" s="4" t="s">
        <v>241</v>
      </c>
      <c r="CK1284" s="4" t="s">
        <v>291</v>
      </c>
      <c r="CL1284" s="4" t="s">
        <v>266</v>
      </c>
      <c r="CM1284" s="4" t="s">
        <v>241</v>
      </c>
      <c r="CO1284" s="4" t="s">
        <v>413</v>
      </c>
      <c r="CP1284" s="5" t="s">
        <v>268</v>
      </c>
      <c r="CQ1284" s="4" t="s">
        <v>269</v>
      </c>
      <c r="CR1284" s="4" t="s">
        <v>270</v>
      </c>
      <c r="CS1284" s="4" t="s">
        <v>293</v>
      </c>
      <c r="CT1284" s="4" t="s">
        <v>241</v>
      </c>
      <c r="CU1284" s="4">
        <v>6.7000000000000004E-2</v>
      </c>
      <c r="CV1284" s="4" t="s">
        <v>271</v>
      </c>
      <c r="CW1284" s="4" t="s">
        <v>415</v>
      </c>
      <c r="CX1284" s="4" t="s">
        <v>416</v>
      </c>
      <c r="CY1284" s="6">
        <f>0</f>
        <v>0</v>
      </c>
      <c r="CZ1284" s="6">
        <f>1080000</f>
        <v>1080000</v>
      </c>
      <c r="DA1284" s="6">
        <f>790560</f>
        <v>790560</v>
      </c>
      <c r="DC1284" s="4" t="s">
        <v>241</v>
      </c>
      <c r="DD1284" s="4" t="s">
        <v>241</v>
      </c>
      <c r="DF1284" s="4" t="s">
        <v>241</v>
      </c>
      <c r="DG1284" s="6">
        <f>0</f>
        <v>0</v>
      </c>
      <c r="DI1284" s="4" t="s">
        <v>241</v>
      </c>
      <c r="DJ1284" s="4" t="s">
        <v>241</v>
      </c>
      <c r="DK1284" s="4" t="s">
        <v>241</v>
      </c>
      <c r="DL1284" s="4" t="s">
        <v>241</v>
      </c>
      <c r="DM1284" s="4" t="s">
        <v>278</v>
      </c>
      <c r="DN1284" s="4" t="s">
        <v>278</v>
      </c>
      <c r="DO1284" s="6" t="s">
        <v>241</v>
      </c>
      <c r="DP1284" s="4" t="s">
        <v>241</v>
      </c>
      <c r="DQ1284" s="4" t="s">
        <v>241</v>
      </c>
      <c r="DR1284" s="4" t="s">
        <v>241</v>
      </c>
      <c r="DS1284" s="4" t="s">
        <v>241</v>
      </c>
      <c r="DV1284" s="4" t="s">
        <v>585</v>
      </c>
      <c r="DW1284" s="4" t="s">
        <v>336</v>
      </c>
      <c r="GN1284" s="4" t="s">
        <v>2611</v>
      </c>
      <c r="HO1284" s="4" t="s">
        <v>351</v>
      </c>
      <c r="HR1284" s="4" t="s">
        <v>278</v>
      </c>
      <c r="HS1284" s="4" t="s">
        <v>278</v>
      </c>
      <c r="HT1284" s="4" t="s">
        <v>241</v>
      </c>
      <c r="HU1284" s="4" t="s">
        <v>241</v>
      </c>
      <c r="HV1284" s="4" t="s">
        <v>241</v>
      </c>
      <c r="HW1284" s="4" t="s">
        <v>241</v>
      </c>
      <c r="HX1284" s="4" t="s">
        <v>241</v>
      </c>
      <c r="HY1284" s="4" t="s">
        <v>241</v>
      </c>
      <c r="HZ1284" s="4" t="s">
        <v>241</v>
      </c>
      <c r="IA1284" s="4" t="s">
        <v>241</v>
      </c>
      <c r="IB1284" s="4" t="s">
        <v>241</v>
      </c>
      <c r="IC1284" s="4" t="s">
        <v>241</v>
      </c>
      <c r="ID1284" s="4" t="s">
        <v>241</v>
      </c>
      <c r="IE1284" s="4" t="s">
        <v>241</v>
      </c>
      <c r="IF1284" s="4" t="s">
        <v>241</v>
      </c>
    </row>
    <row r="1285" spans="1:240" x14ac:dyDescent="0.4">
      <c r="A1285" s="4">
        <v>2</v>
      </c>
      <c r="B1285" s="4" t="s">
        <v>239</v>
      </c>
      <c r="C1285" s="4">
        <v>1593</v>
      </c>
      <c r="D1285" s="4">
        <v>1</v>
      </c>
      <c r="E1285" s="4">
        <v>3</v>
      </c>
      <c r="F1285" s="4" t="s">
        <v>326</v>
      </c>
      <c r="G1285" s="4" t="s">
        <v>241</v>
      </c>
      <c r="H1285" s="4" t="s">
        <v>241</v>
      </c>
      <c r="I1285" s="4" t="s">
        <v>581</v>
      </c>
      <c r="J1285" s="4" t="s">
        <v>406</v>
      </c>
      <c r="K1285" s="4" t="s">
        <v>256</v>
      </c>
      <c r="L1285" s="4" t="s">
        <v>340</v>
      </c>
      <c r="M1285" s="5" t="s">
        <v>584</v>
      </c>
      <c r="N1285" s="4" t="s">
        <v>2606</v>
      </c>
      <c r="O1285" s="6">
        <f>0</f>
        <v>0</v>
      </c>
      <c r="P1285" s="4" t="s">
        <v>276</v>
      </c>
      <c r="Q1285" s="6">
        <f>126492</f>
        <v>126492</v>
      </c>
      <c r="R1285" s="6">
        <f>172800</f>
        <v>172800</v>
      </c>
      <c r="S1285" s="5" t="s">
        <v>2607</v>
      </c>
      <c r="T1285" s="4" t="s">
        <v>348</v>
      </c>
      <c r="U1285" s="4" t="s">
        <v>297</v>
      </c>
      <c r="V1285" s="6">
        <f>11577</f>
        <v>11577</v>
      </c>
      <c r="W1285" s="6">
        <f>46308</f>
        <v>46308</v>
      </c>
      <c r="X1285" s="4" t="s">
        <v>243</v>
      </c>
      <c r="Y1285" s="4" t="s">
        <v>244</v>
      </c>
      <c r="Z1285" s="4" t="s">
        <v>504</v>
      </c>
      <c r="AA1285" s="4" t="s">
        <v>241</v>
      </c>
      <c r="AD1285" s="4" t="s">
        <v>241</v>
      </c>
      <c r="AE1285" s="5" t="s">
        <v>241</v>
      </c>
      <c r="AF1285" s="5" t="s">
        <v>241</v>
      </c>
      <c r="AH1285" s="5" t="s">
        <v>241</v>
      </c>
      <c r="AI1285" s="5" t="s">
        <v>249</v>
      </c>
      <c r="AJ1285" s="4" t="s">
        <v>251</v>
      </c>
      <c r="AK1285" s="4" t="s">
        <v>252</v>
      </c>
      <c r="AQ1285" s="4" t="s">
        <v>241</v>
      </c>
      <c r="AR1285" s="4" t="s">
        <v>241</v>
      </c>
      <c r="AS1285" s="4" t="s">
        <v>241</v>
      </c>
      <c r="AT1285" s="5" t="s">
        <v>241</v>
      </c>
      <c r="AU1285" s="5" t="s">
        <v>241</v>
      </c>
      <c r="AV1285" s="5" t="s">
        <v>241</v>
      </c>
      <c r="AY1285" s="4" t="s">
        <v>286</v>
      </c>
      <c r="AZ1285" s="4" t="s">
        <v>286</v>
      </c>
      <c r="BA1285" s="4" t="s">
        <v>254</v>
      </c>
      <c r="BB1285" s="4" t="s">
        <v>287</v>
      </c>
      <c r="BC1285" s="4" t="s">
        <v>255</v>
      </c>
      <c r="BD1285" s="4" t="s">
        <v>241</v>
      </c>
      <c r="BE1285" s="4" t="s">
        <v>257</v>
      </c>
      <c r="BF1285" s="4" t="s">
        <v>241</v>
      </c>
      <c r="BJ1285" s="4" t="s">
        <v>288</v>
      </c>
      <c r="BK1285" s="5" t="s">
        <v>289</v>
      </c>
      <c r="BL1285" s="4" t="s">
        <v>290</v>
      </c>
      <c r="BM1285" s="4" t="s">
        <v>290</v>
      </c>
      <c r="BN1285" s="4" t="s">
        <v>241</v>
      </c>
      <c r="BP1285" s="6">
        <f>-11577</f>
        <v>-11577</v>
      </c>
      <c r="BQ1285" s="4" t="s">
        <v>263</v>
      </c>
      <c r="BR1285" s="4" t="s">
        <v>264</v>
      </c>
      <c r="BS1285" s="4" t="s">
        <v>241</v>
      </c>
      <c r="BT1285" s="4" t="s">
        <v>241</v>
      </c>
      <c r="BU1285" s="4" t="s">
        <v>241</v>
      </c>
      <c r="BV1285" s="4" t="s">
        <v>241</v>
      </c>
      <c r="CE1285" s="4" t="s">
        <v>264</v>
      </c>
      <c r="CF1285" s="4" t="s">
        <v>241</v>
      </c>
      <c r="CG1285" s="4" t="s">
        <v>241</v>
      </c>
      <c r="CK1285" s="4" t="s">
        <v>291</v>
      </c>
      <c r="CL1285" s="4" t="s">
        <v>266</v>
      </c>
      <c r="CM1285" s="4" t="s">
        <v>241</v>
      </c>
      <c r="CO1285" s="4" t="s">
        <v>413</v>
      </c>
      <c r="CP1285" s="5" t="s">
        <v>268</v>
      </c>
      <c r="CQ1285" s="4" t="s">
        <v>269</v>
      </c>
      <c r="CR1285" s="4" t="s">
        <v>270</v>
      </c>
      <c r="CS1285" s="4" t="s">
        <v>293</v>
      </c>
      <c r="CT1285" s="4" t="s">
        <v>241</v>
      </c>
      <c r="CU1285" s="4">
        <v>6.7000000000000004E-2</v>
      </c>
      <c r="CV1285" s="4" t="s">
        <v>271</v>
      </c>
      <c r="CW1285" s="4" t="s">
        <v>415</v>
      </c>
      <c r="CX1285" s="4" t="s">
        <v>422</v>
      </c>
      <c r="CY1285" s="6">
        <f>0</f>
        <v>0</v>
      </c>
      <c r="CZ1285" s="6">
        <f>172800</f>
        <v>172800</v>
      </c>
      <c r="DA1285" s="6">
        <f>126492</f>
        <v>126492</v>
      </c>
      <c r="DC1285" s="4" t="s">
        <v>241</v>
      </c>
      <c r="DD1285" s="4" t="s">
        <v>241</v>
      </c>
      <c r="DF1285" s="4" t="s">
        <v>241</v>
      </c>
      <c r="DG1285" s="6">
        <f>0</f>
        <v>0</v>
      </c>
      <c r="DI1285" s="4" t="s">
        <v>241</v>
      </c>
      <c r="DJ1285" s="4" t="s">
        <v>241</v>
      </c>
      <c r="DK1285" s="4" t="s">
        <v>241</v>
      </c>
      <c r="DL1285" s="4" t="s">
        <v>241</v>
      </c>
      <c r="DM1285" s="4" t="s">
        <v>278</v>
      </c>
      <c r="DN1285" s="4" t="s">
        <v>278</v>
      </c>
      <c r="DO1285" s="6" t="s">
        <v>241</v>
      </c>
      <c r="DP1285" s="4" t="s">
        <v>241</v>
      </c>
      <c r="DQ1285" s="4" t="s">
        <v>241</v>
      </c>
      <c r="DR1285" s="4" t="s">
        <v>241</v>
      </c>
      <c r="DS1285" s="4" t="s">
        <v>241</v>
      </c>
      <c r="DV1285" s="4" t="s">
        <v>585</v>
      </c>
      <c r="DW1285" s="4" t="s">
        <v>351</v>
      </c>
      <c r="GN1285" s="4" t="s">
        <v>2608</v>
      </c>
      <c r="HO1285" s="4" t="s">
        <v>351</v>
      </c>
      <c r="HR1285" s="4" t="s">
        <v>278</v>
      </c>
      <c r="HS1285" s="4" t="s">
        <v>278</v>
      </c>
      <c r="HT1285" s="4" t="s">
        <v>241</v>
      </c>
      <c r="HU1285" s="4" t="s">
        <v>241</v>
      </c>
      <c r="HV1285" s="4" t="s">
        <v>241</v>
      </c>
      <c r="HW1285" s="4" t="s">
        <v>241</v>
      </c>
      <c r="HX1285" s="4" t="s">
        <v>241</v>
      </c>
      <c r="HY1285" s="4" t="s">
        <v>241</v>
      </c>
      <c r="HZ1285" s="4" t="s">
        <v>241</v>
      </c>
      <c r="IA1285" s="4" t="s">
        <v>241</v>
      </c>
      <c r="IB1285" s="4" t="s">
        <v>241</v>
      </c>
      <c r="IC1285" s="4" t="s">
        <v>241</v>
      </c>
      <c r="ID1285" s="4" t="s">
        <v>241</v>
      </c>
      <c r="IE1285" s="4" t="s">
        <v>241</v>
      </c>
      <c r="IF1285" s="4" t="s">
        <v>241</v>
      </c>
    </row>
    <row r="1286" spans="1:240" x14ac:dyDescent="0.4">
      <c r="A1286" s="4">
        <v>2</v>
      </c>
      <c r="B1286" s="4" t="s">
        <v>239</v>
      </c>
      <c r="C1286" s="4">
        <v>1594</v>
      </c>
      <c r="D1286" s="4">
        <v>1</v>
      </c>
      <c r="E1286" s="4">
        <v>3</v>
      </c>
      <c r="F1286" s="4" t="s">
        <v>326</v>
      </c>
      <c r="G1286" s="4" t="s">
        <v>241</v>
      </c>
      <c r="H1286" s="4" t="s">
        <v>241</v>
      </c>
      <c r="I1286" s="4" t="s">
        <v>581</v>
      </c>
      <c r="J1286" s="4" t="s">
        <v>406</v>
      </c>
      <c r="K1286" s="4" t="s">
        <v>256</v>
      </c>
      <c r="L1286" s="4" t="s">
        <v>241</v>
      </c>
      <c r="M1286" s="5" t="s">
        <v>584</v>
      </c>
      <c r="N1286" s="4" t="s">
        <v>2603</v>
      </c>
      <c r="O1286" s="6">
        <f>0</f>
        <v>0</v>
      </c>
      <c r="P1286" s="4" t="s">
        <v>276</v>
      </c>
      <c r="Q1286" s="6">
        <f>1249835</f>
        <v>1249835</v>
      </c>
      <c r="R1286" s="6">
        <f>1354100</f>
        <v>1354100</v>
      </c>
      <c r="S1286" s="5" t="s">
        <v>2604</v>
      </c>
      <c r="T1286" s="4" t="s">
        <v>322</v>
      </c>
      <c r="U1286" s="4" t="s">
        <v>278</v>
      </c>
      <c r="V1286" s="6">
        <f>1354099</f>
        <v>1354099</v>
      </c>
      <c r="W1286" s="6">
        <f>104265</f>
        <v>104265</v>
      </c>
      <c r="X1286" s="4" t="s">
        <v>243</v>
      </c>
      <c r="Y1286" s="4" t="s">
        <v>244</v>
      </c>
      <c r="Z1286" s="4" t="s">
        <v>241</v>
      </c>
      <c r="AA1286" s="4" t="s">
        <v>241</v>
      </c>
      <c r="AD1286" s="4" t="s">
        <v>241</v>
      </c>
      <c r="AE1286" s="5" t="s">
        <v>241</v>
      </c>
      <c r="AF1286" s="5" t="s">
        <v>241</v>
      </c>
      <c r="AH1286" s="5" t="s">
        <v>241</v>
      </c>
      <c r="AI1286" s="5" t="s">
        <v>249</v>
      </c>
      <c r="AJ1286" s="4" t="s">
        <v>251</v>
      </c>
      <c r="AK1286" s="4" t="s">
        <v>252</v>
      </c>
      <c r="AQ1286" s="4" t="s">
        <v>241</v>
      </c>
      <c r="AR1286" s="4" t="s">
        <v>241</v>
      </c>
      <c r="AS1286" s="4" t="s">
        <v>241</v>
      </c>
      <c r="AT1286" s="5" t="s">
        <v>241</v>
      </c>
      <c r="AU1286" s="5" t="s">
        <v>241</v>
      </c>
      <c r="AV1286" s="5" t="s">
        <v>241</v>
      </c>
      <c r="AY1286" s="4" t="s">
        <v>286</v>
      </c>
      <c r="AZ1286" s="4" t="s">
        <v>286</v>
      </c>
      <c r="BA1286" s="4" t="s">
        <v>254</v>
      </c>
      <c r="BB1286" s="4" t="s">
        <v>287</v>
      </c>
      <c r="BC1286" s="4" t="s">
        <v>255</v>
      </c>
      <c r="BD1286" s="4" t="s">
        <v>241</v>
      </c>
      <c r="BE1286" s="4" t="s">
        <v>257</v>
      </c>
      <c r="BF1286" s="4" t="s">
        <v>241</v>
      </c>
      <c r="BJ1286" s="4" t="s">
        <v>288</v>
      </c>
      <c r="BK1286" s="5" t="s">
        <v>289</v>
      </c>
      <c r="BL1286" s="4" t="s">
        <v>290</v>
      </c>
      <c r="BM1286" s="4" t="s">
        <v>290</v>
      </c>
      <c r="BN1286" s="4" t="s">
        <v>241</v>
      </c>
      <c r="BP1286" s="6">
        <f>-104265</f>
        <v>-104265</v>
      </c>
      <c r="BQ1286" s="4" t="s">
        <v>263</v>
      </c>
      <c r="BR1286" s="4" t="s">
        <v>264</v>
      </c>
      <c r="BS1286" s="4" t="s">
        <v>241</v>
      </c>
      <c r="BT1286" s="4" t="s">
        <v>241</v>
      </c>
      <c r="BU1286" s="4" t="s">
        <v>241</v>
      </c>
      <c r="BV1286" s="4" t="s">
        <v>241</v>
      </c>
      <c r="CE1286" s="4" t="s">
        <v>264</v>
      </c>
      <c r="CF1286" s="4" t="s">
        <v>241</v>
      </c>
      <c r="CG1286" s="4" t="s">
        <v>241</v>
      </c>
      <c r="CK1286" s="4" t="s">
        <v>291</v>
      </c>
      <c r="CL1286" s="4" t="s">
        <v>266</v>
      </c>
      <c r="CM1286" s="4" t="s">
        <v>241</v>
      </c>
      <c r="CO1286" s="4" t="s">
        <v>426</v>
      </c>
      <c r="CP1286" s="5" t="s">
        <v>268</v>
      </c>
      <c r="CQ1286" s="4" t="s">
        <v>269</v>
      </c>
      <c r="CR1286" s="4" t="s">
        <v>270</v>
      </c>
      <c r="CS1286" s="4" t="s">
        <v>293</v>
      </c>
      <c r="CT1286" s="4" t="s">
        <v>241</v>
      </c>
      <c r="CU1286" s="4">
        <v>7.6999999999999999E-2</v>
      </c>
      <c r="CV1286" s="4" t="s">
        <v>271</v>
      </c>
      <c r="CW1286" s="4" t="s">
        <v>415</v>
      </c>
      <c r="CX1286" s="4" t="s">
        <v>428</v>
      </c>
      <c r="CY1286" s="6">
        <f>0</f>
        <v>0</v>
      </c>
      <c r="CZ1286" s="6">
        <f>1354100</f>
        <v>1354100</v>
      </c>
      <c r="DA1286" s="6">
        <f>1</f>
        <v>1</v>
      </c>
      <c r="DC1286" s="4" t="s">
        <v>241</v>
      </c>
      <c r="DD1286" s="4" t="s">
        <v>241</v>
      </c>
      <c r="DF1286" s="4" t="s">
        <v>241</v>
      </c>
      <c r="DG1286" s="6">
        <f>0</f>
        <v>0</v>
      </c>
      <c r="DI1286" s="4" t="s">
        <v>241</v>
      </c>
      <c r="DJ1286" s="4" t="s">
        <v>241</v>
      </c>
      <c r="DK1286" s="4" t="s">
        <v>241</v>
      </c>
      <c r="DL1286" s="4" t="s">
        <v>241</v>
      </c>
      <c r="DM1286" s="4" t="s">
        <v>278</v>
      </c>
      <c r="DN1286" s="4" t="s">
        <v>278</v>
      </c>
      <c r="DO1286" s="6" t="s">
        <v>241</v>
      </c>
      <c r="DP1286" s="4" t="s">
        <v>241</v>
      </c>
      <c r="DQ1286" s="4" t="s">
        <v>241</v>
      </c>
      <c r="DR1286" s="4" t="s">
        <v>241</v>
      </c>
      <c r="DS1286" s="4" t="s">
        <v>241</v>
      </c>
      <c r="DV1286" s="4" t="s">
        <v>585</v>
      </c>
      <c r="DW1286" s="4" t="s">
        <v>300</v>
      </c>
      <c r="GN1286" s="4" t="s">
        <v>2605</v>
      </c>
      <c r="HO1286" s="4" t="s">
        <v>323</v>
      </c>
      <c r="HR1286" s="4" t="s">
        <v>278</v>
      </c>
      <c r="HS1286" s="4" t="s">
        <v>278</v>
      </c>
      <c r="HT1286" s="4" t="s">
        <v>241</v>
      </c>
      <c r="HU1286" s="4" t="s">
        <v>241</v>
      </c>
      <c r="HV1286" s="4" t="s">
        <v>241</v>
      </c>
      <c r="HW1286" s="4" t="s">
        <v>241</v>
      </c>
      <c r="HX1286" s="4" t="s">
        <v>241</v>
      </c>
      <c r="HY1286" s="4" t="s">
        <v>241</v>
      </c>
      <c r="HZ1286" s="4" t="s">
        <v>241</v>
      </c>
      <c r="IA1286" s="4" t="s">
        <v>241</v>
      </c>
      <c r="IB1286" s="4" t="s">
        <v>241</v>
      </c>
      <c r="IC1286" s="4" t="s">
        <v>241</v>
      </c>
      <c r="ID1286" s="4" t="s">
        <v>241</v>
      </c>
      <c r="IE1286" s="4" t="s">
        <v>241</v>
      </c>
      <c r="IF1286" s="4" t="s">
        <v>241</v>
      </c>
    </row>
    <row r="1287" spans="1:240" x14ac:dyDescent="0.4">
      <c r="A1287" s="4">
        <v>2</v>
      </c>
      <c r="B1287" s="4" t="s">
        <v>239</v>
      </c>
      <c r="C1287" s="4">
        <v>1595</v>
      </c>
      <c r="D1287" s="4">
        <v>1</v>
      </c>
      <c r="E1287" s="4">
        <v>3</v>
      </c>
      <c r="F1287" s="4" t="s">
        <v>326</v>
      </c>
      <c r="G1287" s="4" t="s">
        <v>241</v>
      </c>
      <c r="H1287" s="4" t="s">
        <v>241</v>
      </c>
      <c r="I1287" s="4" t="s">
        <v>581</v>
      </c>
      <c r="J1287" s="4" t="s">
        <v>406</v>
      </c>
      <c r="K1287" s="4" t="s">
        <v>256</v>
      </c>
      <c r="L1287" s="4" t="s">
        <v>241</v>
      </c>
      <c r="M1287" s="5" t="s">
        <v>584</v>
      </c>
      <c r="N1287" s="4" t="s">
        <v>2600</v>
      </c>
      <c r="O1287" s="6">
        <f>0</f>
        <v>0</v>
      </c>
      <c r="P1287" s="4" t="s">
        <v>276</v>
      </c>
      <c r="Q1287" s="6">
        <f>1731057</f>
        <v>1731057</v>
      </c>
      <c r="R1287" s="6">
        <f>1889800</f>
        <v>1889800</v>
      </c>
      <c r="S1287" s="5" t="s">
        <v>2601</v>
      </c>
      <c r="T1287" s="4" t="s">
        <v>409</v>
      </c>
      <c r="U1287" s="4" t="s">
        <v>278</v>
      </c>
      <c r="V1287" s="6">
        <f>1889799</f>
        <v>1889799</v>
      </c>
      <c r="W1287" s="6">
        <f>158743</f>
        <v>158743</v>
      </c>
      <c r="X1287" s="4" t="s">
        <v>243</v>
      </c>
      <c r="Y1287" s="4" t="s">
        <v>244</v>
      </c>
      <c r="Z1287" s="4" t="s">
        <v>241</v>
      </c>
      <c r="AA1287" s="4" t="s">
        <v>241</v>
      </c>
      <c r="AD1287" s="4" t="s">
        <v>241</v>
      </c>
      <c r="AE1287" s="5" t="s">
        <v>241</v>
      </c>
      <c r="AF1287" s="5" t="s">
        <v>241</v>
      </c>
      <c r="AH1287" s="5" t="s">
        <v>241</v>
      </c>
      <c r="AI1287" s="5" t="s">
        <v>249</v>
      </c>
      <c r="AJ1287" s="4" t="s">
        <v>251</v>
      </c>
      <c r="AK1287" s="4" t="s">
        <v>252</v>
      </c>
      <c r="AQ1287" s="4" t="s">
        <v>241</v>
      </c>
      <c r="AR1287" s="4" t="s">
        <v>241</v>
      </c>
      <c r="AS1287" s="4" t="s">
        <v>241</v>
      </c>
      <c r="AT1287" s="5" t="s">
        <v>241</v>
      </c>
      <c r="AU1287" s="5" t="s">
        <v>241</v>
      </c>
      <c r="AV1287" s="5" t="s">
        <v>241</v>
      </c>
      <c r="AY1287" s="4" t="s">
        <v>286</v>
      </c>
      <c r="AZ1287" s="4" t="s">
        <v>286</v>
      </c>
      <c r="BA1287" s="4" t="s">
        <v>254</v>
      </c>
      <c r="BB1287" s="4" t="s">
        <v>287</v>
      </c>
      <c r="BC1287" s="4" t="s">
        <v>255</v>
      </c>
      <c r="BD1287" s="4" t="s">
        <v>241</v>
      </c>
      <c r="BE1287" s="4" t="s">
        <v>257</v>
      </c>
      <c r="BF1287" s="4" t="s">
        <v>241</v>
      </c>
      <c r="BJ1287" s="4" t="s">
        <v>288</v>
      </c>
      <c r="BK1287" s="5" t="s">
        <v>289</v>
      </c>
      <c r="BL1287" s="4" t="s">
        <v>290</v>
      </c>
      <c r="BM1287" s="4" t="s">
        <v>290</v>
      </c>
      <c r="BN1287" s="4" t="s">
        <v>241</v>
      </c>
      <c r="BP1287" s="6">
        <f>-158743</f>
        <v>-158743</v>
      </c>
      <c r="BQ1287" s="4" t="s">
        <v>263</v>
      </c>
      <c r="BR1287" s="4" t="s">
        <v>264</v>
      </c>
      <c r="BS1287" s="4" t="s">
        <v>241</v>
      </c>
      <c r="BT1287" s="4" t="s">
        <v>241</v>
      </c>
      <c r="BU1287" s="4" t="s">
        <v>241</v>
      </c>
      <c r="BV1287" s="4" t="s">
        <v>241</v>
      </c>
      <c r="CE1287" s="4" t="s">
        <v>264</v>
      </c>
      <c r="CF1287" s="4" t="s">
        <v>241</v>
      </c>
      <c r="CG1287" s="4" t="s">
        <v>241</v>
      </c>
      <c r="CK1287" s="4" t="s">
        <v>291</v>
      </c>
      <c r="CL1287" s="4" t="s">
        <v>266</v>
      </c>
      <c r="CM1287" s="4" t="s">
        <v>241</v>
      </c>
      <c r="CO1287" s="4" t="s">
        <v>426</v>
      </c>
      <c r="CP1287" s="5" t="s">
        <v>268</v>
      </c>
      <c r="CQ1287" s="4" t="s">
        <v>269</v>
      </c>
      <c r="CR1287" s="4" t="s">
        <v>270</v>
      </c>
      <c r="CS1287" s="4" t="s">
        <v>293</v>
      </c>
      <c r="CT1287" s="4" t="s">
        <v>241</v>
      </c>
      <c r="CU1287" s="4">
        <v>8.4000000000000005E-2</v>
      </c>
      <c r="CV1287" s="4" t="s">
        <v>271</v>
      </c>
      <c r="CW1287" s="4" t="s">
        <v>415</v>
      </c>
      <c r="CX1287" s="4" t="s">
        <v>2565</v>
      </c>
      <c r="CY1287" s="6">
        <f>0</f>
        <v>0</v>
      </c>
      <c r="CZ1287" s="6">
        <f>1889800</f>
        <v>1889800</v>
      </c>
      <c r="DA1287" s="6">
        <f>1</f>
        <v>1</v>
      </c>
      <c r="DC1287" s="4" t="s">
        <v>241</v>
      </c>
      <c r="DD1287" s="4" t="s">
        <v>241</v>
      </c>
      <c r="DF1287" s="4" t="s">
        <v>241</v>
      </c>
      <c r="DG1287" s="6">
        <f>0</f>
        <v>0</v>
      </c>
      <c r="DI1287" s="4" t="s">
        <v>241</v>
      </c>
      <c r="DJ1287" s="4" t="s">
        <v>241</v>
      </c>
      <c r="DK1287" s="4" t="s">
        <v>241</v>
      </c>
      <c r="DL1287" s="4" t="s">
        <v>241</v>
      </c>
      <c r="DM1287" s="4" t="s">
        <v>278</v>
      </c>
      <c r="DN1287" s="4" t="s">
        <v>278</v>
      </c>
      <c r="DO1287" s="6" t="s">
        <v>241</v>
      </c>
      <c r="DP1287" s="4" t="s">
        <v>241</v>
      </c>
      <c r="DQ1287" s="4" t="s">
        <v>241</v>
      </c>
      <c r="DR1287" s="4" t="s">
        <v>241</v>
      </c>
      <c r="DS1287" s="4" t="s">
        <v>241</v>
      </c>
      <c r="DV1287" s="4" t="s">
        <v>585</v>
      </c>
      <c r="DW1287" s="4" t="s">
        <v>341</v>
      </c>
      <c r="GN1287" s="4" t="s">
        <v>2602</v>
      </c>
      <c r="HO1287" s="4" t="s">
        <v>323</v>
      </c>
      <c r="HR1287" s="4" t="s">
        <v>278</v>
      </c>
      <c r="HS1287" s="4" t="s">
        <v>278</v>
      </c>
      <c r="HT1287" s="4" t="s">
        <v>241</v>
      </c>
      <c r="HU1287" s="4" t="s">
        <v>241</v>
      </c>
      <c r="HV1287" s="4" t="s">
        <v>241</v>
      </c>
      <c r="HW1287" s="4" t="s">
        <v>241</v>
      </c>
      <c r="HX1287" s="4" t="s">
        <v>241</v>
      </c>
      <c r="HY1287" s="4" t="s">
        <v>241</v>
      </c>
      <c r="HZ1287" s="4" t="s">
        <v>241</v>
      </c>
      <c r="IA1287" s="4" t="s">
        <v>241</v>
      </c>
      <c r="IB1287" s="4" t="s">
        <v>241</v>
      </c>
      <c r="IC1287" s="4" t="s">
        <v>241</v>
      </c>
      <c r="ID1287" s="4" t="s">
        <v>241</v>
      </c>
      <c r="IE1287" s="4" t="s">
        <v>241</v>
      </c>
      <c r="IF1287" s="4" t="s">
        <v>241</v>
      </c>
    </row>
    <row r="1288" spans="1:240" x14ac:dyDescent="0.4">
      <c r="A1288" s="4">
        <v>2</v>
      </c>
      <c r="B1288" s="4" t="s">
        <v>239</v>
      </c>
      <c r="C1288" s="4">
        <v>1596</v>
      </c>
      <c r="D1288" s="4">
        <v>1</v>
      </c>
      <c r="E1288" s="4">
        <v>3</v>
      </c>
      <c r="F1288" s="4" t="s">
        <v>240</v>
      </c>
      <c r="G1288" s="4" t="s">
        <v>241</v>
      </c>
      <c r="H1288" s="4" t="s">
        <v>241</v>
      </c>
      <c r="I1288" s="4" t="s">
        <v>591</v>
      </c>
      <c r="J1288" s="4" t="s">
        <v>406</v>
      </c>
      <c r="K1288" s="4" t="s">
        <v>256</v>
      </c>
      <c r="L1288" s="4" t="s">
        <v>532</v>
      </c>
      <c r="M1288" s="5" t="s">
        <v>592</v>
      </c>
      <c r="N1288" s="4" t="s">
        <v>590</v>
      </c>
      <c r="O1288" s="6">
        <f>714.37</f>
        <v>714.37</v>
      </c>
      <c r="P1288" s="4" t="s">
        <v>276</v>
      </c>
      <c r="Q1288" s="6">
        <f>348445300</f>
        <v>348445300</v>
      </c>
      <c r="R1288" s="6">
        <f>441070000</f>
        <v>441070000</v>
      </c>
      <c r="S1288" s="5" t="s">
        <v>375</v>
      </c>
      <c r="T1288" s="4" t="s">
        <v>274</v>
      </c>
      <c r="U1288" s="4" t="s">
        <v>336</v>
      </c>
      <c r="V1288" s="6">
        <f>18524940</f>
        <v>18524940</v>
      </c>
      <c r="W1288" s="6">
        <f>92624700</f>
        <v>92624700</v>
      </c>
      <c r="X1288" s="4" t="s">
        <v>243</v>
      </c>
      <c r="Y1288" s="4" t="s">
        <v>244</v>
      </c>
      <c r="Z1288" s="4" t="s">
        <v>504</v>
      </c>
      <c r="AA1288" s="4" t="s">
        <v>241</v>
      </c>
      <c r="AD1288" s="4" t="s">
        <v>241</v>
      </c>
      <c r="AE1288" s="5" t="s">
        <v>241</v>
      </c>
      <c r="AF1288" s="5" t="s">
        <v>241</v>
      </c>
      <c r="AH1288" s="5" t="s">
        <v>241</v>
      </c>
      <c r="AI1288" s="5" t="s">
        <v>249</v>
      </c>
      <c r="AJ1288" s="4" t="s">
        <v>251</v>
      </c>
      <c r="AK1288" s="4" t="s">
        <v>252</v>
      </c>
      <c r="AQ1288" s="4" t="s">
        <v>241</v>
      </c>
      <c r="AR1288" s="4" t="s">
        <v>241</v>
      </c>
      <c r="AS1288" s="4" t="s">
        <v>241</v>
      </c>
      <c r="AT1288" s="5" t="s">
        <v>241</v>
      </c>
      <c r="AU1288" s="5" t="s">
        <v>241</v>
      </c>
      <c r="AV1288" s="5" t="s">
        <v>241</v>
      </c>
      <c r="AY1288" s="4" t="s">
        <v>286</v>
      </c>
      <c r="AZ1288" s="4" t="s">
        <v>286</v>
      </c>
      <c r="BA1288" s="4" t="s">
        <v>254</v>
      </c>
      <c r="BB1288" s="4" t="s">
        <v>287</v>
      </c>
      <c r="BC1288" s="4" t="s">
        <v>255</v>
      </c>
      <c r="BD1288" s="4" t="s">
        <v>241</v>
      </c>
      <c r="BE1288" s="4" t="s">
        <v>257</v>
      </c>
      <c r="BF1288" s="4" t="s">
        <v>241</v>
      </c>
      <c r="BJ1288" s="4" t="s">
        <v>288</v>
      </c>
      <c r="BK1288" s="5" t="s">
        <v>289</v>
      </c>
      <c r="BL1288" s="4" t="s">
        <v>290</v>
      </c>
      <c r="BM1288" s="4" t="s">
        <v>290</v>
      </c>
      <c r="BN1288" s="4" t="s">
        <v>241</v>
      </c>
      <c r="BO1288" s="6">
        <f>0</f>
        <v>0</v>
      </c>
      <c r="BP1288" s="6">
        <f>-18524940</f>
        <v>-18524940</v>
      </c>
      <c r="BQ1288" s="4" t="s">
        <v>263</v>
      </c>
      <c r="BR1288" s="4" t="s">
        <v>264</v>
      </c>
      <c r="BS1288" s="4" t="s">
        <v>241</v>
      </c>
      <c r="BT1288" s="4" t="s">
        <v>241</v>
      </c>
      <c r="BU1288" s="4" t="s">
        <v>241</v>
      </c>
      <c r="BV1288" s="4" t="s">
        <v>241</v>
      </c>
      <c r="CE1288" s="4" t="s">
        <v>264</v>
      </c>
      <c r="CF1288" s="4" t="s">
        <v>241</v>
      </c>
      <c r="CG1288" s="4" t="s">
        <v>241</v>
      </c>
      <c r="CK1288" s="4" t="s">
        <v>291</v>
      </c>
      <c r="CL1288" s="4" t="s">
        <v>266</v>
      </c>
      <c r="CM1288" s="4" t="s">
        <v>241</v>
      </c>
      <c r="CO1288" s="4" t="s">
        <v>593</v>
      </c>
      <c r="CP1288" s="5" t="s">
        <v>268</v>
      </c>
      <c r="CQ1288" s="4" t="s">
        <v>269</v>
      </c>
      <c r="CR1288" s="4" t="s">
        <v>270</v>
      </c>
      <c r="CS1288" s="4" t="s">
        <v>293</v>
      </c>
      <c r="CT1288" s="4" t="s">
        <v>241</v>
      </c>
      <c r="CU1288" s="4">
        <v>4.2000000000000003E-2</v>
      </c>
      <c r="CV1288" s="4" t="s">
        <v>271</v>
      </c>
      <c r="CW1288" s="4" t="s">
        <v>495</v>
      </c>
      <c r="CX1288" s="4" t="s">
        <v>347</v>
      </c>
      <c r="CY1288" s="6">
        <f>0</f>
        <v>0</v>
      </c>
      <c r="CZ1288" s="6">
        <f>441070000</f>
        <v>441070000</v>
      </c>
      <c r="DA1288" s="6">
        <f>348445300</f>
        <v>348445300</v>
      </c>
      <c r="DC1288" s="4" t="s">
        <v>241</v>
      </c>
      <c r="DD1288" s="4" t="s">
        <v>241</v>
      </c>
      <c r="DF1288" s="4" t="s">
        <v>241</v>
      </c>
      <c r="DG1288" s="6">
        <f>0</f>
        <v>0</v>
      </c>
      <c r="DI1288" s="4" t="s">
        <v>241</v>
      </c>
      <c r="DJ1288" s="4" t="s">
        <v>241</v>
      </c>
      <c r="DK1288" s="4" t="s">
        <v>241</v>
      </c>
      <c r="DL1288" s="4" t="s">
        <v>241</v>
      </c>
      <c r="DM1288" s="4" t="s">
        <v>277</v>
      </c>
      <c r="DN1288" s="4" t="s">
        <v>278</v>
      </c>
      <c r="DO1288" s="6">
        <f>714.37</f>
        <v>714.37</v>
      </c>
      <c r="DP1288" s="4" t="s">
        <v>241</v>
      </c>
      <c r="DQ1288" s="4" t="s">
        <v>241</v>
      </c>
      <c r="DR1288" s="4" t="s">
        <v>241</v>
      </c>
      <c r="DS1288" s="4" t="s">
        <v>241</v>
      </c>
      <c r="DV1288" s="4" t="s">
        <v>594</v>
      </c>
      <c r="DW1288" s="4" t="s">
        <v>277</v>
      </c>
      <c r="GN1288" s="4" t="s">
        <v>595</v>
      </c>
      <c r="HO1288" s="4" t="s">
        <v>417</v>
      </c>
      <c r="HR1288" s="4" t="s">
        <v>278</v>
      </c>
      <c r="HS1288" s="4" t="s">
        <v>278</v>
      </c>
      <c r="HT1288" s="4" t="s">
        <v>241</v>
      </c>
      <c r="HU1288" s="4" t="s">
        <v>241</v>
      </c>
      <c r="HV1288" s="4" t="s">
        <v>241</v>
      </c>
      <c r="HW1288" s="4" t="s">
        <v>241</v>
      </c>
      <c r="HX1288" s="4" t="s">
        <v>241</v>
      </c>
      <c r="HY1288" s="4" t="s">
        <v>241</v>
      </c>
      <c r="HZ1288" s="4" t="s">
        <v>241</v>
      </c>
      <c r="IA1288" s="4" t="s">
        <v>241</v>
      </c>
      <c r="IB1288" s="4" t="s">
        <v>241</v>
      </c>
      <c r="IC1288" s="4" t="s">
        <v>241</v>
      </c>
      <c r="ID1288" s="4" t="s">
        <v>241</v>
      </c>
      <c r="IE1288" s="4" t="s">
        <v>241</v>
      </c>
      <c r="IF1288" s="4" t="s">
        <v>241</v>
      </c>
    </row>
    <row r="1289" spans="1:240" x14ac:dyDescent="0.4">
      <c r="A1289" s="4">
        <v>2</v>
      </c>
      <c r="B1289" s="4" t="s">
        <v>239</v>
      </c>
      <c r="C1289" s="4">
        <v>1597</v>
      </c>
      <c r="D1289" s="4">
        <v>1</v>
      </c>
      <c r="E1289" s="4">
        <v>3</v>
      </c>
      <c r="F1289" s="4" t="s">
        <v>240</v>
      </c>
      <c r="G1289" s="4" t="s">
        <v>241</v>
      </c>
      <c r="H1289" s="4" t="s">
        <v>241</v>
      </c>
      <c r="I1289" s="4" t="s">
        <v>596</v>
      </c>
      <c r="J1289" s="4" t="s">
        <v>406</v>
      </c>
      <c r="K1289" s="4" t="s">
        <v>256</v>
      </c>
      <c r="L1289" s="4" t="s">
        <v>532</v>
      </c>
      <c r="M1289" s="5" t="s">
        <v>598</v>
      </c>
      <c r="N1289" s="4" t="s">
        <v>532</v>
      </c>
      <c r="O1289" s="6">
        <f>24.84</f>
        <v>24.84</v>
      </c>
      <c r="P1289" s="4" t="s">
        <v>276</v>
      </c>
      <c r="Q1289" s="6">
        <f>2264325</f>
        <v>2264325</v>
      </c>
      <c r="R1289" s="6">
        <f>4987500</f>
        <v>4987500</v>
      </c>
      <c r="S1289" s="5" t="s">
        <v>597</v>
      </c>
      <c r="T1289" s="4" t="s">
        <v>274</v>
      </c>
      <c r="U1289" s="4" t="s">
        <v>409</v>
      </c>
      <c r="V1289" s="6">
        <f>209475</f>
        <v>209475</v>
      </c>
      <c r="W1289" s="6">
        <f>2723175</f>
        <v>2723175</v>
      </c>
      <c r="X1289" s="4" t="s">
        <v>243</v>
      </c>
      <c r="Y1289" s="4" t="s">
        <v>244</v>
      </c>
      <c r="Z1289" s="4" t="s">
        <v>504</v>
      </c>
      <c r="AA1289" s="4" t="s">
        <v>241</v>
      </c>
      <c r="AD1289" s="4" t="s">
        <v>241</v>
      </c>
      <c r="AE1289" s="5" t="s">
        <v>241</v>
      </c>
      <c r="AF1289" s="5" t="s">
        <v>241</v>
      </c>
      <c r="AH1289" s="5" t="s">
        <v>241</v>
      </c>
      <c r="AI1289" s="5" t="s">
        <v>249</v>
      </c>
      <c r="AJ1289" s="4" t="s">
        <v>251</v>
      </c>
      <c r="AK1289" s="4" t="s">
        <v>252</v>
      </c>
      <c r="AQ1289" s="4" t="s">
        <v>241</v>
      </c>
      <c r="AR1289" s="4" t="s">
        <v>241</v>
      </c>
      <c r="AS1289" s="4" t="s">
        <v>241</v>
      </c>
      <c r="AT1289" s="5" t="s">
        <v>241</v>
      </c>
      <c r="AU1289" s="5" t="s">
        <v>241</v>
      </c>
      <c r="AV1289" s="5" t="s">
        <v>241</v>
      </c>
      <c r="AY1289" s="4" t="s">
        <v>286</v>
      </c>
      <c r="AZ1289" s="4" t="s">
        <v>286</v>
      </c>
      <c r="BA1289" s="4" t="s">
        <v>254</v>
      </c>
      <c r="BB1289" s="4" t="s">
        <v>287</v>
      </c>
      <c r="BC1289" s="4" t="s">
        <v>255</v>
      </c>
      <c r="BD1289" s="4" t="s">
        <v>241</v>
      </c>
      <c r="BE1289" s="4" t="s">
        <v>257</v>
      </c>
      <c r="BF1289" s="4" t="s">
        <v>241</v>
      </c>
      <c r="BH1289" s="4" t="s">
        <v>500</v>
      </c>
      <c r="BJ1289" s="4" t="s">
        <v>288</v>
      </c>
      <c r="BK1289" s="5" t="s">
        <v>289</v>
      </c>
      <c r="BL1289" s="4" t="s">
        <v>290</v>
      </c>
      <c r="BM1289" s="4" t="s">
        <v>290</v>
      </c>
      <c r="BN1289" s="4" t="s">
        <v>241</v>
      </c>
      <c r="BO1289" s="6">
        <f>0</f>
        <v>0</v>
      </c>
      <c r="BP1289" s="6">
        <f>-209475</f>
        <v>-209475</v>
      </c>
      <c r="BQ1289" s="4" t="s">
        <v>263</v>
      </c>
      <c r="BR1289" s="4" t="s">
        <v>264</v>
      </c>
      <c r="BS1289" s="4" t="s">
        <v>241</v>
      </c>
      <c r="BT1289" s="4" t="s">
        <v>241</v>
      </c>
      <c r="BU1289" s="4" t="s">
        <v>241</v>
      </c>
      <c r="BV1289" s="4" t="s">
        <v>241</v>
      </c>
      <c r="CE1289" s="4" t="s">
        <v>264</v>
      </c>
      <c r="CF1289" s="4" t="s">
        <v>241</v>
      </c>
      <c r="CG1289" s="4" t="s">
        <v>241</v>
      </c>
      <c r="CK1289" s="4" t="s">
        <v>291</v>
      </c>
      <c r="CL1289" s="4" t="s">
        <v>266</v>
      </c>
      <c r="CM1289" s="4" t="s">
        <v>241</v>
      </c>
      <c r="CO1289" s="4" t="s">
        <v>567</v>
      </c>
      <c r="CP1289" s="5" t="s">
        <v>268</v>
      </c>
      <c r="CQ1289" s="4" t="s">
        <v>269</v>
      </c>
      <c r="CR1289" s="4" t="s">
        <v>270</v>
      </c>
      <c r="CS1289" s="4" t="s">
        <v>293</v>
      </c>
      <c r="CT1289" s="4" t="s">
        <v>241</v>
      </c>
      <c r="CU1289" s="4">
        <v>4.2000000000000003E-2</v>
      </c>
      <c r="CV1289" s="4" t="s">
        <v>271</v>
      </c>
      <c r="CW1289" s="4" t="s">
        <v>495</v>
      </c>
      <c r="CX1289" s="4" t="s">
        <v>347</v>
      </c>
      <c r="CY1289" s="6">
        <f>0</f>
        <v>0</v>
      </c>
      <c r="CZ1289" s="6">
        <f>4987500</f>
        <v>4987500</v>
      </c>
      <c r="DA1289" s="6">
        <f>2264325</f>
        <v>2264325</v>
      </c>
      <c r="DC1289" s="4" t="s">
        <v>241</v>
      </c>
      <c r="DD1289" s="4" t="s">
        <v>241</v>
      </c>
      <c r="DF1289" s="4" t="s">
        <v>241</v>
      </c>
      <c r="DG1289" s="6">
        <f>0</f>
        <v>0</v>
      </c>
      <c r="DI1289" s="4" t="s">
        <v>241</v>
      </c>
      <c r="DJ1289" s="4" t="s">
        <v>241</v>
      </c>
      <c r="DK1289" s="4" t="s">
        <v>241</v>
      </c>
      <c r="DL1289" s="4" t="s">
        <v>241</v>
      </c>
      <c r="DM1289" s="4" t="s">
        <v>277</v>
      </c>
      <c r="DN1289" s="4" t="s">
        <v>278</v>
      </c>
      <c r="DO1289" s="6">
        <f>24.84</f>
        <v>24.84</v>
      </c>
      <c r="DP1289" s="4" t="s">
        <v>241</v>
      </c>
      <c r="DQ1289" s="4" t="s">
        <v>241</v>
      </c>
      <c r="DR1289" s="4" t="s">
        <v>241</v>
      </c>
      <c r="DS1289" s="4" t="s">
        <v>241</v>
      </c>
      <c r="DV1289" s="4" t="s">
        <v>599</v>
      </c>
      <c r="DW1289" s="4" t="s">
        <v>277</v>
      </c>
      <c r="GN1289" s="4" t="s">
        <v>600</v>
      </c>
      <c r="HO1289" s="4" t="s">
        <v>341</v>
      </c>
      <c r="HR1289" s="4" t="s">
        <v>278</v>
      </c>
      <c r="HS1289" s="4" t="s">
        <v>278</v>
      </c>
      <c r="HT1289" s="4" t="s">
        <v>241</v>
      </c>
      <c r="HU1289" s="4" t="s">
        <v>241</v>
      </c>
      <c r="HV1289" s="4" t="s">
        <v>241</v>
      </c>
      <c r="HW1289" s="4" t="s">
        <v>241</v>
      </c>
      <c r="HX1289" s="4" t="s">
        <v>241</v>
      </c>
      <c r="HY1289" s="4" t="s">
        <v>241</v>
      </c>
      <c r="HZ1289" s="4" t="s">
        <v>241</v>
      </c>
      <c r="IA1289" s="4" t="s">
        <v>241</v>
      </c>
      <c r="IB1289" s="4" t="s">
        <v>241</v>
      </c>
      <c r="IC1289" s="4" t="s">
        <v>241</v>
      </c>
      <c r="ID1289" s="4" t="s">
        <v>241</v>
      </c>
      <c r="IE1289" s="4" t="s">
        <v>241</v>
      </c>
      <c r="IF1289" s="4" t="s">
        <v>241</v>
      </c>
    </row>
    <row r="1290" spans="1:240" x14ac:dyDescent="0.4">
      <c r="A1290" s="4">
        <v>2</v>
      </c>
      <c r="B1290" s="4" t="s">
        <v>239</v>
      </c>
      <c r="C1290" s="4">
        <v>1598</v>
      </c>
      <c r="D1290" s="4">
        <v>1</v>
      </c>
      <c r="E1290" s="4">
        <v>3</v>
      </c>
      <c r="F1290" s="4" t="s">
        <v>240</v>
      </c>
      <c r="G1290" s="4" t="s">
        <v>241</v>
      </c>
      <c r="H1290" s="4" t="s">
        <v>241</v>
      </c>
      <c r="I1290" s="4" t="s">
        <v>596</v>
      </c>
      <c r="J1290" s="4" t="s">
        <v>406</v>
      </c>
      <c r="K1290" s="4" t="s">
        <v>256</v>
      </c>
      <c r="L1290" s="4" t="s">
        <v>440</v>
      </c>
      <c r="M1290" s="5" t="s">
        <v>598</v>
      </c>
      <c r="N1290" s="4" t="s">
        <v>532</v>
      </c>
      <c r="O1290" s="6">
        <f>93.86</f>
        <v>93.86</v>
      </c>
      <c r="P1290" s="4" t="s">
        <v>276</v>
      </c>
      <c r="Q1290" s="6">
        <f>1520540</f>
        <v>1520540</v>
      </c>
      <c r="R1290" s="6">
        <f>12671100</f>
        <v>12671100</v>
      </c>
      <c r="S1290" s="5" t="s">
        <v>1740</v>
      </c>
      <c r="T1290" s="4" t="s">
        <v>668</v>
      </c>
      <c r="U1290" s="4" t="s">
        <v>393</v>
      </c>
      <c r="V1290" s="6">
        <f>278764</f>
        <v>278764</v>
      </c>
      <c r="W1290" s="6">
        <f>11150560</f>
        <v>11150560</v>
      </c>
      <c r="X1290" s="4" t="s">
        <v>243</v>
      </c>
      <c r="Y1290" s="4" t="s">
        <v>244</v>
      </c>
      <c r="Z1290" s="4" t="s">
        <v>465</v>
      </c>
      <c r="AA1290" s="4" t="s">
        <v>241</v>
      </c>
      <c r="AD1290" s="4" t="s">
        <v>241</v>
      </c>
      <c r="AE1290" s="5" t="s">
        <v>241</v>
      </c>
      <c r="AF1290" s="5" t="s">
        <v>241</v>
      </c>
      <c r="AH1290" s="5" t="s">
        <v>241</v>
      </c>
      <c r="AI1290" s="5" t="s">
        <v>249</v>
      </c>
      <c r="AJ1290" s="4" t="s">
        <v>251</v>
      </c>
      <c r="AK1290" s="4" t="s">
        <v>252</v>
      </c>
      <c r="AQ1290" s="4" t="s">
        <v>241</v>
      </c>
      <c r="AR1290" s="4" t="s">
        <v>241</v>
      </c>
      <c r="AS1290" s="4" t="s">
        <v>241</v>
      </c>
      <c r="AT1290" s="5" t="s">
        <v>241</v>
      </c>
      <c r="AU1290" s="5" t="s">
        <v>241</v>
      </c>
      <c r="AV1290" s="5" t="s">
        <v>241</v>
      </c>
      <c r="AY1290" s="4" t="s">
        <v>286</v>
      </c>
      <c r="AZ1290" s="4" t="s">
        <v>286</v>
      </c>
      <c r="BA1290" s="4" t="s">
        <v>254</v>
      </c>
      <c r="BB1290" s="4" t="s">
        <v>287</v>
      </c>
      <c r="BC1290" s="4" t="s">
        <v>255</v>
      </c>
      <c r="BD1290" s="4" t="s">
        <v>241</v>
      </c>
      <c r="BE1290" s="4" t="s">
        <v>257</v>
      </c>
      <c r="BF1290" s="4" t="s">
        <v>241</v>
      </c>
      <c r="BJ1290" s="4" t="s">
        <v>288</v>
      </c>
      <c r="BK1290" s="5" t="s">
        <v>289</v>
      </c>
      <c r="BL1290" s="4" t="s">
        <v>290</v>
      </c>
      <c r="BM1290" s="4" t="s">
        <v>290</v>
      </c>
      <c r="BN1290" s="4" t="s">
        <v>241</v>
      </c>
      <c r="BO1290" s="6">
        <f>0</f>
        <v>0</v>
      </c>
      <c r="BP1290" s="6">
        <f>-278764</f>
        <v>-278764</v>
      </c>
      <c r="BQ1290" s="4" t="s">
        <v>263</v>
      </c>
      <c r="BR1290" s="4" t="s">
        <v>264</v>
      </c>
      <c r="BS1290" s="4" t="s">
        <v>241</v>
      </c>
      <c r="BT1290" s="4" t="s">
        <v>241</v>
      </c>
      <c r="BU1290" s="4" t="s">
        <v>241</v>
      </c>
      <c r="BV1290" s="4" t="s">
        <v>241</v>
      </c>
      <c r="CE1290" s="4" t="s">
        <v>264</v>
      </c>
      <c r="CF1290" s="4" t="s">
        <v>241</v>
      </c>
      <c r="CG1290" s="4" t="s">
        <v>241</v>
      </c>
      <c r="CK1290" s="4" t="s">
        <v>265</v>
      </c>
      <c r="CL1290" s="4" t="s">
        <v>266</v>
      </c>
      <c r="CM1290" s="4" t="s">
        <v>241</v>
      </c>
      <c r="CO1290" s="4" t="s">
        <v>382</v>
      </c>
      <c r="CP1290" s="5" t="s">
        <v>268</v>
      </c>
      <c r="CQ1290" s="4" t="s">
        <v>269</v>
      </c>
      <c r="CR1290" s="4" t="s">
        <v>270</v>
      </c>
      <c r="CS1290" s="4" t="s">
        <v>293</v>
      </c>
      <c r="CT1290" s="4" t="s">
        <v>241</v>
      </c>
      <c r="CU1290" s="4">
        <v>2.1999999999999999E-2</v>
      </c>
      <c r="CV1290" s="4" t="s">
        <v>271</v>
      </c>
      <c r="CW1290" s="4" t="s">
        <v>1741</v>
      </c>
      <c r="CX1290" s="4" t="s">
        <v>295</v>
      </c>
      <c r="CY1290" s="6">
        <f>0</f>
        <v>0</v>
      </c>
      <c r="CZ1290" s="6">
        <f>12671100</f>
        <v>12671100</v>
      </c>
      <c r="DA1290" s="6">
        <f>1520540</f>
        <v>1520540</v>
      </c>
      <c r="DC1290" s="4" t="s">
        <v>241</v>
      </c>
      <c r="DD1290" s="4" t="s">
        <v>241</v>
      </c>
      <c r="DF1290" s="4" t="s">
        <v>241</v>
      </c>
      <c r="DG1290" s="6">
        <f>0</f>
        <v>0</v>
      </c>
      <c r="DI1290" s="4" t="s">
        <v>241</v>
      </c>
      <c r="DJ1290" s="4" t="s">
        <v>241</v>
      </c>
      <c r="DK1290" s="4" t="s">
        <v>241</v>
      </c>
      <c r="DL1290" s="4" t="s">
        <v>241</v>
      </c>
      <c r="DM1290" s="4" t="s">
        <v>323</v>
      </c>
      <c r="DN1290" s="4" t="s">
        <v>278</v>
      </c>
      <c r="DO1290" s="6">
        <f>93.86</f>
        <v>93.86</v>
      </c>
      <c r="DP1290" s="4" t="s">
        <v>241</v>
      </c>
      <c r="DQ1290" s="4" t="s">
        <v>241</v>
      </c>
      <c r="DR1290" s="4" t="s">
        <v>241</v>
      </c>
      <c r="DS1290" s="4" t="s">
        <v>241</v>
      </c>
      <c r="DV1290" s="4" t="s">
        <v>599</v>
      </c>
      <c r="DW1290" s="4" t="s">
        <v>323</v>
      </c>
      <c r="GN1290" s="4" t="s">
        <v>1742</v>
      </c>
      <c r="HO1290" s="4" t="s">
        <v>336</v>
      </c>
      <c r="HR1290" s="4" t="s">
        <v>278</v>
      </c>
      <c r="HS1290" s="4" t="s">
        <v>278</v>
      </c>
      <c r="HT1290" s="4" t="s">
        <v>241</v>
      </c>
      <c r="HU1290" s="4" t="s">
        <v>241</v>
      </c>
      <c r="HV1290" s="4" t="s">
        <v>241</v>
      </c>
      <c r="HW1290" s="4" t="s">
        <v>241</v>
      </c>
      <c r="HX1290" s="4" t="s">
        <v>241</v>
      </c>
      <c r="HY1290" s="4" t="s">
        <v>241</v>
      </c>
      <c r="HZ1290" s="4" t="s">
        <v>241</v>
      </c>
      <c r="IA1290" s="4" t="s">
        <v>241</v>
      </c>
      <c r="IB1290" s="4" t="s">
        <v>241</v>
      </c>
      <c r="IC1290" s="4" t="s">
        <v>241</v>
      </c>
      <c r="ID1290" s="4" t="s">
        <v>241</v>
      </c>
      <c r="IE1290" s="4" t="s">
        <v>241</v>
      </c>
      <c r="IF1290" s="4" t="s">
        <v>241</v>
      </c>
    </row>
    <row r="1291" spans="1:240" x14ac:dyDescent="0.4">
      <c r="A1291" s="4">
        <v>2</v>
      </c>
      <c r="B1291" s="4" t="s">
        <v>239</v>
      </c>
      <c r="C1291" s="4">
        <v>1599</v>
      </c>
      <c r="D1291" s="4">
        <v>1</v>
      </c>
      <c r="E1291" s="4">
        <v>3</v>
      </c>
      <c r="F1291" s="4" t="s">
        <v>240</v>
      </c>
      <c r="G1291" s="4" t="s">
        <v>241</v>
      </c>
      <c r="H1291" s="4" t="s">
        <v>241</v>
      </c>
      <c r="I1291" s="4" t="s">
        <v>601</v>
      </c>
      <c r="J1291" s="4" t="s">
        <v>406</v>
      </c>
      <c r="K1291" s="4" t="s">
        <v>256</v>
      </c>
      <c r="L1291" s="4" t="s">
        <v>532</v>
      </c>
      <c r="M1291" s="5" t="s">
        <v>603</v>
      </c>
      <c r="N1291" s="4" t="s">
        <v>532</v>
      </c>
      <c r="O1291" s="6">
        <f>788</f>
        <v>788</v>
      </c>
      <c r="P1291" s="4" t="s">
        <v>276</v>
      </c>
      <c r="Q1291" s="6">
        <f>114854152</f>
        <v>114854152</v>
      </c>
      <c r="R1291" s="6">
        <f>282892000</f>
        <v>282892000</v>
      </c>
      <c r="S1291" s="5" t="s">
        <v>602</v>
      </c>
      <c r="T1291" s="4" t="s">
        <v>333</v>
      </c>
      <c r="U1291" s="4" t="s">
        <v>361</v>
      </c>
      <c r="V1291" s="6">
        <f>7638084</f>
        <v>7638084</v>
      </c>
      <c r="W1291" s="6">
        <f>168037848</f>
        <v>168037848</v>
      </c>
      <c r="X1291" s="4" t="s">
        <v>243</v>
      </c>
      <c r="Y1291" s="4" t="s">
        <v>244</v>
      </c>
      <c r="Z1291" s="4" t="s">
        <v>504</v>
      </c>
      <c r="AA1291" s="4" t="s">
        <v>241</v>
      </c>
      <c r="AD1291" s="4" t="s">
        <v>241</v>
      </c>
      <c r="AE1291" s="5" t="s">
        <v>241</v>
      </c>
      <c r="AF1291" s="5" t="s">
        <v>241</v>
      </c>
      <c r="AH1291" s="5" t="s">
        <v>241</v>
      </c>
      <c r="AI1291" s="5" t="s">
        <v>249</v>
      </c>
      <c r="AJ1291" s="4" t="s">
        <v>251</v>
      </c>
      <c r="AK1291" s="4" t="s">
        <v>252</v>
      </c>
      <c r="AQ1291" s="4" t="s">
        <v>241</v>
      </c>
      <c r="AR1291" s="4" t="s">
        <v>241</v>
      </c>
      <c r="AS1291" s="4" t="s">
        <v>241</v>
      </c>
      <c r="AT1291" s="5" t="s">
        <v>241</v>
      </c>
      <c r="AU1291" s="5" t="s">
        <v>241</v>
      </c>
      <c r="AV1291" s="5" t="s">
        <v>241</v>
      </c>
      <c r="AY1291" s="4" t="s">
        <v>286</v>
      </c>
      <c r="AZ1291" s="4" t="s">
        <v>286</v>
      </c>
      <c r="BA1291" s="4" t="s">
        <v>254</v>
      </c>
      <c r="BB1291" s="4" t="s">
        <v>287</v>
      </c>
      <c r="BC1291" s="4" t="s">
        <v>255</v>
      </c>
      <c r="BD1291" s="4" t="s">
        <v>241</v>
      </c>
      <c r="BE1291" s="4" t="s">
        <v>257</v>
      </c>
      <c r="BF1291" s="4" t="s">
        <v>241</v>
      </c>
      <c r="BJ1291" s="4" t="s">
        <v>288</v>
      </c>
      <c r="BK1291" s="5" t="s">
        <v>289</v>
      </c>
      <c r="BL1291" s="4" t="s">
        <v>290</v>
      </c>
      <c r="BM1291" s="4" t="s">
        <v>290</v>
      </c>
      <c r="BN1291" s="4" t="s">
        <v>241</v>
      </c>
      <c r="BO1291" s="6">
        <f>0</f>
        <v>0</v>
      </c>
      <c r="BP1291" s="6">
        <f>-7638084</f>
        <v>-7638084</v>
      </c>
      <c r="BQ1291" s="4" t="s">
        <v>263</v>
      </c>
      <c r="BR1291" s="4" t="s">
        <v>264</v>
      </c>
      <c r="BS1291" s="4" t="s">
        <v>241</v>
      </c>
      <c r="BT1291" s="4" t="s">
        <v>241</v>
      </c>
      <c r="BU1291" s="4" t="s">
        <v>241</v>
      </c>
      <c r="BV1291" s="4" t="s">
        <v>241</v>
      </c>
      <c r="CE1291" s="4" t="s">
        <v>264</v>
      </c>
      <c r="CF1291" s="4" t="s">
        <v>241</v>
      </c>
      <c r="CG1291" s="4" t="s">
        <v>241</v>
      </c>
      <c r="CK1291" s="4" t="s">
        <v>291</v>
      </c>
      <c r="CL1291" s="4" t="s">
        <v>266</v>
      </c>
      <c r="CM1291" s="4" t="s">
        <v>241</v>
      </c>
      <c r="CO1291" s="4" t="s">
        <v>360</v>
      </c>
      <c r="CP1291" s="5" t="s">
        <v>268</v>
      </c>
      <c r="CQ1291" s="4" t="s">
        <v>269</v>
      </c>
      <c r="CR1291" s="4" t="s">
        <v>270</v>
      </c>
      <c r="CS1291" s="4" t="s">
        <v>293</v>
      </c>
      <c r="CT1291" s="4" t="s">
        <v>241</v>
      </c>
      <c r="CU1291" s="4">
        <v>2.7E-2</v>
      </c>
      <c r="CV1291" s="4" t="s">
        <v>271</v>
      </c>
      <c r="CW1291" s="4" t="s">
        <v>495</v>
      </c>
      <c r="CX1291" s="4" t="s">
        <v>487</v>
      </c>
      <c r="CY1291" s="6">
        <f>0</f>
        <v>0</v>
      </c>
      <c r="CZ1291" s="6">
        <f>282892000</f>
        <v>282892000</v>
      </c>
      <c r="DA1291" s="6">
        <f>114854152</f>
        <v>114854152</v>
      </c>
      <c r="DC1291" s="4" t="s">
        <v>241</v>
      </c>
      <c r="DD1291" s="4" t="s">
        <v>241</v>
      </c>
      <c r="DF1291" s="4" t="s">
        <v>241</v>
      </c>
      <c r="DG1291" s="6">
        <f>0</f>
        <v>0</v>
      </c>
      <c r="DI1291" s="4" t="s">
        <v>241</v>
      </c>
      <c r="DJ1291" s="4" t="s">
        <v>241</v>
      </c>
      <c r="DK1291" s="4" t="s">
        <v>241</v>
      </c>
      <c r="DL1291" s="4" t="s">
        <v>241</v>
      </c>
      <c r="DM1291" s="4" t="s">
        <v>277</v>
      </c>
      <c r="DN1291" s="4" t="s">
        <v>278</v>
      </c>
      <c r="DO1291" s="6">
        <f>788</f>
        <v>788</v>
      </c>
      <c r="DP1291" s="4" t="s">
        <v>241</v>
      </c>
      <c r="DQ1291" s="4" t="s">
        <v>241</v>
      </c>
      <c r="DR1291" s="4" t="s">
        <v>241</v>
      </c>
      <c r="DS1291" s="4" t="s">
        <v>241</v>
      </c>
      <c r="DV1291" s="4" t="s">
        <v>604</v>
      </c>
      <c r="DW1291" s="4" t="s">
        <v>277</v>
      </c>
      <c r="GN1291" s="4" t="s">
        <v>605</v>
      </c>
      <c r="HO1291" s="4" t="s">
        <v>300</v>
      </c>
      <c r="HR1291" s="4" t="s">
        <v>278</v>
      </c>
      <c r="HS1291" s="4" t="s">
        <v>278</v>
      </c>
      <c r="HT1291" s="4" t="s">
        <v>241</v>
      </c>
      <c r="HU1291" s="4" t="s">
        <v>241</v>
      </c>
      <c r="HV1291" s="4" t="s">
        <v>241</v>
      </c>
      <c r="HW1291" s="4" t="s">
        <v>241</v>
      </c>
      <c r="HX1291" s="4" t="s">
        <v>241</v>
      </c>
      <c r="HY1291" s="4" t="s">
        <v>241</v>
      </c>
      <c r="HZ1291" s="4" t="s">
        <v>241</v>
      </c>
      <c r="IA1291" s="4" t="s">
        <v>241</v>
      </c>
      <c r="IB1291" s="4" t="s">
        <v>241</v>
      </c>
      <c r="IC1291" s="4" t="s">
        <v>241</v>
      </c>
      <c r="ID1291" s="4" t="s">
        <v>241</v>
      </c>
      <c r="IE1291" s="4" t="s">
        <v>241</v>
      </c>
      <c r="IF1291" s="4" t="s">
        <v>241</v>
      </c>
    </row>
    <row r="1292" spans="1:240" x14ac:dyDescent="0.4">
      <c r="A1292" s="4">
        <v>2</v>
      </c>
      <c r="B1292" s="4" t="s">
        <v>239</v>
      </c>
      <c r="C1292" s="4">
        <v>1600</v>
      </c>
      <c r="D1292" s="4">
        <v>1</v>
      </c>
      <c r="E1292" s="4">
        <v>3</v>
      </c>
      <c r="F1292" s="4" t="s">
        <v>326</v>
      </c>
      <c r="G1292" s="4" t="s">
        <v>241</v>
      </c>
      <c r="H1292" s="4" t="s">
        <v>241</v>
      </c>
      <c r="I1292" s="4" t="s">
        <v>601</v>
      </c>
      <c r="J1292" s="4" t="s">
        <v>406</v>
      </c>
      <c r="K1292" s="4" t="s">
        <v>256</v>
      </c>
      <c r="L1292" s="4" t="s">
        <v>241</v>
      </c>
      <c r="M1292" s="5" t="s">
        <v>603</v>
      </c>
      <c r="N1292" s="4" t="s">
        <v>2563</v>
      </c>
      <c r="O1292" s="6">
        <f>0</f>
        <v>0</v>
      </c>
      <c r="P1292" s="4" t="s">
        <v>276</v>
      </c>
      <c r="Q1292" s="6">
        <f>483648</f>
        <v>483648</v>
      </c>
      <c r="R1292" s="6">
        <f>528000</f>
        <v>528000</v>
      </c>
      <c r="S1292" s="5" t="s">
        <v>2564</v>
      </c>
      <c r="T1292" s="4" t="s">
        <v>409</v>
      </c>
      <c r="U1292" s="4" t="s">
        <v>278</v>
      </c>
      <c r="V1292" s="6">
        <f>527999</f>
        <v>527999</v>
      </c>
      <c r="W1292" s="6">
        <f>44352</f>
        <v>44352</v>
      </c>
      <c r="X1292" s="4" t="s">
        <v>243</v>
      </c>
      <c r="Y1292" s="4" t="s">
        <v>244</v>
      </c>
      <c r="Z1292" s="4" t="s">
        <v>241</v>
      </c>
      <c r="AA1292" s="4" t="s">
        <v>241</v>
      </c>
      <c r="AD1292" s="4" t="s">
        <v>241</v>
      </c>
      <c r="AE1292" s="5" t="s">
        <v>241</v>
      </c>
      <c r="AF1292" s="5" t="s">
        <v>241</v>
      </c>
      <c r="AH1292" s="5" t="s">
        <v>241</v>
      </c>
      <c r="AI1292" s="5" t="s">
        <v>249</v>
      </c>
      <c r="AJ1292" s="4" t="s">
        <v>251</v>
      </c>
      <c r="AK1292" s="4" t="s">
        <v>252</v>
      </c>
      <c r="AQ1292" s="4" t="s">
        <v>241</v>
      </c>
      <c r="AR1292" s="4" t="s">
        <v>241</v>
      </c>
      <c r="AS1292" s="4" t="s">
        <v>241</v>
      </c>
      <c r="AT1292" s="5" t="s">
        <v>241</v>
      </c>
      <c r="AU1292" s="5" t="s">
        <v>241</v>
      </c>
      <c r="AV1292" s="5" t="s">
        <v>241</v>
      </c>
      <c r="AY1292" s="4" t="s">
        <v>286</v>
      </c>
      <c r="AZ1292" s="4" t="s">
        <v>286</v>
      </c>
      <c r="BA1292" s="4" t="s">
        <v>254</v>
      </c>
      <c r="BB1292" s="4" t="s">
        <v>287</v>
      </c>
      <c r="BC1292" s="4" t="s">
        <v>255</v>
      </c>
      <c r="BD1292" s="4" t="s">
        <v>241</v>
      </c>
      <c r="BE1292" s="4" t="s">
        <v>257</v>
      </c>
      <c r="BF1292" s="4" t="s">
        <v>241</v>
      </c>
      <c r="BJ1292" s="4" t="s">
        <v>288</v>
      </c>
      <c r="BK1292" s="5" t="s">
        <v>289</v>
      </c>
      <c r="BL1292" s="4" t="s">
        <v>290</v>
      </c>
      <c r="BM1292" s="4" t="s">
        <v>290</v>
      </c>
      <c r="BN1292" s="4" t="s">
        <v>241</v>
      </c>
      <c r="BP1292" s="6">
        <f>-44352</f>
        <v>-44352</v>
      </c>
      <c r="BQ1292" s="4" t="s">
        <v>263</v>
      </c>
      <c r="BR1292" s="4" t="s">
        <v>264</v>
      </c>
      <c r="BS1292" s="4" t="s">
        <v>241</v>
      </c>
      <c r="BT1292" s="4" t="s">
        <v>241</v>
      </c>
      <c r="BU1292" s="4" t="s">
        <v>241</v>
      </c>
      <c r="BV1292" s="4" t="s">
        <v>241</v>
      </c>
      <c r="CE1292" s="4" t="s">
        <v>264</v>
      </c>
      <c r="CF1292" s="4" t="s">
        <v>241</v>
      </c>
      <c r="CG1292" s="4" t="s">
        <v>241</v>
      </c>
      <c r="CK1292" s="4" t="s">
        <v>291</v>
      </c>
      <c r="CL1292" s="4" t="s">
        <v>266</v>
      </c>
      <c r="CM1292" s="4" t="s">
        <v>241</v>
      </c>
      <c r="CO1292" s="4" t="s">
        <v>426</v>
      </c>
      <c r="CP1292" s="5" t="s">
        <v>268</v>
      </c>
      <c r="CQ1292" s="4" t="s">
        <v>269</v>
      </c>
      <c r="CR1292" s="4" t="s">
        <v>270</v>
      </c>
      <c r="CS1292" s="4" t="s">
        <v>293</v>
      </c>
      <c r="CT1292" s="4" t="s">
        <v>241</v>
      </c>
      <c r="CU1292" s="4">
        <v>8.4000000000000005E-2</v>
      </c>
      <c r="CV1292" s="4" t="s">
        <v>271</v>
      </c>
      <c r="CW1292" s="4" t="s">
        <v>415</v>
      </c>
      <c r="CX1292" s="4" t="s">
        <v>2565</v>
      </c>
      <c r="CY1292" s="6">
        <f>0</f>
        <v>0</v>
      </c>
      <c r="CZ1292" s="6">
        <f>528000</f>
        <v>528000</v>
      </c>
      <c r="DA1292" s="6">
        <f>1</f>
        <v>1</v>
      </c>
      <c r="DC1292" s="4" t="s">
        <v>241</v>
      </c>
      <c r="DD1292" s="4" t="s">
        <v>241</v>
      </c>
      <c r="DF1292" s="4" t="s">
        <v>241</v>
      </c>
      <c r="DG1292" s="6">
        <f>0</f>
        <v>0</v>
      </c>
      <c r="DI1292" s="4" t="s">
        <v>241</v>
      </c>
      <c r="DJ1292" s="4" t="s">
        <v>241</v>
      </c>
      <c r="DK1292" s="4" t="s">
        <v>241</v>
      </c>
      <c r="DL1292" s="4" t="s">
        <v>241</v>
      </c>
      <c r="DM1292" s="4" t="s">
        <v>278</v>
      </c>
      <c r="DN1292" s="4" t="s">
        <v>278</v>
      </c>
      <c r="DO1292" s="6" t="s">
        <v>241</v>
      </c>
      <c r="DP1292" s="4" t="s">
        <v>241</v>
      </c>
      <c r="DQ1292" s="4" t="s">
        <v>241</v>
      </c>
      <c r="DR1292" s="4" t="s">
        <v>241</v>
      </c>
      <c r="DS1292" s="4" t="s">
        <v>241</v>
      </c>
      <c r="DV1292" s="4" t="s">
        <v>604</v>
      </c>
      <c r="DW1292" s="4" t="s">
        <v>323</v>
      </c>
      <c r="GN1292" s="4" t="s">
        <v>2599</v>
      </c>
      <c r="HO1292" s="4" t="s">
        <v>323</v>
      </c>
      <c r="HR1292" s="4" t="s">
        <v>278</v>
      </c>
      <c r="HS1292" s="4" t="s">
        <v>278</v>
      </c>
      <c r="HT1292" s="4" t="s">
        <v>241</v>
      </c>
      <c r="HU1292" s="4" t="s">
        <v>241</v>
      </c>
      <c r="HV1292" s="4" t="s">
        <v>241</v>
      </c>
      <c r="HW1292" s="4" t="s">
        <v>241</v>
      </c>
      <c r="HX1292" s="4" t="s">
        <v>241</v>
      </c>
      <c r="HY1292" s="4" t="s">
        <v>241</v>
      </c>
      <c r="HZ1292" s="4" t="s">
        <v>241</v>
      </c>
      <c r="IA1292" s="4" t="s">
        <v>241</v>
      </c>
      <c r="IB1292" s="4" t="s">
        <v>241</v>
      </c>
      <c r="IC1292" s="4" t="s">
        <v>241</v>
      </c>
      <c r="ID1292" s="4" t="s">
        <v>241</v>
      </c>
      <c r="IE1292" s="4" t="s">
        <v>241</v>
      </c>
      <c r="IF1292" s="4" t="s">
        <v>241</v>
      </c>
    </row>
    <row r="1293" spans="1:240" x14ac:dyDescent="0.4">
      <c r="A1293" s="4">
        <v>2</v>
      </c>
      <c r="B1293" s="4" t="s">
        <v>239</v>
      </c>
      <c r="C1293" s="4">
        <v>1601</v>
      </c>
      <c r="D1293" s="4">
        <v>1</v>
      </c>
      <c r="E1293" s="4">
        <v>1</v>
      </c>
      <c r="F1293" s="4" t="s">
        <v>240</v>
      </c>
      <c r="G1293" s="4" t="s">
        <v>241</v>
      </c>
      <c r="H1293" s="4" t="s">
        <v>241</v>
      </c>
      <c r="I1293" s="4" t="s">
        <v>615</v>
      </c>
      <c r="J1293" s="4" t="s">
        <v>406</v>
      </c>
      <c r="K1293" s="4" t="s">
        <v>256</v>
      </c>
      <c r="L1293" s="4" t="s">
        <v>532</v>
      </c>
      <c r="M1293" s="5" t="s">
        <v>616</v>
      </c>
      <c r="N1293" s="4" t="s">
        <v>614</v>
      </c>
      <c r="O1293" s="6">
        <f>373.08</f>
        <v>373.08</v>
      </c>
      <c r="P1293" s="4" t="s">
        <v>276</v>
      </c>
      <c r="Q1293" s="6">
        <f>1</f>
        <v>1</v>
      </c>
      <c r="R1293" s="6">
        <f>97746960</f>
        <v>97746960</v>
      </c>
      <c r="S1293" s="5" t="s">
        <v>438</v>
      </c>
      <c r="T1293" s="4" t="s">
        <v>274</v>
      </c>
      <c r="U1293" s="4" t="s">
        <v>274</v>
      </c>
      <c r="W1293" s="6">
        <f>97746959</f>
        <v>97746959</v>
      </c>
      <c r="X1293" s="4" t="s">
        <v>243</v>
      </c>
      <c r="Y1293" s="4" t="s">
        <v>244</v>
      </c>
      <c r="Z1293" s="4" t="s">
        <v>504</v>
      </c>
      <c r="AA1293" s="4" t="s">
        <v>241</v>
      </c>
      <c r="AD1293" s="4" t="s">
        <v>241</v>
      </c>
      <c r="AF1293" s="5" t="s">
        <v>241</v>
      </c>
      <c r="AI1293" s="5" t="s">
        <v>249</v>
      </c>
      <c r="AJ1293" s="4" t="s">
        <v>251</v>
      </c>
      <c r="AK1293" s="4" t="s">
        <v>252</v>
      </c>
      <c r="BA1293" s="4" t="s">
        <v>254</v>
      </c>
      <c r="BB1293" s="4" t="s">
        <v>241</v>
      </c>
      <c r="BC1293" s="4" t="s">
        <v>255</v>
      </c>
      <c r="BD1293" s="4" t="s">
        <v>241</v>
      </c>
      <c r="BE1293" s="4" t="s">
        <v>257</v>
      </c>
      <c r="BF1293" s="4" t="s">
        <v>241</v>
      </c>
      <c r="BH1293" s="4" t="s">
        <v>500</v>
      </c>
      <c r="BJ1293" s="4" t="s">
        <v>367</v>
      </c>
      <c r="BK1293" s="5" t="s">
        <v>249</v>
      </c>
      <c r="BL1293" s="4" t="s">
        <v>261</v>
      </c>
      <c r="BM1293" s="4" t="s">
        <v>262</v>
      </c>
      <c r="BN1293" s="4" t="s">
        <v>241</v>
      </c>
      <c r="BO1293" s="6">
        <f>0</f>
        <v>0</v>
      </c>
      <c r="BP1293" s="6">
        <f>0</f>
        <v>0</v>
      </c>
      <c r="BQ1293" s="4" t="s">
        <v>263</v>
      </c>
      <c r="BR1293" s="4" t="s">
        <v>264</v>
      </c>
      <c r="CF1293" s="4" t="s">
        <v>241</v>
      </c>
      <c r="CG1293" s="4" t="s">
        <v>241</v>
      </c>
      <c r="CK1293" s="4" t="s">
        <v>291</v>
      </c>
      <c r="CL1293" s="4" t="s">
        <v>266</v>
      </c>
      <c r="CM1293" s="4" t="s">
        <v>241</v>
      </c>
      <c r="CO1293" s="4" t="s">
        <v>439</v>
      </c>
      <c r="CP1293" s="5" t="s">
        <v>268</v>
      </c>
      <c r="CQ1293" s="4" t="s">
        <v>269</v>
      </c>
      <c r="CR1293" s="4" t="s">
        <v>270</v>
      </c>
      <c r="CS1293" s="4" t="s">
        <v>241</v>
      </c>
      <c r="CT1293" s="4" t="s">
        <v>241</v>
      </c>
      <c r="CU1293" s="4">
        <v>0</v>
      </c>
      <c r="CV1293" s="4" t="s">
        <v>271</v>
      </c>
      <c r="CW1293" s="4" t="s">
        <v>495</v>
      </c>
      <c r="CX1293" s="4" t="s">
        <v>347</v>
      </c>
      <c r="CZ1293" s="6">
        <f>97746960</f>
        <v>97746960</v>
      </c>
      <c r="DA1293" s="6">
        <f>0</f>
        <v>0</v>
      </c>
      <c r="DC1293" s="4" t="s">
        <v>241</v>
      </c>
      <c r="DD1293" s="4" t="s">
        <v>241</v>
      </c>
      <c r="DF1293" s="4" t="s">
        <v>241</v>
      </c>
      <c r="DI1293" s="4" t="s">
        <v>241</v>
      </c>
      <c r="DJ1293" s="4" t="s">
        <v>241</v>
      </c>
      <c r="DK1293" s="4" t="s">
        <v>241</v>
      </c>
      <c r="DL1293" s="4" t="s">
        <v>241</v>
      </c>
      <c r="DM1293" s="4" t="s">
        <v>323</v>
      </c>
      <c r="DN1293" s="4" t="s">
        <v>278</v>
      </c>
      <c r="DO1293" s="6">
        <f>373.08</f>
        <v>373.08</v>
      </c>
      <c r="DP1293" s="4" t="s">
        <v>241</v>
      </c>
      <c r="DQ1293" s="4" t="s">
        <v>241</v>
      </c>
      <c r="DR1293" s="4" t="s">
        <v>241</v>
      </c>
      <c r="DS1293" s="4" t="s">
        <v>241</v>
      </c>
      <c r="DV1293" s="4" t="s">
        <v>617</v>
      </c>
      <c r="DW1293" s="4" t="s">
        <v>277</v>
      </c>
      <c r="HO1293" s="4" t="s">
        <v>277</v>
      </c>
      <c r="HR1293" s="4" t="s">
        <v>278</v>
      </c>
      <c r="HS1293" s="4" t="s">
        <v>278</v>
      </c>
    </row>
    <row r="1294" spans="1:240" x14ac:dyDescent="0.4">
      <c r="A1294" s="4">
        <v>2</v>
      </c>
      <c r="B1294" s="4" t="s">
        <v>239</v>
      </c>
      <c r="C1294" s="4">
        <v>1602</v>
      </c>
      <c r="D1294" s="4">
        <v>1</v>
      </c>
      <c r="E1294" s="4">
        <v>3</v>
      </c>
      <c r="F1294" s="4" t="s">
        <v>326</v>
      </c>
      <c r="G1294" s="4" t="s">
        <v>241</v>
      </c>
      <c r="H1294" s="4" t="s">
        <v>241</v>
      </c>
      <c r="I1294" s="4" t="s">
        <v>615</v>
      </c>
      <c r="J1294" s="4" t="s">
        <v>406</v>
      </c>
      <c r="K1294" s="4" t="s">
        <v>256</v>
      </c>
      <c r="L1294" s="4" t="s">
        <v>241</v>
      </c>
      <c r="M1294" s="5" t="s">
        <v>616</v>
      </c>
      <c r="N1294" s="4" t="s">
        <v>2563</v>
      </c>
      <c r="O1294" s="6">
        <f>0</f>
        <v>0</v>
      </c>
      <c r="P1294" s="4" t="s">
        <v>276</v>
      </c>
      <c r="Q1294" s="6">
        <f>940091</f>
        <v>940091</v>
      </c>
      <c r="R1294" s="6">
        <f>1026300</f>
        <v>1026300</v>
      </c>
      <c r="S1294" s="5" t="s">
        <v>2597</v>
      </c>
      <c r="T1294" s="4" t="s">
        <v>409</v>
      </c>
      <c r="U1294" s="4" t="s">
        <v>278</v>
      </c>
      <c r="V1294" s="6">
        <f>1026299</f>
        <v>1026299</v>
      </c>
      <c r="W1294" s="6">
        <f>86209</f>
        <v>86209</v>
      </c>
      <c r="X1294" s="4" t="s">
        <v>243</v>
      </c>
      <c r="Y1294" s="4" t="s">
        <v>244</v>
      </c>
      <c r="Z1294" s="4" t="s">
        <v>241</v>
      </c>
      <c r="AA1294" s="4" t="s">
        <v>241</v>
      </c>
      <c r="AD1294" s="4" t="s">
        <v>241</v>
      </c>
      <c r="AE1294" s="5" t="s">
        <v>241</v>
      </c>
      <c r="AF1294" s="5" t="s">
        <v>241</v>
      </c>
      <c r="AH1294" s="5" t="s">
        <v>241</v>
      </c>
      <c r="AI1294" s="5" t="s">
        <v>249</v>
      </c>
      <c r="AJ1294" s="4" t="s">
        <v>251</v>
      </c>
      <c r="AK1294" s="4" t="s">
        <v>252</v>
      </c>
      <c r="AQ1294" s="4" t="s">
        <v>241</v>
      </c>
      <c r="AR1294" s="4" t="s">
        <v>241</v>
      </c>
      <c r="AS1294" s="4" t="s">
        <v>241</v>
      </c>
      <c r="AT1294" s="5" t="s">
        <v>241</v>
      </c>
      <c r="AU1294" s="5" t="s">
        <v>241</v>
      </c>
      <c r="AV1294" s="5" t="s">
        <v>241</v>
      </c>
      <c r="AY1294" s="4" t="s">
        <v>286</v>
      </c>
      <c r="AZ1294" s="4" t="s">
        <v>286</v>
      </c>
      <c r="BA1294" s="4" t="s">
        <v>254</v>
      </c>
      <c r="BB1294" s="4" t="s">
        <v>287</v>
      </c>
      <c r="BC1294" s="4" t="s">
        <v>255</v>
      </c>
      <c r="BD1294" s="4" t="s">
        <v>241</v>
      </c>
      <c r="BE1294" s="4" t="s">
        <v>257</v>
      </c>
      <c r="BF1294" s="4" t="s">
        <v>241</v>
      </c>
      <c r="BJ1294" s="4" t="s">
        <v>288</v>
      </c>
      <c r="BK1294" s="5" t="s">
        <v>289</v>
      </c>
      <c r="BL1294" s="4" t="s">
        <v>290</v>
      </c>
      <c r="BM1294" s="4" t="s">
        <v>290</v>
      </c>
      <c r="BN1294" s="4" t="s">
        <v>241</v>
      </c>
      <c r="BP1294" s="6">
        <f>-86209</f>
        <v>-86209</v>
      </c>
      <c r="BQ1294" s="4" t="s">
        <v>263</v>
      </c>
      <c r="BR1294" s="4" t="s">
        <v>264</v>
      </c>
      <c r="BS1294" s="4" t="s">
        <v>241</v>
      </c>
      <c r="BT1294" s="4" t="s">
        <v>241</v>
      </c>
      <c r="BU1294" s="4" t="s">
        <v>241</v>
      </c>
      <c r="BV1294" s="4" t="s">
        <v>241</v>
      </c>
      <c r="CE1294" s="4" t="s">
        <v>264</v>
      </c>
      <c r="CF1294" s="4" t="s">
        <v>241</v>
      </c>
      <c r="CG1294" s="4" t="s">
        <v>241</v>
      </c>
      <c r="CK1294" s="4" t="s">
        <v>291</v>
      </c>
      <c r="CL1294" s="4" t="s">
        <v>266</v>
      </c>
      <c r="CM1294" s="4" t="s">
        <v>241</v>
      </c>
      <c r="CO1294" s="4" t="s">
        <v>426</v>
      </c>
      <c r="CP1294" s="5" t="s">
        <v>268</v>
      </c>
      <c r="CQ1294" s="4" t="s">
        <v>269</v>
      </c>
      <c r="CR1294" s="4" t="s">
        <v>270</v>
      </c>
      <c r="CS1294" s="4" t="s">
        <v>293</v>
      </c>
      <c r="CT1294" s="4" t="s">
        <v>241</v>
      </c>
      <c r="CU1294" s="4">
        <v>8.4000000000000005E-2</v>
      </c>
      <c r="CV1294" s="4" t="s">
        <v>271</v>
      </c>
      <c r="CW1294" s="4" t="s">
        <v>415</v>
      </c>
      <c r="CX1294" s="4" t="s">
        <v>2565</v>
      </c>
      <c r="CY1294" s="6">
        <f>0</f>
        <v>0</v>
      </c>
      <c r="CZ1294" s="6">
        <f>1026300</f>
        <v>1026300</v>
      </c>
      <c r="DA1294" s="6">
        <f>1</f>
        <v>1</v>
      </c>
      <c r="DC1294" s="4" t="s">
        <v>241</v>
      </c>
      <c r="DD1294" s="4" t="s">
        <v>241</v>
      </c>
      <c r="DF1294" s="4" t="s">
        <v>241</v>
      </c>
      <c r="DG1294" s="6">
        <f>0</f>
        <v>0</v>
      </c>
      <c r="DI1294" s="4" t="s">
        <v>241</v>
      </c>
      <c r="DJ1294" s="4" t="s">
        <v>241</v>
      </c>
      <c r="DK1294" s="4" t="s">
        <v>241</v>
      </c>
      <c r="DL1294" s="4" t="s">
        <v>241</v>
      </c>
      <c r="DM1294" s="4" t="s">
        <v>278</v>
      </c>
      <c r="DN1294" s="4" t="s">
        <v>278</v>
      </c>
      <c r="DO1294" s="6" t="s">
        <v>241</v>
      </c>
      <c r="DP1294" s="4" t="s">
        <v>241</v>
      </c>
      <c r="DQ1294" s="4" t="s">
        <v>241</v>
      </c>
      <c r="DR1294" s="4" t="s">
        <v>241</v>
      </c>
      <c r="DS1294" s="4" t="s">
        <v>241</v>
      </c>
      <c r="DV1294" s="4" t="s">
        <v>617</v>
      </c>
      <c r="DW1294" s="4" t="s">
        <v>323</v>
      </c>
      <c r="GN1294" s="4" t="s">
        <v>2598</v>
      </c>
      <c r="HO1294" s="4" t="s">
        <v>323</v>
      </c>
      <c r="HR1294" s="4" t="s">
        <v>278</v>
      </c>
      <c r="HS1294" s="4" t="s">
        <v>278</v>
      </c>
      <c r="HT1294" s="4" t="s">
        <v>241</v>
      </c>
      <c r="HU1294" s="4" t="s">
        <v>241</v>
      </c>
      <c r="HV1294" s="4" t="s">
        <v>241</v>
      </c>
      <c r="HW1294" s="4" t="s">
        <v>241</v>
      </c>
      <c r="HX1294" s="4" t="s">
        <v>241</v>
      </c>
      <c r="HY1294" s="4" t="s">
        <v>241</v>
      </c>
      <c r="HZ1294" s="4" t="s">
        <v>241</v>
      </c>
      <c r="IA1294" s="4" t="s">
        <v>241</v>
      </c>
      <c r="IB1294" s="4" t="s">
        <v>241</v>
      </c>
      <c r="IC1294" s="4" t="s">
        <v>241</v>
      </c>
      <c r="ID1294" s="4" t="s">
        <v>241</v>
      </c>
      <c r="IE1294" s="4" t="s">
        <v>241</v>
      </c>
      <c r="IF1294" s="4" t="s">
        <v>241</v>
      </c>
    </row>
    <row r="1295" spans="1:240" x14ac:dyDescent="0.4">
      <c r="A1295" s="4">
        <v>2</v>
      </c>
      <c r="B1295" s="4" t="s">
        <v>239</v>
      </c>
      <c r="C1295" s="4">
        <v>1603</v>
      </c>
      <c r="D1295" s="4">
        <v>1</v>
      </c>
      <c r="E1295" s="4">
        <v>3</v>
      </c>
      <c r="F1295" s="4" t="s">
        <v>240</v>
      </c>
      <c r="G1295" s="4" t="s">
        <v>241</v>
      </c>
      <c r="H1295" s="4" t="s">
        <v>241</v>
      </c>
      <c r="I1295" s="4" t="s">
        <v>644</v>
      </c>
      <c r="J1295" s="4" t="s">
        <v>406</v>
      </c>
      <c r="K1295" s="4" t="s">
        <v>256</v>
      </c>
      <c r="L1295" s="4" t="s">
        <v>532</v>
      </c>
      <c r="M1295" s="5" t="s">
        <v>646</v>
      </c>
      <c r="N1295" s="4" t="s">
        <v>643</v>
      </c>
      <c r="O1295" s="6">
        <f>398</f>
        <v>398</v>
      </c>
      <c r="P1295" s="4" t="s">
        <v>276</v>
      </c>
      <c r="Q1295" s="6">
        <f>16400784</f>
        <v>16400784</v>
      </c>
      <c r="R1295" s="6">
        <f>81192000</f>
        <v>81192000</v>
      </c>
      <c r="S1295" s="5" t="s">
        <v>645</v>
      </c>
      <c r="T1295" s="4" t="s">
        <v>274</v>
      </c>
      <c r="U1295" s="4" t="s">
        <v>365</v>
      </c>
      <c r="V1295" s="6">
        <f>3410064</f>
        <v>3410064</v>
      </c>
      <c r="W1295" s="6">
        <f>64791216</f>
        <v>64791216</v>
      </c>
      <c r="X1295" s="4" t="s">
        <v>243</v>
      </c>
      <c r="Y1295" s="4" t="s">
        <v>244</v>
      </c>
      <c r="Z1295" s="4" t="s">
        <v>504</v>
      </c>
      <c r="AA1295" s="4" t="s">
        <v>241</v>
      </c>
      <c r="AD1295" s="4" t="s">
        <v>241</v>
      </c>
      <c r="AE1295" s="5" t="s">
        <v>241</v>
      </c>
      <c r="AF1295" s="5" t="s">
        <v>241</v>
      </c>
      <c r="AH1295" s="5" t="s">
        <v>241</v>
      </c>
      <c r="AI1295" s="5" t="s">
        <v>249</v>
      </c>
      <c r="AJ1295" s="4" t="s">
        <v>251</v>
      </c>
      <c r="AK1295" s="4" t="s">
        <v>252</v>
      </c>
      <c r="AQ1295" s="4" t="s">
        <v>241</v>
      </c>
      <c r="AR1295" s="4" t="s">
        <v>241</v>
      </c>
      <c r="AS1295" s="4" t="s">
        <v>241</v>
      </c>
      <c r="AT1295" s="5" t="s">
        <v>241</v>
      </c>
      <c r="AU1295" s="5" t="s">
        <v>241</v>
      </c>
      <c r="AV1295" s="5" t="s">
        <v>241</v>
      </c>
      <c r="AY1295" s="4" t="s">
        <v>286</v>
      </c>
      <c r="AZ1295" s="4" t="s">
        <v>286</v>
      </c>
      <c r="BA1295" s="4" t="s">
        <v>254</v>
      </c>
      <c r="BB1295" s="4" t="s">
        <v>287</v>
      </c>
      <c r="BC1295" s="4" t="s">
        <v>255</v>
      </c>
      <c r="BD1295" s="4" t="s">
        <v>241</v>
      </c>
      <c r="BE1295" s="4" t="s">
        <v>257</v>
      </c>
      <c r="BF1295" s="4" t="s">
        <v>241</v>
      </c>
      <c r="BJ1295" s="4" t="s">
        <v>288</v>
      </c>
      <c r="BK1295" s="5" t="s">
        <v>289</v>
      </c>
      <c r="BL1295" s="4" t="s">
        <v>290</v>
      </c>
      <c r="BM1295" s="4" t="s">
        <v>290</v>
      </c>
      <c r="BN1295" s="4" t="s">
        <v>241</v>
      </c>
      <c r="BO1295" s="6">
        <f>0</f>
        <v>0</v>
      </c>
      <c r="BP1295" s="6">
        <f>-3410064</f>
        <v>-3410064</v>
      </c>
      <c r="BQ1295" s="4" t="s">
        <v>263</v>
      </c>
      <c r="BR1295" s="4" t="s">
        <v>264</v>
      </c>
      <c r="BS1295" s="4" t="s">
        <v>241</v>
      </c>
      <c r="BT1295" s="4" t="s">
        <v>241</v>
      </c>
      <c r="BU1295" s="4" t="s">
        <v>241</v>
      </c>
      <c r="BV1295" s="4" t="s">
        <v>241</v>
      </c>
      <c r="CE1295" s="4" t="s">
        <v>264</v>
      </c>
      <c r="CF1295" s="4" t="s">
        <v>241</v>
      </c>
      <c r="CG1295" s="4" t="s">
        <v>241</v>
      </c>
      <c r="CK1295" s="4" t="s">
        <v>291</v>
      </c>
      <c r="CL1295" s="4" t="s">
        <v>266</v>
      </c>
      <c r="CM1295" s="4" t="s">
        <v>241</v>
      </c>
      <c r="CO1295" s="4" t="s">
        <v>364</v>
      </c>
      <c r="CP1295" s="5" t="s">
        <v>268</v>
      </c>
      <c r="CQ1295" s="4" t="s">
        <v>269</v>
      </c>
      <c r="CR1295" s="4" t="s">
        <v>270</v>
      </c>
      <c r="CS1295" s="4" t="s">
        <v>293</v>
      </c>
      <c r="CT1295" s="4" t="s">
        <v>241</v>
      </c>
      <c r="CU1295" s="4">
        <v>4.2000000000000003E-2</v>
      </c>
      <c r="CV1295" s="4" t="s">
        <v>271</v>
      </c>
      <c r="CW1295" s="4" t="s">
        <v>495</v>
      </c>
      <c r="CX1295" s="4" t="s">
        <v>347</v>
      </c>
      <c r="CY1295" s="6">
        <f>0</f>
        <v>0</v>
      </c>
      <c r="CZ1295" s="6">
        <f>81192000</f>
        <v>81192000</v>
      </c>
      <c r="DA1295" s="6">
        <f>16400784</f>
        <v>16400784</v>
      </c>
      <c r="DC1295" s="4" t="s">
        <v>241</v>
      </c>
      <c r="DD1295" s="4" t="s">
        <v>241</v>
      </c>
      <c r="DF1295" s="4" t="s">
        <v>241</v>
      </c>
      <c r="DG1295" s="6">
        <f>0</f>
        <v>0</v>
      </c>
      <c r="DI1295" s="4" t="s">
        <v>241</v>
      </c>
      <c r="DJ1295" s="4" t="s">
        <v>241</v>
      </c>
      <c r="DK1295" s="4" t="s">
        <v>241</v>
      </c>
      <c r="DL1295" s="4" t="s">
        <v>241</v>
      </c>
      <c r="DM1295" s="4" t="s">
        <v>277</v>
      </c>
      <c r="DN1295" s="4" t="s">
        <v>278</v>
      </c>
      <c r="DO1295" s="6">
        <f>398</f>
        <v>398</v>
      </c>
      <c r="DP1295" s="4" t="s">
        <v>241</v>
      </c>
      <c r="DQ1295" s="4" t="s">
        <v>241</v>
      </c>
      <c r="DR1295" s="4" t="s">
        <v>241</v>
      </c>
      <c r="DS1295" s="4" t="s">
        <v>241</v>
      </c>
      <c r="DV1295" s="4" t="s">
        <v>647</v>
      </c>
      <c r="DW1295" s="4" t="s">
        <v>277</v>
      </c>
      <c r="GN1295" s="4" t="s">
        <v>648</v>
      </c>
      <c r="HO1295" s="4" t="s">
        <v>341</v>
      </c>
      <c r="HR1295" s="4" t="s">
        <v>278</v>
      </c>
      <c r="HS1295" s="4" t="s">
        <v>278</v>
      </c>
      <c r="HT1295" s="4" t="s">
        <v>241</v>
      </c>
      <c r="HU1295" s="4" t="s">
        <v>241</v>
      </c>
      <c r="HV1295" s="4" t="s">
        <v>241</v>
      </c>
      <c r="HW1295" s="4" t="s">
        <v>241</v>
      </c>
      <c r="HX1295" s="4" t="s">
        <v>241</v>
      </c>
      <c r="HY1295" s="4" t="s">
        <v>241</v>
      </c>
      <c r="HZ1295" s="4" t="s">
        <v>241</v>
      </c>
      <c r="IA1295" s="4" t="s">
        <v>241</v>
      </c>
      <c r="IB1295" s="4" t="s">
        <v>241</v>
      </c>
      <c r="IC1295" s="4" t="s">
        <v>241</v>
      </c>
      <c r="ID1295" s="4" t="s">
        <v>241</v>
      </c>
      <c r="IE1295" s="4" t="s">
        <v>241</v>
      </c>
      <c r="IF1295" s="4" t="s">
        <v>241</v>
      </c>
    </row>
    <row r="1296" spans="1:240" x14ac:dyDescent="0.4">
      <c r="A1296" s="4">
        <v>2</v>
      </c>
      <c r="B1296" s="4" t="s">
        <v>239</v>
      </c>
      <c r="C1296" s="4">
        <v>1604</v>
      </c>
      <c r="D1296" s="4">
        <v>1</v>
      </c>
      <c r="E1296" s="4">
        <v>1</v>
      </c>
      <c r="F1296" s="4" t="s">
        <v>240</v>
      </c>
      <c r="G1296" s="4" t="s">
        <v>241</v>
      </c>
      <c r="H1296" s="4" t="s">
        <v>241</v>
      </c>
      <c r="I1296" s="4" t="s">
        <v>618</v>
      </c>
      <c r="J1296" s="4" t="s">
        <v>406</v>
      </c>
      <c r="K1296" s="4" t="s">
        <v>256</v>
      </c>
      <c r="L1296" s="4" t="s">
        <v>532</v>
      </c>
      <c r="M1296" s="5" t="s">
        <v>619</v>
      </c>
      <c r="N1296" s="4" t="s">
        <v>532</v>
      </c>
      <c r="O1296" s="6">
        <f>63.38</f>
        <v>63.38</v>
      </c>
      <c r="P1296" s="4" t="s">
        <v>276</v>
      </c>
      <c r="Q1296" s="6">
        <f>1</f>
        <v>1</v>
      </c>
      <c r="R1296" s="6">
        <f>14323880</f>
        <v>14323880</v>
      </c>
      <c r="S1296" s="5" t="s">
        <v>398</v>
      </c>
      <c r="T1296" s="4" t="s">
        <v>274</v>
      </c>
      <c r="U1296" s="4" t="s">
        <v>391</v>
      </c>
      <c r="W1296" s="6">
        <f>14323879</f>
        <v>14323879</v>
      </c>
      <c r="X1296" s="4" t="s">
        <v>243</v>
      </c>
      <c r="Y1296" s="4" t="s">
        <v>244</v>
      </c>
      <c r="Z1296" s="4" t="s">
        <v>504</v>
      </c>
      <c r="AA1296" s="4" t="s">
        <v>241</v>
      </c>
      <c r="AD1296" s="4" t="s">
        <v>241</v>
      </c>
      <c r="AF1296" s="5" t="s">
        <v>241</v>
      </c>
      <c r="AI1296" s="5" t="s">
        <v>249</v>
      </c>
      <c r="AJ1296" s="4" t="s">
        <v>251</v>
      </c>
      <c r="AK1296" s="4" t="s">
        <v>252</v>
      </c>
      <c r="BA1296" s="4" t="s">
        <v>254</v>
      </c>
      <c r="BB1296" s="4" t="s">
        <v>241</v>
      </c>
      <c r="BC1296" s="4" t="s">
        <v>255</v>
      </c>
      <c r="BD1296" s="4" t="s">
        <v>241</v>
      </c>
      <c r="BE1296" s="4" t="s">
        <v>257</v>
      </c>
      <c r="BF1296" s="4" t="s">
        <v>241</v>
      </c>
      <c r="BH1296" s="4" t="s">
        <v>500</v>
      </c>
      <c r="BJ1296" s="4" t="s">
        <v>367</v>
      </c>
      <c r="BK1296" s="5" t="s">
        <v>249</v>
      </c>
      <c r="BL1296" s="4" t="s">
        <v>261</v>
      </c>
      <c r="BM1296" s="4" t="s">
        <v>262</v>
      </c>
      <c r="BN1296" s="4" t="s">
        <v>241</v>
      </c>
      <c r="BO1296" s="6">
        <f>0</f>
        <v>0</v>
      </c>
      <c r="BP1296" s="6">
        <f>0</f>
        <v>0</v>
      </c>
      <c r="BQ1296" s="4" t="s">
        <v>263</v>
      </c>
      <c r="BR1296" s="4" t="s">
        <v>264</v>
      </c>
      <c r="CF1296" s="4" t="s">
        <v>241</v>
      </c>
      <c r="CG1296" s="4" t="s">
        <v>241</v>
      </c>
      <c r="CK1296" s="4" t="s">
        <v>291</v>
      </c>
      <c r="CL1296" s="4" t="s">
        <v>266</v>
      </c>
      <c r="CM1296" s="4" t="s">
        <v>241</v>
      </c>
      <c r="CO1296" s="4" t="s">
        <v>390</v>
      </c>
      <c r="CP1296" s="5" t="s">
        <v>268</v>
      </c>
      <c r="CQ1296" s="4" t="s">
        <v>269</v>
      </c>
      <c r="CR1296" s="4" t="s">
        <v>270</v>
      </c>
      <c r="CS1296" s="4" t="s">
        <v>241</v>
      </c>
      <c r="CT1296" s="4" t="s">
        <v>241</v>
      </c>
      <c r="CU1296" s="4">
        <v>0</v>
      </c>
      <c r="CV1296" s="4" t="s">
        <v>271</v>
      </c>
      <c r="CW1296" s="4" t="s">
        <v>495</v>
      </c>
      <c r="CX1296" s="4" t="s">
        <v>347</v>
      </c>
      <c r="CZ1296" s="6">
        <f>14323880</f>
        <v>14323880</v>
      </c>
      <c r="DA1296" s="6">
        <f>0</f>
        <v>0</v>
      </c>
      <c r="DC1296" s="4" t="s">
        <v>241</v>
      </c>
      <c r="DD1296" s="4" t="s">
        <v>241</v>
      </c>
      <c r="DF1296" s="4" t="s">
        <v>241</v>
      </c>
      <c r="DI1296" s="4" t="s">
        <v>241</v>
      </c>
      <c r="DJ1296" s="4" t="s">
        <v>241</v>
      </c>
      <c r="DK1296" s="4" t="s">
        <v>241</v>
      </c>
      <c r="DL1296" s="4" t="s">
        <v>241</v>
      </c>
      <c r="DM1296" s="4" t="s">
        <v>277</v>
      </c>
      <c r="DN1296" s="4" t="s">
        <v>278</v>
      </c>
      <c r="DO1296" s="6">
        <f>63.38</f>
        <v>63.38</v>
      </c>
      <c r="DP1296" s="4" t="s">
        <v>241</v>
      </c>
      <c r="DQ1296" s="4" t="s">
        <v>241</v>
      </c>
      <c r="DR1296" s="4" t="s">
        <v>241</v>
      </c>
      <c r="DS1296" s="4" t="s">
        <v>241</v>
      </c>
      <c r="DV1296" s="4" t="s">
        <v>620</v>
      </c>
      <c r="DW1296" s="4" t="s">
        <v>277</v>
      </c>
      <c r="HO1296" s="4" t="s">
        <v>277</v>
      </c>
      <c r="HR1296" s="4" t="s">
        <v>278</v>
      </c>
      <c r="HS1296" s="4" t="s">
        <v>278</v>
      </c>
    </row>
    <row r="1297" spans="1:240" x14ac:dyDescent="0.4">
      <c r="A1297" s="4">
        <v>2</v>
      </c>
      <c r="B1297" s="4" t="s">
        <v>239</v>
      </c>
      <c r="C1297" s="4">
        <v>1605</v>
      </c>
      <c r="D1297" s="4">
        <v>1</v>
      </c>
      <c r="E1297" s="4">
        <v>1</v>
      </c>
      <c r="F1297" s="4" t="s">
        <v>240</v>
      </c>
      <c r="G1297" s="4" t="s">
        <v>241</v>
      </c>
      <c r="H1297" s="4" t="s">
        <v>241</v>
      </c>
      <c r="I1297" s="4" t="s">
        <v>1833</v>
      </c>
      <c r="J1297" s="4" t="s">
        <v>1137</v>
      </c>
      <c r="K1297" s="4" t="s">
        <v>256</v>
      </c>
      <c r="L1297" s="4" t="s">
        <v>505</v>
      </c>
      <c r="M1297" s="5" t="s">
        <v>1835</v>
      </c>
      <c r="N1297" s="4" t="s">
        <v>1832</v>
      </c>
      <c r="O1297" s="6">
        <f>140.77</f>
        <v>140.77000000000001</v>
      </c>
      <c r="P1297" s="4" t="s">
        <v>276</v>
      </c>
      <c r="Q1297" s="6">
        <f>1</f>
        <v>1</v>
      </c>
      <c r="R1297" s="6">
        <f>29288600</f>
        <v>29288600</v>
      </c>
      <c r="S1297" s="5" t="s">
        <v>1834</v>
      </c>
      <c r="T1297" s="4" t="s">
        <v>348</v>
      </c>
      <c r="U1297" s="4" t="s">
        <v>371</v>
      </c>
      <c r="W1297" s="6">
        <f>29288599</f>
        <v>29288599</v>
      </c>
      <c r="X1297" s="4" t="s">
        <v>243</v>
      </c>
      <c r="Y1297" s="4" t="s">
        <v>244</v>
      </c>
      <c r="Z1297" s="4" t="s">
        <v>504</v>
      </c>
      <c r="AA1297" s="4" t="s">
        <v>241</v>
      </c>
      <c r="AD1297" s="4" t="s">
        <v>241</v>
      </c>
      <c r="AF1297" s="5" t="s">
        <v>241</v>
      </c>
      <c r="AI1297" s="5" t="s">
        <v>249</v>
      </c>
      <c r="AJ1297" s="4" t="s">
        <v>251</v>
      </c>
      <c r="AK1297" s="4" t="s">
        <v>252</v>
      </c>
      <c r="BA1297" s="4" t="s">
        <v>254</v>
      </c>
      <c r="BB1297" s="4" t="s">
        <v>241</v>
      </c>
      <c r="BC1297" s="4" t="s">
        <v>255</v>
      </c>
      <c r="BD1297" s="4" t="s">
        <v>241</v>
      </c>
      <c r="BE1297" s="4" t="s">
        <v>257</v>
      </c>
      <c r="BF1297" s="4" t="s">
        <v>241</v>
      </c>
      <c r="BJ1297" s="4" t="s">
        <v>374</v>
      </c>
      <c r="BK1297" s="5" t="s">
        <v>375</v>
      </c>
      <c r="BL1297" s="4" t="s">
        <v>261</v>
      </c>
      <c r="BM1297" s="4" t="s">
        <v>262</v>
      </c>
      <c r="BN1297" s="4" t="s">
        <v>241</v>
      </c>
      <c r="BO1297" s="6">
        <f>0</f>
        <v>0</v>
      </c>
      <c r="BP1297" s="6">
        <f>0</f>
        <v>0</v>
      </c>
      <c r="BQ1297" s="4" t="s">
        <v>263</v>
      </c>
      <c r="BR1297" s="4" t="s">
        <v>264</v>
      </c>
      <c r="CF1297" s="4" t="s">
        <v>241</v>
      </c>
      <c r="CG1297" s="4" t="s">
        <v>241</v>
      </c>
      <c r="CK1297" s="4" t="s">
        <v>291</v>
      </c>
      <c r="CL1297" s="4" t="s">
        <v>266</v>
      </c>
      <c r="CM1297" s="4" t="s">
        <v>241</v>
      </c>
      <c r="CO1297" s="4" t="s">
        <v>360</v>
      </c>
      <c r="CP1297" s="5" t="s">
        <v>268</v>
      </c>
      <c r="CQ1297" s="4" t="s">
        <v>269</v>
      </c>
      <c r="CR1297" s="4" t="s">
        <v>270</v>
      </c>
      <c r="CS1297" s="4" t="s">
        <v>241</v>
      </c>
      <c r="CT1297" s="4" t="s">
        <v>241</v>
      </c>
      <c r="CU1297" s="4">
        <v>0</v>
      </c>
      <c r="CV1297" s="4" t="s">
        <v>271</v>
      </c>
      <c r="CW1297" s="4" t="s">
        <v>1830</v>
      </c>
      <c r="CX1297" s="4" t="s">
        <v>347</v>
      </c>
      <c r="CZ1297" s="6">
        <f>29288600</f>
        <v>29288600</v>
      </c>
      <c r="DA1297" s="6">
        <f>0</f>
        <v>0</v>
      </c>
      <c r="DC1297" s="4" t="s">
        <v>241</v>
      </c>
      <c r="DD1297" s="4" t="s">
        <v>241</v>
      </c>
      <c r="DF1297" s="4" t="s">
        <v>241</v>
      </c>
      <c r="DI1297" s="4" t="s">
        <v>241</v>
      </c>
      <c r="DJ1297" s="4" t="s">
        <v>241</v>
      </c>
      <c r="DK1297" s="4" t="s">
        <v>241</v>
      </c>
      <c r="DL1297" s="4" t="s">
        <v>241</v>
      </c>
      <c r="DM1297" s="4" t="s">
        <v>277</v>
      </c>
      <c r="DN1297" s="4" t="s">
        <v>278</v>
      </c>
      <c r="DO1297" s="6">
        <f>140.77</f>
        <v>140.77000000000001</v>
      </c>
      <c r="DP1297" s="4" t="s">
        <v>241</v>
      </c>
      <c r="DQ1297" s="4" t="s">
        <v>241</v>
      </c>
      <c r="DR1297" s="4" t="s">
        <v>241</v>
      </c>
      <c r="DS1297" s="4" t="s">
        <v>241</v>
      </c>
      <c r="DV1297" s="4" t="s">
        <v>1836</v>
      </c>
      <c r="DW1297" s="4" t="s">
        <v>277</v>
      </c>
      <c r="HO1297" s="4" t="s">
        <v>277</v>
      </c>
      <c r="HR1297" s="4" t="s">
        <v>278</v>
      </c>
      <c r="HS1297" s="4" t="s">
        <v>278</v>
      </c>
    </row>
    <row r="1298" spans="1:240" x14ac:dyDescent="0.4">
      <c r="A1298" s="4">
        <v>2</v>
      </c>
      <c r="B1298" s="4" t="s">
        <v>239</v>
      </c>
      <c r="C1298" s="4">
        <v>1606</v>
      </c>
      <c r="D1298" s="4">
        <v>1</v>
      </c>
      <c r="E1298" s="4">
        <v>1</v>
      </c>
      <c r="F1298" s="4" t="s">
        <v>240</v>
      </c>
      <c r="G1298" s="4" t="s">
        <v>241</v>
      </c>
      <c r="H1298" s="4" t="s">
        <v>241</v>
      </c>
      <c r="I1298" s="4" t="s">
        <v>1833</v>
      </c>
      <c r="J1298" s="4" t="s">
        <v>1137</v>
      </c>
      <c r="K1298" s="4" t="s">
        <v>256</v>
      </c>
      <c r="L1298" s="4" t="s">
        <v>505</v>
      </c>
      <c r="M1298" s="5" t="s">
        <v>1835</v>
      </c>
      <c r="N1298" s="4" t="s">
        <v>1879</v>
      </c>
      <c r="O1298" s="6">
        <f>140.77</f>
        <v>140.77000000000001</v>
      </c>
      <c r="P1298" s="4" t="s">
        <v>276</v>
      </c>
      <c r="Q1298" s="6">
        <f>1</f>
        <v>1</v>
      </c>
      <c r="R1298" s="6">
        <f>29288600</f>
        <v>29288600</v>
      </c>
      <c r="S1298" s="5" t="s">
        <v>1834</v>
      </c>
      <c r="T1298" s="4" t="s">
        <v>348</v>
      </c>
      <c r="U1298" s="4" t="s">
        <v>371</v>
      </c>
      <c r="W1298" s="6">
        <f>29288599</f>
        <v>29288599</v>
      </c>
      <c r="X1298" s="4" t="s">
        <v>243</v>
      </c>
      <c r="Y1298" s="4" t="s">
        <v>244</v>
      </c>
      <c r="Z1298" s="4" t="s">
        <v>504</v>
      </c>
      <c r="AA1298" s="4" t="s">
        <v>241</v>
      </c>
      <c r="AD1298" s="4" t="s">
        <v>241</v>
      </c>
      <c r="AF1298" s="5" t="s">
        <v>241</v>
      </c>
      <c r="AI1298" s="5" t="s">
        <v>249</v>
      </c>
      <c r="AJ1298" s="4" t="s">
        <v>251</v>
      </c>
      <c r="AK1298" s="4" t="s">
        <v>252</v>
      </c>
      <c r="BA1298" s="4" t="s">
        <v>254</v>
      </c>
      <c r="BB1298" s="4" t="s">
        <v>241</v>
      </c>
      <c r="BC1298" s="4" t="s">
        <v>255</v>
      </c>
      <c r="BD1298" s="4" t="s">
        <v>241</v>
      </c>
      <c r="BE1298" s="4" t="s">
        <v>257</v>
      </c>
      <c r="BF1298" s="4" t="s">
        <v>241</v>
      </c>
      <c r="BJ1298" s="4" t="s">
        <v>377</v>
      </c>
      <c r="BK1298" s="5" t="s">
        <v>378</v>
      </c>
      <c r="BL1298" s="4" t="s">
        <v>261</v>
      </c>
      <c r="BM1298" s="4" t="s">
        <v>262</v>
      </c>
      <c r="BN1298" s="4" t="s">
        <v>241</v>
      </c>
      <c r="BO1298" s="6">
        <f>0</f>
        <v>0</v>
      </c>
      <c r="BP1298" s="6">
        <f>0</f>
        <v>0</v>
      </c>
      <c r="BQ1298" s="4" t="s">
        <v>263</v>
      </c>
      <c r="BR1298" s="4" t="s">
        <v>264</v>
      </c>
      <c r="CF1298" s="4" t="s">
        <v>241</v>
      </c>
      <c r="CG1298" s="4" t="s">
        <v>241</v>
      </c>
      <c r="CK1298" s="4" t="s">
        <v>291</v>
      </c>
      <c r="CL1298" s="4" t="s">
        <v>266</v>
      </c>
      <c r="CM1298" s="4" t="s">
        <v>241</v>
      </c>
      <c r="CO1298" s="4" t="s">
        <v>360</v>
      </c>
      <c r="CP1298" s="5" t="s">
        <v>268</v>
      </c>
      <c r="CQ1298" s="4" t="s">
        <v>269</v>
      </c>
      <c r="CR1298" s="4" t="s">
        <v>270</v>
      </c>
      <c r="CS1298" s="4" t="s">
        <v>241</v>
      </c>
      <c r="CT1298" s="4" t="s">
        <v>241</v>
      </c>
      <c r="CU1298" s="4">
        <v>0</v>
      </c>
      <c r="CV1298" s="4" t="s">
        <v>271</v>
      </c>
      <c r="CW1298" s="4" t="s">
        <v>1830</v>
      </c>
      <c r="CX1298" s="4" t="s">
        <v>347</v>
      </c>
      <c r="CZ1298" s="6">
        <f>29288600</f>
        <v>29288600</v>
      </c>
      <c r="DA1298" s="6">
        <f>0</f>
        <v>0</v>
      </c>
      <c r="DC1298" s="4" t="s">
        <v>241</v>
      </c>
      <c r="DD1298" s="4" t="s">
        <v>241</v>
      </c>
      <c r="DF1298" s="4" t="s">
        <v>241</v>
      </c>
      <c r="DI1298" s="4" t="s">
        <v>241</v>
      </c>
      <c r="DJ1298" s="4" t="s">
        <v>241</v>
      </c>
      <c r="DK1298" s="4" t="s">
        <v>241</v>
      </c>
      <c r="DL1298" s="4" t="s">
        <v>241</v>
      </c>
      <c r="DM1298" s="4" t="s">
        <v>277</v>
      </c>
      <c r="DN1298" s="4" t="s">
        <v>278</v>
      </c>
      <c r="DO1298" s="6">
        <f>140.77</f>
        <v>140.77000000000001</v>
      </c>
      <c r="DP1298" s="4" t="s">
        <v>241</v>
      </c>
      <c r="DQ1298" s="4" t="s">
        <v>241</v>
      </c>
      <c r="DR1298" s="4" t="s">
        <v>241</v>
      </c>
      <c r="DS1298" s="4" t="s">
        <v>241</v>
      </c>
      <c r="DV1298" s="4" t="s">
        <v>1836</v>
      </c>
      <c r="DW1298" s="4" t="s">
        <v>323</v>
      </c>
      <c r="HO1298" s="4" t="s">
        <v>277</v>
      </c>
      <c r="HR1298" s="4" t="s">
        <v>278</v>
      </c>
      <c r="HS1298" s="4" t="s">
        <v>278</v>
      </c>
    </row>
    <row r="1299" spans="1:240" x14ac:dyDescent="0.4">
      <c r="A1299" s="4">
        <v>2</v>
      </c>
      <c r="B1299" s="4" t="s">
        <v>239</v>
      </c>
      <c r="C1299" s="4">
        <v>1607</v>
      </c>
      <c r="D1299" s="4">
        <v>1</v>
      </c>
      <c r="E1299" s="4">
        <v>1</v>
      </c>
      <c r="F1299" s="4" t="s">
        <v>240</v>
      </c>
      <c r="G1299" s="4" t="s">
        <v>241</v>
      </c>
      <c r="H1299" s="4" t="s">
        <v>241</v>
      </c>
      <c r="I1299" s="4" t="s">
        <v>1833</v>
      </c>
      <c r="J1299" s="4" t="s">
        <v>1137</v>
      </c>
      <c r="K1299" s="4" t="s">
        <v>256</v>
      </c>
      <c r="L1299" s="4" t="s">
        <v>505</v>
      </c>
      <c r="M1299" s="5" t="s">
        <v>1835</v>
      </c>
      <c r="N1299" s="4" t="s">
        <v>1880</v>
      </c>
      <c r="O1299" s="6">
        <f>140.77</f>
        <v>140.77000000000001</v>
      </c>
      <c r="P1299" s="4" t="s">
        <v>276</v>
      </c>
      <c r="Q1299" s="6">
        <f>1</f>
        <v>1</v>
      </c>
      <c r="R1299" s="6">
        <f>29288600</f>
        <v>29288600</v>
      </c>
      <c r="S1299" s="5" t="s">
        <v>1834</v>
      </c>
      <c r="T1299" s="4" t="s">
        <v>348</v>
      </c>
      <c r="U1299" s="4" t="s">
        <v>371</v>
      </c>
      <c r="W1299" s="6">
        <f>29288599</f>
        <v>29288599</v>
      </c>
      <c r="X1299" s="4" t="s">
        <v>243</v>
      </c>
      <c r="Y1299" s="4" t="s">
        <v>244</v>
      </c>
      <c r="Z1299" s="4" t="s">
        <v>504</v>
      </c>
      <c r="AA1299" s="4" t="s">
        <v>241</v>
      </c>
      <c r="AD1299" s="4" t="s">
        <v>241</v>
      </c>
      <c r="AF1299" s="5" t="s">
        <v>241</v>
      </c>
      <c r="AI1299" s="5" t="s">
        <v>249</v>
      </c>
      <c r="AJ1299" s="4" t="s">
        <v>251</v>
      </c>
      <c r="AK1299" s="4" t="s">
        <v>252</v>
      </c>
      <c r="BA1299" s="4" t="s">
        <v>254</v>
      </c>
      <c r="BB1299" s="4" t="s">
        <v>241</v>
      </c>
      <c r="BC1299" s="4" t="s">
        <v>255</v>
      </c>
      <c r="BD1299" s="4" t="s">
        <v>241</v>
      </c>
      <c r="BE1299" s="4" t="s">
        <v>257</v>
      </c>
      <c r="BF1299" s="4" t="s">
        <v>241</v>
      </c>
      <c r="BJ1299" s="4" t="s">
        <v>367</v>
      </c>
      <c r="BK1299" s="5" t="s">
        <v>249</v>
      </c>
      <c r="BL1299" s="4" t="s">
        <v>261</v>
      </c>
      <c r="BM1299" s="4" t="s">
        <v>262</v>
      </c>
      <c r="BN1299" s="4" t="s">
        <v>241</v>
      </c>
      <c r="BO1299" s="6">
        <f>0</f>
        <v>0</v>
      </c>
      <c r="BP1299" s="6">
        <f>0</f>
        <v>0</v>
      </c>
      <c r="BQ1299" s="4" t="s">
        <v>263</v>
      </c>
      <c r="BR1299" s="4" t="s">
        <v>264</v>
      </c>
      <c r="CF1299" s="4" t="s">
        <v>241</v>
      </c>
      <c r="CG1299" s="4" t="s">
        <v>241</v>
      </c>
      <c r="CK1299" s="4" t="s">
        <v>291</v>
      </c>
      <c r="CL1299" s="4" t="s">
        <v>266</v>
      </c>
      <c r="CM1299" s="4" t="s">
        <v>241</v>
      </c>
      <c r="CO1299" s="4" t="s">
        <v>360</v>
      </c>
      <c r="CP1299" s="5" t="s">
        <v>268</v>
      </c>
      <c r="CQ1299" s="4" t="s">
        <v>269</v>
      </c>
      <c r="CR1299" s="4" t="s">
        <v>270</v>
      </c>
      <c r="CS1299" s="4" t="s">
        <v>241</v>
      </c>
      <c r="CT1299" s="4" t="s">
        <v>241</v>
      </c>
      <c r="CU1299" s="4">
        <v>0</v>
      </c>
      <c r="CV1299" s="4" t="s">
        <v>271</v>
      </c>
      <c r="CW1299" s="4" t="s">
        <v>1830</v>
      </c>
      <c r="CX1299" s="4" t="s">
        <v>347</v>
      </c>
      <c r="CZ1299" s="6">
        <f>29288600</f>
        <v>29288600</v>
      </c>
      <c r="DA1299" s="6">
        <f>0</f>
        <v>0</v>
      </c>
      <c r="DC1299" s="4" t="s">
        <v>241</v>
      </c>
      <c r="DD1299" s="4" t="s">
        <v>241</v>
      </c>
      <c r="DF1299" s="4" t="s">
        <v>241</v>
      </c>
      <c r="DI1299" s="4" t="s">
        <v>241</v>
      </c>
      <c r="DJ1299" s="4" t="s">
        <v>241</v>
      </c>
      <c r="DK1299" s="4" t="s">
        <v>241</v>
      </c>
      <c r="DL1299" s="4" t="s">
        <v>241</v>
      </c>
      <c r="DM1299" s="4" t="s">
        <v>277</v>
      </c>
      <c r="DN1299" s="4" t="s">
        <v>278</v>
      </c>
      <c r="DO1299" s="6">
        <f>140.77</f>
        <v>140.77000000000001</v>
      </c>
      <c r="DP1299" s="4" t="s">
        <v>241</v>
      </c>
      <c r="DQ1299" s="4" t="s">
        <v>241</v>
      </c>
      <c r="DR1299" s="4" t="s">
        <v>241</v>
      </c>
      <c r="DS1299" s="4" t="s">
        <v>241</v>
      </c>
      <c r="DV1299" s="4" t="s">
        <v>1836</v>
      </c>
      <c r="DW1299" s="4" t="s">
        <v>297</v>
      </c>
      <c r="HO1299" s="4" t="s">
        <v>277</v>
      </c>
      <c r="HR1299" s="4" t="s">
        <v>278</v>
      </c>
      <c r="HS1299" s="4" t="s">
        <v>278</v>
      </c>
    </row>
    <row r="1300" spans="1:240" x14ac:dyDescent="0.4">
      <c r="A1300" s="4">
        <v>2</v>
      </c>
      <c r="B1300" s="4" t="s">
        <v>239</v>
      </c>
      <c r="C1300" s="4">
        <v>1608</v>
      </c>
      <c r="D1300" s="4">
        <v>1</v>
      </c>
      <c r="E1300" s="4">
        <v>1</v>
      </c>
      <c r="F1300" s="4" t="s">
        <v>240</v>
      </c>
      <c r="G1300" s="4" t="s">
        <v>241</v>
      </c>
      <c r="H1300" s="4" t="s">
        <v>241</v>
      </c>
      <c r="I1300" s="4" t="s">
        <v>3226</v>
      </c>
      <c r="J1300" s="4" t="s">
        <v>1137</v>
      </c>
      <c r="K1300" s="4" t="s">
        <v>256</v>
      </c>
      <c r="L1300" s="4" t="s">
        <v>505</v>
      </c>
      <c r="M1300" s="5" t="s">
        <v>3227</v>
      </c>
      <c r="N1300" s="4" t="s">
        <v>505</v>
      </c>
      <c r="O1300" s="6">
        <f>235</f>
        <v>235</v>
      </c>
      <c r="P1300" s="4" t="s">
        <v>276</v>
      </c>
      <c r="Q1300" s="6">
        <f>1</f>
        <v>1</v>
      </c>
      <c r="R1300" s="6">
        <f>14100000</f>
        <v>14100000</v>
      </c>
      <c r="S1300" s="5" t="s">
        <v>1088</v>
      </c>
      <c r="T1300" s="4" t="s">
        <v>441</v>
      </c>
      <c r="U1300" s="4" t="s">
        <v>1042</v>
      </c>
      <c r="W1300" s="6">
        <f>14099999</f>
        <v>14099999</v>
      </c>
      <c r="X1300" s="4" t="s">
        <v>243</v>
      </c>
      <c r="Y1300" s="4" t="s">
        <v>244</v>
      </c>
      <c r="Z1300" s="4" t="s">
        <v>504</v>
      </c>
      <c r="AA1300" s="4" t="s">
        <v>241</v>
      </c>
      <c r="AD1300" s="4" t="s">
        <v>241</v>
      </c>
      <c r="AF1300" s="5" t="s">
        <v>241</v>
      </c>
      <c r="AI1300" s="5" t="s">
        <v>249</v>
      </c>
      <c r="AJ1300" s="4" t="s">
        <v>251</v>
      </c>
      <c r="AK1300" s="4" t="s">
        <v>252</v>
      </c>
      <c r="BA1300" s="4" t="s">
        <v>254</v>
      </c>
      <c r="BB1300" s="4" t="s">
        <v>241</v>
      </c>
      <c r="BC1300" s="4" t="s">
        <v>255</v>
      </c>
      <c r="BD1300" s="4" t="s">
        <v>241</v>
      </c>
      <c r="BE1300" s="4" t="s">
        <v>257</v>
      </c>
      <c r="BF1300" s="4" t="s">
        <v>241</v>
      </c>
      <c r="BH1300" s="4" t="s">
        <v>500</v>
      </c>
      <c r="BJ1300" s="4" t="s">
        <v>374</v>
      </c>
      <c r="BK1300" s="5" t="s">
        <v>375</v>
      </c>
      <c r="BL1300" s="4" t="s">
        <v>261</v>
      </c>
      <c r="BM1300" s="4" t="s">
        <v>262</v>
      </c>
      <c r="BN1300" s="4" t="s">
        <v>241</v>
      </c>
      <c r="BO1300" s="6">
        <f>0</f>
        <v>0</v>
      </c>
      <c r="BP1300" s="6">
        <f>0</f>
        <v>0</v>
      </c>
      <c r="BQ1300" s="4" t="s">
        <v>263</v>
      </c>
      <c r="BR1300" s="4" t="s">
        <v>264</v>
      </c>
      <c r="CF1300" s="4" t="s">
        <v>241</v>
      </c>
      <c r="CG1300" s="4" t="s">
        <v>241</v>
      </c>
      <c r="CK1300" s="4" t="s">
        <v>265</v>
      </c>
      <c r="CL1300" s="4" t="s">
        <v>266</v>
      </c>
      <c r="CM1300" s="4" t="s">
        <v>241</v>
      </c>
      <c r="CO1300" s="4" t="s">
        <v>914</v>
      </c>
      <c r="CP1300" s="5" t="s">
        <v>268</v>
      </c>
      <c r="CQ1300" s="4" t="s">
        <v>269</v>
      </c>
      <c r="CR1300" s="4" t="s">
        <v>270</v>
      </c>
      <c r="CS1300" s="4" t="s">
        <v>241</v>
      </c>
      <c r="CT1300" s="4" t="s">
        <v>241</v>
      </c>
      <c r="CU1300" s="4">
        <v>0</v>
      </c>
      <c r="CV1300" s="4" t="s">
        <v>271</v>
      </c>
      <c r="CW1300" s="4" t="s">
        <v>272</v>
      </c>
      <c r="CX1300" s="4" t="s">
        <v>487</v>
      </c>
      <c r="CZ1300" s="6">
        <f>14100000</f>
        <v>14100000</v>
      </c>
      <c r="DA1300" s="6">
        <f>0</f>
        <v>0</v>
      </c>
      <c r="DC1300" s="4" t="s">
        <v>241</v>
      </c>
      <c r="DD1300" s="4" t="s">
        <v>241</v>
      </c>
      <c r="DF1300" s="4" t="s">
        <v>241</v>
      </c>
      <c r="DI1300" s="4" t="s">
        <v>241</v>
      </c>
      <c r="DJ1300" s="4" t="s">
        <v>241</v>
      </c>
      <c r="DK1300" s="4" t="s">
        <v>241</v>
      </c>
      <c r="DL1300" s="4" t="s">
        <v>241</v>
      </c>
      <c r="DM1300" s="4" t="s">
        <v>277</v>
      </c>
      <c r="DN1300" s="4" t="s">
        <v>278</v>
      </c>
      <c r="DO1300" s="6">
        <f>235</f>
        <v>235</v>
      </c>
      <c r="DP1300" s="4" t="s">
        <v>241</v>
      </c>
      <c r="DQ1300" s="4" t="s">
        <v>241</v>
      </c>
      <c r="DR1300" s="4" t="s">
        <v>241</v>
      </c>
      <c r="DS1300" s="4" t="s">
        <v>241</v>
      </c>
      <c r="DV1300" s="4" t="s">
        <v>3228</v>
      </c>
      <c r="DW1300" s="4" t="s">
        <v>277</v>
      </c>
      <c r="HO1300" s="4" t="s">
        <v>277</v>
      </c>
      <c r="HR1300" s="4" t="s">
        <v>278</v>
      </c>
      <c r="HS1300" s="4" t="s">
        <v>278</v>
      </c>
    </row>
    <row r="1301" spans="1:240" x14ac:dyDescent="0.4">
      <c r="A1301" s="4">
        <v>2</v>
      </c>
      <c r="B1301" s="4" t="s">
        <v>239</v>
      </c>
      <c r="C1301" s="4">
        <v>1609</v>
      </c>
      <c r="D1301" s="4">
        <v>1</v>
      </c>
      <c r="E1301" s="4">
        <v>1</v>
      </c>
      <c r="F1301" s="4" t="s">
        <v>240</v>
      </c>
      <c r="G1301" s="4" t="s">
        <v>241</v>
      </c>
      <c r="H1301" s="4" t="s">
        <v>241</v>
      </c>
      <c r="I1301" s="4" t="s">
        <v>1453</v>
      </c>
      <c r="J1301" s="4" t="s">
        <v>1137</v>
      </c>
      <c r="K1301" s="4" t="s">
        <v>256</v>
      </c>
      <c r="L1301" s="4" t="s">
        <v>505</v>
      </c>
      <c r="M1301" s="5" t="s">
        <v>1455</v>
      </c>
      <c r="N1301" s="4" t="s">
        <v>505</v>
      </c>
      <c r="O1301" s="6">
        <f>598.25</f>
        <v>598.25</v>
      </c>
      <c r="P1301" s="4" t="s">
        <v>276</v>
      </c>
      <c r="Q1301" s="6">
        <f>1</f>
        <v>1</v>
      </c>
      <c r="R1301" s="6">
        <f>201610250</f>
        <v>201610250</v>
      </c>
      <c r="S1301" s="5" t="s">
        <v>1454</v>
      </c>
      <c r="T1301" s="4" t="s">
        <v>274</v>
      </c>
      <c r="U1301" s="4" t="s">
        <v>274</v>
      </c>
      <c r="W1301" s="6">
        <f>201610249</f>
        <v>201610249</v>
      </c>
      <c r="X1301" s="4" t="s">
        <v>243</v>
      </c>
      <c r="Y1301" s="4" t="s">
        <v>244</v>
      </c>
      <c r="Z1301" s="4" t="s">
        <v>504</v>
      </c>
      <c r="AA1301" s="4" t="s">
        <v>241</v>
      </c>
      <c r="AD1301" s="4" t="s">
        <v>241</v>
      </c>
      <c r="AF1301" s="5" t="s">
        <v>241</v>
      </c>
      <c r="AI1301" s="5" t="s">
        <v>249</v>
      </c>
      <c r="AJ1301" s="4" t="s">
        <v>251</v>
      </c>
      <c r="AK1301" s="4" t="s">
        <v>252</v>
      </c>
      <c r="BA1301" s="4" t="s">
        <v>254</v>
      </c>
      <c r="BB1301" s="4" t="s">
        <v>241</v>
      </c>
      <c r="BC1301" s="4" t="s">
        <v>255</v>
      </c>
      <c r="BD1301" s="4" t="s">
        <v>241</v>
      </c>
      <c r="BE1301" s="4" t="s">
        <v>257</v>
      </c>
      <c r="BF1301" s="4" t="s">
        <v>241</v>
      </c>
      <c r="BH1301" s="4" t="s">
        <v>500</v>
      </c>
      <c r="BJ1301" s="4" t="s">
        <v>377</v>
      </c>
      <c r="BK1301" s="5" t="s">
        <v>378</v>
      </c>
      <c r="BL1301" s="4" t="s">
        <v>261</v>
      </c>
      <c r="BM1301" s="4" t="s">
        <v>290</v>
      </c>
      <c r="BN1301" s="4" t="s">
        <v>241</v>
      </c>
      <c r="BO1301" s="6">
        <f>0</f>
        <v>0</v>
      </c>
      <c r="BP1301" s="6">
        <f>0</f>
        <v>0</v>
      </c>
      <c r="BQ1301" s="4" t="s">
        <v>263</v>
      </c>
      <c r="BR1301" s="4" t="s">
        <v>264</v>
      </c>
      <c r="CF1301" s="4" t="s">
        <v>241</v>
      </c>
      <c r="CG1301" s="4" t="s">
        <v>241</v>
      </c>
      <c r="CK1301" s="4" t="s">
        <v>291</v>
      </c>
      <c r="CL1301" s="4" t="s">
        <v>266</v>
      </c>
      <c r="CM1301" s="4" t="s">
        <v>241</v>
      </c>
      <c r="CO1301" s="4" t="s">
        <v>292</v>
      </c>
      <c r="CP1301" s="5" t="s">
        <v>268</v>
      </c>
      <c r="CQ1301" s="4" t="s">
        <v>269</v>
      </c>
      <c r="CR1301" s="4" t="s">
        <v>270</v>
      </c>
      <c r="CS1301" s="4" t="s">
        <v>241</v>
      </c>
      <c r="CT1301" s="4" t="s">
        <v>241</v>
      </c>
      <c r="CU1301" s="4">
        <v>0</v>
      </c>
      <c r="CV1301" s="4" t="s">
        <v>271</v>
      </c>
      <c r="CW1301" s="4" t="s">
        <v>1329</v>
      </c>
      <c r="CX1301" s="4" t="s">
        <v>347</v>
      </c>
      <c r="CZ1301" s="6">
        <f>201610250</f>
        <v>201610250</v>
      </c>
      <c r="DA1301" s="6">
        <f>0</f>
        <v>0</v>
      </c>
      <c r="DC1301" s="4" t="s">
        <v>241</v>
      </c>
      <c r="DD1301" s="4" t="s">
        <v>241</v>
      </c>
      <c r="DF1301" s="4" t="s">
        <v>241</v>
      </c>
      <c r="DI1301" s="4" t="s">
        <v>241</v>
      </c>
      <c r="DJ1301" s="4" t="s">
        <v>241</v>
      </c>
      <c r="DK1301" s="4" t="s">
        <v>241</v>
      </c>
      <c r="DL1301" s="4" t="s">
        <v>241</v>
      </c>
      <c r="DM1301" s="4" t="s">
        <v>277</v>
      </c>
      <c r="DN1301" s="4" t="s">
        <v>278</v>
      </c>
      <c r="DO1301" s="6">
        <f>598.25</f>
        <v>598.25</v>
      </c>
      <c r="DP1301" s="4" t="s">
        <v>241</v>
      </c>
      <c r="DQ1301" s="4" t="s">
        <v>241</v>
      </c>
      <c r="DR1301" s="4" t="s">
        <v>241</v>
      </c>
      <c r="DS1301" s="4" t="s">
        <v>241</v>
      </c>
      <c r="DV1301" s="4" t="s">
        <v>1456</v>
      </c>
      <c r="DW1301" s="4" t="s">
        <v>277</v>
      </c>
      <c r="HO1301" s="4" t="s">
        <v>341</v>
      </c>
      <c r="HR1301" s="4" t="s">
        <v>278</v>
      </c>
      <c r="HS1301" s="4" t="s">
        <v>278</v>
      </c>
    </row>
    <row r="1302" spans="1:240" x14ac:dyDescent="0.4">
      <c r="A1302" s="4">
        <v>2</v>
      </c>
      <c r="B1302" s="4" t="s">
        <v>239</v>
      </c>
      <c r="C1302" s="4">
        <v>1610</v>
      </c>
      <c r="D1302" s="4">
        <v>1</v>
      </c>
      <c r="E1302" s="4">
        <v>1</v>
      </c>
      <c r="F1302" s="4" t="s">
        <v>240</v>
      </c>
      <c r="G1302" s="4" t="s">
        <v>241</v>
      </c>
      <c r="H1302" s="4" t="s">
        <v>241</v>
      </c>
      <c r="I1302" s="4" t="s">
        <v>1860</v>
      </c>
      <c r="J1302" s="4" t="s">
        <v>406</v>
      </c>
      <c r="K1302" s="4" t="s">
        <v>256</v>
      </c>
      <c r="L1302" s="4" t="s">
        <v>505</v>
      </c>
      <c r="M1302" s="5" t="s">
        <v>1437</v>
      </c>
      <c r="N1302" s="4" t="s">
        <v>505</v>
      </c>
      <c r="O1302" s="6">
        <f>373.47</f>
        <v>373.47</v>
      </c>
      <c r="P1302" s="4" t="s">
        <v>276</v>
      </c>
      <c r="Q1302" s="6">
        <f>1</f>
        <v>1</v>
      </c>
      <c r="R1302" s="6">
        <f>95608320</f>
        <v>95608320</v>
      </c>
      <c r="S1302" s="5" t="s">
        <v>1861</v>
      </c>
      <c r="T1302" s="4" t="s">
        <v>348</v>
      </c>
      <c r="U1302" s="4" t="s">
        <v>348</v>
      </c>
      <c r="W1302" s="6">
        <f>95608319</f>
        <v>95608319</v>
      </c>
      <c r="X1302" s="4" t="s">
        <v>243</v>
      </c>
      <c r="Y1302" s="4" t="s">
        <v>244</v>
      </c>
      <c r="Z1302" s="4" t="s">
        <v>504</v>
      </c>
      <c r="AA1302" s="4" t="s">
        <v>241</v>
      </c>
      <c r="AD1302" s="4" t="s">
        <v>241</v>
      </c>
      <c r="AF1302" s="5" t="s">
        <v>241</v>
      </c>
      <c r="AI1302" s="5" t="s">
        <v>249</v>
      </c>
      <c r="AJ1302" s="4" t="s">
        <v>251</v>
      </c>
      <c r="AK1302" s="4" t="s">
        <v>252</v>
      </c>
      <c r="BA1302" s="4" t="s">
        <v>254</v>
      </c>
      <c r="BB1302" s="4" t="s">
        <v>241</v>
      </c>
      <c r="BC1302" s="4" t="s">
        <v>255</v>
      </c>
      <c r="BD1302" s="4" t="s">
        <v>241</v>
      </c>
      <c r="BE1302" s="4" t="s">
        <v>257</v>
      </c>
      <c r="BF1302" s="4" t="s">
        <v>241</v>
      </c>
      <c r="BJ1302" s="4" t="s">
        <v>259</v>
      </c>
      <c r="BK1302" s="5" t="s">
        <v>260</v>
      </c>
      <c r="BL1302" s="4" t="s">
        <v>261</v>
      </c>
      <c r="BM1302" s="4" t="s">
        <v>290</v>
      </c>
      <c r="BN1302" s="4" t="s">
        <v>241</v>
      </c>
      <c r="BO1302" s="6">
        <f>0</f>
        <v>0</v>
      </c>
      <c r="BP1302" s="6">
        <f>0</f>
        <v>0</v>
      </c>
      <c r="BQ1302" s="4" t="s">
        <v>263</v>
      </c>
      <c r="BR1302" s="4" t="s">
        <v>264</v>
      </c>
      <c r="CF1302" s="4" t="s">
        <v>241</v>
      </c>
      <c r="CG1302" s="4" t="s">
        <v>241</v>
      </c>
      <c r="CK1302" s="4" t="s">
        <v>291</v>
      </c>
      <c r="CL1302" s="4" t="s">
        <v>266</v>
      </c>
      <c r="CM1302" s="4" t="s">
        <v>241</v>
      </c>
      <c r="CO1302" s="4" t="s">
        <v>446</v>
      </c>
      <c r="CP1302" s="5" t="s">
        <v>268</v>
      </c>
      <c r="CQ1302" s="4" t="s">
        <v>269</v>
      </c>
      <c r="CR1302" s="4" t="s">
        <v>270</v>
      </c>
      <c r="CS1302" s="4" t="s">
        <v>241</v>
      </c>
      <c r="CT1302" s="4" t="s">
        <v>241</v>
      </c>
      <c r="CU1302" s="4">
        <v>0</v>
      </c>
      <c r="CV1302" s="4" t="s">
        <v>271</v>
      </c>
      <c r="CW1302" s="4" t="s">
        <v>1830</v>
      </c>
      <c r="CX1302" s="4" t="s">
        <v>347</v>
      </c>
      <c r="CZ1302" s="6">
        <f>95608320</f>
        <v>95608320</v>
      </c>
      <c r="DA1302" s="6">
        <f>0</f>
        <v>0</v>
      </c>
      <c r="DC1302" s="4" t="s">
        <v>241</v>
      </c>
      <c r="DD1302" s="4" t="s">
        <v>241</v>
      </c>
      <c r="DF1302" s="4" t="s">
        <v>241</v>
      </c>
      <c r="DI1302" s="4" t="s">
        <v>241</v>
      </c>
      <c r="DJ1302" s="4" t="s">
        <v>241</v>
      </c>
      <c r="DK1302" s="4" t="s">
        <v>241</v>
      </c>
      <c r="DL1302" s="4" t="s">
        <v>241</v>
      </c>
      <c r="DM1302" s="4" t="s">
        <v>277</v>
      </c>
      <c r="DN1302" s="4" t="s">
        <v>278</v>
      </c>
      <c r="DO1302" s="6">
        <f>373.47</f>
        <v>373.47</v>
      </c>
      <c r="DP1302" s="4" t="s">
        <v>241</v>
      </c>
      <c r="DQ1302" s="4" t="s">
        <v>241</v>
      </c>
      <c r="DR1302" s="4" t="s">
        <v>241</v>
      </c>
      <c r="DS1302" s="4" t="s">
        <v>241</v>
      </c>
      <c r="DV1302" s="4" t="s">
        <v>1862</v>
      </c>
      <c r="DW1302" s="4" t="s">
        <v>277</v>
      </c>
      <c r="HO1302" s="4" t="s">
        <v>336</v>
      </c>
      <c r="HR1302" s="4" t="s">
        <v>278</v>
      </c>
      <c r="HS1302" s="4" t="s">
        <v>278</v>
      </c>
    </row>
    <row r="1303" spans="1:240" x14ac:dyDescent="0.4">
      <c r="A1303" s="4">
        <v>2</v>
      </c>
      <c r="B1303" s="4" t="s">
        <v>239</v>
      </c>
      <c r="C1303" s="4">
        <v>1611</v>
      </c>
      <c r="D1303" s="4">
        <v>1</v>
      </c>
      <c r="E1303" s="4">
        <v>3</v>
      </c>
      <c r="F1303" s="4" t="s">
        <v>326</v>
      </c>
      <c r="G1303" s="4" t="s">
        <v>241</v>
      </c>
      <c r="H1303" s="4" t="s">
        <v>241</v>
      </c>
      <c r="I1303" s="4" t="s">
        <v>1860</v>
      </c>
      <c r="J1303" s="4" t="s">
        <v>406</v>
      </c>
      <c r="K1303" s="4" t="s">
        <v>256</v>
      </c>
      <c r="L1303" s="4" t="s">
        <v>241</v>
      </c>
      <c r="M1303" s="5" t="s">
        <v>1437</v>
      </c>
      <c r="N1303" s="4" t="s">
        <v>2594</v>
      </c>
      <c r="O1303" s="6">
        <f>0</f>
        <v>0</v>
      </c>
      <c r="P1303" s="4" t="s">
        <v>276</v>
      </c>
      <c r="Q1303" s="6">
        <f>1785859</f>
        <v>1785859</v>
      </c>
      <c r="R1303" s="6">
        <f>1949627</f>
        <v>1949627</v>
      </c>
      <c r="S1303" s="5" t="s">
        <v>2595</v>
      </c>
      <c r="T1303" s="4" t="s">
        <v>409</v>
      </c>
      <c r="U1303" s="4" t="s">
        <v>278</v>
      </c>
      <c r="V1303" s="6">
        <f>1949626</f>
        <v>1949626</v>
      </c>
      <c r="W1303" s="6">
        <f>163768</f>
        <v>163768</v>
      </c>
      <c r="X1303" s="4" t="s">
        <v>243</v>
      </c>
      <c r="Y1303" s="4" t="s">
        <v>244</v>
      </c>
      <c r="Z1303" s="4" t="s">
        <v>241</v>
      </c>
      <c r="AA1303" s="4" t="s">
        <v>241</v>
      </c>
      <c r="AD1303" s="4" t="s">
        <v>241</v>
      </c>
      <c r="AE1303" s="5" t="s">
        <v>241</v>
      </c>
      <c r="AF1303" s="5" t="s">
        <v>241</v>
      </c>
      <c r="AH1303" s="5" t="s">
        <v>241</v>
      </c>
      <c r="AI1303" s="5" t="s">
        <v>249</v>
      </c>
      <c r="AJ1303" s="4" t="s">
        <v>251</v>
      </c>
      <c r="AK1303" s="4" t="s">
        <v>252</v>
      </c>
      <c r="AQ1303" s="4" t="s">
        <v>241</v>
      </c>
      <c r="AR1303" s="4" t="s">
        <v>241</v>
      </c>
      <c r="AS1303" s="4" t="s">
        <v>241</v>
      </c>
      <c r="AT1303" s="5" t="s">
        <v>241</v>
      </c>
      <c r="AU1303" s="5" t="s">
        <v>241</v>
      </c>
      <c r="AV1303" s="5" t="s">
        <v>241</v>
      </c>
      <c r="AY1303" s="4" t="s">
        <v>286</v>
      </c>
      <c r="AZ1303" s="4" t="s">
        <v>286</v>
      </c>
      <c r="BA1303" s="4" t="s">
        <v>254</v>
      </c>
      <c r="BB1303" s="4" t="s">
        <v>287</v>
      </c>
      <c r="BC1303" s="4" t="s">
        <v>255</v>
      </c>
      <c r="BD1303" s="4" t="s">
        <v>241</v>
      </c>
      <c r="BE1303" s="4" t="s">
        <v>257</v>
      </c>
      <c r="BF1303" s="4" t="s">
        <v>241</v>
      </c>
      <c r="BJ1303" s="4" t="s">
        <v>288</v>
      </c>
      <c r="BK1303" s="5" t="s">
        <v>289</v>
      </c>
      <c r="BL1303" s="4" t="s">
        <v>290</v>
      </c>
      <c r="BM1303" s="4" t="s">
        <v>290</v>
      </c>
      <c r="BN1303" s="4" t="s">
        <v>241</v>
      </c>
      <c r="BP1303" s="6">
        <f>-163768</f>
        <v>-163768</v>
      </c>
      <c r="BQ1303" s="4" t="s">
        <v>263</v>
      </c>
      <c r="BR1303" s="4" t="s">
        <v>264</v>
      </c>
      <c r="BS1303" s="4" t="s">
        <v>241</v>
      </c>
      <c r="BT1303" s="4" t="s">
        <v>241</v>
      </c>
      <c r="BU1303" s="4" t="s">
        <v>241</v>
      </c>
      <c r="BV1303" s="4" t="s">
        <v>241</v>
      </c>
      <c r="CE1303" s="4" t="s">
        <v>264</v>
      </c>
      <c r="CF1303" s="4" t="s">
        <v>241</v>
      </c>
      <c r="CG1303" s="4" t="s">
        <v>241</v>
      </c>
      <c r="CK1303" s="4" t="s">
        <v>291</v>
      </c>
      <c r="CL1303" s="4" t="s">
        <v>266</v>
      </c>
      <c r="CM1303" s="4" t="s">
        <v>241</v>
      </c>
      <c r="CO1303" s="4" t="s">
        <v>426</v>
      </c>
      <c r="CP1303" s="5" t="s">
        <v>268</v>
      </c>
      <c r="CQ1303" s="4" t="s">
        <v>269</v>
      </c>
      <c r="CR1303" s="4" t="s">
        <v>270</v>
      </c>
      <c r="CS1303" s="4" t="s">
        <v>293</v>
      </c>
      <c r="CT1303" s="4" t="s">
        <v>241</v>
      </c>
      <c r="CU1303" s="4">
        <v>8.4000000000000005E-2</v>
      </c>
      <c r="CV1303" s="4" t="s">
        <v>271</v>
      </c>
      <c r="CW1303" s="4" t="s">
        <v>415</v>
      </c>
      <c r="CX1303" s="4" t="s">
        <v>2565</v>
      </c>
      <c r="CY1303" s="6">
        <f>0</f>
        <v>0</v>
      </c>
      <c r="CZ1303" s="6">
        <f>1949627</f>
        <v>1949627</v>
      </c>
      <c r="DA1303" s="6">
        <f>1</f>
        <v>1</v>
      </c>
      <c r="DC1303" s="4" t="s">
        <v>241</v>
      </c>
      <c r="DD1303" s="4" t="s">
        <v>241</v>
      </c>
      <c r="DF1303" s="4" t="s">
        <v>241</v>
      </c>
      <c r="DG1303" s="6">
        <f>0</f>
        <v>0</v>
      </c>
      <c r="DI1303" s="4" t="s">
        <v>241</v>
      </c>
      <c r="DJ1303" s="4" t="s">
        <v>241</v>
      </c>
      <c r="DK1303" s="4" t="s">
        <v>241</v>
      </c>
      <c r="DL1303" s="4" t="s">
        <v>241</v>
      </c>
      <c r="DM1303" s="4" t="s">
        <v>278</v>
      </c>
      <c r="DN1303" s="4" t="s">
        <v>278</v>
      </c>
      <c r="DO1303" s="6" t="s">
        <v>241</v>
      </c>
      <c r="DP1303" s="4" t="s">
        <v>241</v>
      </c>
      <c r="DQ1303" s="4" t="s">
        <v>241</v>
      </c>
      <c r="DR1303" s="4" t="s">
        <v>241</v>
      </c>
      <c r="DS1303" s="4" t="s">
        <v>241</v>
      </c>
      <c r="DV1303" s="4" t="s">
        <v>1862</v>
      </c>
      <c r="DW1303" s="4" t="s">
        <v>323</v>
      </c>
      <c r="GN1303" s="4" t="s">
        <v>2596</v>
      </c>
      <c r="HO1303" s="4" t="s">
        <v>323</v>
      </c>
      <c r="HR1303" s="4" t="s">
        <v>278</v>
      </c>
      <c r="HS1303" s="4" t="s">
        <v>278</v>
      </c>
      <c r="HT1303" s="4" t="s">
        <v>241</v>
      </c>
      <c r="HU1303" s="4" t="s">
        <v>241</v>
      </c>
      <c r="HV1303" s="4" t="s">
        <v>241</v>
      </c>
      <c r="HW1303" s="4" t="s">
        <v>241</v>
      </c>
      <c r="HX1303" s="4" t="s">
        <v>241</v>
      </c>
      <c r="HY1303" s="4" t="s">
        <v>241</v>
      </c>
      <c r="HZ1303" s="4" t="s">
        <v>241</v>
      </c>
      <c r="IA1303" s="4" t="s">
        <v>241</v>
      </c>
      <c r="IB1303" s="4" t="s">
        <v>241</v>
      </c>
      <c r="IC1303" s="4" t="s">
        <v>241</v>
      </c>
      <c r="ID1303" s="4" t="s">
        <v>241</v>
      </c>
      <c r="IE1303" s="4" t="s">
        <v>241</v>
      </c>
      <c r="IF1303" s="4" t="s">
        <v>241</v>
      </c>
    </row>
    <row r="1304" spans="1:240" x14ac:dyDescent="0.4">
      <c r="A1304" s="4">
        <v>2</v>
      </c>
      <c r="B1304" s="4" t="s">
        <v>239</v>
      </c>
      <c r="C1304" s="4">
        <v>1612</v>
      </c>
      <c r="D1304" s="4">
        <v>1</v>
      </c>
      <c r="E1304" s="4">
        <v>3</v>
      </c>
      <c r="F1304" s="4" t="s">
        <v>240</v>
      </c>
      <c r="G1304" s="4" t="s">
        <v>241</v>
      </c>
      <c r="H1304" s="4" t="s">
        <v>241</v>
      </c>
      <c r="I1304" s="4" t="s">
        <v>1435</v>
      </c>
      <c r="J1304" s="4" t="s">
        <v>406</v>
      </c>
      <c r="K1304" s="4" t="s">
        <v>256</v>
      </c>
      <c r="L1304" s="4" t="s">
        <v>505</v>
      </c>
      <c r="M1304" s="5" t="s">
        <v>1437</v>
      </c>
      <c r="N1304" s="4" t="s">
        <v>505</v>
      </c>
      <c r="O1304" s="6">
        <f>36.43</f>
        <v>36.43</v>
      </c>
      <c r="P1304" s="4" t="s">
        <v>276</v>
      </c>
      <c r="Q1304" s="6">
        <f>1175967</f>
        <v>1175967</v>
      </c>
      <c r="R1304" s="6">
        <f>2185800</f>
        <v>2185800</v>
      </c>
      <c r="S1304" s="5" t="s">
        <v>1436</v>
      </c>
      <c r="T1304" s="4" t="s">
        <v>274</v>
      </c>
      <c r="U1304" s="4" t="s">
        <v>427</v>
      </c>
      <c r="V1304" s="6">
        <f>91803</f>
        <v>91803</v>
      </c>
      <c r="W1304" s="6">
        <f>1009833</f>
        <v>1009833</v>
      </c>
      <c r="X1304" s="4" t="s">
        <v>243</v>
      </c>
      <c r="Y1304" s="4" t="s">
        <v>244</v>
      </c>
      <c r="Z1304" s="4" t="s">
        <v>504</v>
      </c>
      <c r="AA1304" s="4" t="s">
        <v>241</v>
      </c>
      <c r="AD1304" s="4" t="s">
        <v>241</v>
      </c>
      <c r="AE1304" s="5" t="s">
        <v>241</v>
      </c>
      <c r="AF1304" s="5" t="s">
        <v>241</v>
      </c>
      <c r="AH1304" s="5" t="s">
        <v>241</v>
      </c>
      <c r="AI1304" s="5" t="s">
        <v>249</v>
      </c>
      <c r="AJ1304" s="4" t="s">
        <v>251</v>
      </c>
      <c r="AK1304" s="4" t="s">
        <v>252</v>
      </c>
      <c r="AQ1304" s="4" t="s">
        <v>241</v>
      </c>
      <c r="AR1304" s="4" t="s">
        <v>241</v>
      </c>
      <c r="AS1304" s="4" t="s">
        <v>241</v>
      </c>
      <c r="AT1304" s="5" t="s">
        <v>241</v>
      </c>
      <c r="AU1304" s="5" t="s">
        <v>241</v>
      </c>
      <c r="AV1304" s="5" t="s">
        <v>241</v>
      </c>
      <c r="AY1304" s="4" t="s">
        <v>286</v>
      </c>
      <c r="AZ1304" s="4" t="s">
        <v>286</v>
      </c>
      <c r="BA1304" s="4" t="s">
        <v>254</v>
      </c>
      <c r="BB1304" s="4" t="s">
        <v>287</v>
      </c>
      <c r="BC1304" s="4" t="s">
        <v>255</v>
      </c>
      <c r="BD1304" s="4" t="s">
        <v>241</v>
      </c>
      <c r="BE1304" s="4" t="s">
        <v>257</v>
      </c>
      <c r="BF1304" s="4" t="s">
        <v>241</v>
      </c>
      <c r="BH1304" s="4" t="s">
        <v>500</v>
      </c>
      <c r="BJ1304" s="4" t="s">
        <v>288</v>
      </c>
      <c r="BK1304" s="5" t="s">
        <v>289</v>
      </c>
      <c r="BL1304" s="4" t="s">
        <v>290</v>
      </c>
      <c r="BM1304" s="4" t="s">
        <v>290</v>
      </c>
      <c r="BN1304" s="4" t="s">
        <v>241</v>
      </c>
      <c r="BO1304" s="6">
        <f>0</f>
        <v>0</v>
      </c>
      <c r="BP1304" s="6">
        <f>-91803</f>
        <v>-91803</v>
      </c>
      <c r="BQ1304" s="4" t="s">
        <v>263</v>
      </c>
      <c r="BR1304" s="4" t="s">
        <v>264</v>
      </c>
      <c r="BS1304" s="4" t="s">
        <v>241</v>
      </c>
      <c r="BT1304" s="4" t="s">
        <v>241</v>
      </c>
      <c r="BU1304" s="4" t="s">
        <v>241</v>
      </c>
      <c r="BV1304" s="4" t="s">
        <v>241</v>
      </c>
      <c r="CE1304" s="4" t="s">
        <v>264</v>
      </c>
      <c r="CF1304" s="4" t="s">
        <v>241</v>
      </c>
      <c r="CG1304" s="4" t="s">
        <v>241</v>
      </c>
      <c r="CK1304" s="4" t="s">
        <v>265</v>
      </c>
      <c r="CL1304" s="4" t="s">
        <v>266</v>
      </c>
      <c r="CM1304" s="4" t="s">
        <v>241</v>
      </c>
      <c r="CO1304" s="4" t="s">
        <v>1438</v>
      </c>
      <c r="CP1304" s="5" t="s">
        <v>268</v>
      </c>
      <c r="CQ1304" s="4" t="s">
        <v>269</v>
      </c>
      <c r="CR1304" s="4" t="s">
        <v>270</v>
      </c>
      <c r="CS1304" s="4" t="s">
        <v>293</v>
      </c>
      <c r="CT1304" s="4" t="s">
        <v>241</v>
      </c>
      <c r="CU1304" s="4">
        <v>4.2000000000000003E-2</v>
      </c>
      <c r="CV1304" s="4" t="s">
        <v>271</v>
      </c>
      <c r="CW1304" s="4" t="s">
        <v>1329</v>
      </c>
      <c r="CX1304" s="4" t="s">
        <v>347</v>
      </c>
      <c r="CY1304" s="6">
        <f>0</f>
        <v>0</v>
      </c>
      <c r="CZ1304" s="6">
        <f>2185800</f>
        <v>2185800</v>
      </c>
      <c r="DA1304" s="6">
        <f>1175967</f>
        <v>1175967</v>
      </c>
      <c r="DC1304" s="4" t="s">
        <v>241</v>
      </c>
      <c r="DD1304" s="4" t="s">
        <v>241</v>
      </c>
      <c r="DF1304" s="4" t="s">
        <v>241</v>
      </c>
      <c r="DG1304" s="6">
        <f>0</f>
        <v>0</v>
      </c>
      <c r="DI1304" s="4" t="s">
        <v>241</v>
      </c>
      <c r="DJ1304" s="4" t="s">
        <v>241</v>
      </c>
      <c r="DK1304" s="4" t="s">
        <v>241</v>
      </c>
      <c r="DL1304" s="4" t="s">
        <v>241</v>
      </c>
      <c r="DM1304" s="4" t="s">
        <v>277</v>
      </c>
      <c r="DN1304" s="4" t="s">
        <v>278</v>
      </c>
      <c r="DO1304" s="6">
        <f>36.43</f>
        <v>36.43</v>
      </c>
      <c r="DP1304" s="4" t="s">
        <v>241</v>
      </c>
      <c r="DQ1304" s="4" t="s">
        <v>241</v>
      </c>
      <c r="DR1304" s="4" t="s">
        <v>241</v>
      </c>
      <c r="DS1304" s="4" t="s">
        <v>241</v>
      </c>
      <c r="DV1304" s="4" t="s">
        <v>1439</v>
      </c>
      <c r="DW1304" s="4" t="s">
        <v>277</v>
      </c>
      <c r="GN1304" s="4" t="s">
        <v>1440</v>
      </c>
      <c r="HO1304" s="4" t="s">
        <v>341</v>
      </c>
      <c r="HR1304" s="4" t="s">
        <v>278</v>
      </c>
      <c r="HS1304" s="4" t="s">
        <v>278</v>
      </c>
      <c r="HT1304" s="4" t="s">
        <v>241</v>
      </c>
      <c r="HU1304" s="4" t="s">
        <v>241</v>
      </c>
      <c r="HV1304" s="4" t="s">
        <v>241</v>
      </c>
      <c r="HW1304" s="4" t="s">
        <v>241</v>
      </c>
      <c r="HX1304" s="4" t="s">
        <v>241</v>
      </c>
      <c r="HY1304" s="4" t="s">
        <v>241</v>
      </c>
      <c r="HZ1304" s="4" t="s">
        <v>241</v>
      </c>
      <c r="IA1304" s="4" t="s">
        <v>241</v>
      </c>
      <c r="IB1304" s="4" t="s">
        <v>241</v>
      </c>
      <c r="IC1304" s="4" t="s">
        <v>241</v>
      </c>
      <c r="ID1304" s="4" t="s">
        <v>241</v>
      </c>
      <c r="IE1304" s="4" t="s">
        <v>241</v>
      </c>
      <c r="IF1304" s="4" t="s">
        <v>241</v>
      </c>
    </row>
    <row r="1305" spans="1:240" x14ac:dyDescent="0.4">
      <c r="A1305" s="4">
        <v>2</v>
      </c>
      <c r="B1305" s="4" t="s">
        <v>239</v>
      </c>
      <c r="C1305" s="4">
        <v>1613</v>
      </c>
      <c r="D1305" s="4">
        <v>1</v>
      </c>
      <c r="E1305" s="4">
        <v>3</v>
      </c>
      <c r="F1305" s="4" t="s">
        <v>240</v>
      </c>
      <c r="G1305" s="4" t="s">
        <v>241</v>
      </c>
      <c r="H1305" s="4" t="s">
        <v>241</v>
      </c>
      <c r="I1305" s="4" t="s">
        <v>2063</v>
      </c>
      <c r="J1305" s="4" t="s">
        <v>396</v>
      </c>
      <c r="K1305" s="4" t="s">
        <v>256</v>
      </c>
      <c r="L1305" s="4" t="s">
        <v>505</v>
      </c>
      <c r="M1305" s="5" t="s">
        <v>2065</v>
      </c>
      <c r="N1305" s="4" t="s">
        <v>505</v>
      </c>
      <c r="O1305" s="6">
        <f>241.68</f>
        <v>241.68</v>
      </c>
      <c r="P1305" s="4" t="s">
        <v>276</v>
      </c>
      <c r="Q1305" s="6">
        <f>20814700</f>
        <v>20814700</v>
      </c>
      <c r="R1305" s="6">
        <f>64045200</f>
        <v>64045200</v>
      </c>
      <c r="S1305" s="5" t="s">
        <v>2064</v>
      </c>
      <c r="T1305" s="4" t="s">
        <v>333</v>
      </c>
      <c r="U1305" s="4" t="s">
        <v>274</v>
      </c>
      <c r="V1305" s="6">
        <f>1729220</f>
        <v>1729220</v>
      </c>
      <c r="W1305" s="6">
        <f>43230500</f>
        <v>43230500</v>
      </c>
      <c r="X1305" s="4" t="s">
        <v>243</v>
      </c>
      <c r="Y1305" s="4" t="s">
        <v>244</v>
      </c>
      <c r="Z1305" s="4" t="s">
        <v>504</v>
      </c>
      <c r="AA1305" s="4" t="s">
        <v>241</v>
      </c>
      <c r="AD1305" s="4" t="s">
        <v>241</v>
      </c>
      <c r="AE1305" s="5" t="s">
        <v>241</v>
      </c>
      <c r="AF1305" s="5" t="s">
        <v>241</v>
      </c>
      <c r="AH1305" s="5" t="s">
        <v>241</v>
      </c>
      <c r="AI1305" s="5" t="s">
        <v>249</v>
      </c>
      <c r="AJ1305" s="4" t="s">
        <v>251</v>
      </c>
      <c r="AK1305" s="4" t="s">
        <v>252</v>
      </c>
      <c r="AQ1305" s="4" t="s">
        <v>241</v>
      </c>
      <c r="AR1305" s="4" t="s">
        <v>241</v>
      </c>
      <c r="AS1305" s="4" t="s">
        <v>241</v>
      </c>
      <c r="AT1305" s="5" t="s">
        <v>241</v>
      </c>
      <c r="AU1305" s="5" t="s">
        <v>241</v>
      </c>
      <c r="AV1305" s="5" t="s">
        <v>241</v>
      </c>
      <c r="AY1305" s="4" t="s">
        <v>286</v>
      </c>
      <c r="AZ1305" s="4" t="s">
        <v>286</v>
      </c>
      <c r="BA1305" s="4" t="s">
        <v>254</v>
      </c>
      <c r="BB1305" s="4" t="s">
        <v>287</v>
      </c>
      <c r="BC1305" s="4" t="s">
        <v>255</v>
      </c>
      <c r="BD1305" s="4" t="s">
        <v>241</v>
      </c>
      <c r="BE1305" s="4" t="s">
        <v>257</v>
      </c>
      <c r="BF1305" s="4" t="s">
        <v>241</v>
      </c>
      <c r="BJ1305" s="4" t="s">
        <v>288</v>
      </c>
      <c r="BK1305" s="5" t="s">
        <v>289</v>
      </c>
      <c r="BL1305" s="4" t="s">
        <v>290</v>
      </c>
      <c r="BM1305" s="4" t="s">
        <v>290</v>
      </c>
      <c r="BN1305" s="4" t="s">
        <v>241</v>
      </c>
      <c r="BO1305" s="6">
        <f>0</f>
        <v>0</v>
      </c>
      <c r="BP1305" s="6">
        <f>-1729220</f>
        <v>-1729220</v>
      </c>
      <c r="BQ1305" s="4" t="s">
        <v>263</v>
      </c>
      <c r="BR1305" s="4" t="s">
        <v>264</v>
      </c>
      <c r="BS1305" s="4" t="s">
        <v>241</v>
      </c>
      <c r="BT1305" s="4" t="s">
        <v>241</v>
      </c>
      <c r="BU1305" s="4" t="s">
        <v>241</v>
      </c>
      <c r="BV1305" s="4" t="s">
        <v>241</v>
      </c>
      <c r="CE1305" s="4" t="s">
        <v>264</v>
      </c>
      <c r="CF1305" s="4" t="s">
        <v>241</v>
      </c>
      <c r="CG1305" s="4" t="s">
        <v>241</v>
      </c>
      <c r="CK1305" s="4" t="s">
        <v>291</v>
      </c>
      <c r="CL1305" s="4" t="s">
        <v>266</v>
      </c>
      <c r="CM1305" s="4" t="s">
        <v>241</v>
      </c>
      <c r="CO1305" s="4" t="s">
        <v>292</v>
      </c>
      <c r="CP1305" s="5" t="s">
        <v>268</v>
      </c>
      <c r="CQ1305" s="4" t="s">
        <v>269</v>
      </c>
      <c r="CR1305" s="4" t="s">
        <v>270</v>
      </c>
      <c r="CS1305" s="4" t="s">
        <v>293</v>
      </c>
      <c r="CT1305" s="4" t="s">
        <v>241</v>
      </c>
      <c r="CU1305" s="4">
        <v>2.7E-2</v>
      </c>
      <c r="CV1305" s="4" t="s">
        <v>271</v>
      </c>
      <c r="CW1305" s="4" t="s">
        <v>1986</v>
      </c>
      <c r="CX1305" s="4" t="s">
        <v>295</v>
      </c>
      <c r="CY1305" s="6">
        <f>0</f>
        <v>0</v>
      </c>
      <c r="CZ1305" s="6">
        <f>64045200</f>
        <v>64045200</v>
      </c>
      <c r="DA1305" s="6">
        <f>20814700</f>
        <v>20814700</v>
      </c>
      <c r="DC1305" s="4" t="s">
        <v>241</v>
      </c>
      <c r="DD1305" s="4" t="s">
        <v>241</v>
      </c>
      <c r="DF1305" s="4" t="s">
        <v>241</v>
      </c>
      <c r="DG1305" s="6">
        <f>0</f>
        <v>0</v>
      </c>
      <c r="DI1305" s="4" t="s">
        <v>241</v>
      </c>
      <c r="DJ1305" s="4" t="s">
        <v>241</v>
      </c>
      <c r="DK1305" s="4" t="s">
        <v>241</v>
      </c>
      <c r="DL1305" s="4" t="s">
        <v>241</v>
      </c>
      <c r="DM1305" s="4" t="s">
        <v>277</v>
      </c>
      <c r="DN1305" s="4" t="s">
        <v>278</v>
      </c>
      <c r="DO1305" s="6">
        <f>241.68</f>
        <v>241.68</v>
      </c>
      <c r="DP1305" s="4" t="s">
        <v>241</v>
      </c>
      <c r="DQ1305" s="4" t="s">
        <v>241</v>
      </c>
      <c r="DR1305" s="4" t="s">
        <v>241</v>
      </c>
      <c r="DS1305" s="4" t="s">
        <v>241</v>
      </c>
      <c r="DV1305" s="4" t="s">
        <v>2066</v>
      </c>
      <c r="DW1305" s="4" t="s">
        <v>277</v>
      </c>
      <c r="GN1305" s="4" t="s">
        <v>2067</v>
      </c>
      <c r="HO1305" s="4" t="s">
        <v>341</v>
      </c>
      <c r="HR1305" s="4" t="s">
        <v>278</v>
      </c>
      <c r="HS1305" s="4" t="s">
        <v>278</v>
      </c>
      <c r="HT1305" s="4" t="s">
        <v>241</v>
      </c>
      <c r="HU1305" s="4" t="s">
        <v>241</v>
      </c>
      <c r="HV1305" s="4" t="s">
        <v>241</v>
      </c>
      <c r="HW1305" s="4" t="s">
        <v>241</v>
      </c>
      <c r="HX1305" s="4" t="s">
        <v>241</v>
      </c>
      <c r="HY1305" s="4" t="s">
        <v>241</v>
      </c>
      <c r="HZ1305" s="4" t="s">
        <v>241</v>
      </c>
      <c r="IA1305" s="4" t="s">
        <v>241</v>
      </c>
      <c r="IB1305" s="4" t="s">
        <v>241</v>
      </c>
      <c r="IC1305" s="4" t="s">
        <v>241</v>
      </c>
      <c r="ID1305" s="4" t="s">
        <v>241</v>
      </c>
      <c r="IE1305" s="4" t="s">
        <v>241</v>
      </c>
      <c r="IF1305" s="4" t="s">
        <v>241</v>
      </c>
    </row>
    <row r="1306" spans="1:240" x14ac:dyDescent="0.4">
      <c r="A1306" s="4">
        <v>2</v>
      </c>
      <c r="B1306" s="4" t="s">
        <v>239</v>
      </c>
      <c r="C1306" s="4">
        <v>1614</v>
      </c>
      <c r="D1306" s="4">
        <v>1</v>
      </c>
      <c r="E1306" s="4">
        <v>3</v>
      </c>
      <c r="F1306" s="4" t="s">
        <v>240</v>
      </c>
      <c r="G1306" s="4" t="s">
        <v>241</v>
      </c>
      <c r="H1306" s="4" t="s">
        <v>241</v>
      </c>
      <c r="I1306" s="4" t="s">
        <v>2051</v>
      </c>
      <c r="J1306" s="4" t="s">
        <v>396</v>
      </c>
      <c r="K1306" s="4" t="s">
        <v>256</v>
      </c>
      <c r="L1306" s="4" t="s">
        <v>505</v>
      </c>
      <c r="M1306" s="5" t="s">
        <v>2052</v>
      </c>
      <c r="N1306" s="4" t="s">
        <v>505</v>
      </c>
      <c r="O1306" s="6">
        <f>218</f>
        <v>218</v>
      </c>
      <c r="P1306" s="4" t="s">
        <v>276</v>
      </c>
      <c r="Q1306" s="6">
        <f>7391072</f>
        <v>7391072</v>
      </c>
      <c r="R1306" s="6">
        <f>45344000</f>
        <v>45344000</v>
      </c>
      <c r="S1306" s="5" t="s">
        <v>868</v>
      </c>
      <c r="T1306" s="4" t="s">
        <v>333</v>
      </c>
      <c r="U1306" s="4" t="s">
        <v>408</v>
      </c>
      <c r="V1306" s="6">
        <f>1224288</f>
        <v>1224288</v>
      </c>
      <c r="W1306" s="6">
        <f>37952928</f>
        <v>37952928</v>
      </c>
      <c r="X1306" s="4" t="s">
        <v>243</v>
      </c>
      <c r="Y1306" s="4" t="s">
        <v>244</v>
      </c>
      <c r="Z1306" s="4" t="s">
        <v>504</v>
      </c>
      <c r="AA1306" s="4" t="s">
        <v>241</v>
      </c>
      <c r="AD1306" s="4" t="s">
        <v>241</v>
      </c>
      <c r="AE1306" s="5" t="s">
        <v>241</v>
      </c>
      <c r="AF1306" s="5" t="s">
        <v>241</v>
      </c>
      <c r="AH1306" s="5" t="s">
        <v>241</v>
      </c>
      <c r="AI1306" s="5" t="s">
        <v>249</v>
      </c>
      <c r="AJ1306" s="4" t="s">
        <v>251</v>
      </c>
      <c r="AK1306" s="4" t="s">
        <v>252</v>
      </c>
      <c r="AQ1306" s="4" t="s">
        <v>241</v>
      </c>
      <c r="AR1306" s="4" t="s">
        <v>241</v>
      </c>
      <c r="AS1306" s="4" t="s">
        <v>241</v>
      </c>
      <c r="AT1306" s="5" t="s">
        <v>241</v>
      </c>
      <c r="AU1306" s="5" t="s">
        <v>241</v>
      </c>
      <c r="AV1306" s="5" t="s">
        <v>241</v>
      </c>
      <c r="AY1306" s="4" t="s">
        <v>286</v>
      </c>
      <c r="AZ1306" s="4" t="s">
        <v>286</v>
      </c>
      <c r="BA1306" s="4" t="s">
        <v>254</v>
      </c>
      <c r="BB1306" s="4" t="s">
        <v>287</v>
      </c>
      <c r="BC1306" s="4" t="s">
        <v>255</v>
      </c>
      <c r="BD1306" s="4" t="s">
        <v>241</v>
      </c>
      <c r="BE1306" s="4" t="s">
        <v>257</v>
      </c>
      <c r="BF1306" s="4" t="s">
        <v>241</v>
      </c>
      <c r="BJ1306" s="4" t="s">
        <v>288</v>
      </c>
      <c r="BK1306" s="5" t="s">
        <v>289</v>
      </c>
      <c r="BL1306" s="4" t="s">
        <v>290</v>
      </c>
      <c r="BM1306" s="4" t="s">
        <v>290</v>
      </c>
      <c r="BN1306" s="4" t="s">
        <v>241</v>
      </c>
      <c r="BO1306" s="6">
        <f>0</f>
        <v>0</v>
      </c>
      <c r="BP1306" s="6">
        <f>-1224288</f>
        <v>-1224288</v>
      </c>
      <c r="BQ1306" s="4" t="s">
        <v>263</v>
      </c>
      <c r="BR1306" s="4" t="s">
        <v>264</v>
      </c>
      <c r="BS1306" s="4" t="s">
        <v>241</v>
      </c>
      <c r="BT1306" s="4" t="s">
        <v>241</v>
      </c>
      <c r="BU1306" s="4" t="s">
        <v>241</v>
      </c>
      <c r="BV1306" s="4" t="s">
        <v>241</v>
      </c>
      <c r="CE1306" s="4" t="s">
        <v>264</v>
      </c>
      <c r="CF1306" s="4" t="s">
        <v>241</v>
      </c>
      <c r="CG1306" s="4" t="s">
        <v>241</v>
      </c>
      <c r="CK1306" s="4" t="s">
        <v>291</v>
      </c>
      <c r="CL1306" s="4" t="s">
        <v>266</v>
      </c>
      <c r="CM1306" s="4" t="s">
        <v>241</v>
      </c>
      <c r="CO1306" s="4" t="s">
        <v>468</v>
      </c>
      <c r="CP1306" s="5" t="s">
        <v>268</v>
      </c>
      <c r="CQ1306" s="4" t="s">
        <v>269</v>
      </c>
      <c r="CR1306" s="4" t="s">
        <v>270</v>
      </c>
      <c r="CS1306" s="4" t="s">
        <v>293</v>
      </c>
      <c r="CT1306" s="4" t="s">
        <v>241</v>
      </c>
      <c r="CU1306" s="4">
        <v>2.7E-2</v>
      </c>
      <c r="CV1306" s="4" t="s">
        <v>271</v>
      </c>
      <c r="CW1306" s="4" t="s">
        <v>1986</v>
      </c>
      <c r="CX1306" s="4" t="s">
        <v>295</v>
      </c>
      <c r="CY1306" s="6">
        <f>0</f>
        <v>0</v>
      </c>
      <c r="CZ1306" s="6">
        <f>45344000</f>
        <v>45344000</v>
      </c>
      <c r="DA1306" s="6">
        <f>7391072</f>
        <v>7391072</v>
      </c>
      <c r="DC1306" s="4" t="s">
        <v>241</v>
      </c>
      <c r="DD1306" s="4" t="s">
        <v>241</v>
      </c>
      <c r="DF1306" s="4" t="s">
        <v>241</v>
      </c>
      <c r="DG1306" s="6">
        <f>0</f>
        <v>0</v>
      </c>
      <c r="DI1306" s="4" t="s">
        <v>241</v>
      </c>
      <c r="DJ1306" s="4" t="s">
        <v>241</v>
      </c>
      <c r="DK1306" s="4" t="s">
        <v>241</v>
      </c>
      <c r="DL1306" s="4" t="s">
        <v>241</v>
      </c>
      <c r="DM1306" s="4" t="s">
        <v>277</v>
      </c>
      <c r="DN1306" s="4" t="s">
        <v>278</v>
      </c>
      <c r="DO1306" s="6">
        <f>218</f>
        <v>218</v>
      </c>
      <c r="DP1306" s="4" t="s">
        <v>241</v>
      </c>
      <c r="DQ1306" s="4" t="s">
        <v>241</v>
      </c>
      <c r="DR1306" s="4" t="s">
        <v>241</v>
      </c>
      <c r="DS1306" s="4" t="s">
        <v>241</v>
      </c>
      <c r="DV1306" s="4" t="s">
        <v>2053</v>
      </c>
      <c r="DW1306" s="4" t="s">
        <v>277</v>
      </c>
      <c r="GN1306" s="4" t="s">
        <v>2054</v>
      </c>
      <c r="HO1306" s="4" t="s">
        <v>341</v>
      </c>
      <c r="HR1306" s="4" t="s">
        <v>278</v>
      </c>
      <c r="HS1306" s="4" t="s">
        <v>278</v>
      </c>
      <c r="HT1306" s="4" t="s">
        <v>241</v>
      </c>
      <c r="HU1306" s="4" t="s">
        <v>241</v>
      </c>
      <c r="HV1306" s="4" t="s">
        <v>241</v>
      </c>
      <c r="HW1306" s="4" t="s">
        <v>241</v>
      </c>
      <c r="HX1306" s="4" t="s">
        <v>241</v>
      </c>
      <c r="HY1306" s="4" t="s">
        <v>241</v>
      </c>
      <c r="HZ1306" s="4" t="s">
        <v>241</v>
      </c>
      <c r="IA1306" s="4" t="s">
        <v>241</v>
      </c>
      <c r="IB1306" s="4" t="s">
        <v>241</v>
      </c>
      <c r="IC1306" s="4" t="s">
        <v>241</v>
      </c>
      <c r="ID1306" s="4" t="s">
        <v>241</v>
      </c>
      <c r="IE1306" s="4" t="s">
        <v>241</v>
      </c>
      <c r="IF1306" s="4" t="s">
        <v>241</v>
      </c>
    </row>
    <row r="1307" spans="1:240" x14ac:dyDescent="0.4">
      <c r="A1307" s="4">
        <v>2</v>
      </c>
      <c r="B1307" s="4" t="s">
        <v>239</v>
      </c>
      <c r="C1307" s="4">
        <v>1615</v>
      </c>
      <c r="D1307" s="4">
        <v>1</v>
      </c>
      <c r="E1307" s="4">
        <v>3</v>
      </c>
      <c r="F1307" s="4" t="s">
        <v>240</v>
      </c>
      <c r="G1307" s="4" t="s">
        <v>241</v>
      </c>
      <c r="H1307" s="4" t="s">
        <v>241</v>
      </c>
      <c r="I1307" s="4" t="s">
        <v>2045</v>
      </c>
      <c r="J1307" s="4" t="s">
        <v>396</v>
      </c>
      <c r="K1307" s="4" t="s">
        <v>256</v>
      </c>
      <c r="L1307" s="4" t="s">
        <v>505</v>
      </c>
      <c r="M1307" s="5" t="s">
        <v>2047</v>
      </c>
      <c r="N1307" s="4" t="s">
        <v>505</v>
      </c>
      <c r="O1307" s="6">
        <f>263</f>
        <v>263</v>
      </c>
      <c r="P1307" s="4" t="s">
        <v>276</v>
      </c>
      <c r="Q1307" s="6">
        <f>19906996</f>
        <v>19906996</v>
      </c>
      <c r="R1307" s="6">
        <f>66802000</f>
        <v>66802000</v>
      </c>
      <c r="S1307" s="5" t="s">
        <v>2046</v>
      </c>
      <c r="T1307" s="4" t="s">
        <v>333</v>
      </c>
      <c r="U1307" s="4" t="s">
        <v>404</v>
      </c>
      <c r="V1307" s="6">
        <f>1803654</f>
        <v>1803654</v>
      </c>
      <c r="W1307" s="6">
        <f>46895004</f>
        <v>46895004</v>
      </c>
      <c r="X1307" s="4" t="s">
        <v>243</v>
      </c>
      <c r="Y1307" s="4" t="s">
        <v>244</v>
      </c>
      <c r="Z1307" s="4" t="s">
        <v>504</v>
      </c>
      <c r="AA1307" s="4" t="s">
        <v>241</v>
      </c>
      <c r="AD1307" s="4" t="s">
        <v>241</v>
      </c>
      <c r="AE1307" s="5" t="s">
        <v>241</v>
      </c>
      <c r="AF1307" s="5" t="s">
        <v>241</v>
      </c>
      <c r="AH1307" s="5" t="s">
        <v>241</v>
      </c>
      <c r="AI1307" s="5" t="s">
        <v>249</v>
      </c>
      <c r="AJ1307" s="4" t="s">
        <v>251</v>
      </c>
      <c r="AK1307" s="4" t="s">
        <v>252</v>
      </c>
      <c r="AQ1307" s="4" t="s">
        <v>241</v>
      </c>
      <c r="AR1307" s="4" t="s">
        <v>241</v>
      </c>
      <c r="AS1307" s="4" t="s">
        <v>241</v>
      </c>
      <c r="AT1307" s="5" t="s">
        <v>241</v>
      </c>
      <c r="AU1307" s="5" t="s">
        <v>241</v>
      </c>
      <c r="AV1307" s="5" t="s">
        <v>241</v>
      </c>
      <c r="AY1307" s="4" t="s">
        <v>286</v>
      </c>
      <c r="AZ1307" s="4" t="s">
        <v>286</v>
      </c>
      <c r="BA1307" s="4" t="s">
        <v>254</v>
      </c>
      <c r="BB1307" s="4" t="s">
        <v>287</v>
      </c>
      <c r="BC1307" s="4" t="s">
        <v>255</v>
      </c>
      <c r="BD1307" s="4" t="s">
        <v>241</v>
      </c>
      <c r="BE1307" s="4" t="s">
        <v>257</v>
      </c>
      <c r="BF1307" s="4" t="s">
        <v>241</v>
      </c>
      <c r="BJ1307" s="4" t="s">
        <v>288</v>
      </c>
      <c r="BK1307" s="5" t="s">
        <v>289</v>
      </c>
      <c r="BL1307" s="4" t="s">
        <v>290</v>
      </c>
      <c r="BM1307" s="4" t="s">
        <v>290</v>
      </c>
      <c r="BN1307" s="4" t="s">
        <v>241</v>
      </c>
      <c r="BO1307" s="6">
        <f>0</f>
        <v>0</v>
      </c>
      <c r="BP1307" s="6">
        <f>-1803654</f>
        <v>-1803654</v>
      </c>
      <c r="BQ1307" s="4" t="s">
        <v>263</v>
      </c>
      <c r="BR1307" s="4" t="s">
        <v>264</v>
      </c>
      <c r="BS1307" s="4" t="s">
        <v>241</v>
      </c>
      <c r="BT1307" s="4" t="s">
        <v>241</v>
      </c>
      <c r="BU1307" s="4" t="s">
        <v>241</v>
      </c>
      <c r="BV1307" s="4" t="s">
        <v>241</v>
      </c>
      <c r="CE1307" s="4" t="s">
        <v>264</v>
      </c>
      <c r="CF1307" s="4" t="s">
        <v>241</v>
      </c>
      <c r="CG1307" s="4" t="s">
        <v>241</v>
      </c>
      <c r="CK1307" s="4" t="s">
        <v>291</v>
      </c>
      <c r="CL1307" s="4" t="s">
        <v>266</v>
      </c>
      <c r="CM1307" s="4" t="s">
        <v>241</v>
      </c>
      <c r="CO1307" s="4" t="s">
        <v>387</v>
      </c>
      <c r="CP1307" s="5" t="s">
        <v>268</v>
      </c>
      <c r="CQ1307" s="4" t="s">
        <v>269</v>
      </c>
      <c r="CR1307" s="4" t="s">
        <v>270</v>
      </c>
      <c r="CS1307" s="4" t="s">
        <v>293</v>
      </c>
      <c r="CT1307" s="4" t="s">
        <v>241</v>
      </c>
      <c r="CU1307" s="4">
        <v>2.7E-2</v>
      </c>
      <c r="CV1307" s="4" t="s">
        <v>271</v>
      </c>
      <c r="CW1307" s="4" t="s">
        <v>1986</v>
      </c>
      <c r="CX1307" s="4" t="s">
        <v>295</v>
      </c>
      <c r="CY1307" s="6">
        <f>0</f>
        <v>0</v>
      </c>
      <c r="CZ1307" s="6">
        <f>66802000</f>
        <v>66802000</v>
      </c>
      <c r="DA1307" s="6">
        <f>19906996</f>
        <v>19906996</v>
      </c>
      <c r="DC1307" s="4" t="s">
        <v>241</v>
      </c>
      <c r="DD1307" s="4" t="s">
        <v>241</v>
      </c>
      <c r="DF1307" s="4" t="s">
        <v>241</v>
      </c>
      <c r="DG1307" s="6">
        <f>0</f>
        <v>0</v>
      </c>
      <c r="DI1307" s="4" t="s">
        <v>241</v>
      </c>
      <c r="DJ1307" s="4" t="s">
        <v>241</v>
      </c>
      <c r="DK1307" s="4" t="s">
        <v>241</v>
      </c>
      <c r="DL1307" s="4" t="s">
        <v>241</v>
      </c>
      <c r="DM1307" s="4" t="s">
        <v>277</v>
      </c>
      <c r="DN1307" s="4" t="s">
        <v>278</v>
      </c>
      <c r="DO1307" s="6">
        <f>263</f>
        <v>263</v>
      </c>
      <c r="DP1307" s="4" t="s">
        <v>241</v>
      </c>
      <c r="DQ1307" s="4" t="s">
        <v>241</v>
      </c>
      <c r="DR1307" s="4" t="s">
        <v>241</v>
      </c>
      <c r="DS1307" s="4" t="s">
        <v>241</v>
      </c>
      <c r="DV1307" s="4" t="s">
        <v>2048</v>
      </c>
      <c r="DW1307" s="4" t="s">
        <v>277</v>
      </c>
      <c r="GN1307" s="4" t="s">
        <v>2049</v>
      </c>
      <c r="HO1307" s="4" t="s">
        <v>341</v>
      </c>
      <c r="HR1307" s="4" t="s">
        <v>278</v>
      </c>
      <c r="HS1307" s="4" t="s">
        <v>278</v>
      </c>
      <c r="HT1307" s="4" t="s">
        <v>241</v>
      </c>
      <c r="HU1307" s="4" t="s">
        <v>241</v>
      </c>
      <c r="HV1307" s="4" t="s">
        <v>241</v>
      </c>
      <c r="HW1307" s="4" t="s">
        <v>241</v>
      </c>
      <c r="HX1307" s="4" t="s">
        <v>241</v>
      </c>
      <c r="HY1307" s="4" t="s">
        <v>241</v>
      </c>
      <c r="HZ1307" s="4" t="s">
        <v>241</v>
      </c>
      <c r="IA1307" s="4" t="s">
        <v>241</v>
      </c>
      <c r="IB1307" s="4" t="s">
        <v>241</v>
      </c>
      <c r="IC1307" s="4" t="s">
        <v>241</v>
      </c>
      <c r="ID1307" s="4" t="s">
        <v>241</v>
      </c>
      <c r="IE1307" s="4" t="s">
        <v>241</v>
      </c>
      <c r="IF1307" s="4" t="s">
        <v>241</v>
      </c>
    </row>
    <row r="1308" spans="1:240" x14ac:dyDescent="0.4">
      <c r="A1308" s="4">
        <v>2</v>
      </c>
      <c r="B1308" s="4" t="s">
        <v>239</v>
      </c>
      <c r="C1308" s="4">
        <v>1616</v>
      </c>
      <c r="D1308" s="4">
        <v>1</v>
      </c>
      <c r="E1308" s="4">
        <v>3</v>
      </c>
      <c r="F1308" s="4" t="s">
        <v>240</v>
      </c>
      <c r="G1308" s="4" t="s">
        <v>241</v>
      </c>
      <c r="H1308" s="4" t="s">
        <v>241</v>
      </c>
      <c r="I1308" s="4" t="s">
        <v>2031</v>
      </c>
      <c r="J1308" s="4" t="s">
        <v>396</v>
      </c>
      <c r="K1308" s="4" t="s">
        <v>256</v>
      </c>
      <c r="L1308" s="4" t="s">
        <v>505</v>
      </c>
      <c r="M1308" s="5" t="s">
        <v>2032</v>
      </c>
      <c r="N1308" s="4" t="s">
        <v>505</v>
      </c>
      <c r="O1308" s="6">
        <f>210.14</f>
        <v>210.14</v>
      </c>
      <c r="P1308" s="4" t="s">
        <v>276</v>
      </c>
      <c r="Q1308" s="6">
        <f>12100704</f>
        <v>12100704</v>
      </c>
      <c r="R1308" s="6">
        <f>49593040</f>
        <v>49593040</v>
      </c>
      <c r="S1308" s="5" t="s">
        <v>354</v>
      </c>
      <c r="T1308" s="4" t="s">
        <v>333</v>
      </c>
      <c r="U1308" s="4" t="s">
        <v>358</v>
      </c>
      <c r="V1308" s="6">
        <f>1339012</f>
        <v>1339012</v>
      </c>
      <c r="W1308" s="6">
        <f>37492336</f>
        <v>37492336</v>
      </c>
      <c r="X1308" s="4" t="s">
        <v>243</v>
      </c>
      <c r="Y1308" s="4" t="s">
        <v>244</v>
      </c>
      <c r="Z1308" s="4" t="s">
        <v>504</v>
      </c>
      <c r="AA1308" s="4" t="s">
        <v>241</v>
      </c>
      <c r="AD1308" s="4" t="s">
        <v>241</v>
      </c>
      <c r="AE1308" s="5" t="s">
        <v>241</v>
      </c>
      <c r="AF1308" s="5" t="s">
        <v>241</v>
      </c>
      <c r="AH1308" s="5" t="s">
        <v>241</v>
      </c>
      <c r="AI1308" s="5" t="s">
        <v>249</v>
      </c>
      <c r="AJ1308" s="4" t="s">
        <v>251</v>
      </c>
      <c r="AK1308" s="4" t="s">
        <v>252</v>
      </c>
      <c r="AQ1308" s="4" t="s">
        <v>241</v>
      </c>
      <c r="AR1308" s="4" t="s">
        <v>241</v>
      </c>
      <c r="AS1308" s="4" t="s">
        <v>241</v>
      </c>
      <c r="AT1308" s="5" t="s">
        <v>241</v>
      </c>
      <c r="AU1308" s="5" t="s">
        <v>241</v>
      </c>
      <c r="AV1308" s="5" t="s">
        <v>241</v>
      </c>
      <c r="AY1308" s="4" t="s">
        <v>286</v>
      </c>
      <c r="AZ1308" s="4" t="s">
        <v>286</v>
      </c>
      <c r="BA1308" s="4" t="s">
        <v>254</v>
      </c>
      <c r="BB1308" s="4" t="s">
        <v>287</v>
      </c>
      <c r="BC1308" s="4" t="s">
        <v>255</v>
      </c>
      <c r="BD1308" s="4" t="s">
        <v>241</v>
      </c>
      <c r="BE1308" s="4" t="s">
        <v>257</v>
      </c>
      <c r="BF1308" s="4" t="s">
        <v>241</v>
      </c>
      <c r="BJ1308" s="4" t="s">
        <v>288</v>
      </c>
      <c r="BK1308" s="5" t="s">
        <v>289</v>
      </c>
      <c r="BL1308" s="4" t="s">
        <v>290</v>
      </c>
      <c r="BM1308" s="4" t="s">
        <v>290</v>
      </c>
      <c r="BN1308" s="4" t="s">
        <v>241</v>
      </c>
      <c r="BO1308" s="6">
        <f>0</f>
        <v>0</v>
      </c>
      <c r="BP1308" s="6">
        <f>-1339012</f>
        <v>-1339012</v>
      </c>
      <c r="BQ1308" s="4" t="s">
        <v>263</v>
      </c>
      <c r="BR1308" s="4" t="s">
        <v>264</v>
      </c>
      <c r="BS1308" s="4" t="s">
        <v>241</v>
      </c>
      <c r="BT1308" s="4" t="s">
        <v>241</v>
      </c>
      <c r="BU1308" s="4" t="s">
        <v>241</v>
      </c>
      <c r="BV1308" s="4" t="s">
        <v>241</v>
      </c>
      <c r="CE1308" s="4" t="s">
        <v>264</v>
      </c>
      <c r="CF1308" s="4" t="s">
        <v>241</v>
      </c>
      <c r="CG1308" s="4" t="s">
        <v>241</v>
      </c>
      <c r="CK1308" s="4" t="s">
        <v>291</v>
      </c>
      <c r="CL1308" s="4" t="s">
        <v>266</v>
      </c>
      <c r="CM1308" s="4" t="s">
        <v>241</v>
      </c>
      <c r="CO1308" s="4" t="s">
        <v>355</v>
      </c>
      <c r="CP1308" s="5" t="s">
        <v>268</v>
      </c>
      <c r="CQ1308" s="4" t="s">
        <v>269</v>
      </c>
      <c r="CR1308" s="4" t="s">
        <v>270</v>
      </c>
      <c r="CS1308" s="4" t="s">
        <v>293</v>
      </c>
      <c r="CT1308" s="4" t="s">
        <v>241</v>
      </c>
      <c r="CU1308" s="4">
        <v>2.7E-2</v>
      </c>
      <c r="CV1308" s="4" t="s">
        <v>271</v>
      </c>
      <c r="CW1308" s="4" t="s">
        <v>1986</v>
      </c>
      <c r="CX1308" s="4" t="s">
        <v>295</v>
      </c>
      <c r="CY1308" s="6">
        <f>0</f>
        <v>0</v>
      </c>
      <c r="CZ1308" s="6">
        <f>49593040</f>
        <v>49593040</v>
      </c>
      <c r="DA1308" s="6">
        <f>12100704</f>
        <v>12100704</v>
      </c>
      <c r="DC1308" s="4" t="s">
        <v>241</v>
      </c>
      <c r="DD1308" s="4" t="s">
        <v>241</v>
      </c>
      <c r="DF1308" s="4" t="s">
        <v>241</v>
      </c>
      <c r="DG1308" s="6">
        <f>0</f>
        <v>0</v>
      </c>
      <c r="DI1308" s="4" t="s">
        <v>241</v>
      </c>
      <c r="DJ1308" s="4" t="s">
        <v>241</v>
      </c>
      <c r="DK1308" s="4" t="s">
        <v>241</v>
      </c>
      <c r="DL1308" s="4" t="s">
        <v>241</v>
      </c>
      <c r="DM1308" s="4" t="s">
        <v>323</v>
      </c>
      <c r="DN1308" s="4" t="s">
        <v>278</v>
      </c>
      <c r="DO1308" s="6">
        <f>210.14</f>
        <v>210.14</v>
      </c>
      <c r="DP1308" s="4" t="s">
        <v>241</v>
      </c>
      <c r="DQ1308" s="4" t="s">
        <v>241</v>
      </c>
      <c r="DR1308" s="4" t="s">
        <v>241</v>
      </c>
      <c r="DS1308" s="4" t="s">
        <v>241</v>
      </c>
      <c r="DV1308" s="4" t="s">
        <v>2033</v>
      </c>
      <c r="DW1308" s="4" t="s">
        <v>277</v>
      </c>
      <c r="GN1308" s="4" t="s">
        <v>2034</v>
      </c>
      <c r="HO1308" s="4" t="s">
        <v>341</v>
      </c>
      <c r="HR1308" s="4" t="s">
        <v>278</v>
      </c>
      <c r="HS1308" s="4" t="s">
        <v>278</v>
      </c>
      <c r="HT1308" s="4" t="s">
        <v>241</v>
      </c>
      <c r="HU1308" s="4" t="s">
        <v>241</v>
      </c>
      <c r="HV1308" s="4" t="s">
        <v>241</v>
      </c>
      <c r="HW1308" s="4" t="s">
        <v>241</v>
      </c>
      <c r="HX1308" s="4" t="s">
        <v>241</v>
      </c>
      <c r="HY1308" s="4" t="s">
        <v>241</v>
      </c>
      <c r="HZ1308" s="4" t="s">
        <v>241</v>
      </c>
      <c r="IA1308" s="4" t="s">
        <v>241</v>
      </c>
      <c r="IB1308" s="4" t="s">
        <v>241</v>
      </c>
      <c r="IC1308" s="4" t="s">
        <v>241</v>
      </c>
      <c r="ID1308" s="4" t="s">
        <v>241</v>
      </c>
      <c r="IE1308" s="4" t="s">
        <v>241</v>
      </c>
      <c r="IF1308" s="4" t="s">
        <v>241</v>
      </c>
    </row>
    <row r="1309" spans="1:240" x14ac:dyDescent="0.4">
      <c r="A1309" s="4">
        <v>2</v>
      </c>
      <c r="B1309" s="4" t="s">
        <v>239</v>
      </c>
      <c r="C1309" s="4">
        <v>1617</v>
      </c>
      <c r="D1309" s="4">
        <v>1</v>
      </c>
      <c r="E1309" s="4">
        <v>3</v>
      </c>
      <c r="F1309" s="4" t="s">
        <v>240</v>
      </c>
      <c r="G1309" s="4" t="s">
        <v>241</v>
      </c>
      <c r="H1309" s="4" t="s">
        <v>241</v>
      </c>
      <c r="I1309" s="4" t="s">
        <v>2027</v>
      </c>
      <c r="J1309" s="4" t="s">
        <v>396</v>
      </c>
      <c r="K1309" s="4" t="s">
        <v>256</v>
      </c>
      <c r="L1309" s="4" t="s">
        <v>505</v>
      </c>
      <c r="M1309" s="5" t="s">
        <v>2028</v>
      </c>
      <c r="N1309" s="4" t="s">
        <v>2026</v>
      </c>
      <c r="O1309" s="6">
        <f>368.81</f>
        <v>368.81</v>
      </c>
      <c r="P1309" s="4" t="s">
        <v>276</v>
      </c>
      <c r="Q1309" s="6">
        <f>1</f>
        <v>1</v>
      </c>
      <c r="R1309" s="6">
        <f>47945820</f>
        <v>47945820</v>
      </c>
      <c r="S1309" s="5" t="s">
        <v>774</v>
      </c>
      <c r="T1309" s="4" t="s">
        <v>333</v>
      </c>
      <c r="U1309" s="4" t="s">
        <v>777</v>
      </c>
      <c r="V1309" s="6">
        <f>47950</f>
        <v>47950</v>
      </c>
      <c r="W1309" s="6">
        <f>47945819</f>
        <v>47945819</v>
      </c>
      <c r="X1309" s="4" t="s">
        <v>243</v>
      </c>
      <c r="Y1309" s="4" t="s">
        <v>244</v>
      </c>
      <c r="Z1309" s="4" t="s">
        <v>504</v>
      </c>
      <c r="AA1309" s="4" t="s">
        <v>241</v>
      </c>
      <c r="AD1309" s="4" t="s">
        <v>241</v>
      </c>
      <c r="AE1309" s="5" t="s">
        <v>241</v>
      </c>
      <c r="AF1309" s="5" t="s">
        <v>241</v>
      </c>
      <c r="AH1309" s="5" t="s">
        <v>241</v>
      </c>
      <c r="AI1309" s="5" t="s">
        <v>249</v>
      </c>
      <c r="AJ1309" s="4" t="s">
        <v>251</v>
      </c>
      <c r="AK1309" s="4" t="s">
        <v>252</v>
      </c>
      <c r="AQ1309" s="4" t="s">
        <v>241</v>
      </c>
      <c r="AR1309" s="4" t="s">
        <v>241</v>
      </c>
      <c r="AS1309" s="4" t="s">
        <v>241</v>
      </c>
      <c r="AT1309" s="5" t="s">
        <v>241</v>
      </c>
      <c r="AU1309" s="5" t="s">
        <v>241</v>
      </c>
      <c r="AV1309" s="5" t="s">
        <v>241</v>
      </c>
      <c r="AY1309" s="4" t="s">
        <v>286</v>
      </c>
      <c r="AZ1309" s="4" t="s">
        <v>286</v>
      </c>
      <c r="BA1309" s="4" t="s">
        <v>254</v>
      </c>
      <c r="BB1309" s="4" t="s">
        <v>287</v>
      </c>
      <c r="BC1309" s="4" t="s">
        <v>255</v>
      </c>
      <c r="BD1309" s="4" t="s">
        <v>241</v>
      </c>
      <c r="BE1309" s="4" t="s">
        <v>257</v>
      </c>
      <c r="BF1309" s="4" t="s">
        <v>241</v>
      </c>
      <c r="BJ1309" s="4" t="s">
        <v>288</v>
      </c>
      <c r="BK1309" s="5" t="s">
        <v>289</v>
      </c>
      <c r="BL1309" s="4" t="s">
        <v>290</v>
      </c>
      <c r="BM1309" s="4" t="s">
        <v>290</v>
      </c>
      <c r="BN1309" s="4" t="s">
        <v>241</v>
      </c>
      <c r="BO1309" s="6">
        <f>0</f>
        <v>0</v>
      </c>
      <c r="BP1309" s="6">
        <f>-47950</f>
        <v>-47950</v>
      </c>
      <c r="BQ1309" s="4" t="s">
        <v>263</v>
      </c>
      <c r="BR1309" s="4" t="s">
        <v>264</v>
      </c>
      <c r="BS1309" s="4" t="s">
        <v>241</v>
      </c>
      <c r="BT1309" s="4" t="s">
        <v>241</v>
      </c>
      <c r="BU1309" s="4" t="s">
        <v>241</v>
      </c>
      <c r="BV1309" s="4" t="s">
        <v>241</v>
      </c>
      <c r="CE1309" s="4" t="s">
        <v>264</v>
      </c>
      <c r="CF1309" s="4" t="s">
        <v>241</v>
      </c>
      <c r="CG1309" s="4" t="s">
        <v>241</v>
      </c>
      <c r="CK1309" s="4" t="s">
        <v>265</v>
      </c>
      <c r="CL1309" s="4" t="s">
        <v>266</v>
      </c>
      <c r="CM1309" s="4" t="s">
        <v>241</v>
      </c>
      <c r="CO1309" s="4" t="s">
        <v>662</v>
      </c>
      <c r="CP1309" s="5" t="s">
        <v>268</v>
      </c>
      <c r="CQ1309" s="4" t="s">
        <v>269</v>
      </c>
      <c r="CR1309" s="4" t="s">
        <v>270</v>
      </c>
      <c r="CS1309" s="4" t="s">
        <v>293</v>
      </c>
      <c r="CT1309" s="4" t="s">
        <v>241</v>
      </c>
      <c r="CU1309" s="4">
        <v>2.7E-2</v>
      </c>
      <c r="CV1309" s="4" t="s">
        <v>271</v>
      </c>
      <c r="CW1309" s="4" t="s">
        <v>1986</v>
      </c>
      <c r="CX1309" s="4" t="s">
        <v>295</v>
      </c>
      <c r="CY1309" s="6">
        <f>0</f>
        <v>0</v>
      </c>
      <c r="CZ1309" s="6">
        <f>47945820</f>
        <v>47945820</v>
      </c>
      <c r="DA1309" s="6">
        <f>1</f>
        <v>1</v>
      </c>
      <c r="DC1309" s="4" t="s">
        <v>241</v>
      </c>
      <c r="DD1309" s="4" t="s">
        <v>241</v>
      </c>
      <c r="DF1309" s="4" t="s">
        <v>241</v>
      </c>
      <c r="DG1309" s="6">
        <f>0</f>
        <v>0</v>
      </c>
      <c r="DI1309" s="4" t="s">
        <v>241</v>
      </c>
      <c r="DJ1309" s="4" t="s">
        <v>241</v>
      </c>
      <c r="DK1309" s="4" t="s">
        <v>241</v>
      </c>
      <c r="DL1309" s="4" t="s">
        <v>241</v>
      </c>
      <c r="DM1309" s="4" t="s">
        <v>323</v>
      </c>
      <c r="DN1309" s="4" t="s">
        <v>278</v>
      </c>
      <c r="DO1309" s="6">
        <f>368.81</f>
        <v>368.81</v>
      </c>
      <c r="DP1309" s="4" t="s">
        <v>241</v>
      </c>
      <c r="DQ1309" s="4" t="s">
        <v>241</v>
      </c>
      <c r="DR1309" s="4" t="s">
        <v>241</v>
      </c>
      <c r="DS1309" s="4" t="s">
        <v>241</v>
      </c>
      <c r="DV1309" s="4" t="s">
        <v>2029</v>
      </c>
      <c r="DW1309" s="4" t="s">
        <v>277</v>
      </c>
      <c r="GN1309" s="4" t="s">
        <v>2030</v>
      </c>
      <c r="HO1309" s="4" t="s">
        <v>300</v>
      </c>
      <c r="HR1309" s="4" t="s">
        <v>278</v>
      </c>
      <c r="HS1309" s="4" t="s">
        <v>278</v>
      </c>
      <c r="HT1309" s="4" t="s">
        <v>241</v>
      </c>
      <c r="HU1309" s="4" t="s">
        <v>241</v>
      </c>
      <c r="HV1309" s="4" t="s">
        <v>241</v>
      </c>
      <c r="HW1309" s="4" t="s">
        <v>241</v>
      </c>
      <c r="HX1309" s="4" t="s">
        <v>241</v>
      </c>
      <c r="HY1309" s="4" t="s">
        <v>241</v>
      </c>
      <c r="HZ1309" s="4" t="s">
        <v>241</v>
      </c>
      <c r="IA1309" s="4" t="s">
        <v>241</v>
      </c>
      <c r="IB1309" s="4" t="s">
        <v>241</v>
      </c>
      <c r="IC1309" s="4" t="s">
        <v>241</v>
      </c>
      <c r="ID1309" s="4" t="s">
        <v>241</v>
      </c>
      <c r="IE1309" s="4" t="s">
        <v>241</v>
      </c>
      <c r="IF1309" s="4" t="s">
        <v>241</v>
      </c>
    </row>
    <row r="1310" spans="1:240" x14ac:dyDescent="0.4">
      <c r="A1310" s="4">
        <v>2</v>
      </c>
      <c r="B1310" s="4" t="s">
        <v>239</v>
      </c>
      <c r="C1310" s="4">
        <v>1618</v>
      </c>
      <c r="D1310" s="4">
        <v>1</v>
      </c>
      <c r="E1310" s="4">
        <v>3</v>
      </c>
      <c r="F1310" s="4" t="s">
        <v>240</v>
      </c>
      <c r="G1310" s="4" t="s">
        <v>241</v>
      </c>
      <c r="H1310" s="4" t="s">
        <v>241</v>
      </c>
      <c r="I1310" s="4" t="s">
        <v>2019</v>
      </c>
      <c r="J1310" s="4" t="s">
        <v>396</v>
      </c>
      <c r="K1310" s="4" t="s">
        <v>256</v>
      </c>
      <c r="L1310" s="4" t="s">
        <v>505</v>
      </c>
      <c r="M1310" s="5" t="s">
        <v>2020</v>
      </c>
      <c r="N1310" s="4" t="s">
        <v>505</v>
      </c>
      <c r="O1310" s="6">
        <f>286.36</f>
        <v>286.36</v>
      </c>
      <c r="P1310" s="4" t="s">
        <v>276</v>
      </c>
      <c r="Q1310" s="6">
        <f>18432434</f>
        <v>18432434</v>
      </c>
      <c r="R1310" s="6">
        <f>61853760</f>
        <v>61853760</v>
      </c>
      <c r="S1310" s="5" t="s">
        <v>1349</v>
      </c>
      <c r="T1310" s="4" t="s">
        <v>333</v>
      </c>
      <c r="U1310" s="4" t="s">
        <v>404</v>
      </c>
      <c r="V1310" s="6">
        <f>1670051</f>
        <v>1670051</v>
      </c>
      <c r="W1310" s="6">
        <f>43421326</f>
        <v>43421326</v>
      </c>
      <c r="X1310" s="4" t="s">
        <v>243</v>
      </c>
      <c r="Y1310" s="4" t="s">
        <v>244</v>
      </c>
      <c r="Z1310" s="4" t="s">
        <v>504</v>
      </c>
      <c r="AA1310" s="4" t="s">
        <v>241</v>
      </c>
      <c r="AD1310" s="4" t="s">
        <v>241</v>
      </c>
      <c r="AE1310" s="5" t="s">
        <v>241</v>
      </c>
      <c r="AF1310" s="5" t="s">
        <v>241</v>
      </c>
      <c r="AH1310" s="5" t="s">
        <v>241</v>
      </c>
      <c r="AI1310" s="5" t="s">
        <v>249</v>
      </c>
      <c r="AJ1310" s="4" t="s">
        <v>251</v>
      </c>
      <c r="AK1310" s="4" t="s">
        <v>252</v>
      </c>
      <c r="AQ1310" s="4" t="s">
        <v>241</v>
      </c>
      <c r="AR1310" s="4" t="s">
        <v>241</v>
      </c>
      <c r="AS1310" s="4" t="s">
        <v>241</v>
      </c>
      <c r="AT1310" s="5" t="s">
        <v>241</v>
      </c>
      <c r="AU1310" s="5" t="s">
        <v>241</v>
      </c>
      <c r="AV1310" s="5" t="s">
        <v>241</v>
      </c>
      <c r="AY1310" s="4" t="s">
        <v>286</v>
      </c>
      <c r="AZ1310" s="4" t="s">
        <v>286</v>
      </c>
      <c r="BA1310" s="4" t="s">
        <v>254</v>
      </c>
      <c r="BB1310" s="4" t="s">
        <v>287</v>
      </c>
      <c r="BC1310" s="4" t="s">
        <v>255</v>
      </c>
      <c r="BD1310" s="4" t="s">
        <v>241</v>
      </c>
      <c r="BE1310" s="4" t="s">
        <v>257</v>
      </c>
      <c r="BF1310" s="4" t="s">
        <v>241</v>
      </c>
      <c r="BJ1310" s="4" t="s">
        <v>288</v>
      </c>
      <c r="BK1310" s="5" t="s">
        <v>289</v>
      </c>
      <c r="BL1310" s="4" t="s">
        <v>290</v>
      </c>
      <c r="BM1310" s="4" t="s">
        <v>290</v>
      </c>
      <c r="BN1310" s="4" t="s">
        <v>241</v>
      </c>
      <c r="BO1310" s="6">
        <f>0</f>
        <v>0</v>
      </c>
      <c r="BP1310" s="6">
        <f>-1670051</f>
        <v>-1670051</v>
      </c>
      <c r="BQ1310" s="4" t="s">
        <v>263</v>
      </c>
      <c r="BR1310" s="4" t="s">
        <v>264</v>
      </c>
      <c r="BS1310" s="4" t="s">
        <v>241</v>
      </c>
      <c r="BT1310" s="4" t="s">
        <v>241</v>
      </c>
      <c r="BU1310" s="4" t="s">
        <v>241</v>
      </c>
      <c r="BV1310" s="4" t="s">
        <v>241</v>
      </c>
      <c r="CE1310" s="4" t="s">
        <v>264</v>
      </c>
      <c r="CF1310" s="4" t="s">
        <v>241</v>
      </c>
      <c r="CG1310" s="4" t="s">
        <v>241</v>
      </c>
      <c r="CK1310" s="4" t="s">
        <v>291</v>
      </c>
      <c r="CL1310" s="4" t="s">
        <v>266</v>
      </c>
      <c r="CM1310" s="4" t="s">
        <v>241</v>
      </c>
      <c r="CO1310" s="4" t="s">
        <v>387</v>
      </c>
      <c r="CP1310" s="5" t="s">
        <v>268</v>
      </c>
      <c r="CQ1310" s="4" t="s">
        <v>269</v>
      </c>
      <c r="CR1310" s="4" t="s">
        <v>270</v>
      </c>
      <c r="CS1310" s="4" t="s">
        <v>293</v>
      </c>
      <c r="CT1310" s="4" t="s">
        <v>241</v>
      </c>
      <c r="CU1310" s="4">
        <v>2.7E-2</v>
      </c>
      <c r="CV1310" s="4" t="s">
        <v>271</v>
      </c>
      <c r="CW1310" s="4" t="s">
        <v>1986</v>
      </c>
      <c r="CX1310" s="4" t="s">
        <v>295</v>
      </c>
      <c r="CY1310" s="6">
        <f>0</f>
        <v>0</v>
      </c>
      <c r="CZ1310" s="6">
        <f>61853760</f>
        <v>61853760</v>
      </c>
      <c r="DA1310" s="6">
        <f>18432434</f>
        <v>18432434</v>
      </c>
      <c r="DC1310" s="4" t="s">
        <v>241</v>
      </c>
      <c r="DD1310" s="4" t="s">
        <v>241</v>
      </c>
      <c r="DF1310" s="4" t="s">
        <v>241</v>
      </c>
      <c r="DG1310" s="6">
        <f>0</f>
        <v>0</v>
      </c>
      <c r="DI1310" s="4" t="s">
        <v>241</v>
      </c>
      <c r="DJ1310" s="4" t="s">
        <v>241</v>
      </c>
      <c r="DK1310" s="4" t="s">
        <v>241</v>
      </c>
      <c r="DL1310" s="4" t="s">
        <v>241</v>
      </c>
      <c r="DM1310" s="4" t="s">
        <v>323</v>
      </c>
      <c r="DN1310" s="4" t="s">
        <v>278</v>
      </c>
      <c r="DO1310" s="6">
        <f>286.36</f>
        <v>286.36</v>
      </c>
      <c r="DP1310" s="4" t="s">
        <v>241</v>
      </c>
      <c r="DQ1310" s="4" t="s">
        <v>241</v>
      </c>
      <c r="DR1310" s="4" t="s">
        <v>241</v>
      </c>
      <c r="DS1310" s="4" t="s">
        <v>241</v>
      </c>
      <c r="DV1310" s="4" t="s">
        <v>2021</v>
      </c>
      <c r="DW1310" s="4" t="s">
        <v>277</v>
      </c>
      <c r="GN1310" s="4" t="s">
        <v>2022</v>
      </c>
      <c r="HO1310" s="4" t="s">
        <v>341</v>
      </c>
      <c r="HR1310" s="4" t="s">
        <v>278</v>
      </c>
      <c r="HS1310" s="4" t="s">
        <v>278</v>
      </c>
      <c r="HT1310" s="4" t="s">
        <v>241</v>
      </c>
      <c r="HU1310" s="4" t="s">
        <v>241</v>
      </c>
      <c r="HV1310" s="4" t="s">
        <v>241</v>
      </c>
      <c r="HW1310" s="4" t="s">
        <v>241</v>
      </c>
      <c r="HX1310" s="4" t="s">
        <v>241</v>
      </c>
      <c r="HY1310" s="4" t="s">
        <v>241</v>
      </c>
      <c r="HZ1310" s="4" t="s">
        <v>241</v>
      </c>
      <c r="IA1310" s="4" t="s">
        <v>241</v>
      </c>
      <c r="IB1310" s="4" t="s">
        <v>241</v>
      </c>
      <c r="IC1310" s="4" t="s">
        <v>241</v>
      </c>
      <c r="ID1310" s="4" t="s">
        <v>241</v>
      </c>
      <c r="IE1310" s="4" t="s">
        <v>241</v>
      </c>
      <c r="IF1310" s="4" t="s">
        <v>241</v>
      </c>
    </row>
    <row r="1311" spans="1:240" x14ac:dyDescent="0.4">
      <c r="A1311" s="4">
        <v>2</v>
      </c>
      <c r="B1311" s="4" t="s">
        <v>239</v>
      </c>
      <c r="C1311" s="4">
        <v>1619</v>
      </c>
      <c r="D1311" s="4">
        <v>1</v>
      </c>
      <c r="E1311" s="4">
        <v>3</v>
      </c>
      <c r="F1311" s="4" t="s">
        <v>240</v>
      </c>
      <c r="G1311" s="4" t="s">
        <v>241</v>
      </c>
      <c r="H1311" s="4" t="s">
        <v>241</v>
      </c>
      <c r="I1311" s="4" t="s">
        <v>2009</v>
      </c>
      <c r="J1311" s="4" t="s">
        <v>396</v>
      </c>
      <c r="K1311" s="4" t="s">
        <v>256</v>
      </c>
      <c r="L1311" s="4" t="s">
        <v>505</v>
      </c>
      <c r="M1311" s="5" t="s">
        <v>2011</v>
      </c>
      <c r="N1311" s="4" t="s">
        <v>505</v>
      </c>
      <c r="O1311" s="6">
        <f>14.4</f>
        <v>14.4</v>
      </c>
      <c r="P1311" s="4" t="s">
        <v>276</v>
      </c>
      <c r="Q1311" s="6">
        <f>34873720</f>
        <v>34873720</v>
      </c>
      <c r="R1311" s="6">
        <f>73885000</f>
        <v>73885000</v>
      </c>
      <c r="S1311" s="5" t="s">
        <v>2010</v>
      </c>
      <c r="T1311" s="4" t="s">
        <v>441</v>
      </c>
      <c r="U1311" s="4" t="s">
        <v>348</v>
      </c>
      <c r="V1311" s="6">
        <f>2438205</f>
        <v>2438205</v>
      </c>
      <c r="W1311" s="6">
        <f>39011280</f>
        <v>39011280</v>
      </c>
      <c r="X1311" s="4" t="s">
        <v>243</v>
      </c>
      <c r="Y1311" s="4" t="s">
        <v>244</v>
      </c>
      <c r="Z1311" s="4" t="s">
        <v>504</v>
      </c>
      <c r="AA1311" s="4" t="s">
        <v>241</v>
      </c>
      <c r="AD1311" s="4" t="s">
        <v>241</v>
      </c>
      <c r="AE1311" s="5" t="s">
        <v>241</v>
      </c>
      <c r="AF1311" s="5" t="s">
        <v>241</v>
      </c>
      <c r="AH1311" s="5" t="s">
        <v>241</v>
      </c>
      <c r="AI1311" s="5" t="s">
        <v>249</v>
      </c>
      <c r="AJ1311" s="4" t="s">
        <v>251</v>
      </c>
      <c r="AK1311" s="4" t="s">
        <v>252</v>
      </c>
      <c r="AQ1311" s="4" t="s">
        <v>241</v>
      </c>
      <c r="AR1311" s="4" t="s">
        <v>241</v>
      </c>
      <c r="AS1311" s="4" t="s">
        <v>241</v>
      </c>
      <c r="AT1311" s="5" t="s">
        <v>241</v>
      </c>
      <c r="AU1311" s="5" t="s">
        <v>241</v>
      </c>
      <c r="AV1311" s="5" t="s">
        <v>241</v>
      </c>
      <c r="AY1311" s="4" t="s">
        <v>286</v>
      </c>
      <c r="AZ1311" s="4" t="s">
        <v>286</v>
      </c>
      <c r="BA1311" s="4" t="s">
        <v>254</v>
      </c>
      <c r="BB1311" s="4" t="s">
        <v>287</v>
      </c>
      <c r="BC1311" s="4" t="s">
        <v>255</v>
      </c>
      <c r="BD1311" s="4" t="s">
        <v>241</v>
      </c>
      <c r="BE1311" s="4" t="s">
        <v>257</v>
      </c>
      <c r="BF1311" s="4" t="s">
        <v>241</v>
      </c>
      <c r="BJ1311" s="4" t="s">
        <v>288</v>
      </c>
      <c r="BK1311" s="5" t="s">
        <v>289</v>
      </c>
      <c r="BL1311" s="4" t="s">
        <v>290</v>
      </c>
      <c r="BM1311" s="4" t="s">
        <v>290</v>
      </c>
      <c r="BN1311" s="4" t="s">
        <v>241</v>
      </c>
      <c r="BO1311" s="6">
        <f>0</f>
        <v>0</v>
      </c>
      <c r="BP1311" s="6">
        <f>-2438205</f>
        <v>-2438205</v>
      </c>
      <c r="BQ1311" s="4" t="s">
        <v>263</v>
      </c>
      <c r="BR1311" s="4" t="s">
        <v>264</v>
      </c>
      <c r="BS1311" s="4" t="s">
        <v>241</v>
      </c>
      <c r="BT1311" s="4" t="s">
        <v>241</v>
      </c>
      <c r="BU1311" s="4" t="s">
        <v>241</v>
      </c>
      <c r="BV1311" s="4" t="s">
        <v>241</v>
      </c>
      <c r="CE1311" s="4" t="s">
        <v>264</v>
      </c>
      <c r="CF1311" s="4" t="s">
        <v>241</v>
      </c>
      <c r="CG1311" s="4" t="s">
        <v>241</v>
      </c>
      <c r="CK1311" s="4" t="s">
        <v>291</v>
      </c>
      <c r="CL1311" s="4" t="s">
        <v>266</v>
      </c>
      <c r="CM1311" s="4" t="s">
        <v>241</v>
      </c>
      <c r="CO1311" s="4" t="s">
        <v>1444</v>
      </c>
      <c r="CP1311" s="5" t="s">
        <v>268</v>
      </c>
      <c r="CQ1311" s="4" t="s">
        <v>269</v>
      </c>
      <c r="CR1311" s="4" t="s">
        <v>270</v>
      </c>
      <c r="CS1311" s="4" t="s">
        <v>293</v>
      </c>
      <c r="CT1311" s="4" t="s">
        <v>241</v>
      </c>
      <c r="CU1311" s="4">
        <v>3.3000000000000002E-2</v>
      </c>
      <c r="CV1311" s="4" t="s">
        <v>271</v>
      </c>
      <c r="CW1311" s="4" t="s">
        <v>1986</v>
      </c>
      <c r="CX1311" s="4" t="s">
        <v>487</v>
      </c>
      <c r="CY1311" s="6">
        <f>0</f>
        <v>0</v>
      </c>
      <c r="CZ1311" s="6">
        <f>73885000</f>
        <v>73885000</v>
      </c>
      <c r="DA1311" s="6">
        <f>34873720</f>
        <v>34873720</v>
      </c>
      <c r="DC1311" s="4" t="s">
        <v>241</v>
      </c>
      <c r="DD1311" s="4" t="s">
        <v>241</v>
      </c>
      <c r="DF1311" s="4" t="s">
        <v>241</v>
      </c>
      <c r="DG1311" s="6">
        <f>0</f>
        <v>0</v>
      </c>
      <c r="DI1311" s="4" t="s">
        <v>241</v>
      </c>
      <c r="DJ1311" s="4" t="s">
        <v>241</v>
      </c>
      <c r="DK1311" s="4" t="s">
        <v>241</v>
      </c>
      <c r="DL1311" s="4" t="s">
        <v>241</v>
      </c>
      <c r="DM1311" s="4" t="s">
        <v>277</v>
      </c>
      <c r="DN1311" s="4" t="s">
        <v>278</v>
      </c>
      <c r="DO1311" s="6">
        <f>14.4</f>
        <v>14.4</v>
      </c>
      <c r="DP1311" s="4" t="s">
        <v>241</v>
      </c>
      <c r="DQ1311" s="4" t="s">
        <v>241</v>
      </c>
      <c r="DR1311" s="4" t="s">
        <v>241</v>
      </c>
      <c r="DS1311" s="4" t="s">
        <v>241</v>
      </c>
      <c r="DV1311" s="4" t="s">
        <v>2012</v>
      </c>
      <c r="DW1311" s="4" t="s">
        <v>277</v>
      </c>
      <c r="GN1311" s="4" t="s">
        <v>2013</v>
      </c>
      <c r="HO1311" s="4" t="s">
        <v>341</v>
      </c>
      <c r="HR1311" s="4" t="s">
        <v>278</v>
      </c>
      <c r="HS1311" s="4" t="s">
        <v>278</v>
      </c>
      <c r="HT1311" s="4" t="s">
        <v>241</v>
      </c>
      <c r="HU1311" s="4" t="s">
        <v>241</v>
      </c>
      <c r="HV1311" s="4" t="s">
        <v>241</v>
      </c>
      <c r="HW1311" s="4" t="s">
        <v>241</v>
      </c>
      <c r="HX1311" s="4" t="s">
        <v>241</v>
      </c>
      <c r="HY1311" s="4" t="s">
        <v>241</v>
      </c>
      <c r="HZ1311" s="4" t="s">
        <v>241</v>
      </c>
      <c r="IA1311" s="4" t="s">
        <v>241</v>
      </c>
      <c r="IB1311" s="4" t="s">
        <v>241</v>
      </c>
      <c r="IC1311" s="4" t="s">
        <v>241</v>
      </c>
      <c r="ID1311" s="4" t="s">
        <v>241</v>
      </c>
      <c r="IE1311" s="4" t="s">
        <v>241</v>
      </c>
      <c r="IF1311" s="4" t="s">
        <v>241</v>
      </c>
    </row>
    <row r="1312" spans="1:240" x14ac:dyDescent="0.4">
      <c r="A1312" s="4">
        <v>2</v>
      </c>
      <c r="B1312" s="4" t="s">
        <v>239</v>
      </c>
      <c r="C1312" s="4">
        <v>1620</v>
      </c>
      <c r="D1312" s="4">
        <v>1</v>
      </c>
      <c r="E1312" s="4">
        <v>1</v>
      </c>
      <c r="F1312" s="4" t="s">
        <v>240</v>
      </c>
      <c r="G1312" s="4" t="s">
        <v>241</v>
      </c>
      <c r="H1312" s="4" t="s">
        <v>241</v>
      </c>
      <c r="I1312" s="4" t="s">
        <v>2040</v>
      </c>
      <c r="J1312" s="4" t="s">
        <v>396</v>
      </c>
      <c r="K1312" s="4" t="s">
        <v>256</v>
      </c>
      <c r="L1312" s="4" t="s">
        <v>505</v>
      </c>
      <c r="M1312" s="5" t="s">
        <v>2041</v>
      </c>
      <c r="N1312" s="4" t="s">
        <v>505</v>
      </c>
      <c r="O1312" s="6">
        <f>8.64</f>
        <v>8.64</v>
      </c>
      <c r="P1312" s="4" t="s">
        <v>276</v>
      </c>
      <c r="Q1312" s="6">
        <f>1</f>
        <v>1</v>
      </c>
      <c r="R1312" s="6">
        <f>1451520</f>
        <v>1451520</v>
      </c>
      <c r="S1312" s="5" t="s">
        <v>1877</v>
      </c>
      <c r="T1312" s="4" t="s">
        <v>357</v>
      </c>
      <c r="U1312" s="4" t="s">
        <v>357</v>
      </c>
      <c r="W1312" s="6">
        <f>1451519</f>
        <v>1451519</v>
      </c>
      <c r="X1312" s="4" t="s">
        <v>243</v>
      </c>
      <c r="Y1312" s="4" t="s">
        <v>244</v>
      </c>
      <c r="Z1312" s="4" t="s">
        <v>504</v>
      </c>
      <c r="AA1312" s="4" t="s">
        <v>241</v>
      </c>
      <c r="AD1312" s="4" t="s">
        <v>241</v>
      </c>
      <c r="AF1312" s="5" t="s">
        <v>241</v>
      </c>
      <c r="AI1312" s="5" t="s">
        <v>249</v>
      </c>
      <c r="AJ1312" s="4" t="s">
        <v>251</v>
      </c>
      <c r="AK1312" s="4" t="s">
        <v>252</v>
      </c>
      <c r="BA1312" s="4" t="s">
        <v>254</v>
      </c>
      <c r="BB1312" s="4" t="s">
        <v>241</v>
      </c>
      <c r="BC1312" s="4" t="s">
        <v>255</v>
      </c>
      <c r="BD1312" s="4" t="s">
        <v>241</v>
      </c>
      <c r="BE1312" s="4" t="s">
        <v>257</v>
      </c>
      <c r="BF1312" s="4" t="s">
        <v>241</v>
      </c>
      <c r="BH1312" s="4" t="s">
        <v>500</v>
      </c>
      <c r="BJ1312" s="4" t="s">
        <v>374</v>
      </c>
      <c r="BK1312" s="5" t="s">
        <v>375</v>
      </c>
      <c r="BL1312" s="4" t="s">
        <v>261</v>
      </c>
      <c r="BM1312" s="4" t="s">
        <v>290</v>
      </c>
      <c r="BN1312" s="4" t="s">
        <v>241</v>
      </c>
      <c r="BO1312" s="6">
        <f>0</f>
        <v>0</v>
      </c>
      <c r="BP1312" s="6">
        <f>0</f>
        <v>0</v>
      </c>
      <c r="BQ1312" s="4" t="s">
        <v>263</v>
      </c>
      <c r="BR1312" s="4" t="s">
        <v>264</v>
      </c>
      <c r="CF1312" s="4" t="s">
        <v>241</v>
      </c>
      <c r="CG1312" s="4" t="s">
        <v>241</v>
      </c>
      <c r="CK1312" s="4" t="s">
        <v>291</v>
      </c>
      <c r="CL1312" s="4" t="s">
        <v>266</v>
      </c>
      <c r="CM1312" s="4" t="s">
        <v>241</v>
      </c>
      <c r="CO1312" s="4" t="s">
        <v>398</v>
      </c>
      <c r="CP1312" s="5" t="s">
        <v>268</v>
      </c>
      <c r="CQ1312" s="4" t="s">
        <v>269</v>
      </c>
      <c r="CR1312" s="4" t="s">
        <v>270</v>
      </c>
      <c r="CS1312" s="4" t="s">
        <v>241</v>
      </c>
      <c r="CT1312" s="4" t="s">
        <v>241</v>
      </c>
      <c r="CU1312" s="4">
        <v>0</v>
      </c>
      <c r="CV1312" s="4" t="s">
        <v>271</v>
      </c>
      <c r="CW1312" s="4" t="s">
        <v>1986</v>
      </c>
      <c r="CX1312" s="4" t="s">
        <v>356</v>
      </c>
      <c r="CZ1312" s="6">
        <f>1451520</f>
        <v>1451520</v>
      </c>
      <c r="DA1312" s="6">
        <f>0</f>
        <v>0</v>
      </c>
      <c r="DC1312" s="4" t="s">
        <v>241</v>
      </c>
      <c r="DD1312" s="4" t="s">
        <v>241</v>
      </c>
      <c r="DF1312" s="4" t="s">
        <v>241</v>
      </c>
      <c r="DI1312" s="4" t="s">
        <v>241</v>
      </c>
      <c r="DJ1312" s="4" t="s">
        <v>241</v>
      </c>
      <c r="DK1312" s="4" t="s">
        <v>241</v>
      </c>
      <c r="DL1312" s="4" t="s">
        <v>241</v>
      </c>
      <c r="DM1312" s="4" t="s">
        <v>277</v>
      </c>
      <c r="DN1312" s="4" t="s">
        <v>278</v>
      </c>
      <c r="DO1312" s="6">
        <f>8.64</f>
        <v>8.64</v>
      </c>
      <c r="DP1312" s="4" t="s">
        <v>241</v>
      </c>
      <c r="DQ1312" s="4" t="s">
        <v>241</v>
      </c>
      <c r="DR1312" s="4" t="s">
        <v>241</v>
      </c>
      <c r="DS1312" s="4" t="s">
        <v>241</v>
      </c>
      <c r="DV1312" s="4" t="s">
        <v>2042</v>
      </c>
      <c r="DW1312" s="4" t="s">
        <v>277</v>
      </c>
      <c r="HO1312" s="4" t="s">
        <v>341</v>
      </c>
      <c r="HR1312" s="4" t="s">
        <v>278</v>
      </c>
      <c r="HS1312" s="4" t="s">
        <v>278</v>
      </c>
    </row>
    <row r="1313" spans="1:240" x14ac:dyDescent="0.4">
      <c r="A1313" s="4">
        <v>2</v>
      </c>
      <c r="B1313" s="4" t="s">
        <v>239</v>
      </c>
      <c r="C1313" s="4">
        <v>1621</v>
      </c>
      <c r="D1313" s="4">
        <v>1</v>
      </c>
      <c r="E1313" s="4">
        <v>3</v>
      </c>
      <c r="F1313" s="4" t="s">
        <v>240</v>
      </c>
      <c r="G1313" s="4" t="s">
        <v>241</v>
      </c>
      <c r="H1313" s="4" t="s">
        <v>241</v>
      </c>
      <c r="I1313" s="4" t="s">
        <v>1989</v>
      </c>
      <c r="J1313" s="4" t="s">
        <v>396</v>
      </c>
      <c r="K1313" s="4" t="s">
        <v>256</v>
      </c>
      <c r="L1313" s="4" t="s">
        <v>505</v>
      </c>
      <c r="M1313" s="5" t="s">
        <v>1990</v>
      </c>
      <c r="N1313" s="4" t="s">
        <v>505</v>
      </c>
      <c r="O1313" s="6">
        <f>205.03</f>
        <v>205.03</v>
      </c>
      <c r="P1313" s="4" t="s">
        <v>276</v>
      </c>
      <c r="Q1313" s="6">
        <f>1</f>
        <v>1</v>
      </c>
      <c r="R1313" s="6">
        <f>26653900</f>
        <v>26653900</v>
      </c>
      <c r="S1313" s="5" t="s">
        <v>774</v>
      </c>
      <c r="T1313" s="4" t="s">
        <v>333</v>
      </c>
      <c r="U1313" s="4" t="s">
        <v>777</v>
      </c>
      <c r="V1313" s="6">
        <f>26664</f>
        <v>26664</v>
      </c>
      <c r="W1313" s="6">
        <f>26653899</f>
        <v>26653899</v>
      </c>
      <c r="X1313" s="4" t="s">
        <v>243</v>
      </c>
      <c r="Y1313" s="4" t="s">
        <v>244</v>
      </c>
      <c r="Z1313" s="4" t="s">
        <v>504</v>
      </c>
      <c r="AA1313" s="4" t="s">
        <v>241</v>
      </c>
      <c r="AD1313" s="4" t="s">
        <v>241</v>
      </c>
      <c r="AE1313" s="5" t="s">
        <v>241</v>
      </c>
      <c r="AF1313" s="5" t="s">
        <v>241</v>
      </c>
      <c r="AH1313" s="5" t="s">
        <v>241</v>
      </c>
      <c r="AI1313" s="5" t="s">
        <v>249</v>
      </c>
      <c r="AJ1313" s="4" t="s">
        <v>251</v>
      </c>
      <c r="AK1313" s="4" t="s">
        <v>252</v>
      </c>
      <c r="AQ1313" s="4" t="s">
        <v>241</v>
      </c>
      <c r="AR1313" s="4" t="s">
        <v>241</v>
      </c>
      <c r="AS1313" s="4" t="s">
        <v>241</v>
      </c>
      <c r="AT1313" s="5" t="s">
        <v>241</v>
      </c>
      <c r="AU1313" s="5" t="s">
        <v>241</v>
      </c>
      <c r="AV1313" s="5" t="s">
        <v>241</v>
      </c>
      <c r="AY1313" s="4" t="s">
        <v>286</v>
      </c>
      <c r="AZ1313" s="4" t="s">
        <v>286</v>
      </c>
      <c r="BA1313" s="4" t="s">
        <v>254</v>
      </c>
      <c r="BB1313" s="4" t="s">
        <v>287</v>
      </c>
      <c r="BC1313" s="4" t="s">
        <v>255</v>
      </c>
      <c r="BD1313" s="4" t="s">
        <v>241</v>
      </c>
      <c r="BE1313" s="4" t="s">
        <v>257</v>
      </c>
      <c r="BF1313" s="4" t="s">
        <v>241</v>
      </c>
      <c r="BH1313" s="4" t="s">
        <v>500</v>
      </c>
      <c r="BJ1313" s="4" t="s">
        <v>288</v>
      </c>
      <c r="BK1313" s="5" t="s">
        <v>289</v>
      </c>
      <c r="BL1313" s="4" t="s">
        <v>290</v>
      </c>
      <c r="BM1313" s="4" t="s">
        <v>290</v>
      </c>
      <c r="BN1313" s="4" t="s">
        <v>241</v>
      </c>
      <c r="BO1313" s="6">
        <f>0</f>
        <v>0</v>
      </c>
      <c r="BP1313" s="6">
        <f>-26664</f>
        <v>-26664</v>
      </c>
      <c r="BQ1313" s="4" t="s">
        <v>263</v>
      </c>
      <c r="BR1313" s="4" t="s">
        <v>264</v>
      </c>
      <c r="BS1313" s="4" t="s">
        <v>241</v>
      </c>
      <c r="BT1313" s="4" t="s">
        <v>241</v>
      </c>
      <c r="BU1313" s="4" t="s">
        <v>241</v>
      </c>
      <c r="BV1313" s="4" t="s">
        <v>241</v>
      </c>
      <c r="CE1313" s="4" t="s">
        <v>264</v>
      </c>
      <c r="CF1313" s="4" t="s">
        <v>241</v>
      </c>
      <c r="CG1313" s="4" t="s">
        <v>241</v>
      </c>
      <c r="CK1313" s="4" t="s">
        <v>265</v>
      </c>
      <c r="CL1313" s="4" t="s">
        <v>266</v>
      </c>
      <c r="CM1313" s="4" t="s">
        <v>241</v>
      </c>
      <c r="CO1313" s="4" t="s">
        <v>662</v>
      </c>
      <c r="CP1313" s="5" t="s">
        <v>268</v>
      </c>
      <c r="CQ1313" s="4" t="s">
        <v>269</v>
      </c>
      <c r="CR1313" s="4" t="s">
        <v>270</v>
      </c>
      <c r="CS1313" s="4" t="s">
        <v>293</v>
      </c>
      <c r="CT1313" s="4" t="s">
        <v>241</v>
      </c>
      <c r="CU1313" s="4">
        <v>2.7E-2</v>
      </c>
      <c r="CV1313" s="4" t="s">
        <v>271</v>
      </c>
      <c r="CW1313" s="4" t="s">
        <v>1986</v>
      </c>
      <c r="CX1313" s="4" t="s">
        <v>295</v>
      </c>
      <c r="CY1313" s="6">
        <f>0</f>
        <v>0</v>
      </c>
      <c r="CZ1313" s="6">
        <f>26653900</f>
        <v>26653900</v>
      </c>
      <c r="DA1313" s="6">
        <f>1</f>
        <v>1</v>
      </c>
      <c r="DC1313" s="4" t="s">
        <v>241</v>
      </c>
      <c r="DD1313" s="4" t="s">
        <v>241</v>
      </c>
      <c r="DF1313" s="4" t="s">
        <v>241</v>
      </c>
      <c r="DG1313" s="6">
        <f>0</f>
        <v>0</v>
      </c>
      <c r="DI1313" s="4" t="s">
        <v>241</v>
      </c>
      <c r="DJ1313" s="4" t="s">
        <v>241</v>
      </c>
      <c r="DK1313" s="4" t="s">
        <v>241</v>
      </c>
      <c r="DL1313" s="4" t="s">
        <v>241</v>
      </c>
      <c r="DM1313" s="4" t="s">
        <v>277</v>
      </c>
      <c r="DN1313" s="4" t="s">
        <v>278</v>
      </c>
      <c r="DO1313" s="6">
        <f>205.03</f>
        <v>205.03</v>
      </c>
      <c r="DP1313" s="4" t="s">
        <v>241</v>
      </c>
      <c r="DQ1313" s="4" t="s">
        <v>241</v>
      </c>
      <c r="DR1313" s="4" t="s">
        <v>241</v>
      </c>
      <c r="DS1313" s="4" t="s">
        <v>241</v>
      </c>
      <c r="DV1313" s="4" t="s">
        <v>1991</v>
      </c>
      <c r="DW1313" s="4" t="s">
        <v>277</v>
      </c>
      <c r="GN1313" s="4" t="s">
        <v>1992</v>
      </c>
      <c r="HO1313" s="4" t="s">
        <v>341</v>
      </c>
      <c r="HR1313" s="4" t="s">
        <v>278</v>
      </c>
      <c r="HS1313" s="4" t="s">
        <v>278</v>
      </c>
      <c r="HT1313" s="4" t="s">
        <v>241</v>
      </c>
      <c r="HU1313" s="4" t="s">
        <v>241</v>
      </c>
      <c r="HV1313" s="4" t="s">
        <v>241</v>
      </c>
      <c r="HW1313" s="4" t="s">
        <v>241</v>
      </c>
      <c r="HX1313" s="4" t="s">
        <v>241</v>
      </c>
      <c r="HY1313" s="4" t="s">
        <v>241</v>
      </c>
      <c r="HZ1313" s="4" t="s">
        <v>241</v>
      </c>
      <c r="IA1313" s="4" t="s">
        <v>241</v>
      </c>
      <c r="IB1313" s="4" t="s">
        <v>241</v>
      </c>
      <c r="IC1313" s="4" t="s">
        <v>241</v>
      </c>
      <c r="ID1313" s="4" t="s">
        <v>241</v>
      </c>
      <c r="IE1313" s="4" t="s">
        <v>241</v>
      </c>
      <c r="IF1313" s="4" t="s">
        <v>241</v>
      </c>
    </row>
    <row r="1314" spans="1:240" x14ac:dyDescent="0.4">
      <c r="A1314" s="4">
        <v>2</v>
      </c>
      <c r="B1314" s="4" t="s">
        <v>239</v>
      </c>
      <c r="C1314" s="4">
        <v>1622</v>
      </c>
      <c r="D1314" s="4">
        <v>1</v>
      </c>
      <c r="E1314" s="4">
        <v>1</v>
      </c>
      <c r="F1314" s="4" t="s">
        <v>240</v>
      </c>
      <c r="G1314" s="4" t="s">
        <v>241</v>
      </c>
      <c r="H1314" s="4" t="s">
        <v>241</v>
      </c>
      <c r="I1314" s="4" t="s">
        <v>2068</v>
      </c>
      <c r="J1314" s="4" t="s">
        <v>396</v>
      </c>
      <c r="K1314" s="4" t="s">
        <v>256</v>
      </c>
      <c r="L1314" s="4" t="s">
        <v>505</v>
      </c>
      <c r="M1314" s="5" t="s">
        <v>2069</v>
      </c>
      <c r="N1314" s="4" t="s">
        <v>505</v>
      </c>
      <c r="O1314" s="6">
        <f>252</f>
        <v>252</v>
      </c>
      <c r="P1314" s="4" t="s">
        <v>276</v>
      </c>
      <c r="Q1314" s="6">
        <f>1</f>
        <v>1</v>
      </c>
      <c r="R1314" s="6">
        <f>32760000</f>
        <v>32760000</v>
      </c>
      <c r="S1314" s="5" t="s">
        <v>381</v>
      </c>
      <c r="T1314" s="4" t="s">
        <v>333</v>
      </c>
      <c r="U1314" s="4" t="s">
        <v>333</v>
      </c>
      <c r="W1314" s="6">
        <f>32759999</f>
        <v>32759999</v>
      </c>
      <c r="X1314" s="4" t="s">
        <v>243</v>
      </c>
      <c r="Y1314" s="4" t="s">
        <v>244</v>
      </c>
      <c r="Z1314" s="4" t="s">
        <v>504</v>
      </c>
      <c r="AA1314" s="4" t="s">
        <v>241</v>
      </c>
      <c r="AD1314" s="4" t="s">
        <v>241</v>
      </c>
      <c r="AF1314" s="5" t="s">
        <v>241</v>
      </c>
      <c r="AI1314" s="5" t="s">
        <v>249</v>
      </c>
      <c r="AJ1314" s="4" t="s">
        <v>251</v>
      </c>
      <c r="AK1314" s="4" t="s">
        <v>252</v>
      </c>
      <c r="BA1314" s="4" t="s">
        <v>254</v>
      </c>
      <c r="BB1314" s="4" t="s">
        <v>241</v>
      </c>
      <c r="BC1314" s="4" t="s">
        <v>255</v>
      </c>
      <c r="BD1314" s="4" t="s">
        <v>241</v>
      </c>
      <c r="BE1314" s="4" t="s">
        <v>257</v>
      </c>
      <c r="BF1314" s="4" t="s">
        <v>241</v>
      </c>
      <c r="BH1314" s="4" t="s">
        <v>500</v>
      </c>
      <c r="BJ1314" s="4" t="s">
        <v>259</v>
      </c>
      <c r="BK1314" s="5" t="s">
        <v>260</v>
      </c>
      <c r="BL1314" s="4" t="s">
        <v>261</v>
      </c>
      <c r="BM1314" s="4" t="s">
        <v>290</v>
      </c>
      <c r="BN1314" s="4" t="s">
        <v>241</v>
      </c>
      <c r="BO1314" s="6">
        <f>0</f>
        <v>0</v>
      </c>
      <c r="BP1314" s="6">
        <f>0</f>
        <v>0</v>
      </c>
      <c r="BQ1314" s="4" t="s">
        <v>263</v>
      </c>
      <c r="BR1314" s="4" t="s">
        <v>264</v>
      </c>
      <c r="CF1314" s="4" t="s">
        <v>241</v>
      </c>
      <c r="CG1314" s="4" t="s">
        <v>241</v>
      </c>
      <c r="CK1314" s="4" t="s">
        <v>265</v>
      </c>
      <c r="CL1314" s="4" t="s">
        <v>266</v>
      </c>
      <c r="CM1314" s="4" t="s">
        <v>241</v>
      </c>
      <c r="CO1314" s="4" t="s">
        <v>382</v>
      </c>
      <c r="CP1314" s="5" t="s">
        <v>268</v>
      </c>
      <c r="CQ1314" s="4" t="s">
        <v>269</v>
      </c>
      <c r="CR1314" s="4" t="s">
        <v>270</v>
      </c>
      <c r="CS1314" s="4" t="s">
        <v>241</v>
      </c>
      <c r="CT1314" s="4" t="s">
        <v>241</v>
      </c>
      <c r="CU1314" s="4">
        <v>0</v>
      </c>
      <c r="CV1314" s="4" t="s">
        <v>271</v>
      </c>
      <c r="CW1314" s="4" t="s">
        <v>1986</v>
      </c>
      <c r="CX1314" s="4" t="s">
        <v>295</v>
      </c>
      <c r="CZ1314" s="6">
        <f>32760000</f>
        <v>32760000</v>
      </c>
      <c r="DA1314" s="6">
        <f>0</f>
        <v>0</v>
      </c>
      <c r="DC1314" s="4" t="s">
        <v>241</v>
      </c>
      <c r="DD1314" s="4" t="s">
        <v>241</v>
      </c>
      <c r="DF1314" s="4" t="s">
        <v>241</v>
      </c>
      <c r="DI1314" s="4" t="s">
        <v>241</v>
      </c>
      <c r="DJ1314" s="4" t="s">
        <v>241</v>
      </c>
      <c r="DK1314" s="4" t="s">
        <v>241</v>
      </c>
      <c r="DL1314" s="4" t="s">
        <v>241</v>
      </c>
      <c r="DM1314" s="4" t="s">
        <v>277</v>
      </c>
      <c r="DN1314" s="4" t="s">
        <v>278</v>
      </c>
      <c r="DO1314" s="6">
        <f>252</f>
        <v>252</v>
      </c>
      <c r="DP1314" s="4" t="s">
        <v>241</v>
      </c>
      <c r="DQ1314" s="4" t="s">
        <v>241</v>
      </c>
      <c r="DR1314" s="4" t="s">
        <v>241</v>
      </c>
      <c r="DS1314" s="4" t="s">
        <v>241</v>
      </c>
      <c r="DV1314" s="4" t="s">
        <v>2070</v>
      </c>
      <c r="DW1314" s="4" t="s">
        <v>277</v>
      </c>
      <c r="HO1314" s="4" t="s">
        <v>351</v>
      </c>
      <c r="HR1314" s="4" t="s">
        <v>278</v>
      </c>
      <c r="HS1314" s="4" t="s">
        <v>278</v>
      </c>
    </row>
    <row r="1315" spans="1:240" x14ac:dyDescent="0.4">
      <c r="A1315" s="4">
        <v>2</v>
      </c>
      <c r="B1315" s="4" t="s">
        <v>239</v>
      </c>
      <c r="C1315" s="4">
        <v>1623</v>
      </c>
      <c r="D1315" s="4">
        <v>1</v>
      </c>
      <c r="E1315" s="4">
        <v>1</v>
      </c>
      <c r="F1315" s="4" t="s">
        <v>240</v>
      </c>
      <c r="G1315" s="4" t="s">
        <v>241</v>
      </c>
      <c r="H1315" s="4" t="s">
        <v>241</v>
      </c>
      <c r="I1315" s="4" t="s">
        <v>2023</v>
      </c>
      <c r="J1315" s="4" t="s">
        <v>396</v>
      </c>
      <c r="K1315" s="4" t="s">
        <v>256</v>
      </c>
      <c r="L1315" s="4" t="s">
        <v>505</v>
      </c>
      <c r="M1315" s="5" t="s">
        <v>2024</v>
      </c>
      <c r="N1315" s="4" t="s">
        <v>505</v>
      </c>
      <c r="O1315" s="6">
        <f>472</f>
        <v>472</v>
      </c>
      <c r="P1315" s="4" t="s">
        <v>276</v>
      </c>
      <c r="Q1315" s="6">
        <f>1</f>
        <v>1</v>
      </c>
      <c r="R1315" s="6">
        <f>61360000</f>
        <v>61360000</v>
      </c>
      <c r="S1315" s="5" t="s">
        <v>839</v>
      </c>
      <c r="T1315" s="4" t="s">
        <v>333</v>
      </c>
      <c r="U1315" s="4" t="s">
        <v>333</v>
      </c>
      <c r="W1315" s="6">
        <f>61359999</f>
        <v>61359999</v>
      </c>
      <c r="X1315" s="4" t="s">
        <v>243</v>
      </c>
      <c r="Y1315" s="4" t="s">
        <v>244</v>
      </c>
      <c r="Z1315" s="4" t="s">
        <v>504</v>
      </c>
      <c r="AA1315" s="4" t="s">
        <v>241</v>
      </c>
      <c r="AD1315" s="4" t="s">
        <v>241</v>
      </c>
      <c r="AF1315" s="5" t="s">
        <v>241</v>
      </c>
      <c r="AI1315" s="5" t="s">
        <v>249</v>
      </c>
      <c r="AJ1315" s="4" t="s">
        <v>251</v>
      </c>
      <c r="AK1315" s="4" t="s">
        <v>252</v>
      </c>
      <c r="BA1315" s="4" t="s">
        <v>254</v>
      </c>
      <c r="BB1315" s="4" t="s">
        <v>241</v>
      </c>
      <c r="BC1315" s="4" t="s">
        <v>255</v>
      </c>
      <c r="BD1315" s="4" t="s">
        <v>241</v>
      </c>
      <c r="BE1315" s="4" t="s">
        <v>257</v>
      </c>
      <c r="BF1315" s="4" t="s">
        <v>241</v>
      </c>
      <c r="BH1315" s="4" t="s">
        <v>500</v>
      </c>
      <c r="BJ1315" s="4" t="s">
        <v>367</v>
      </c>
      <c r="BK1315" s="5" t="s">
        <v>249</v>
      </c>
      <c r="BL1315" s="4" t="s">
        <v>261</v>
      </c>
      <c r="BM1315" s="4" t="s">
        <v>290</v>
      </c>
      <c r="BN1315" s="4" t="s">
        <v>241</v>
      </c>
      <c r="BO1315" s="6">
        <f>0</f>
        <v>0</v>
      </c>
      <c r="BP1315" s="6">
        <f>0</f>
        <v>0</v>
      </c>
      <c r="BQ1315" s="4" t="s">
        <v>263</v>
      </c>
      <c r="BR1315" s="4" t="s">
        <v>264</v>
      </c>
      <c r="CF1315" s="4" t="s">
        <v>241</v>
      </c>
      <c r="CG1315" s="4" t="s">
        <v>241</v>
      </c>
      <c r="CK1315" s="4" t="s">
        <v>265</v>
      </c>
      <c r="CL1315" s="4" t="s">
        <v>266</v>
      </c>
      <c r="CM1315" s="4" t="s">
        <v>241</v>
      </c>
      <c r="CO1315" s="4" t="s">
        <v>841</v>
      </c>
      <c r="CP1315" s="5" t="s">
        <v>268</v>
      </c>
      <c r="CQ1315" s="4" t="s">
        <v>269</v>
      </c>
      <c r="CR1315" s="4" t="s">
        <v>270</v>
      </c>
      <c r="CS1315" s="4" t="s">
        <v>241</v>
      </c>
      <c r="CT1315" s="4" t="s">
        <v>241</v>
      </c>
      <c r="CU1315" s="4">
        <v>0</v>
      </c>
      <c r="CV1315" s="4" t="s">
        <v>271</v>
      </c>
      <c r="CW1315" s="4" t="s">
        <v>1986</v>
      </c>
      <c r="CX1315" s="4" t="s">
        <v>295</v>
      </c>
      <c r="CZ1315" s="6">
        <f>61360000</f>
        <v>61360000</v>
      </c>
      <c r="DA1315" s="6">
        <f>0</f>
        <v>0</v>
      </c>
      <c r="DC1315" s="4" t="s">
        <v>241</v>
      </c>
      <c r="DD1315" s="4" t="s">
        <v>241</v>
      </c>
      <c r="DF1315" s="4" t="s">
        <v>241</v>
      </c>
      <c r="DI1315" s="4" t="s">
        <v>241</v>
      </c>
      <c r="DJ1315" s="4" t="s">
        <v>241</v>
      </c>
      <c r="DK1315" s="4" t="s">
        <v>241</v>
      </c>
      <c r="DL1315" s="4" t="s">
        <v>241</v>
      </c>
      <c r="DM1315" s="4" t="s">
        <v>277</v>
      </c>
      <c r="DN1315" s="4" t="s">
        <v>278</v>
      </c>
      <c r="DO1315" s="6">
        <f>472</f>
        <v>472</v>
      </c>
      <c r="DP1315" s="4" t="s">
        <v>241</v>
      </c>
      <c r="DQ1315" s="4" t="s">
        <v>241</v>
      </c>
      <c r="DR1315" s="4" t="s">
        <v>241</v>
      </c>
      <c r="DS1315" s="4" t="s">
        <v>241</v>
      </c>
      <c r="DV1315" s="4" t="s">
        <v>2025</v>
      </c>
      <c r="DW1315" s="4" t="s">
        <v>277</v>
      </c>
      <c r="HO1315" s="4" t="s">
        <v>336</v>
      </c>
      <c r="HR1315" s="4" t="s">
        <v>278</v>
      </c>
      <c r="HS1315" s="4" t="s">
        <v>278</v>
      </c>
    </row>
    <row r="1316" spans="1:240" x14ac:dyDescent="0.4">
      <c r="A1316" s="4">
        <v>2</v>
      </c>
      <c r="B1316" s="4" t="s">
        <v>239</v>
      </c>
      <c r="C1316" s="4">
        <v>1624</v>
      </c>
      <c r="D1316" s="4">
        <v>1</v>
      </c>
      <c r="E1316" s="4">
        <v>1</v>
      </c>
      <c r="F1316" s="4" t="s">
        <v>240</v>
      </c>
      <c r="G1316" s="4" t="s">
        <v>241</v>
      </c>
      <c r="H1316" s="4" t="s">
        <v>241</v>
      </c>
      <c r="I1316" s="4" t="s">
        <v>2095</v>
      </c>
      <c r="J1316" s="4" t="s">
        <v>396</v>
      </c>
      <c r="K1316" s="4" t="s">
        <v>256</v>
      </c>
      <c r="L1316" s="4" t="s">
        <v>505</v>
      </c>
      <c r="M1316" s="5" t="s">
        <v>2096</v>
      </c>
      <c r="N1316" s="4" t="s">
        <v>505</v>
      </c>
      <c r="O1316" s="6">
        <f>72.8</f>
        <v>72.8</v>
      </c>
      <c r="P1316" s="4" t="s">
        <v>276</v>
      </c>
      <c r="Q1316" s="6">
        <f>1</f>
        <v>1</v>
      </c>
      <c r="R1316" s="6">
        <f>9464000</f>
        <v>9464000</v>
      </c>
      <c r="S1316" s="5" t="s">
        <v>954</v>
      </c>
      <c r="T1316" s="4" t="s">
        <v>333</v>
      </c>
      <c r="U1316" s="4" t="s">
        <v>333</v>
      </c>
      <c r="W1316" s="6">
        <f>9463999</f>
        <v>9463999</v>
      </c>
      <c r="X1316" s="4" t="s">
        <v>243</v>
      </c>
      <c r="Y1316" s="4" t="s">
        <v>244</v>
      </c>
      <c r="Z1316" s="4" t="s">
        <v>504</v>
      </c>
      <c r="AA1316" s="4" t="s">
        <v>241</v>
      </c>
      <c r="AD1316" s="4" t="s">
        <v>241</v>
      </c>
      <c r="AF1316" s="5" t="s">
        <v>241</v>
      </c>
      <c r="AI1316" s="5" t="s">
        <v>249</v>
      </c>
      <c r="AJ1316" s="4" t="s">
        <v>251</v>
      </c>
      <c r="AK1316" s="4" t="s">
        <v>252</v>
      </c>
      <c r="BA1316" s="4" t="s">
        <v>254</v>
      </c>
      <c r="BB1316" s="4" t="s">
        <v>241</v>
      </c>
      <c r="BC1316" s="4" t="s">
        <v>255</v>
      </c>
      <c r="BD1316" s="4" t="s">
        <v>241</v>
      </c>
      <c r="BE1316" s="4" t="s">
        <v>257</v>
      </c>
      <c r="BF1316" s="4" t="s">
        <v>241</v>
      </c>
      <c r="BH1316" s="4" t="s">
        <v>500</v>
      </c>
      <c r="BJ1316" s="4" t="s">
        <v>374</v>
      </c>
      <c r="BK1316" s="5" t="s">
        <v>375</v>
      </c>
      <c r="BL1316" s="4" t="s">
        <v>261</v>
      </c>
      <c r="BM1316" s="4" t="s">
        <v>290</v>
      </c>
      <c r="BN1316" s="4" t="s">
        <v>241</v>
      </c>
      <c r="BO1316" s="6">
        <f>0</f>
        <v>0</v>
      </c>
      <c r="BP1316" s="6">
        <f>0</f>
        <v>0</v>
      </c>
      <c r="BQ1316" s="4" t="s">
        <v>263</v>
      </c>
      <c r="BR1316" s="4" t="s">
        <v>264</v>
      </c>
      <c r="CF1316" s="4" t="s">
        <v>241</v>
      </c>
      <c r="CG1316" s="4" t="s">
        <v>241</v>
      </c>
      <c r="CK1316" s="4" t="s">
        <v>265</v>
      </c>
      <c r="CL1316" s="4" t="s">
        <v>266</v>
      </c>
      <c r="CM1316" s="4" t="s">
        <v>241</v>
      </c>
      <c r="CO1316" s="4" t="s">
        <v>956</v>
      </c>
      <c r="CP1316" s="5" t="s">
        <v>268</v>
      </c>
      <c r="CQ1316" s="4" t="s">
        <v>269</v>
      </c>
      <c r="CR1316" s="4" t="s">
        <v>270</v>
      </c>
      <c r="CS1316" s="4" t="s">
        <v>241</v>
      </c>
      <c r="CT1316" s="4" t="s">
        <v>241</v>
      </c>
      <c r="CU1316" s="4">
        <v>0</v>
      </c>
      <c r="CV1316" s="4" t="s">
        <v>271</v>
      </c>
      <c r="CW1316" s="4" t="s">
        <v>1986</v>
      </c>
      <c r="CX1316" s="4" t="s">
        <v>295</v>
      </c>
      <c r="CZ1316" s="6">
        <f>9464000</f>
        <v>9464000</v>
      </c>
      <c r="DA1316" s="6">
        <f>0</f>
        <v>0</v>
      </c>
      <c r="DC1316" s="4" t="s">
        <v>241</v>
      </c>
      <c r="DD1316" s="4" t="s">
        <v>241</v>
      </c>
      <c r="DF1316" s="4" t="s">
        <v>241</v>
      </c>
      <c r="DI1316" s="4" t="s">
        <v>241</v>
      </c>
      <c r="DJ1316" s="4" t="s">
        <v>241</v>
      </c>
      <c r="DK1316" s="4" t="s">
        <v>241</v>
      </c>
      <c r="DL1316" s="4" t="s">
        <v>241</v>
      </c>
      <c r="DM1316" s="4" t="s">
        <v>277</v>
      </c>
      <c r="DN1316" s="4" t="s">
        <v>278</v>
      </c>
      <c r="DO1316" s="6">
        <f>72.8</f>
        <v>72.8</v>
      </c>
      <c r="DP1316" s="4" t="s">
        <v>241</v>
      </c>
      <c r="DQ1316" s="4" t="s">
        <v>241</v>
      </c>
      <c r="DR1316" s="4" t="s">
        <v>241</v>
      </c>
      <c r="DS1316" s="4" t="s">
        <v>241</v>
      </c>
      <c r="DV1316" s="4" t="s">
        <v>2097</v>
      </c>
      <c r="DW1316" s="4" t="s">
        <v>277</v>
      </c>
      <c r="HO1316" s="4" t="s">
        <v>323</v>
      </c>
      <c r="HR1316" s="4" t="s">
        <v>278</v>
      </c>
      <c r="HS1316" s="4" t="s">
        <v>278</v>
      </c>
    </row>
    <row r="1317" spans="1:240" x14ac:dyDescent="0.4">
      <c r="A1317" s="4">
        <v>2</v>
      </c>
      <c r="B1317" s="4" t="s">
        <v>239</v>
      </c>
      <c r="C1317" s="4">
        <v>1625</v>
      </c>
      <c r="D1317" s="4">
        <v>1</v>
      </c>
      <c r="E1317" s="4">
        <v>3</v>
      </c>
      <c r="F1317" s="4" t="s">
        <v>240</v>
      </c>
      <c r="G1317" s="4" t="s">
        <v>241</v>
      </c>
      <c r="H1317" s="4" t="s">
        <v>241</v>
      </c>
      <c r="I1317" s="4" t="s">
        <v>2071</v>
      </c>
      <c r="J1317" s="4" t="s">
        <v>396</v>
      </c>
      <c r="K1317" s="4" t="s">
        <v>256</v>
      </c>
      <c r="L1317" s="4" t="s">
        <v>505</v>
      </c>
      <c r="M1317" s="5" t="s">
        <v>2072</v>
      </c>
      <c r="N1317" s="4" t="s">
        <v>505</v>
      </c>
      <c r="O1317" s="6">
        <f>302</f>
        <v>302</v>
      </c>
      <c r="P1317" s="4" t="s">
        <v>276</v>
      </c>
      <c r="Q1317" s="6">
        <f>10884080</f>
        <v>10884080</v>
      </c>
      <c r="R1317" s="6">
        <f>80030000</f>
        <v>80030000</v>
      </c>
      <c r="S1317" s="5" t="s">
        <v>845</v>
      </c>
      <c r="T1317" s="4" t="s">
        <v>333</v>
      </c>
      <c r="U1317" s="4" t="s">
        <v>441</v>
      </c>
      <c r="V1317" s="6">
        <f>2160810</f>
        <v>2160810</v>
      </c>
      <c r="W1317" s="6">
        <f>69145920</f>
        <v>69145920</v>
      </c>
      <c r="X1317" s="4" t="s">
        <v>243</v>
      </c>
      <c r="Y1317" s="4" t="s">
        <v>244</v>
      </c>
      <c r="Z1317" s="4" t="s">
        <v>504</v>
      </c>
      <c r="AA1317" s="4" t="s">
        <v>241</v>
      </c>
      <c r="AD1317" s="4" t="s">
        <v>241</v>
      </c>
      <c r="AE1317" s="5" t="s">
        <v>241</v>
      </c>
      <c r="AF1317" s="5" t="s">
        <v>241</v>
      </c>
      <c r="AH1317" s="5" t="s">
        <v>241</v>
      </c>
      <c r="AI1317" s="5" t="s">
        <v>249</v>
      </c>
      <c r="AJ1317" s="4" t="s">
        <v>251</v>
      </c>
      <c r="AK1317" s="4" t="s">
        <v>252</v>
      </c>
      <c r="AQ1317" s="4" t="s">
        <v>241</v>
      </c>
      <c r="AR1317" s="4" t="s">
        <v>241</v>
      </c>
      <c r="AS1317" s="4" t="s">
        <v>241</v>
      </c>
      <c r="AT1317" s="5" t="s">
        <v>241</v>
      </c>
      <c r="AU1317" s="5" t="s">
        <v>241</v>
      </c>
      <c r="AV1317" s="5" t="s">
        <v>241</v>
      </c>
      <c r="AY1317" s="4" t="s">
        <v>286</v>
      </c>
      <c r="AZ1317" s="4" t="s">
        <v>286</v>
      </c>
      <c r="BA1317" s="4" t="s">
        <v>254</v>
      </c>
      <c r="BB1317" s="4" t="s">
        <v>287</v>
      </c>
      <c r="BC1317" s="4" t="s">
        <v>255</v>
      </c>
      <c r="BD1317" s="4" t="s">
        <v>241</v>
      </c>
      <c r="BE1317" s="4" t="s">
        <v>257</v>
      </c>
      <c r="BF1317" s="4" t="s">
        <v>241</v>
      </c>
      <c r="BJ1317" s="4" t="s">
        <v>288</v>
      </c>
      <c r="BK1317" s="5" t="s">
        <v>289</v>
      </c>
      <c r="BL1317" s="4" t="s">
        <v>290</v>
      </c>
      <c r="BM1317" s="4" t="s">
        <v>290</v>
      </c>
      <c r="BN1317" s="4" t="s">
        <v>241</v>
      </c>
      <c r="BO1317" s="6">
        <f>0</f>
        <v>0</v>
      </c>
      <c r="BP1317" s="6">
        <f>-2160810</f>
        <v>-2160810</v>
      </c>
      <c r="BQ1317" s="4" t="s">
        <v>263</v>
      </c>
      <c r="BR1317" s="4" t="s">
        <v>264</v>
      </c>
      <c r="BS1317" s="4" t="s">
        <v>241</v>
      </c>
      <c r="BT1317" s="4" t="s">
        <v>241</v>
      </c>
      <c r="BU1317" s="4" t="s">
        <v>241</v>
      </c>
      <c r="BV1317" s="4" t="s">
        <v>241</v>
      </c>
      <c r="CE1317" s="4" t="s">
        <v>264</v>
      </c>
      <c r="CF1317" s="4" t="s">
        <v>241</v>
      </c>
      <c r="CG1317" s="4" t="s">
        <v>241</v>
      </c>
      <c r="CK1317" s="4" t="s">
        <v>291</v>
      </c>
      <c r="CL1317" s="4" t="s">
        <v>266</v>
      </c>
      <c r="CM1317" s="4" t="s">
        <v>241</v>
      </c>
      <c r="CO1317" s="4" t="s">
        <v>383</v>
      </c>
      <c r="CP1317" s="5" t="s">
        <v>268</v>
      </c>
      <c r="CQ1317" s="4" t="s">
        <v>269</v>
      </c>
      <c r="CR1317" s="4" t="s">
        <v>270</v>
      </c>
      <c r="CS1317" s="4" t="s">
        <v>293</v>
      </c>
      <c r="CT1317" s="4" t="s">
        <v>241</v>
      </c>
      <c r="CU1317" s="4">
        <v>2.7E-2</v>
      </c>
      <c r="CV1317" s="4" t="s">
        <v>271</v>
      </c>
      <c r="CW1317" s="4" t="s">
        <v>1986</v>
      </c>
      <c r="CX1317" s="4" t="s">
        <v>295</v>
      </c>
      <c r="CY1317" s="6">
        <f>0</f>
        <v>0</v>
      </c>
      <c r="CZ1317" s="6">
        <f>80030000</f>
        <v>80030000</v>
      </c>
      <c r="DA1317" s="6">
        <f>10884080</f>
        <v>10884080</v>
      </c>
      <c r="DC1317" s="4" t="s">
        <v>241</v>
      </c>
      <c r="DD1317" s="4" t="s">
        <v>241</v>
      </c>
      <c r="DF1317" s="4" t="s">
        <v>241</v>
      </c>
      <c r="DG1317" s="6">
        <f>0</f>
        <v>0</v>
      </c>
      <c r="DI1317" s="4" t="s">
        <v>241</v>
      </c>
      <c r="DJ1317" s="4" t="s">
        <v>241</v>
      </c>
      <c r="DK1317" s="4" t="s">
        <v>241</v>
      </c>
      <c r="DL1317" s="4" t="s">
        <v>241</v>
      </c>
      <c r="DM1317" s="4" t="s">
        <v>323</v>
      </c>
      <c r="DN1317" s="4" t="s">
        <v>278</v>
      </c>
      <c r="DO1317" s="6">
        <f>302</f>
        <v>302</v>
      </c>
      <c r="DP1317" s="4" t="s">
        <v>241</v>
      </c>
      <c r="DQ1317" s="4" t="s">
        <v>241</v>
      </c>
      <c r="DR1317" s="4" t="s">
        <v>241</v>
      </c>
      <c r="DS1317" s="4" t="s">
        <v>241</v>
      </c>
      <c r="DV1317" s="4" t="s">
        <v>2073</v>
      </c>
      <c r="DW1317" s="4" t="s">
        <v>277</v>
      </c>
      <c r="GN1317" s="4" t="s">
        <v>2074</v>
      </c>
      <c r="HO1317" s="4" t="s">
        <v>341</v>
      </c>
      <c r="HR1317" s="4" t="s">
        <v>278</v>
      </c>
      <c r="HS1317" s="4" t="s">
        <v>278</v>
      </c>
      <c r="HT1317" s="4" t="s">
        <v>241</v>
      </c>
      <c r="HU1317" s="4" t="s">
        <v>241</v>
      </c>
      <c r="HV1317" s="4" t="s">
        <v>241</v>
      </c>
      <c r="HW1317" s="4" t="s">
        <v>241</v>
      </c>
      <c r="HX1317" s="4" t="s">
        <v>241</v>
      </c>
      <c r="HY1317" s="4" t="s">
        <v>241</v>
      </c>
      <c r="HZ1317" s="4" t="s">
        <v>241</v>
      </c>
      <c r="IA1317" s="4" t="s">
        <v>241</v>
      </c>
      <c r="IB1317" s="4" t="s">
        <v>241</v>
      </c>
      <c r="IC1317" s="4" t="s">
        <v>241</v>
      </c>
      <c r="ID1317" s="4" t="s">
        <v>241</v>
      </c>
      <c r="IE1317" s="4" t="s">
        <v>241</v>
      </c>
      <c r="IF1317" s="4" t="s">
        <v>241</v>
      </c>
    </row>
    <row r="1318" spans="1:240" x14ac:dyDescent="0.4">
      <c r="A1318" s="4">
        <v>2</v>
      </c>
      <c r="B1318" s="4" t="s">
        <v>239</v>
      </c>
      <c r="C1318" s="4">
        <v>1626</v>
      </c>
      <c r="D1318" s="4">
        <v>1</v>
      </c>
      <c r="E1318" s="4">
        <v>3</v>
      </c>
      <c r="F1318" s="4" t="s">
        <v>240</v>
      </c>
      <c r="G1318" s="4" t="s">
        <v>241</v>
      </c>
      <c r="H1318" s="4" t="s">
        <v>241</v>
      </c>
      <c r="I1318" s="4" t="s">
        <v>2075</v>
      </c>
      <c r="J1318" s="4" t="s">
        <v>396</v>
      </c>
      <c r="K1318" s="4" t="s">
        <v>256</v>
      </c>
      <c r="L1318" s="4" t="s">
        <v>505</v>
      </c>
      <c r="M1318" s="5" t="s">
        <v>2076</v>
      </c>
      <c r="N1318" s="4" t="s">
        <v>505</v>
      </c>
      <c r="O1318" s="6">
        <f>178.38</f>
        <v>178.38</v>
      </c>
      <c r="P1318" s="4" t="s">
        <v>276</v>
      </c>
      <c r="Q1318" s="6">
        <f>1</f>
        <v>1</v>
      </c>
      <c r="R1318" s="6">
        <f>23189400</f>
        <v>23189400</v>
      </c>
      <c r="S1318" s="5" t="s">
        <v>774</v>
      </c>
      <c r="T1318" s="4" t="s">
        <v>333</v>
      </c>
      <c r="U1318" s="4" t="s">
        <v>777</v>
      </c>
      <c r="V1318" s="6">
        <f>23218</f>
        <v>23218</v>
      </c>
      <c r="W1318" s="6">
        <f>23189399</f>
        <v>23189399</v>
      </c>
      <c r="X1318" s="4" t="s">
        <v>243</v>
      </c>
      <c r="Y1318" s="4" t="s">
        <v>244</v>
      </c>
      <c r="Z1318" s="4" t="s">
        <v>504</v>
      </c>
      <c r="AA1318" s="4" t="s">
        <v>241</v>
      </c>
      <c r="AD1318" s="4" t="s">
        <v>241</v>
      </c>
      <c r="AE1318" s="5" t="s">
        <v>241</v>
      </c>
      <c r="AF1318" s="5" t="s">
        <v>241</v>
      </c>
      <c r="AH1318" s="5" t="s">
        <v>241</v>
      </c>
      <c r="AI1318" s="5" t="s">
        <v>249</v>
      </c>
      <c r="AJ1318" s="4" t="s">
        <v>251</v>
      </c>
      <c r="AK1318" s="4" t="s">
        <v>252</v>
      </c>
      <c r="AQ1318" s="4" t="s">
        <v>241</v>
      </c>
      <c r="AR1318" s="4" t="s">
        <v>241</v>
      </c>
      <c r="AS1318" s="4" t="s">
        <v>241</v>
      </c>
      <c r="AT1318" s="5" t="s">
        <v>241</v>
      </c>
      <c r="AU1318" s="5" t="s">
        <v>241</v>
      </c>
      <c r="AV1318" s="5" t="s">
        <v>241</v>
      </c>
      <c r="AY1318" s="4" t="s">
        <v>286</v>
      </c>
      <c r="AZ1318" s="4" t="s">
        <v>286</v>
      </c>
      <c r="BA1318" s="4" t="s">
        <v>254</v>
      </c>
      <c r="BB1318" s="4" t="s">
        <v>287</v>
      </c>
      <c r="BC1318" s="4" t="s">
        <v>255</v>
      </c>
      <c r="BD1318" s="4" t="s">
        <v>241</v>
      </c>
      <c r="BE1318" s="4" t="s">
        <v>257</v>
      </c>
      <c r="BF1318" s="4" t="s">
        <v>241</v>
      </c>
      <c r="BH1318" s="4" t="s">
        <v>500</v>
      </c>
      <c r="BJ1318" s="4" t="s">
        <v>288</v>
      </c>
      <c r="BK1318" s="5" t="s">
        <v>289</v>
      </c>
      <c r="BL1318" s="4" t="s">
        <v>290</v>
      </c>
      <c r="BM1318" s="4" t="s">
        <v>290</v>
      </c>
      <c r="BN1318" s="4" t="s">
        <v>241</v>
      </c>
      <c r="BO1318" s="6">
        <f>0</f>
        <v>0</v>
      </c>
      <c r="BP1318" s="6">
        <f>-23218</f>
        <v>-23218</v>
      </c>
      <c r="BQ1318" s="4" t="s">
        <v>263</v>
      </c>
      <c r="BR1318" s="4" t="s">
        <v>264</v>
      </c>
      <c r="BS1318" s="4" t="s">
        <v>241</v>
      </c>
      <c r="BT1318" s="4" t="s">
        <v>241</v>
      </c>
      <c r="BU1318" s="4" t="s">
        <v>241</v>
      </c>
      <c r="BV1318" s="4" t="s">
        <v>241</v>
      </c>
      <c r="CE1318" s="4" t="s">
        <v>264</v>
      </c>
      <c r="CF1318" s="4" t="s">
        <v>241</v>
      </c>
      <c r="CG1318" s="4" t="s">
        <v>241</v>
      </c>
      <c r="CK1318" s="4" t="s">
        <v>265</v>
      </c>
      <c r="CL1318" s="4" t="s">
        <v>266</v>
      </c>
      <c r="CM1318" s="4" t="s">
        <v>241</v>
      </c>
      <c r="CO1318" s="4" t="s">
        <v>662</v>
      </c>
      <c r="CP1318" s="5" t="s">
        <v>268</v>
      </c>
      <c r="CQ1318" s="4" t="s">
        <v>269</v>
      </c>
      <c r="CR1318" s="4" t="s">
        <v>270</v>
      </c>
      <c r="CS1318" s="4" t="s">
        <v>293</v>
      </c>
      <c r="CT1318" s="4" t="s">
        <v>241</v>
      </c>
      <c r="CU1318" s="4">
        <v>2.7E-2</v>
      </c>
      <c r="CV1318" s="4" t="s">
        <v>271</v>
      </c>
      <c r="CW1318" s="4" t="s">
        <v>1986</v>
      </c>
      <c r="CX1318" s="4" t="s">
        <v>295</v>
      </c>
      <c r="CY1318" s="6">
        <f>0</f>
        <v>0</v>
      </c>
      <c r="CZ1318" s="6">
        <f>23189400</f>
        <v>23189400</v>
      </c>
      <c r="DA1318" s="6">
        <f>1</f>
        <v>1</v>
      </c>
      <c r="DC1318" s="4" t="s">
        <v>241</v>
      </c>
      <c r="DD1318" s="4" t="s">
        <v>241</v>
      </c>
      <c r="DF1318" s="4" t="s">
        <v>241</v>
      </c>
      <c r="DG1318" s="6">
        <f>0</f>
        <v>0</v>
      </c>
      <c r="DI1318" s="4" t="s">
        <v>241</v>
      </c>
      <c r="DJ1318" s="4" t="s">
        <v>241</v>
      </c>
      <c r="DK1318" s="4" t="s">
        <v>241</v>
      </c>
      <c r="DL1318" s="4" t="s">
        <v>241</v>
      </c>
      <c r="DM1318" s="4" t="s">
        <v>323</v>
      </c>
      <c r="DN1318" s="4" t="s">
        <v>278</v>
      </c>
      <c r="DO1318" s="6">
        <f>178.38</f>
        <v>178.38</v>
      </c>
      <c r="DP1318" s="4" t="s">
        <v>241</v>
      </c>
      <c r="DQ1318" s="4" t="s">
        <v>241</v>
      </c>
      <c r="DR1318" s="4" t="s">
        <v>241</v>
      </c>
      <c r="DS1318" s="4" t="s">
        <v>241</v>
      </c>
      <c r="DV1318" s="4" t="s">
        <v>2077</v>
      </c>
      <c r="DW1318" s="4" t="s">
        <v>277</v>
      </c>
      <c r="GN1318" s="4" t="s">
        <v>2078</v>
      </c>
      <c r="HO1318" s="4" t="s">
        <v>341</v>
      </c>
      <c r="HR1318" s="4" t="s">
        <v>278</v>
      </c>
      <c r="HS1318" s="4" t="s">
        <v>278</v>
      </c>
      <c r="HT1318" s="4" t="s">
        <v>241</v>
      </c>
      <c r="HU1318" s="4" t="s">
        <v>241</v>
      </c>
      <c r="HV1318" s="4" t="s">
        <v>241</v>
      </c>
      <c r="HW1318" s="4" t="s">
        <v>241</v>
      </c>
      <c r="HX1318" s="4" t="s">
        <v>241</v>
      </c>
      <c r="HY1318" s="4" t="s">
        <v>241</v>
      </c>
      <c r="HZ1318" s="4" t="s">
        <v>241</v>
      </c>
      <c r="IA1318" s="4" t="s">
        <v>241</v>
      </c>
      <c r="IB1318" s="4" t="s">
        <v>241</v>
      </c>
      <c r="IC1318" s="4" t="s">
        <v>241</v>
      </c>
      <c r="ID1318" s="4" t="s">
        <v>241</v>
      </c>
      <c r="IE1318" s="4" t="s">
        <v>241</v>
      </c>
      <c r="IF1318" s="4" t="s">
        <v>241</v>
      </c>
    </row>
    <row r="1319" spans="1:240" x14ac:dyDescent="0.4">
      <c r="A1319" s="4">
        <v>2</v>
      </c>
      <c r="B1319" s="4" t="s">
        <v>239</v>
      </c>
      <c r="C1319" s="4">
        <v>1627</v>
      </c>
      <c r="D1319" s="4">
        <v>1</v>
      </c>
      <c r="E1319" s="4">
        <v>3</v>
      </c>
      <c r="F1319" s="4" t="s">
        <v>240</v>
      </c>
      <c r="G1319" s="4" t="s">
        <v>241</v>
      </c>
      <c r="H1319" s="4" t="s">
        <v>241</v>
      </c>
      <c r="I1319" s="4" t="s">
        <v>2079</v>
      </c>
      <c r="J1319" s="4" t="s">
        <v>396</v>
      </c>
      <c r="K1319" s="4" t="s">
        <v>256</v>
      </c>
      <c r="L1319" s="4" t="s">
        <v>505</v>
      </c>
      <c r="M1319" s="5" t="s">
        <v>2081</v>
      </c>
      <c r="N1319" s="4" t="s">
        <v>505</v>
      </c>
      <c r="O1319" s="6">
        <f>242.28</f>
        <v>242.28</v>
      </c>
      <c r="P1319" s="4" t="s">
        <v>276</v>
      </c>
      <c r="Q1319" s="6">
        <f>27800427</f>
        <v>27800427</v>
      </c>
      <c r="R1319" s="6">
        <f>64204200</f>
        <v>64204200</v>
      </c>
      <c r="S1319" s="5" t="s">
        <v>2080</v>
      </c>
      <c r="T1319" s="4" t="s">
        <v>333</v>
      </c>
      <c r="U1319" s="4" t="s">
        <v>335</v>
      </c>
      <c r="V1319" s="6">
        <f>1733513</f>
        <v>1733513</v>
      </c>
      <c r="W1319" s="6">
        <f>36403773</f>
        <v>36403773</v>
      </c>
      <c r="X1319" s="4" t="s">
        <v>243</v>
      </c>
      <c r="Y1319" s="4" t="s">
        <v>244</v>
      </c>
      <c r="Z1319" s="4" t="s">
        <v>504</v>
      </c>
      <c r="AA1319" s="4" t="s">
        <v>241</v>
      </c>
      <c r="AD1319" s="4" t="s">
        <v>241</v>
      </c>
      <c r="AE1319" s="5" t="s">
        <v>241</v>
      </c>
      <c r="AF1319" s="5" t="s">
        <v>241</v>
      </c>
      <c r="AH1319" s="5" t="s">
        <v>241</v>
      </c>
      <c r="AI1319" s="5" t="s">
        <v>249</v>
      </c>
      <c r="AJ1319" s="4" t="s">
        <v>251</v>
      </c>
      <c r="AK1319" s="4" t="s">
        <v>252</v>
      </c>
      <c r="AQ1319" s="4" t="s">
        <v>241</v>
      </c>
      <c r="AR1319" s="4" t="s">
        <v>241</v>
      </c>
      <c r="AS1319" s="4" t="s">
        <v>241</v>
      </c>
      <c r="AT1319" s="5" t="s">
        <v>241</v>
      </c>
      <c r="AU1319" s="5" t="s">
        <v>241</v>
      </c>
      <c r="AV1319" s="5" t="s">
        <v>241</v>
      </c>
      <c r="AY1319" s="4" t="s">
        <v>286</v>
      </c>
      <c r="AZ1319" s="4" t="s">
        <v>286</v>
      </c>
      <c r="BA1319" s="4" t="s">
        <v>254</v>
      </c>
      <c r="BB1319" s="4" t="s">
        <v>287</v>
      </c>
      <c r="BC1319" s="4" t="s">
        <v>255</v>
      </c>
      <c r="BD1319" s="4" t="s">
        <v>241</v>
      </c>
      <c r="BE1319" s="4" t="s">
        <v>257</v>
      </c>
      <c r="BF1319" s="4" t="s">
        <v>241</v>
      </c>
      <c r="BH1319" s="4" t="s">
        <v>500</v>
      </c>
      <c r="BJ1319" s="4" t="s">
        <v>288</v>
      </c>
      <c r="BK1319" s="5" t="s">
        <v>289</v>
      </c>
      <c r="BL1319" s="4" t="s">
        <v>290</v>
      </c>
      <c r="BM1319" s="4" t="s">
        <v>290</v>
      </c>
      <c r="BN1319" s="4" t="s">
        <v>241</v>
      </c>
      <c r="BO1319" s="6">
        <f>0</f>
        <v>0</v>
      </c>
      <c r="BP1319" s="6">
        <f>-1733513</f>
        <v>-1733513</v>
      </c>
      <c r="BQ1319" s="4" t="s">
        <v>263</v>
      </c>
      <c r="BR1319" s="4" t="s">
        <v>264</v>
      </c>
      <c r="BS1319" s="4" t="s">
        <v>241</v>
      </c>
      <c r="BT1319" s="4" t="s">
        <v>241</v>
      </c>
      <c r="BU1319" s="4" t="s">
        <v>241</v>
      </c>
      <c r="BV1319" s="4" t="s">
        <v>241</v>
      </c>
      <c r="CE1319" s="4" t="s">
        <v>264</v>
      </c>
      <c r="CF1319" s="4" t="s">
        <v>241</v>
      </c>
      <c r="CG1319" s="4" t="s">
        <v>241</v>
      </c>
      <c r="CK1319" s="4" t="s">
        <v>291</v>
      </c>
      <c r="CL1319" s="4" t="s">
        <v>266</v>
      </c>
      <c r="CM1319" s="4" t="s">
        <v>241</v>
      </c>
      <c r="CO1319" s="4" t="s">
        <v>449</v>
      </c>
      <c r="CP1319" s="5" t="s">
        <v>268</v>
      </c>
      <c r="CQ1319" s="4" t="s">
        <v>269</v>
      </c>
      <c r="CR1319" s="4" t="s">
        <v>270</v>
      </c>
      <c r="CS1319" s="4" t="s">
        <v>293</v>
      </c>
      <c r="CT1319" s="4" t="s">
        <v>241</v>
      </c>
      <c r="CU1319" s="4">
        <v>2.7E-2</v>
      </c>
      <c r="CV1319" s="4" t="s">
        <v>271</v>
      </c>
      <c r="CW1319" s="4" t="s">
        <v>1986</v>
      </c>
      <c r="CX1319" s="4" t="s">
        <v>295</v>
      </c>
      <c r="CY1319" s="6">
        <f>0</f>
        <v>0</v>
      </c>
      <c r="CZ1319" s="6">
        <f>64204200</f>
        <v>64204200</v>
      </c>
      <c r="DA1319" s="6">
        <f>27800427</f>
        <v>27800427</v>
      </c>
      <c r="DC1319" s="4" t="s">
        <v>241</v>
      </c>
      <c r="DD1319" s="4" t="s">
        <v>241</v>
      </c>
      <c r="DF1319" s="4" t="s">
        <v>241</v>
      </c>
      <c r="DG1319" s="6">
        <f>0</f>
        <v>0</v>
      </c>
      <c r="DI1319" s="4" t="s">
        <v>241</v>
      </c>
      <c r="DJ1319" s="4" t="s">
        <v>241</v>
      </c>
      <c r="DK1319" s="4" t="s">
        <v>241</v>
      </c>
      <c r="DL1319" s="4" t="s">
        <v>241</v>
      </c>
      <c r="DM1319" s="4" t="s">
        <v>323</v>
      </c>
      <c r="DN1319" s="4" t="s">
        <v>278</v>
      </c>
      <c r="DO1319" s="6">
        <f>242.28</f>
        <v>242.28</v>
      </c>
      <c r="DP1319" s="4" t="s">
        <v>241</v>
      </c>
      <c r="DQ1319" s="4" t="s">
        <v>241</v>
      </c>
      <c r="DR1319" s="4" t="s">
        <v>241</v>
      </c>
      <c r="DS1319" s="4" t="s">
        <v>241</v>
      </c>
      <c r="DV1319" s="4" t="s">
        <v>2082</v>
      </c>
      <c r="DW1319" s="4" t="s">
        <v>277</v>
      </c>
      <c r="GN1319" s="4" t="s">
        <v>2083</v>
      </c>
      <c r="HO1319" s="4" t="s">
        <v>341</v>
      </c>
      <c r="HR1319" s="4" t="s">
        <v>278</v>
      </c>
      <c r="HS1319" s="4" t="s">
        <v>278</v>
      </c>
      <c r="HT1319" s="4" t="s">
        <v>241</v>
      </c>
      <c r="HU1319" s="4" t="s">
        <v>241</v>
      </c>
      <c r="HV1319" s="4" t="s">
        <v>241</v>
      </c>
      <c r="HW1319" s="4" t="s">
        <v>241</v>
      </c>
      <c r="HX1319" s="4" t="s">
        <v>241</v>
      </c>
      <c r="HY1319" s="4" t="s">
        <v>241</v>
      </c>
      <c r="HZ1319" s="4" t="s">
        <v>241</v>
      </c>
      <c r="IA1319" s="4" t="s">
        <v>241</v>
      </c>
      <c r="IB1319" s="4" t="s">
        <v>241</v>
      </c>
      <c r="IC1319" s="4" t="s">
        <v>241</v>
      </c>
      <c r="ID1319" s="4" t="s">
        <v>241</v>
      </c>
      <c r="IE1319" s="4" t="s">
        <v>241</v>
      </c>
      <c r="IF1319" s="4" t="s">
        <v>241</v>
      </c>
    </row>
    <row r="1320" spans="1:240" x14ac:dyDescent="0.4">
      <c r="A1320" s="4">
        <v>2</v>
      </c>
      <c r="B1320" s="4" t="s">
        <v>239</v>
      </c>
      <c r="C1320" s="4">
        <v>1628</v>
      </c>
      <c r="D1320" s="4">
        <v>1</v>
      </c>
      <c r="E1320" s="4">
        <v>3</v>
      </c>
      <c r="F1320" s="4" t="s">
        <v>240</v>
      </c>
      <c r="G1320" s="4" t="s">
        <v>241</v>
      </c>
      <c r="H1320" s="4" t="s">
        <v>241</v>
      </c>
      <c r="I1320" s="4" t="s">
        <v>2084</v>
      </c>
      <c r="J1320" s="4" t="s">
        <v>396</v>
      </c>
      <c r="K1320" s="4" t="s">
        <v>256</v>
      </c>
      <c r="L1320" s="4" t="s">
        <v>505</v>
      </c>
      <c r="M1320" s="5" t="s">
        <v>2085</v>
      </c>
      <c r="N1320" s="4" t="s">
        <v>505</v>
      </c>
      <c r="O1320" s="6">
        <f>383.8</f>
        <v>383.8</v>
      </c>
      <c r="P1320" s="4" t="s">
        <v>276</v>
      </c>
      <c r="Q1320" s="6">
        <f>8339974</f>
        <v>8339974</v>
      </c>
      <c r="R1320" s="6">
        <f>101707000</f>
        <v>101707000</v>
      </c>
      <c r="S1320" s="5" t="s">
        <v>900</v>
      </c>
      <c r="T1320" s="4" t="s">
        <v>333</v>
      </c>
      <c r="U1320" s="4" t="s">
        <v>473</v>
      </c>
      <c r="V1320" s="6">
        <f>2746089</f>
        <v>2746089</v>
      </c>
      <c r="W1320" s="6">
        <f>93367026</f>
        <v>93367026</v>
      </c>
      <c r="X1320" s="4" t="s">
        <v>243</v>
      </c>
      <c r="Y1320" s="4" t="s">
        <v>244</v>
      </c>
      <c r="Z1320" s="4" t="s">
        <v>504</v>
      </c>
      <c r="AA1320" s="4" t="s">
        <v>241</v>
      </c>
      <c r="AD1320" s="4" t="s">
        <v>241</v>
      </c>
      <c r="AE1320" s="5" t="s">
        <v>241</v>
      </c>
      <c r="AF1320" s="5" t="s">
        <v>241</v>
      </c>
      <c r="AH1320" s="5" t="s">
        <v>241</v>
      </c>
      <c r="AI1320" s="5" t="s">
        <v>249</v>
      </c>
      <c r="AJ1320" s="4" t="s">
        <v>251</v>
      </c>
      <c r="AK1320" s="4" t="s">
        <v>252</v>
      </c>
      <c r="AQ1320" s="4" t="s">
        <v>241</v>
      </c>
      <c r="AR1320" s="4" t="s">
        <v>241</v>
      </c>
      <c r="AS1320" s="4" t="s">
        <v>241</v>
      </c>
      <c r="AT1320" s="5" t="s">
        <v>241</v>
      </c>
      <c r="AU1320" s="5" t="s">
        <v>241</v>
      </c>
      <c r="AV1320" s="5" t="s">
        <v>241</v>
      </c>
      <c r="AY1320" s="4" t="s">
        <v>286</v>
      </c>
      <c r="AZ1320" s="4" t="s">
        <v>286</v>
      </c>
      <c r="BA1320" s="4" t="s">
        <v>254</v>
      </c>
      <c r="BB1320" s="4" t="s">
        <v>287</v>
      </c>
      <c r="BC1320" s="4" t="s">
        <v>255</v>
      </c>
      <c r="BD1320" s="4" t="s">
        <v>241</v>
      </c>
      <c r="BE1320" s="4" t="s">
        <v>257</v>
      </c>
      <c r="BF1320" s="4" t="s">
        <v>241</v>
      </c>
      <c r="BH1320" s="4" t="s">
        <v>500</v>
      </c>
      <c r="BJ1320" s="4" t="s">
        <v>288</v>
      </c>
      <c r="BK1320" s="5" t="s">
        <v>289</v>
      </c>
      <c r="BL1320" s="4" t="s">
        <v>290</v>
      </c>
      <c r="BM1320" s="4" t="s">
        <v>290</v>
      </c>
      <c r="BN1320" s="4" t="s">
        <v>241</v>
      </c>
      <c r="BO1320" s="6">
        <f>0</f>
        <v>0</v>
      </c>
      <c r="BP1320" s="6">
        <f>-2746089</f>
        <v>-2746089</v>
      </c>
      <c r="BQ1320" s="4" t="s">
        <v>263</v>
      </c>
      <c r="BR1320" s="4" t="s">
        <v>264</v>
      </c>
      <c r="BS1320" s="4" t="s">
        <v>241</v>
      </c>
      <c r="BT1320" s="4" t="s">
        <v>241</v>
      </c>
      <c r="BU1320" s="4" t="s">
        <v>241</v>
      </c>
      <c r="BV1320" s="4" t="s">
        <v>241</v>
      </c>
      <c r="CE1320" s="4" t="s">
        <v>264</v>
      </c>
      <c r="CF1320" s="4" t="s">
        <v>241</v>
      </c>
      <c r="CG1320" s="4" t="s">
        <v>241</v>
      </c>
      <c r="CK1320" s="4" t="s">
        <v>291</v>
      </c>
      <c r="CL1320" s="4" t="s">
        <v>266</v>
      </c>
      <c r="CM1320" s="4" t="s">
        <v>241</v>
      </c>
      <c r="CO1320" s="4" t="s">
        <v>390</v>
      </c>
      <c r="CP1320" s="5" t="s">
        <v>268</v>
      </c>
      <c r="CQ1320" s="4" t="s">
        <v>269</v>
      </c>
      <c r="CR1320" s="4" t="s">
        <v>270</v>
      </c>
      <c r="CS1320" s="4" t="s">
        <v>293</v>
      </c>
      <c r="CT1320" s="4" t="s">
        <v>241</v>
      </c>
      <c r="CU1320" s="4">
        <v>2.7E-2</v>
      </c>
      <c r="CV1320" s="4" t="s">
        <v>271</v>
      </c>
      <c r="CW1320" s="4" t="s">
        <v>1986</v>
      </c>
      <c r="CX1320" s="4" t="s">
        <v>295</v>
      </c>
      <c r="CY1320" s="6">
        <f>0</f>
        <v>0</v>
      </c>
      <c r="CZ1320" s="6">
        <f>101707000</f>
        <v>101707000</v>
      </c>
      <c r="DA1320" s="6">
        <f>8339974</f>
        <v>8339974</v>
      </c>
      <c r="DC1320" s="4" t="s">
        <v>241</v>
      </c>
      <c r="DD1320" s="4" t="s">
        <v>241</v>
      </c>
      <c r="DF1320" s="4" t="s">
        <v>241</v>
      </c>
      <c r="DG1320" s="6">
        <f>0</f>
        <v>0</v>
      </c>
      <c r="DI1320" s="4" t="s">
        <v>241</v>
      </c>
      <c r="DJ1320" s="4" t="s">
        <v>241</v>
      </c>
      <c r="DK1320" s="4" t="s">
        <v>241</v>
      </c>
      <c r="DL1320" s="4" t="s">
        <v>241</v>
      </c>
      <c r="DM1320" s="4" t="s">
        <v>323</v>
      </c>
      <c r="DN1320" s="4" t="s">
        <v>278</v>
      </c>
      <c r="DO1320" s="6">
        <f>383.8</f>
        <v>383.8</v>
      </c>
      <c r="DP1320" s="4" t="s">
        <v>241</v>
      </c>
      <c r="DQ1320" s="4" t="s">
        <v>241</v>
      </c>
      <c r="DR1320" s="4" t="s">
        <v>241</v>
      </c>
      <c r="DS1320" s="4" t="s">
        <v>241</v>
      </c>
      <c r="DV1320" s="4" t="s">
        <v>2086</v>
      </c>
      <c r="DW1320" s="4" t="s">
        <v>277</v>
      </c>
      <c r="GN1320" s="4" t="s">
        <v>2087</v>
      </c>
      <c r="HO1320" s="4" t="s">
        <v>341</v>
      </c>
      <c r="HR1320" s="4" t="s">
        <v>278</v>
      </c>
      <c r="HS1320" s="4" t="s">
        <v>278</v>
      </c>
      <c r="HT1320" s="4" t="s">
        <v>241</v>
      </c>
      <c r="HU1320" s="4" t="s">
        <v>241</v>
      </c>
      <c r="HV1320" s="4" t="s">
        <v>241</v>
      </c>
      <c r="HW1320" s="4" t="s">
        <v>241</v>
      </c>
      <c r="HX1320" s="4" t="s">
        <v>241</v>
      </c>
      <c r="HY1320" s="4" t="s">
        <v>241</v>
      </c>
      <c r="HZ1320" s="4" t="s">
        <v>241</v>
      </c>
      <c r="IA1320" s="4" t="s">
        <v>241</v>
      </c>
      <c r="IB1320" s="4" t="s">
        <v>241</v>
      </c>
      <c r="IC1320" s="4" t="s">
        <v>241</v>
      </c>
      <c r="ID1320" s="4" t="s">
        <v>241</v>
      </c>
      <c r="IE1320" s="4" t="s">
        <v>241</v>
      </c>
      <c r="IF1320" s="4" t="s">
        <v>241</v>
      </c>
    </row>
    <row r="1321" spans="1:240" x14ac:dyDescent="0.4">
      <c r="A1321" s="4">
        <v>2</v>
      </c>
      <c r="B1321" s="4" t="s">
        <v>239</v>
      </c>
      <c r="C1321" s="4">
        <v>1629</v>
      </c>
      <c r="D1321" s="4">
        <v>1</v>
      </c>
      <c r="E1321" s="4">
        <v>1</v>
      </c>
      <c r="F1321" s="4" t="s">
        <v>240</v>
      </c>
      <c r="G1321" s="4" t="s">
        <v>241</v>
      </c>
      <c r="H1321" s="4" t="s">
        <v>241</v>
      </c>
      <c r="I1321" s="4" t="s">
        <v>2088</v>
      </c>
      <c r="J1321" s="4" t="s">
        <v>396</v>
      </c>
      <c r="K1321" s="4" t="s">
        <v>256</v>
      </c>
      <c r="L1321" s="4" t="s">
        <v>505</v>
      </c>
      <c r="M1321" s="5" t="s">
        <v>2089</v>
      </c>
      <c r="N1321" s="4" t="s">
        <v>505</v>
      </c>
      <c r="O1321" s="6">
        <f>71</f>
        <v>71</v>
      </c>
      <c r="P1321" s="4" t="s">
        <v>276</v>
      </c>
      <c r="Q1321" s="6">
        <f>1</f>
        <v>1</v>
      </c>
      <c r="R1321" s="6">
        <f>9230000</f>
        <v>9230000</v>
      </c>
      <c r="S1321" s="5" t="s">
        <v>839</v>
      </c>
      <c r="T1321" s="4" t="s">
        <v>333</v>
      </c>
      <c r="U1321" s="4" t="s">
        <v>333</v>
      </c>
      <c r="W1321" s="6">
        <f>9229999</f>
        <v>9229999</v>
      </c>
      <c r="X1321" s="4" t="s">
        <v>243</v>
      </c>
      <c r="Y1321" s="4" t="s">
        <v>244</v>
      </c>
      <c r="Z1321" s="4" t="s">
        <v>504</v>
      </c>
      <c r="AA1321" s="4" t="s">
        <v>241</v>
      </c>
      <c r="AD1321" s="4" t="s">
        <v>241</v>
      </c>
      <c r="AF1321" s="5" t="s">
        <v>241</v>
      </c>
      <c r="AI1321" s="5" t="s">
        <v>249</v>
      </c>
      <c r="AJ1321" s="4" t="s">
        <v>251</v>
      </c>
      <c r="AK1321" s="4" t="s">
        <v>252</v>
      </c>
      <c r="BA1321" s="4" t="s">
        <v>254</v>
      </c>
      <c r="BB1321" s="4" t="s">
        <v>241</v>
      </c>
      <c r="BC1321" s="4" t="s">
        <v>255</v>
      </c>
      <c r="BD1321" s="4" t="s">
        <v>241</v>
      </c>
      <c r="BE1321" s="4" t="s">
        <v>257</v>
      </c>
      <c r="BF1321" s="4" t="s">
        <v>241</v>
      </c>
      <c r="BH1321" s="4" t="s">
        <v>500</v>
      </c>
      <c r="BJ1321" s="4" t="s">
        <v>377</v>
      </c>
      <c r="BK1321" s="5" t="s">
        <v>378</v>
      </c>
      <c r="BL1321" s="4" t="s">
        <v>261</v>
      </c>
      <c r="BM1321" s="4" t="s">
        <v>290</v>
      </c>
      <c r="BN1321" s="4" t="s">
        <v>241</v>
      </c>
      <c r="BO1321" s="6">
        <f>0</f>
        <v>0</v>
      </c>
      <c r="BP1321" s="6">
        <f>0</f>
        <v>0</v>
      </c>
      <c r="BQ1321" s="4" t="s">
        <v>263</v>
      </c>
      <c r="BR1321" s="4" t="s">
        <v>264</v>
      </c>
      <c r="CF1321" s="4" t="s">
        <v>241</v>
      </c>
      <c r="CG1321" s="4" t="s">
        <v>241</v>
      </c>
      <c r="CK1321" s="4" t="s">
        <v>265</v>
      </c>
      <c r="CL1321" s="4" t="s">
        <v>266</v>
      </c>
      <c r="CM1321" s="4" t="s">
        <v>241</v>
      </c>
      <c r="CO1321" s="4" t="s">
        <v>841</v>
      </c>
      <c r="CP1321" s="5" t="s">
        <v>268</v>
      </c>
      <c r="CQ1321" s="4" t="s">
        <v>269</v>
      </c>
      <c r="CR1321" s="4" t="s">
        <v>270</v>
      </c>
      <c r="CS1321" s="4" t="s">
        <v>241</v>
      </c>
      <c r="CT1321" s="4" t="s">
        <v>241</v>
      </c>
      <c r="CU1321" s="4">
        <v>0</v>
      </c>
      <c r="CV1321" s="4" t="s">
        <v>271</v>
      </c>
      <c r="CW1321" s="4" t="s">
        <v>1986</v>
      </c>
      <c r="CX1321" s="4" t="s">
        <v>295</v>
      </c>
      <c r="CZ1321" s="6">
        <f>9230000</f>
        <v>9230000</v>
      </c>
      <c r="DA1321" s="6">
        <f>0</f>
        <v>0</v>
      </c>
      <c r="DC1321" s="4" t="s">
        <v>241</v>
      </c>
      <c r="DD1321" s="4" t="s">
        <v>241</v>
      </c>
      <c r="DF1321" s="4" t="s">
        <v>241</v>
      </c>
      <c r="DI1321" s="4" t="s">
        <v>241</v>
      </c>
      <c r="DJ1321" s="4" t="s">
        <v>241</v>
      </c>
      <c r="DK1321" s="4" t="s">
        <v>241</v>
      </c>
      <c r="DL1321" s="4" t="s">
        <v>241</v>
      </c>
      <c r="DM1321" s="4" t="s">
        <v>323</v>
      </c>
      <c r="DN1321" s="4" t="s">
        <v>278</v>
      </c>
      <c r="DO1321" s="6">
        <f>71</f>
        <v>71</v>
      </c>
      <c r="DP1321" s="4" t="s">
        <v>241</v>
      </c>
      <c r="DQ1321" s="4" t="s">
        <v>241</v>
      </c>
      <c r="DR1321" s="4" t="s">
        <v>241</v>
      </c>
      <c r="DS1321" s="4" t="s">
        <v>241</v>
      </c>
      <c r="DV1321" s="4" t="s">
        <v>2090</v>
      </c>
      <c r="DW1321" s="4" t="s">
        <v>277</v>
      </c>
      <c r="HO1321" s="4" t="s">
        <v>336</v>
      </c>
      <c r="HR1321" s="4" t="s">
        <v>278</v>
      </c>
      <c r="HS1321" s="4" t="s">
        <v>278</v>
      </c>
    </row>
    <row r="1322" spans="1:240" x14ac:dyDescent="0.4">
      <c r="A1322" s="4">
        <v>2</v>
      </c>
      <c r="B1322" s="4" t="s">
        <v>239</v>
      </c>
      <c r="C1322" s="4">
        <v>1630</v>
      </c>
      <c r="D1322" s="4">
        <v>1</v>
      </c>
      <c r="E1322" s="4">
        <v>1</v>
      </c>
      <c r="F1322" s="4" t="s">
        <v>240</v>
      </c>
      <c r="G1322" s="4" t="s">
        <v>241</v>
      </c>
      <c r="H1322" s="4" t="s">
        <v>241</v>
      </c>
      <c r="I1322" s="4" t="s">
        <v>2002</v>
      </c>
      <c r="J1322" s="4" t="s">
        <v>396</v>
      </c>
      <c r="K1322" s="4" t="s">
        <v>256</v>
      </c>
      <c r="L1322" s="4" t="s">
        <v>505</v>
      </c>
      <c r="M1322" s="5" t="s">
        <v>2003</v>
      </c>
      <c r="N1322" s="4" t="s">
        <v>505</v>
      </c>
      <c r="O1322" s="6">
        <f>42.9</f>
        <v>42.9</v>
      </c>
      <c r="P1322" s="4" t="s">
        <v>276</v>
      </c>
      <c r="Q1322" s="6">
        <f>1</f>
        <v>1</v>
      </c>
      <c r="R1322" s="6">
        <f>5577000</f>
        <v>5577000</v>
      </c>
      <c r="S1322" s="5" t="s">
        <v>839</v>
      </c>
      <c r="T1322" s="4" t="s">
        <v>333</v>
      </c>
      <c r="U1322" s="4" t="s">
        <v>333</v>
      </c>
      <c r="W1322" s="6">
        <f>5576999</f>
        <v>5576999</v>
      </c>
      <c r="X1322" s="4" t="s">
        <v>243</v>
      </c>
      <c r="Y1322" s="4" t="s">
        <v>244</v>
      </c>
      <c r="Z1322" s="4" t="s">
        <v>504</v>
      </c>
      <c r="AA1322" s="4" t="s">
        <v>241</v>
      </c>
      <c r="AD1322" s="4" t="s">
        <v>241</v>
      </c>
      <c r="AF1322" s="5" t="s">
        <v>241</v>
      </c>
      <c r="AI1322" s="5" t="s">
        <v>249</v>
      </c>
      <c r="AJ1322" s="4" t="s">
        <v>251</v>
      </c>
      <c r="AK1322" s="4" t="s">
        <v>252</v>
      </c>
      <c r="BA1322" s="4" t="s">
        <v>254</v>
      </c>
      <c r="BB1322" s="4" t="s">
        <v>241</v>
      </c>
      <c r="BC1322" s="4" t="s">
        <v>255</v>
      </c>
      <c r="BD1322" s="4" t="s">
        <v>241</v>
      </c>
      <c r="BE1322" s="4" t="s">
        <v>257</v>
      </c>
      <c r="BF1322" s="4" t="s">
        <v>241</v>
      </c>
      <c r="BH1322" s="4" t="s">
        <v>500</v>
      </c>
      <c r="BJ1322" s="4" t="s">
        <v>259</v>
      </c>
      <c r="BK1322" s="5" t="s">
        <v>260</v>
      </c>
      <c r="BL1322" s="4" t="s">
        <v>261</v>
      </c>
      <c r="BM1322" s="4" t="s">
        <v>290</v>
      </c>
      <c r="BN1322" s="4" t="s">
        <v>241</v>
      </c>
      <c r="BO1322" s="6">
        <f>0</f>
        <v>0</v>
      </c>
      <c r="BP1322" s="6">
        <f>0</f>
        <v>0</v>
      </c>
      <c r="BQ1322" s="4" t="s">
        <v>263</v>
      </c>
      <c r="BR1322" s="4" t="s">
        <v>264</v>
      </c>
      <c r="CF1322" s="4" t="s">
        <v>241</v>
      </c>
      <c r="CG1322" s="4" t="s">
        <v>241</v>
      </c>
      <c r="CK1322" s="4" t="s">
        <v>265</v>
      </c>
      <c r="CL1322" s="4" t="s">
        <v>266</v>
      </c>
      <c r="CM1322" s="4" t="s">
        <v>241</v>
      </c>
      <c r="CO1322" s="4" t="s">
        <v>841</v>
      </c>
      <c r="CP1322" s="5" t="s">
        <v>268</v>
      </c>
      <c r="CQ1322" s="4" t="s">
        <v>269</v>
      </c>
      <c r="CR1322" s="4" t="s">
        <v>270</v>
      </c>
      <c r="CS1322" s="4" t="s">
        <v>241</v>
      </c>
      <c r="CT1322" s="4" t="s">
        <v>241</v>
      </c>
      <c r="CU1322" s="4">
        <v>0</v>
      </c>
      <c r="CV1322" s="4" t="s">
        <v>271</v>
      </c>
      <c r="CW1322" s="4" t="s">
        <v>1986</v>
      </c>
      <c r="CX1322" s="4" t="s">
        <v>295</v>
      </c>
      <c r="CZ1322" s="6">
        <f>5577000</f>
        <v>5577000</v>
      </c>
      <c r="DA1322" s="6">
        <f>0</f>
        <v>0</v>
      </c>
      <c r="DC1322" s="4" t="s">
        <v>241</v>
      </c>
      <c r="DD1322" s="4" t="s">
        <v>241</v>
      </c>
      <c r="DF1322" s="4" t="s">
        <v>241</v>
      </c>
      <c r="DI1322" s="4" t="s">
        <v>241</v>
      </c>
      <c r="DJ1322" s="4" t="s">
        <v>241</v>
      </c>
      <c r="DK1322" s="4" t="s">
        <v>241</v>
      </c>
      <c r="DL1322" s="4" t="s">
        <v>241</v>
      </c>
      <c r="DM1322" s="4" t="s">
        <v>277</v>
      </c>
      <c r="DN1322" s="4" t="s">
        <v>278</v>
      </c>
      <c r="DO1322" s="6">
        <f>42.9</f>
        <v>42.9</v>
      </c>
      <c r="DP1322" s="4" t="s">
        <v>241</v>
      </c>
      <c r="DQ1322" s="4" t="s">
        <v>241</v>
      </c>
      <c r="DR1322" s="4" t="s">
        <v>241</v>
      </c>
      <c r="DS1322" s="4" t="s">
        <v>241</v>
      </c>
      <c r="DV1322" s="4" t="s">
        <v>2004</v>
      </c>
      <c r="DW1322" s="4" t="s">
        <v>277</v>
      </c>
      <c r="HO1322" s="4" t="s">
        <v>336</v>
      </c>
      <c r="HR1322" s="4" t="s">
        <v>278</v>
      </c>
      <c r="HS1322" s="4" t="s">
        <v>278</v>
      </c>
    </row>
    <row r="1323" spans="1:240" x14ac:dyDescent="0.4">
      <c r="A1323" s="4">
        <v>2</v>
      </c>
      <c r="B1323" s="4" t="s">
        <v>239</v>
      </c>
      <c r="C1323" s="4">
        <v>1631</v>
      </c>
      <c r="D1323" s="4">
        <v>1</v>
      </c>
      <c r="E1323" s="4">
        <v>3</v>
      </c>
      <c r="F1323" s="4" t="s">
        <v>240</v>
      </c>
      <c r="G1323" s="4" t="s">
        <v>241</v>
      </c>
      <c r="H1323" s="4" t="s">
        <v>241</v>
      </c>
      <c r="I1323" s="4" t="s">
        <v>2091</v>
      </c>
      <c r="J1323" s="4" t="s">
        <v>396</v>
      </c>
      <c r="K1323" s="4" t="s">
        <v>256</v>
      </c>
      <c r="L1323" s="4" t="s">
        <v>505</v>
      </c>
      <c r="M1323" s="5" t="s">
        <v>2092</v>
      </c>
      <c r="N1323" s="4" t="s">
        <v>505</v>
      </c>
      <c r="O1323" s="6">
        <f>58.85</f>
        <v>58.85</v>
      </c>
      <c r="P1323" s="4" t="s">
        <v>276</v>
      </c>
      <c r="Q1323" s="6">
        <f>436694</f>
        <v>436694</v>
      </c>
      <c r="R1323" s="6">
        <f>15595250</f>
        <v>15595250</v>
      </c>
      <c r="S1323" s="5" t="s">
        <v>1084</v>
      </c>
      <c r="T1323" s="4" t="s">
        <v>333</v>
      </c>
      <c r="U1323" s="4" t="s">
        <v>669</v>
      </c>
      <c r="V1323" s="6">
        <f>421071</f>
        <v>421071</v>
      </c>
      <c r="W1323" s="6">
        <f>15158556</f>
        <v>15158556</v>
      </c>
      <c r="X1323" s="4" t="s">
        <v>243</v>
      </c>
      <c r="Y1323" s="4" t="s">
        <v>244</v>
      </c>
      <c r="Z1323" s="4" t="s">
        <v>504</v>
      </c>
      <c r="AA1323" s="4" t="s">
        <v>241</v>
      </c>
      <c r="AD1323" s="4" t="s">
        <v>241</v>
      </c>
      <c r="AE1323" s="5" t="s">
        <v>241</v>
      </c>
      <c r="AF1323" s="5" t="s">
        <v>241</v>
      </c>
      <c r="AH1323" s="5" t="s">
        <v>241</v>
      </c>
      <c r="AI1323" s="5" t="s">
        <v>249</v>
      </c>
      <c r="AJ1323" s="4" t="s">
        <v>251</v>
      </c>
      <c r="AK1323" s="4" t="s">
        <v>252</v>
      </c>
      <c r="AQ1323" s="4" t="s">
        <v>241</v>
      </c>
      <c r="AR1323" s="4" t="s">
        <v>241</v>
      </c>
      <c r="AS1323" s="4" t="s">
        <v>241</v>
      </c>
      <c r="AT1323" s="5" t="s">
        <v>241</v>
      </c>
      <c r="AU1323" s="5" t="s">
        <v>241</v>
      </c>
      <c r="AV1323" s="5" t="s">
        <v>241</v>
      </c>
      <c r="AY1323" s="4" t="s">
        <v>286</v>
      </c>
      <c r="AZ1323" s="4" t="s">
        <v>286</v>
      </c>
      <c r="BA1323" s="4" t="s">
        <v>254</v>
      </c>
      <c r="BB1323" s="4" t="s">
        <v>287</v>
      </c>
      <c r="BC1323" s="4" t="s">
        <v>255</v>
      </c>
      <c r="BD1323" s="4" t="s">
        <v>241</v>
      </c>
      <c r="BE1323" s="4" t="s">
        <v>257</v>
      </c>
      <c r="BF1323" s="4" t="s">
        <v>241</v>
      </c>
      <c r="BH1323" s="4" t="s">
        <v>500</v>
      </c>
      <c r="BJ1323" s="4" t="s">
        <v>288</v>
      </c>
      <c r="BK1323" s="5" t="s">
        <v>289</v>
      </c>
      <c r="BL1323" s="4" t="s">
        <v>290</v>
      </c>
      <c r="BM1323" s="4" t="s">
        <v>290</v>
      </c>
      <c r="BN1323" s="4" t="s">
        <v>241</v>
      </c>
      <c r="BO1323" s="6">
        <f>0</f>
        <v>0</v>
      </c>
      <c r="BP1323" s="6">
        <f>-421071</f>
        <v>-421071</v>
      </c>
      <c r="BQ1323" s="4" t="s">
        <v>263</v>
      </c>
      <c r="BR1323" s="4" t="s">
        <v>264</v>
      </c>
      <c r="BS1323" s="4" t="s">
        <v>241</v>
      </c>
      <c r="BT1323" s="4" t="s">
        <v>241</v>
      </c>
      <c r="BU1323" s="4" t="s">
        <v>241</v>
      </c>
      <c r="BV1323" s="4" t="s">
        <v>241</v>
      </c>
      <c r="CE1323" s="4" t="s">
        <v>264</v>
      </c>
      <c r="CF1323" s="4" t="s">
        <v>241</v>
      </c>
      <c r="CG1323" s="4" t="s">
        <v>241</v>
      </c>
      <c r="CK1323" s="4" t="s">
        <v>291</v>
      </c>
      <c r="CL1323" s="4" t="s">
        <v>266</v>
      </c>
      <c r="CM1323" s="4" t="s">
        <v>241</v>
      </c>
      <c r="CO1323" s="4" t="s">
        <v>667</v>
      </c>
      <c r="CP1323" s="5" t="s">
        <v>268</v>
      </c>
      <c r="CQ1323" s="4" t="s">
        <v>269</v>
      </c>
      <c r="CR1323" s="4" t="s">
        <v>270</v>
      </c>
      <c r="CS1323" s="4" t="s">
        <v>293</v>
      </c>
      <c r="CT1323" s="4" t="s">
        <v>241</v>
      </c>
      <c r="CU1323" s="4">
        <v>2.7E-2</v>
      </c>
      <c r="CV1323" s="4" t="s">
        <v>271</v>
      </c>
      <c r="CW1323" s="4" t="s">
        <v>1986</v>
      </c>
      <c r="CX1323" s="4" t="s">
        <v>295</v>
      </c>
      <c r="CY1323" s="6">
        <f>0</f>
        <v>0</v>
      </c>
      <c r="CZ1323" s="6">
        <f>15595250</f>
        <v>15595250</v>
      </c>
      <c r="DA1323" s="6">
        <f>436694</f>
        <v>436694</v>
      </c>
      <c r="DC1323" s="4" t="s">
        <v>241</v>
      </c>
      <c r="DD1323" s="4" t="s">
        <v>241</v>
      </c>
      <c r="DF1323" s="4" t="s">
        <v>241</v>
      </c>
      <c r="DG1323" s="6">
        <f>0</f>
        <v>0</v>
      </c>
      <c r="DI1323" s="4" t="s">
        <v>241</v>
      </c>
      <c r="DJ1323" s="4" t="s">
        <v>241</v>
      </c>
      <c r="DK1323" s="4" t="s">
        <v>241</v>
      </c>
      <c r="DL1323" s="4" t="s">
        <v>241</v>
      </c>
      <c r="DM1323" s="4" t="s">
        <v>277</v>
      </c>
      <c r="DN1323" s="4" t="s">
        <v>278</v>
      </c>
      <c r="DO1323" s="6">
        <f>58.85</f>
        <v>58.85</v>
      </c>
      <c r="DP1323" s="4" t="s">
        <v>241</v>
      </c>
      <c r="DQ1323" s="4" t="s">
        <v>241</v>
      </c>
      <c r="DR1323" s="4" t="s">
        <v>241</v>
      </c>
      <c r="DS1323" s="4" t="s">
        <v>241</v>
      </c>
      <c r="DV1323" s="4" t="s">
        <v>2093</v>
      </c>
      <c r="DW1323" s="4" t="s">
        <v>277</v>
      </c>
      <c r="GN1323" s="4" t="s">
        <v>2094</v>
      </c>
      <c r="HO1323" s="4" t="s">
        <v>341</v>
      </c>
      <c r="HR1323" s="4" t="s">
        <v>278</v>
      </c>
      <c r="HS1323" s="4" t="s">
        <v>278</v>
      </c>
      <c r="HT1323" s="4" t="s">
        <v>241</v>
      </c>
      <c r="HU1323" s="4" t="s">
        <v>241</v>
      </c>
      <c r="HV1323" s="4" t="s">
        <v>241</v>
      </c>
      <c r="HW1323" s="4" t="s">
        <v>241</v>
      </c>
      <c r="HX1323" s="4" t="s">
        <v>241</v>
      </c>
      <c r="HY1323" s="4" t="s">
        <v>241</v>
      </c>
      <c r="HZ1323" s="4" t="s">
        <v>241</v>
      </c>
      <c r="IA1323" s="4" t="s">
        <v>241</v>
      </c>
      <c r="IB1323" s="4" t="s">
        <v>241</v>
      </c>
      <c r="IC1323" s="4" t="s">
        <v>241</v>
      </c>
      <c r="ID1323" s="4" t="s">
        <v>241</v>
      </c>
      <c r="IE1323" s="4" t="s">
        <v>241</v>
      </c>
      <c r="IF1323" s="4" t="s">
        <v>241</v>
      </c>
    </row>
    <row r="1324" spans="1:240" x14ac:dyDescent="0.4">
      <c r="A1324" s="4">
        <v>2</v>
      </c>
      <c r="B1324" s="4" t="s">
        <v>239</v>
      </c>
      <c r="C1324" s="4">
        <v>1632</v>
      </c>
      <c r="D1324" s="4">
        <v>1</v>
      </c>
      <c r="E1324" s="4">
        <v>3</v>
      </c>
      <c r="F1324" s="4" t="s">
        <v>240</v>
      </c>
      <c r="G1324" s="4" t="s">
        <v>241</v>
      </c>
      <c r="H1324" s="4" t="s">
        <v>241</v>
      </c>
      <c r="I1324" s="4" t="s">
        <v>1983</v>
      </c>
      <c r="J1324" s="4" t="s">
        <v>396</v>
      </c>
      <c r="K1324" s="4" t="s">
        <v>256</v>
      </c>
      <c r="L1324" s="4" t="s">
        <v>505</v>
      </c>
      <c r="M1324" s="5" t="s">
        <v>1985</v>
      </c>
      <c r="N1324" s="4" t="s">
        <v>505</v>
      </c>
      <c r="O1324" s="6">
        <f>101</f>
        <v>101</v>
      </c>
      <c r="P1324" s="4" t="s">
        <v>276</v>
      </c>
      <c r="Q1324" s="6">
        <f>180402768</f>
        <v>180402768</v>
      </c>
      <c r="R1324" s="6">
        <f>266868000</f>
        <v>266868000</v>
      </c>
      <c r="S1324" s="5" t="s">
        <v>1984</v>
      </c>
      <c r="T1324" s="4" t="s">
        <v>333</v>
      </c>
      <c r="U1324" s="4" t="s">
        <v>353</v>
      </c>
      <c r="V1324" s="6">
        <f>7205436</f>
        <v>7205436</v>
      </c>
      <c r="W1324" s="6">
        <f>86465232</f>
        <v>86465232</v>
      </c>
      <c r="X1324" s="4" t="s">
        <v>243</v>
      </c>
      <c r="Y1324" s="4" t="s">
        <v>244</v>
      </c>
      <c r="Z1324" s="4" t="s">
        <v>504</v>
      </c>
      <c r="AA1324" s="4" t="s">
        <v>241</v>
      </c>
      <c r="AD1324" s="4" t="s">
        <v>241</v>
      </c>
      <c r="AE1324" s="5" t="s">
        <v>241</v>
      </c>
      <c r="AF1324" s="5" t="s">
        <v>241</v>
      </c>
      <c r="AH1324" s="5" t="s">
        <v>241</v>
      </c>
      <c r="AI1324" s="5" t="s">
        <v>249</v>
      </c>
      <c r="AJ1324" s="4" t="s">
        <v>251</v>
      </c>
      <c r="AK1324" s="4" t="s">
        <v>252</v>
      </c>
      <c r="AQ1324" s="4" t="s">
        <v>241</v>
      </c>
      <c r="AR1324" s="4" t="s">
        <v>241</v>
      </c>
      <c r="AS1324" s="4" t="s">
        <v>241</v>
      </c>
      <c r="AT1324" s="5" t="s">
        <v>241</v>
      </c>
      <c r="AU1324" s="5" t="s">
        <v>241</v>
      </c>
      <c r="AV1324" s="5" t="s">
        <v>241</v>
      </c>
      <c r="AY1324" s="4" t="s">
        <v>286</v>
      </c>
      <c r="AZ1324" s="4" t="s">
        <v>286</v>
      </c>
      <c r="BA1324" s="4" t="s">
        <v>254</v>
      </c>
      <c r="BB1324" s="4" t="s">
        <v>287</v>
      </c>
      <c r="BC1324" s="4" t="s">
        <v>255</v>
      </c>
      <c r="BD1324" s="4" t="s">
        <v>241</v>
      </c>
      <c r="BE1324" s="4" t="s">
        <v>257</v>
      </c>
      <c r="BF1324" s="4" t="s">
        <v>241</v>
      </c>
      <c r="BH1324" s="4" t="s">
        <v>500</v>
      </c>
      <c r="BJ1324" s="4" t="s">
        <v>288</v>
      </c>
      <c r="BK1324" s="5" t="s">
        <v>289</v>
      </c>
      <c r="BL1324" s="4" t="s">
        <v>290</v>
      </c>
      <c r="BM1324" s="4" t="s">
        <v>290</v>
      </c>
      <c r="BN1324" s="4" t="s">
        <v>241</v>
      </c>
      <c r="BO1324" s="6">
        <f>0</f>
        <v>0</v>
      </c>
      <c r="BP1324" s="6">
        <f>-7205436</f>
        <v>-7205436</v>
      </c>
      <c r="BQ1324" s="4" t="s">
        <v>263</v>
      </c>
      <c r="BR1324" s="4" t="s">
        <v>264</v>
      </c>
      <c r="BS1324" s="4" t="s">
        <v>241</v>
      </c>
      <c r="BT1324" s="4" t="s">
        <v>241</v>
      </c>
      <c r="BU1324" s="4" t="s">
        <v>241</v>
      </c>
      <c r="BV1324" s="4" t="s">
        <v>241</v>
      </c>
      <c r="CE1324" s="4" t="s">
        <v>264</v>
      </c>
      <c r="CF1324" s="4" t="s">
        <v>241</v>
      </c>
      <c r="CG1324" s="4" t="s">
        <v>241</v>
      </c>
      <c r="CK1324" s="4" t="s">
        <v>291</v>
      </c>
      <c r="CL1324" s="4" t="s">
        <v>266</v>
      </c>
      <c r="CM1324" s="4" t="s">
        <v>241</v>
      </c>
      <c r="CO1324" s="4" t="s">
        <v>352</v>
      </c>
      <c r="CP1324" s="5" t="s">
        <v>268</v>
      </c>
      <c r="CQ1324" s="4" t="s">
        <v>269</v>
      </c>
      <c r="CR1324" s="4" t="s">
        <v>270</v>
      </c>
      <c r="CS1324" s="4" t="s">
        <v>293</v>
      </c>
      <c r="CT1324" s="4" t="s">
        <v>241</v>
      </c>
      <c r="CU1324" s="4">
        <v>2.7E-2</v>
      </c>
      <c r="CV1324" s="4" t="s">
        <v>271</v>
      </c>
      <c r="CW1324" s="4" t="s">
        <v>1986</v>
      </c>
      <c r="CX1324" s="4" t="s">
        <v>295</v>
      </c>
      <c r="CY1324" s="6">
        <f>0</f>
        <v>0</v>
      </c>
      <c r="CZ1324" s="6">
        <f>266868000</f>
        <v>266868000</v>
      </c>
      <c r="DA1324" s="6">
        <f>180402768</f>
        <v>180402768</v>
      </c>
      <c r="DC1324" s="4" t="s">
        <v>241</v>
      </c>
      <c r="DD1324" s="4" t="s">
        <v>241</v>
      </c>
      <c r="DF1324" s="4" t="s">
        <v>241</v>
      </c>
      <c r="DG1324" s="6">
        <f>0</f>
        <v>0</v>
      </c>
      <c r="DI1324" s="4" t="s">
        <v>241</v>
      </c>
      <c r="DJ1324" s="4" t="s">
        <v>241</v>
      </c>
      <c r="DK1324" s="4" t="s">
        <v>241</v>
      </c>
      <c r="DL1324" s="4" t="s">
        <v>241</v>
      </c>
      <c r="DM1324" s="4" t="s">
        <v>277</v>
      </c>
      <c r="DN1324" s="4" t="s">
        <v>278</v>
      </c>
      <c r="DO1324" s="6">
        <f>101</f>
        <v>101</v>
      </c>
      <c r="DP1324" s="4" t="s">
        <v>241</v>
      </c>
      <c r="DQ1324" s="4" t="s">
        <v>241</v>
      </c>
      <c r="DR1324" s="4" t="s">
        <v>241</v>
      </c>
      <c r="DS1324" s="4" t="s">
        <v>241</v>
      </c>
      <c r="DV1324" s="4" t="s">
        <v>1987</v>
      </c>
      <c r="DW1324" s="4" t="s">
        <v>277</v>
      </c>
      <c r="GN1324" s="4" t="s">
        <v>1988</v>
      </c>
      <c r="HO1324" s="4" t="s">
        <v>341</v>
      </c>
      <c r="HR1324" s="4" t="s">
        <v>278</v>
      </c>
      <c r="HS1324" s="4" t="s">
        <v>278</v>
      </c>
      <c r="HT1324" s="4" t="s">
        <v>241</v>
      </c>
      <c r="HU1324" s="4" t="s">
        <v>241</v>
      </c>
      <c r="HV1324" s="4" t="s">
        <v>241</v>
      </c>
      <c r="HW1324" s="4" t="s">
        <v>241</v>
      </c>
      <c r="HX1324" s="4" t="s">
        <v>241</v>
      </c>
      <c r="HY1324" s="4" t="s">
        <v>241</v>
      </c>
      <c r="HZ1324" s="4" t="s">
        <v>241</v>
      </c>
      <c r="IA1324" s="4" t="s">
        <v>241</v>
      </c>
      <c r="IB1324" s="4" t="s">
        <v>241</v>
      </c>
      <c r="IC1324" s="4" t="s">
        <v>241</v>
      </c>
      <c r="ID1324" s="4" t="s">
        <v>241</v>
      </c>
      <c r="IE1324" s="4" t="s">
        <v>241</v>
      </c>
      <c r="IF1324" s="4" t="s">
        <v>241</v>
      </c>
    </row>
    <row r="1325" spans="1:240" x14ac:dyDescent="0.4">
      <c r="A1325" s="4">
        <v>2</v>
      </c>
      <c r="B1325" s="4" t="s">
        <v>239</v>
      </c>
      <c r="C1325" s="4">
        <v>1635</v>
      </c>
      <c r="D1325" s="4">
        <v>1</v>
      </c>
      <c r="E1325" s="4">
        <v>3</v>
      </c>
      <c r="F1325" s="4" t="s">
        <v>240</v>
      </c>
      <c r="G1325" s="4" t="s">
        <v>241</v>
      </c>
      <c r="H1325" s="4" t="s">
        <v>241</v>
      </c>
      <c r="I1325" s="4" t="s">
        <v>1493</v>
      </c>
      <c r="J1325" s="4" t="s">
        <v>328</v>
      </c>
      <c r="K1325" s="4" t="s">
        <v>256</v>
      </c>
      <c r="L1325" s="4" t="s">
        <v>1495</v>
      </c>
      <c r="M1325" s="5" t="s">
        <v>1496</v>
      </c>
      <c r="N1325" s="4" t="s">
        <v>1360</v>
      </c>
      <c r="O1325" s="6">
        <f>63.76</f>
        <v>63.76</v>
      </c>
      <c r="P1325" s="4" t="s">
        <v>276</v>
      </c>
      <c r="Q1325" s="6">
        <f>3966040</f>
        <v>3966040</v>
      </c>
      <c r="R1325" s="6">
        <f>6838000</f>
        <v>6838000</v>
      </c>
      <c r="S1325" s="5" t="s">
        <v>1494</v>
      </c>
      <c r="T1325" s="4" t="s">
        <v>274</v>
      </c>
      <c r="U1325" s="4" t="s">
        <v>417</v>
      </c>
      <c r="V1325" s="6">
        <f>287196</f>
        <v>287196</v>
      </c>
      <c r="W1325" s="6">
        <f>2871960</f>
        <v>2871960</v>
      </c>
      <c r="X1325" s="4" t="s">
        <v>243</v>
      </c>
      <c r="Y1325" s="4" t="s">
        <v>244</v>
      </c>
      <c r="Z1325" s="4" t="s">
        <v>504</v>
      </c>
      <c r="AA1325" s="4" t="s">
        <v>241</v>
      </c>
      <c r="AD1325" s="4" t="s">
        <v>241</v>
      </c>
      <c r="AE1325" s="5" t="s">
        <v>241</v>
      </c>
      <c r="AF1325" s="5" t="s">
        <v>241</v>
      </c>
      <c r="AH1325" s="5" t="s">
        <v>241</v>
      </c>
      <c r="AI1325" s="5" t="s">
        <v>249</v>
      </c>
      <c r="AJ1325" s="4" t="s">
        <v>251</v>
      </c>
      <c r="AK1325" s="4" t="s">
        <v>252</v>
      </c>
      <c r="AQ1325" s="4" t="s">
        <v>241</v>
      </c>
      <c r="AR1325" s="4" t="s">
        <v>241</v>
      </c>
      <c r="AS1325" s="4" t="s">
        <v>241</v>
      </c>
      <c r="AT1325" s="5" t="s">
        <v>241</v>
      </c>
      <c r="AU1325" s="5" t="s">
        <v>241</v>
      </c>
      <c r="AV1325" s="5" t="s">
        <v>241</v>
      </c>
      <c r="AY1325" s="4" t="s">
        <v>286</v>
      </c>
      <c r="AZ1325" s="4" t="s">
        <v>286</v>
      </c>
      <c r="BA1325" s="4" t="s">
        <v>254</v>
      </c>
      <c r="BB1325" s="4" t="s">
        <v>287</v>
      </c>
      <c r="BC1325" s="4" t="s">
        <v>255</v>
      </c>
      <c r="BD1325" s="4" t="s">
        <v>241</v>
      </c>
      <c r="BE1325" s="4" t="s">
        <v>257</v>
      </c>
      <c r="BF1325" s="4" t="s">
        <v>241</v>
      </c>
      <c r="BJ1325" s="4" t="s">
        <v>288</v>
      </c>
      <c r="BK1325" s="5" t="s">
        <v>289</v>
      </c>
      <c r="BL1325" s="4" t="s">
        <v>290</v>
      </c>
      <c r="BM1325" s="4" t="s">
        <v>290</v>
      </c>
      <c r="BN1325" s="4" t="s">
        <v>241</v>
      </c>
      <c r="BO1325" s="6">
        <f>0</f>
        <v>0</v>
      </c>
      <c r="BP1325" s="6">
        <f>-287196</f>
        <v>-287196</v>
      </c>
      <c r="BQ1325" s="4" t="s">
        <v>263</v>
      </c>
      <c r="BR1325" s="4" t="s">
        <v>264</v>
      </c>
      <c r="BS1325" s="4" t="s">
        <v>241</v>
      </c>
      <c r="BT1325" s="4" t="s">
        <v>241</v>
      </c>
      <c r="BU1325" s="4" t="s">
        <v>241</v>
      </c>
      <c r="BV1325" s="4" t="s">
        <v>241</v>
      </c>
      <c r="CE1325" s="4" t="s">
        <v>264</v>
      </c>
      <c r="CF1325" s="4" t="s">
        <v>241</v>
      </c>
      <c r="CG1325" s="4" t="s">
        <v>241</v>
      </c>
      <c r="CK1325" s="4" t="s">
        <v>291</v>
      </c>
      <c r="CL1325" s="4" t="s">
        <v>266</v>
      </c>
      <c r="CM1325" s="4" t="s">
        <v>241</v>
      </c>
      <c r="CO1325" s="4" t="s">
        <v>1497</v>
      </c>
      <c r="CP1325" s="5" t="s">
        <v>268</v>
      </c>
      <c r="CQ1325" s="4" t="s">
        <v>269</v>
      </c>
      <c r="CR1325" s="4" t="s">
        <v>270</v>
      </c>
      <c r="CS1325" s="4" t="s">
        <v>293</v>
      </c>
      <c r="CT1325" s="4" t="s">
        <v>241</v>
      </c>
      <c r="CU1325" s="4">
        <v>4.2000000000000003E-2</v>
      </c>
      <c r="CV1325" s="4" t="s">
        <v>271</v>
      </c>
      <c r="CW1325" s="4" t="s">
        <v>1329</v>
      </c>
      <c r="CX1325" s="4" t="s">
        <v>347</v>
      </c>
      <c r="CY1325" s="6">
        <f>0</f>
        <v>0</v>
      </c>
      <c r="CZ1325" s="6">
        <f>6838000</f>
        <v>6838000</v>
      </c>
      <c r="DA1325" s="6">
        <f>3966040</f>
        <v>3966040</v>
      </c>
      <c r="DC1325" s="4" t="s">
        <v>241</v>
      </c>
      <c r="DD1325" s="4" t="s">
        <v>241</v>
      </c>
      <c r="DF1325" s="4" t="s">
        <v>241</v>
      </c>
      <c r="DG1325" s="6">
        <f>0</f>
        <v>0</v>
      </c>
      <c r="DI1325" s="4" t="s">
        <v>241</v>
      </c>
      <c r="DJ1325" s="4" t="s">
        <v>241</v>
      </c>
      <c r="DK1325" s="4" t="s">
        <v>241</v>
      </c>
      <c r="DL1325" s="4" t="s">
        <v>241</v>
      </c>
      <c r="DM1325" s="4" t="s">
        <v>277</v>
      </c>
      <c r="DN1325" s="4" t="s">
        <v>278</v>
      </c>
      <c r="DO1325" s="6">
        <f>63.76</f>
        <v>63.76</v>
      </c>
      <c r="DP1325" s="4" t="s">
        <v>241</v>
      </c>
      <c r="DQ1325" s="4" t="s">
        <v>241</v>
      </c>
      <c r="DR1325" s="4" t="s">
        <v>241</v>
      </c>
      <c r="DS1325" s="4" t="s">
        <v>241</v>
      </c>
      <c r="DV1325" s="4" t="s">
        <v>1498</v>
      </c>
      <c r="DW1325" s="4" t="s">
        <v>277</v>
      </c>
      <c r="GN1325" s="4" t="s">
        <v>1499</v>
      </c>
      <c r="HO1325" s="4" t="s">
        <v>409</v>
      </c>
      <c r="HR1325" s="4" t="s">
        <v>278</v>
      </c>
      <c r="HS1325" s="4" t="s">
        <v>278</v>
      </c>
      <c r="HT1325" s="4" t="s">
        <v>241</v>
      </c>
      <c r="HU1325" s="4" t="s">
        <v>241</v>
      </c>
      <c r="HV1325" s="4" t="s">
        <v>241</v>
      </c>
      <c r="HW1325" s="4" t="s">
        <v>241</v>
      </c>
      <c r="HX1325" s="4" t="s">
        <v>241</v>
      </c>
      <c r="HY1325" s="4" t="s">
        <v>241</v>
      </c>
      <c r="HZ1325" s="4" t="s">
        <v>241</v>
      </c>
      <c r="IA1325" s="4" t="s">
        <v>241</v>
      </c>
      <c r="IB1325" s="4" t="s">
        <v>241</v>
      </c>
      <c r="IC1325" s="4" t="s">
        <v>241</v>
      </c>
      <c r="ID1325" s="4" t="s">
        <v>241</v>
      </c>
      <c r="IE1325" s="4" t="s">
        <v>241</v>
      </c>
      <c r="IF1325" s="4" t="s">
        <v>241</v>
      </c>
    </row>
    <row r="1326" spans="1:240" x14ac:dyDescent="0.4">
      <c r="A1326" s="4">
        <v>2</v>
      </c>
      <c r="B1326" s="4" t="s">
        <v>239</v>
      </c>
      <c r="C1326" s="4">
        <v>1636</v>
      </c>
      <c r="D1326" s="4">
        <v>1</v>
      </c>
      <c r="E1326" s="4">
        <v>3</v>
      </c>
      <c r="F1326" s="4" t="s">
        <v>240</v>
      </c>
      <c r="G1326" s="4" t="s">
        <v>241</v>
      </c>
      <c r="H1326" s="4" t="s">
        <v>241</v>
      </c>
      <c r="I1326" s="4" t="s">
        <v>1256</v>
      </c>
      <c r="J1326" s="4" t="s">
        <v>424</v>
      </c>
      <c r="K1326" s="4" t="s">
        <v>256</v>
      </c>
      <c r="L1326" s="4" t="s">
        <v>1255</v>
      </c>
      <c r="M1326" s="5" t="s">
        <v>1257</v>
      </c>
      <c r="N1326" s="4" t="s">
        <v>1255</v>
      </c>
      <c r="O1326" s="6">
        <f>308</f>
        <v>308</v>
      </c>
      <c r="P1326" s="4" t="s">
        <v>276</v>
      </c>
      <c r="Q1326" s="6">
        <f>5433120</f>
        <v>5433120</v>
      </c>
      <c r="R1326" s="6">
        <f>55440000</f>
        <v>55440000</v>
      </c>
      <c r="S1326" s="5" t="s">
        <v>839</v>
      </c>
      <c r="T1326" s="4" t="s">
        <v>668</v>
      </c>
      <c r="U1326" s="4" t="s">
        <v>412</v>
      </c>
      <c r="V1326" s="6">
        <f>1219680</f>
        <v>1219680</v>
      </c>
      <c r="W1326" s="6">
        <f>50006880</f>
        <v>50006880</v>
      </c>
      <c r="X1326" s="4" t="s">
        <v>243</v>
      </c>
      <c r="Y1326" s="4" t="s">
        <v>244</v>
      </c>
      <c r="Z1326" s="4" t="s">
        <v>282</v>
      </c>
      <c r="AA1326" s="4" t="s">
        <v>241</v>
      </c>
      <c r="AD1326" s="4" t="s">
        <v>241</v>
      </c>
      <c r="AE1326" s="5" t="s">
        <v>241</v>
      </c>
      <c r="AF1326" s="5" t="s">
        <v>241</v>
      </c>
      <c r="AH1326" s="5" t="s">
        <v>241</v>
      </c>
      <c r="AI1326" s="5" t="s">
        <v>249</v>
      </c>
      <c r="AJ1326" s="4" t="s">
        <v>251</v>
      </c>
      <c r="AK1326" s="4" t="s">
        <v>252</v>
      </c>
      <c r="AQ1326" s="4" t="s">
        <v>241</v>
      </c>
      <c r="AR1326" s="4" t="s">
        <v>241</v>
      </c>
      <c r="AS1326" s="4" t="s">
        <v>241</v>
      </c>
      <c r="AT1326" s="5" t="s">
        <v>241</v>
      </c>
      <c r="AU1326" s="5" t="s">
        <v>241</v>
      </c>
      <c r="AV1326" s="5" t="s">
        <v>241</v>
      </c>
      <c r="AY1326" s="4" t="s">
        <v>286</v>
      </c>
      <c r="AZ1326" s="4" t="s">
        <v>286</v>
      </c>
      <c r="BA1326" s="4" t="s">
        <v>254</v>
      </c>
      <c r="BB1326" s="4" t="s">
        <v>287</v>
      </c>
      <c r="BC1326" s="4" t="s">
        <v>255</v>
      </c>
      <c r="BD1326" s="4" t="s">
        <v>241</v>
      </c>
      <c r="BE1326" s="4" t="s">
        <v>257</v>
      </c>
      <c r="BF1326" s="4" t="s">
        <v>241</v>
      </c>
      <c r="BH1326" s="4" t="s">
        <v>500</v>
      </c>
      <c r="BJ1326" s="4" t="s">
        <v>288</v>
      </c>
      <c r="BK1326" s="5" t="s">
        <v>289</v>
      </c>
      <c r="BL1326" s="4" t="s">
        <v>290</v>
      </c>
      <c r="BM1326" s="4" t="s">
        <v>290</v>
      </c>
      <c r="BN1326" s="4" t="s">
        <v>241</v>
      </c>
      <c r="BO1326" s="6">
        <f>0</f>
        <v>0</v>
      </c>
      <c r="BP1326" s="6">
        <f>-1219680</f>
        <v>-1219680</v>
      </c>
      <c r="BQ1326" s="4" t="s">
        <v>263</v>
      </c>
      <c r="BR1326" s="4" t="s">
        <v>264</v>
      </c>
      <c r="BS1326" s="4" t="s">
        <v>241</v>
      </c>
      <c r="BT1326" s="4" t="s">
        <v>241</v>
      </c>
      <c r="BU1326" s="4" t="s">
        <v>241</v>
      </c>
      <c r="BV1326" s="4" t="s">
        <v>241</v>
      </c>
      <c r="CE1326" s="4" t="s">
        <v>264</v>
      </c>
      <c r="CF1326" s="4" t="s">
        <v>241</v>
      </c>
      <c r="CG1326" s="4" t="s">
        <v>241</v>
      </c>
      <c r="CK1326" s="4" t="s">
        <v>265</v>
      </c>
      <c r="CL1326" s="4" t="s">
        <v>266</v>
      </c>
      <c r="CM1326" s="4" t="s">
        <v>241</v>
      </c>
      <c r="CO1326" s="4" t="s">
        <v>841</v>
      </c>
      <c r="CP1326" s="5" t="s">
        <v>268</v>
      </c>
      <c r="CQ1326" s="4" t="s">
        <v>269</v>
      </c>
      <c r="CR1326" s="4" t="s">
        <v>270</v>
      </c>
      <c r="CS1326" s="4" t="s">
        <v>293</v>
      </c>
      <c r="CT1326" s="4" t="s">
        <v>241</v>
      </c>
      <c r="CU1326" s="4">
        <v>2.1999999999999999E-2</v>
      </c>
      <c r="CV1326" s="4" t="s">
        <v>271</v>
      </c>
      <c r="CW1326" s="4" t="s">
        <v>1176</v>
      </c>
      <c r="CX1326" s="4" t="s">
        <v>295</v>
      </c>
      <c r="CY1326" s="6">
        <f>0</f>
        <v>0</v>
      </c>
      <c r="CZ1326" s="6">
        <f>55440000</f>
        <v>55440000</v>
      </c>
      <c r="DA1326" s="6">
        <f>5433120</f>
        <v>5433120</v>
      </c>
      <c r="DC1326" s="4" t="s">
        <v>241</v>
      </c>
      <c r="DD1326" s="4" t="s">
        <v>241</v>
      </c>
      <c r="DF1326" s="4" t="s">
        <v>241</v>
      </c>
      <c r="DG1326" s="6">
        <f>0</f>
        <v>0</v>
      </c>
      <c r="DI1326" s="4" t="s">
        <v>241</v>
      </c>
      <c r="DJ1326" s="4" t="s">
        <v>241</v>
      </c>
      <c r="DK1326" s="4" t="s">
        <v>241</v>
      </c>
      <c r="DL1326" s="4" t="s">
        <v>241</v>
      </c>
      <c r="DM1326" s="4" t="s">
        <v>277</v>
      </c>
      <c r="DN1326" s="4" t="s">
        <v>278</v>
      </c>
      <c r="DO1326" s="6">
        <f>308</f>
        <v>308</v>
      </c>
      <c r="DP1326" s="4" t="s">
        <v>241</v>
      </c>
      <c r="DQ1326" s="4" t="s">
        <v>241</v>
      </c>
      <c r="DR1326" s="4" t="s">
        <v>241</v>
      </c>
      <c r="DS1326" s="4" t="s">
        <v>241</v>
      </c>
      <c r="DV1326" s="4" t="s">
        <v>1258</v>
      </c>
      <c r="DW1326" s="4" t="s">
        <v>277</v>
      </c>
      <c r="GN1326" s="4" t="s">
        <v>1259</v>
      </c>
      <c r="HO1326" s="4" t="s">
        <v>300</v>
      </c>
      <c r="HR1326" s="4" t="s">
        <v>278</v>
      </c>
      <c r="HS1326" s="4" t="s">
        <v>278</v>
      </c>
      <c r="HT1326" s="4" t="s">
        <v>241</v>
      </c>
      <c r="HU1326" s="4" t="s">
        <v>241</v>
      </c>
      <c r="HV1326" s="4" t="s">
        <v>241</v>
      </c>
      <c r="HW1326" s="4" t="s">
        <v>241</v>
      </c>
      <c r="HX1326" s="4" t="s">
        <v>241</v>
      </c>
      <c r="HY1326" s="4" t="s">
        <v>241</v>
      </c>
      <c r="HZ1326" s="4" t="s">
        <v>241</v>
      </c>
      <c r="IA1326" s="4" t="s">
        <v>241</v>
      </c>
      <c r="IB1326" s="4" t="s">
        <v>241</v>
      </c>
      <c r="IC1326" s="4" t="s">
        <v>241</v>
      </c>
      <c r="ID1326" s="4" t="s">
        <v>241</v>
      </c>
      <c r="IE1326" s="4" t="s">
        <v>241</v>
      </c>
      <c r="IF1326" s="4" t="s">
        <v>241</v>
      </c>
    </row>
    <row r="1327" spans="1:240" x14ac:dyDescent="0.4">
      <c r="A1327" s="4">
        <v>2</v>
      </c>
      <c r="B1327" s="4" t="s">
        <v>239</v>
      </c>
      <c r="C1327" s="4">
        <v>1637</v>
      </c>
      <c r="D1327" s="4">
        <v>1</v>
      </c>
      <c r="E1327" s="4">
        <v>3</v>
      </c>
      <c r="F1327" s="4" t="s">
        <v>240</v>
      </c>
      <c r="G1327" s="4" t="s">
        <v>241</v>
      </c>
      <c r="H1327" s="4" t="s">
        <v>241</v>
      </c>
      <c r="I1327" s="4" t="s">
        <v>2589</v>
      </c>
      <c r="J1327" s="4" t="s">
        <v>1296</v>
      </c>
      <c r="K1327" s="4" t="s">
        <v>256</v>
      </c>
      <c r="L1327" s="4" t="s">
        <v>440</v>
      </c>
      <c r="M1327" s="5" t="s">
        <v>2591</v>
      </c>
      <c r="N1327" s="4" t="s">
        <v>2573</v>
      </c>
      <c r="O1327" s="6">
        <f>21.26</f>
        <v>21.26</v>
      </c>
      <c r="P1327" s="4" t="s">
        <v>276</v>
      </c>
      <c r="Q1327" s="6">
        <f>9169979</f>
        <v>9169979</v>
      </c>
      <c r="R1327" s="6">
        <f>15082200</f>
        <v>15082200</v>
      </c>
      <c r="S1327" s="5" t="s">
        <v>2590</v>
      </c>
      <c r="T1327" s="4" t="s">
        <v>365</v>
      </c>
      <c r="U1327" s="4" t="s">
        <v>300</v>
      </c>
      <c r="V1327" s="6">
        <f>844603</f>
        <v>844603</v>
      </c>
      <c r="W1327" s="6">
        <f>5912221</f>
        <v>5912221</v>
      </c>
      <c r="X1327" s="4" t="s">
        <v>243</v>
      </c>
      <c r="Y1327" s="4" t="s">
        <v>244</v>
      </c>
      <c r="Z1327" s="4" t="s">
        <v>282</v>
      </c>
      <c r="AA1327" s="4" t="s">
        <v>241</v>
      </c>
      <c r="AD1327" s="4" t="s">
        <v>241</v>
      </c>
      <c r="AE1327" s="5" t="s">
        <v>241</v>
      </c>
      <c r="AF1327" s="5" t="s">
        <v>241</v>
      </c>
      <c r="AH1327" s="5" t="s">
        <v>241</v>
      </c>
      <c r="AI1327" s="5" t="s">
        <v>249</v>
      </c>
      <c r="AJ1327" s="4" t="s">
        <v>251</v>
      </c>
      <c r="AK1327" s="4" t="s">
        <v>252</v>
      </c>
      <c r="AQ1327" s="4" t="s">
        <v>241</v>
      </c>
      <c r="AR1327" s="4" t="s">
        <v>241</v>
      </c>
      <c r="AS1327" s="4" t="s">
        <v>241</v>
      </c>
      <c r="AT1327" s="5" t="s">
        <v>241</v>
      </c>
      <c r="AU1327" s="5" t="s">
        <v>241</v>
      </c>
      <c r="AV1327" s="5" t="s">
        <v>241</v>
      </c>
      <c r="AY1327" s="4" t="s">
        <v>286</v>
      </c>
      <c r="AZ1327" s="4" t="s">
        <v>286</v>
      </c>
      <c r="BA1327" s="4" t="s">
        <v>254</v>
      </c>
      <c r="BB1327" s="4" t="s">
        <v>287</v>
      </c>
      <c r="BC1327" s="4" t="s">
        <v>255</v>
      </c>
      <c r="BD1327" s="4" t="s">
        <v>241</v>
      </c>
      <c r="BE1327" s="4" t="s">
        <v>257</v>
      </c>
      <c r="BF1327" s="4" t="s">
        <v>241</v>
      </c>
      <c r="BH1327" s="4" t="s">
        <v>500</v>
      </c>
      <c r="BJ1327" s="4" t="s">
        <v>288</v>
      </c>
      <c r="BK1327" s="5" t="s">
        <v>289</v>
      </c>
      <c r="BL1327" s="4" t="s">
        <v>290</v>
      </c>
      <c r="BM1327" s="4" t="s">
        <v>290</v>
      </c>
      <c r="BN1327" s="4" t="s">
        <v>241</v>
      </c>
      <c r="BO1327" s="6">
        <f>0</f>
        <v>0</v>
      </c>
      <c r="BP1327" s="6">
        <f>-844603</f>
        <v>-844603</v>
      </c>
      <c r="BQ1327" s="4" t="s">
        <v>263</v>
      </c>
      <c r="BR1327" s="4" t="s">
        <v>264</v>
      </c>
      <c r="BS1327" s="4" t="s">
        <v>241</v>
      </c>
      <c r="BT1327" s="4" t="s">
        <v>241</v>
      </c>
      <c r="BU1327" s="4" t="s">
        <v>241</v>
      </c>
      <c r="BV1327" s="4" t="s">
        <v>241</v>
      </c>
      <c r="CE1327" s="4" t="s">
        <v>264</v>
      </c>
      <c r="CF1327" s="4" t="s">
        <v>241</v>
      </c>
      <c r="CG1327" s="4" t="s">
        <v>241</v>
      </c>
      <c r="CK1327" s="4" t="s">
        <v>291</v>
      </c>
      <c r="CL1327" s="4" t="s">
        <v>266</v>
      </c>
      <c r="CM1327" s="4" t="s">
        <v>241</v>
      </c>
      <c r="CO1327" s="4" t="s">
        <v>1542</v>
      </c>
      <c r="CP1327" s="5" t="s">
        <v>268</v>
      </c>
      <c r="CQ1327" s="4" t="s">
        <v>269</v>
      </c>
      <c r="CR1327" s="4" t="s">
        <v>270</v>
      </c>
      <c r="CS1327" s="4" t="s">
        <v>293</v>
      </c>
      <c r="CT1327" s="4" t="s">
        <v>241</v>
      </c>
      <c r="CU1327" s="4">
        <v>5.6000000000000001E-2</v>
      </c>
      <c r="CV1327" s="4" t="s">
        <v>271</v>
      </c>
      <c r="CW1327" s="4" t="s">
        <v>415</v>
      </c>
      <c r="CX1327" s="4" t="s">
        <v>2517</v>
      </c>
      <c r="CY1327" s="6">
        <f>0</f>
        <v>0</v>
      </c>
      <c r="CZ1327" s="6">
        <f>15082200</f>
        <v>15082200</v>
      </c>
      <c r="DA1327" s="6">
        <f>9169979</f>
        <v>9169979</v>
      </c>
      <c r="DC1327" s="4" t="s">
        <v>241</v>
      </c>
      <c r="DD1327" s="4" t="s">
        <v>241</v>
      </c>
      <c r="DF1327" s="4" t="s">
        <v>241</v>
      </c>
      <c r="DG1327" s="6">
        <f>0</f>
        <v>0</v>
      </c>
      <c r="DI1327" s="4" t="s">
        <v>241</v>
      </c>
      <c r="DJ1327" s="4" t="s">
        <v>241</v>
      </c>
      <c r="DK1327" s="4" t="s">
        <v>241</v>
      </c>
      <c r="DL1327" s="4" t="s">
        <v>241</v>
      </c>
      <c r="DM1327" s="4" t="s">
        <v>278</v>
      </c>
      <c r="DN1327" s="4" t="s">
        <v>278</v>
      </c>
      <c r="DO1327" s="6">
        <f>21.26</f>
        <v>21.26</v>
      </c>
      <c r="DP1327" s="4" t="s">
        <v>241</v>
      </c>
      <c r="DQ1327" s="4" t="s">
        <v>241</v>
      </c>
      <c r="DR1327" s="4" t="s">
        <v>241</v>
      </c>
      <c r="DS1327" s="4" t="s">
        <v>241</v>
      </c>
      <c r="DV1327" s="4" t="s">
        <v>2592</v>
      </c>
      <c r="DW1327" s="4" t="s">
        <v>277</v>
      </c>
      <c r="GN1327" s="4" t="s">
        <v>2593</v>
      </c>
      <c r="HO1327" s="4" t="s">
        <v>300</v>
      </c>
      <c r="HR1327" s="4" t="s">
        <v>278</v>
      </c>
      <c r="HS1327" s="4" t="s">
        <v>278</v>
      </c>
      <c r="HT1327" s="4" t="s">
        <v>241</v>
      </c>
      <c r="HU1327" s="4" t="s">
        <v>241</v>
      </c>
      <c r="HV1327" s="4" t="s">
        <v>241</v>
      </c>
      <c r="HW1327" s="4" t="s">
        <v>241</v>
      </c>
      <c r="HX1327" s="4" t="s">
        <v>241</v>
      </c>
      <c r="HY1327" s="4" t="s">
        <v>241</v>
      </c>
      <c r="HZ1327" s="4" t="s">
        <v>241</v>
      </c>
      <c r="IA1327" s="4" t="s">
        <v>241</v>
      </c>
      <c r="IB1327" s="4" t="s">
        <v>241</v>
      </c>
      <c r="IC1327" s="4" t="s">
        <v>241</v>
      </c>
      <c r="ID1327" s="4" t="s">
        <v>241</v>
      </c>
      <c r="IE1327" s="4" t="s">
        <v>241</v>
      </c>
      <c r="IF1327" s="4" t="s">
        <v>241</v>
      </c>
    </row>
    <row r="1328" spans="1:240" x14ac:dyDescent="0.4">
      <c r="A1328" s="4">
        <v>2</v>
      </c>
      <c r="B1328" s="4" t="s">
        <v>239</v>
      </c>
      <c r="C1328" s="4">
        <v>1638</v>
      </c>
      <c r="D1328" s="4">
        <v>1</v>
      </c>
      <c r="E1328" s="4">
        <v>3</v>
      </c>
      <c r="F1328" s="4" t="s">
        <v>240</v>
      </c>
      <c r="G1328" s="4" t="s">
        <v>241</v>
      </c>
      <c r="H1328" s="4" t="s">
        <v>241</v>
      </c>
      <c r="I1328" s="4" t="s">
        <v>2584</v>
      </c>
      <c r="J1328" s="4" t="s">
        <v>1296</v>
      </c>
      <c r="K1328" s="4" t="s">
        <v>256</v>
      </c>
      <c r="L1328" s="4" t="s">
        <v>440</v>
      </c>
      <c r="M1328" s="5" t="s">
        <v>2586</v>
      </c>
      <c r="N1328" s="4" t="s">
        <v>2573</v>
      </c>
      <c r="O1328" s="6">
        <f>16.46</f>
        <v>16.46</v>
      </c>
      <c r="P1328" s="4" t="s">
        <v>276</v>
      </c>
      <c r="Q1328" s="6">
        <f>1924600</f>
        <v>1924600</v>
      </c>
      <c r="R1328" s="6">
        <f>3624480</f>
        <v>3624480</v>
      </c>
      <c r="S1328" s="5" t="s">
        <v>2585</v>
      </c>
      <c r="T1328" s="4" t="s">
        <v>348</v>
      </c>
      <c r="U1328" s="4" t="s">
        <v>300</v>
      </c>
      <c r="V1328" s="6">
        <f>242840</f>
        <v>242840</v>
      </c>
      <c r="W1328" s="6">
        <f>1699880</f>
        <v>1699880</v>
      </c>
      <c r="X1328" s="4" t="s">
        <v>243</v>
      </c>
      <c r="Y1328" s="4" t="s">
        <v>244</v>
      </c>
      <c r="Z1328" s="4" t="s">
        <v>282</v>
      </c>
      <c r="AA1328" s="4" t="s">
        <v>241</v>
      </c>
      <c r="AD1328" s="4" t="s">
        <v>241</v>
      </c>
      <c r="AE1328" s="5" t="s">
        <v>241</v>
      </c>
      <c r="AF1328" s="5" t="s">
        <v>241</v>
      </c>
      <c r="AH1328" s="5" t="s">
        <v>241</v>
      </c>
      <c r="AI1328" s="5" t="s">
        <v>249</v>
      </c>
      <c r="AJ1328" s="4" t="s">
        <v>251</v>
      </c>
      <c r="AK1328" s="4" t="s">
        <v>252</v>
      </c>
      <c r="AQ1328" s="4" t="s">
        <v>241</v>
      </c>
      <c r="AR1328" s="4" t="s">
        <v>241</v>
      </c>
      <c r="AS1328" s="4" t="s">
        <v>241</v>
      </c>
      <c r="AT1328" s="5" t="s">
        <v>241</v>
      </c>
      <c r="AU1328" s="5" t="s">
        <v>241</v>
      </c>
      <c r="AV1328" s="5" t="s">
        <v>241</v>
      </c>
      <c r="AY1328" s="4" t="s">
        <v>286</v>
      </c>
      <c r="AZ1328" s="4" t="s">
        <v>286</v>
      </c>
      <c r="BA1328" s="4" t="s">
        <v>254</v>
      </c>
      <c r="BB1328" s="4" t="s">
        <v>287</v>
      </c>
      <c r="BC1328" s="4" t="s">
        <v>255</v>
      </c>
      <c r="BD1328" s="4" t="s">
        <v>241</v>
      </c>
      <c r="BE1328" s="4" t="s">
        <v>257</v>
      </c>
      <c r="BF1328" s="4" t="s">
        <v>241</v>
      </c>
      <c r="BJ1328" s="4" t="s">
        <v>288</v>
      </c>
      <c r="BK1328" s="5" t="s">
        <v>289</v>
      </c>
      <c r="BL1328" s="4" t="s">
        <v>290</v>
      </c>
      <c r="BM1328" s="4" t="s">
        <v>290</v>
      </c>
      <c r="BN1328" s="4" t="s">
        <v>241</v>
      </c>
      <c r="BO1328" s="6">
        <f>0</f>
        <v>0</v>
      </c>
      <c r="BP1328" s="6">
        <f>-242840</f>
        <v>-242840</v>
      </c>
      <c r="BQ1328" s="4" t="s">
        <v>263</v>
      </c>
      <c r="BR1328" s="4" t="s">
        <v>264</v>
      </c>
      <c r="BS1328" s="4" t="s">
        <v>241</v>
      </c>
      <c r="BT1328" s="4" t="s">
        <v>241</v>
      </c>
      <c r="BU1328" s="4" t="s">
        <v>241</v>
      </c>
      <c r="BV1328" s="4" t="s">
        <v>241</v>
      </c>
      <c r="CE1328" s="4" t="s">
        <v>264</v>
      </c>
      <c r="CF1328" s="4" t="s">
        <v>241</v>
      </c>
      <c r="CG1328" s="4" t="s">
        <v>241</v>
      </c>
      <c r="CK1328" s="4" t="s">
        <v>291</v>
      </c>
      <c r="CL1328" s="4" t="s">
        <v>266</v>
      </c>
      <c r="CM1328" s="4" t="s">
        <v>241</v>
      </c>
      <c r="CO1328" s="4" t="s">
        <v>1542</v>
      </c>
      <c r="CP1328" s="5" t="s">
        <v>268</v>
      </c>
      <c r="CQ1328" s="4" t="s">
        <v>269</v>
      </c>
      <c r="CR1328" s="4" t="s">
        <v>270</v>
      </c>
      <c r="CS1328" s="4" t="s">
        <v>293</v>
      </c>
      <c r="CT1328" s="4" t="s">
        <v>241</v>
      </c>
      <c r="CU1328" s="4">
        <v>6.7000000000000004E-2</v>
      </c>
      <c r="CV1328" s="4" t="s">
        <v>271</v>
      </c>
      <c r="CW1328" s="4" t="s">
        <v>415</v>
      </c>
      <c r="CX1328" s="4" t="s">
        <v>2577</v>
      </c>
      <c r="CY1328" s="6">
        <f>0</f>
        <v>0</v>
      </c>
      <c r="CZ1328" s="6">
        <f>3624480</f>
        <v>3624480</v>
      </c>
      <c r="DA1328" s="6">
        <f>1924600</f>
        <v>1924600</v>
      </c>
      <c r="DC1328" s="4" t="s">
        <v>241</v>
      </c>
      <c r="DD1328" s="4" t="s">
        <v>241</v>
      </c>
      <c r="DF1328" s="4" t="s">
        <v>241</v>
      </c>
      <c r="DG1328" s="6">
        <f>0</f>
        <v>0</v>
      </c>
      <c r="DI1328" s="4" t="s">
        <v>241</v>
      </c>
      <c r="DJ1328" s="4" t="s">
        <v>241</v>
      </c>
      <c r="DK1328" s="4" t="s">
        <v>241</v>
      </c>
      <c r="DL1328" s="4" t="s">
        <v>241</v>
      </c>
      <c r="DM1328" s="4" t="s">
        <v>278</v>
      </c>
      <c r="DN1328" s="4" t="s">
        <v>278</v>
      </c>
      <c r="DO1328" s="6">
        <f>16.46</f>
        <v>16.46</v>
      </c>
      <c r="DP1328" s="4" t="s">
        <v>241</v>
      </c>
      <c r="DQ1328" s="4" t="s">
        <v>241</v>
      </c>
      <c r="DR1328" s="4" t="s">
        <v>241</v>
      </c>
      <c r="DS1328" s="4" t="s">
        <v>241</v>
      </c>
      <c r="DV1328" s="4" t="s">
        <v>2587</v>
      </c>
      <c r="DW1328" s="4" t="s">
        <v>277</v>
      </c>
      <c r="GN1328" s="4" t="s">
        <v>2588</v>
      </c>
      <c r="HO1328" s="4" t="s">
        <v>300</v>
      </c>
      <c r="HR1328" s="4" t="s">
        <v>278</v>
      </c>
      <c r="HS1328" s="4" t="s">
        <v>278</v>
      </c>
      <c r="HT1328" s="4" t="s">
        <v>241</v>
      </c>
      <c r="HU1328" s="4" t="s">
        <v>241</v>
      </c>
      <c r="HV1328" s="4" t="s">
        <v>241</v>
      </c>
      <c r="HW1328" s="4" t="s">
        <v>241</v>
      </c>
      <c r="HX1328" s="4" t="s">
        <v>241</v>
      </c>
      <c r="HY1328" s="4" t="s">
        <v>241</v>
      </c>
      <c r="HZ1328" s="4" t="s">
        <v>241</v>
      </c>
      <c r="IA1328" s="4" t="s">
        <v>241</v>
      </c>
      <c r="IB1328" s="4" t="s">
        <v>241</v>
      </c>
      <c r="IC1328" s="4" t="s">
        <v>241</v>
      </c>
      <c r="ID1328" s="4" t="s">
        <v>241</v>
      </c>
      <c r="IE1328" s="4" t="s">
        <v>241</v>
      </c>
      <c r="IF1328" s="4" t="s">
        <v>241</v>
      </c>
    </row>
    <row r="1329" spans="1:240" x14ac:dyDescent="0.4">
      <c r="A1329" s="4">
        <v>2</v>
      </c>
      <c r="B1329" s="4" t="s">
        <v>239</v>
      </c>
      <c r="C1329" s="4">
        <v>1639</v>
      </c>
      <c r="D1329" s="4">
        <v>1</v>
      </c>
      <c r="E1329" s="4">
        <v>3</v>
      </c>
      <c r="F1329" s="4" t="s">
        <v>240</v>
      </c>
      <c r="G1329" s="4" t="s">
        <v>241</v>
      </c>
      <c r="H1329" s="4" t="s">
        <v>241</v>
      </c>
      <c r="I1329" s="4" t="s">
        <v>2580</v>
      </c>
      <c r="J1329" s="4" t="s">
        <v>1296</v>
      </c>
      <c r="K1329" s="4" t="s">
        <v>256</v>
      </c>
      <c r="L1329" s="4" t="s">
        <v>440</v>
      </c>
      <c r="M1329" s="5" t="s">
        <v>2581</v>
      </c>
      <c r="N1329" s="4" t="s">
        <v>2573</v>
      </c>
      <c r="O1329" s="6">
        <f>12.26</f>
        <v>12.26</v>
      </c>
      <c r="P1329" s="4" t="s">
        <v>276</v>
      </c>
      <c r="Q1329" s="6">
        <f>1824331</f>
        <v>1824331</v>
      </c>
      <c r="R1329" s="6">
        <f>3050719</f>
        <v>3050719</v>
      </c>
      <c r="S1329" s="5" t="s">
        <v>2575</v>
      </c>
      <c r="T1329" s="4" t="s">
        <v>348</v>
      </c>
      <c r="U1329" s="4" t="s">
        <v>351</v>
      </c>
      <c r="V1329" s="6">
        <f>204398</f>
        <v>204398</v>
      </c>
      <c r="W1329" s="6">
        <f>1226388</f>
        <v>1226388</v>
      </c>
      <c r="X1329" s="4" t="s">
        <v>243</v>
      </c>
      <c r="Y1329" s="4" t="s">
        <v>244</v>
      </c>
      <c r="Z1329" s="4" t="s">
        <v>282</v>
      </c>
      <c r="AA1329" s="4" t="s">
        <v>241</v>
      </c>
      <c r="AD1329" s="4" t="s">
        <v>241</v>
      </c>
      <c r="AE1329" s="5" t="s">
        <v>241</v>
      </c>
      <c r="AF1329" s="5" t="s">
        <v>241</v>
      </c>
      <c r="AH1329" s="5" t="s">
        <v>241</v>
      </c>
      <c r="AI1329" s="5" t="s">
        <v>249</v>
      </c>
      <c r="AJ1329" s="4" t="s">
        <v>251</v>
      </c>
      <c r="AK1329" s="4" t="s">
        <v>252</v>
      </c>
      <c r="AQ1329" s="4" t="s">
        <v>241</v>
      </c>
      <c r="AR1329" s="4" t="s">
        <v>241</v>
      </c>
      <c r="AS1329" s="4" t="s">
        <v>241</v>
      </c>
      <c r="AT1329" s="5" t="s">
        <v>241</v>
      </c>
      <c r="AU1329" s="5" t="s">
        <v>241</v>
      </c>
      <c r="AV1329" s="5" t="s">
        <v>241</v>
      </c>
      <c r="AY1329" s="4" t="s">
        <v>286</v>
      </c>
      <c r="AZ1329" s="4" t="s">
        <v>286</v>
      </c>
      <c r="BA1329" s="4" t="s">
        <v>254</v>
      </c>
      <c r="BB1329" s="4" t="s">
        <v>287</v>
      </c>
      <c r="BC1329" s="4" t="s">
        <v>255</v>
      </c>
      <c r="BD1329" s="4" t="s">
        <v>241</v>
      </c>
      <c r="BE1329" s="4" t="s">
        <v>257</v>
      </c>
      <c r="BF1329" s="4" t="s">
        <v>241</v>
      </c>
      <c r="BH1329" s="4" t="s">
        <v>500</v>
      </c>
      <c r="BJ1329" s="4" t="s">
        <v>288</v>
      </c>
      <c r="BK1329" s="5" t="s">
        <v>289</v>
      </c>
      <c r="BL1329" s="4" t="s">
        <v>290</v>
      </c>
      <c r="BM1329" s="4" t="s">
        <v>290</v>
      </c>
      <c r="BN1329" s="4" t="s">
        <v>241</v>
      </c>
      <c r="BO1329" s="6">
        <f>0</f>
        <v>0</v>
      </c>
      <c r="BP1329" s="6">
        <f>-204398</f>
        <v>-204398</v>
      </c>
      <c r="BQ1329" s="4" t="s">
        <v>263</v>
      </c>
      <c r="BR1329" s="4" t="s">
        <v>264</v>
      </c>
      <c r="BS1329" s="4" t="s">
        <v>241</v>
      </c>
      <c r="BT1329" s="4" t="s">
        <v>241</v>
      </c>
      <c r="BU1329" s="4" t="s">
        <v>241</v>
      </c>
      <c r="BV1329" s="4" t="s">
        <v>241</v>
      </c>
      <c r="CE1329" s="4" t="s">
        <v>264</v>
      </c>
      <c r="CF1329" s="4" t="s">
        <v>241</v>
      </c>
      <c r="CG1329" s="4" t="s">
        <v>241</v>
      </c>
      <c r="CK1329" s="4" t="s">
        <v>291</v>
      </c>
      <c r="CL1329" s="4" t="s">
        <v>266</v>
      </c>
      <c r="CM1329" s="4" t="s">
        <v>241</v>
      </c>
      <c r="CO1329" s="4" t="s">
        <v>350</v>
      </c>
      <c r="CP1329" s="5" t="s">
        <v>268</v>
      </c>
      <c r="CQ1329" s="4" t="s">
        <v>269</v>
      </c>
      <c r="CR1329" s="4" t="s">
        <v>270</v>
      </c>
      <c r="CS1329" s="4" t="s">
        <v>293</v>
      </c>
      <c r="CT1329" s="4" t="s">
        <v>241</v>
      </c>
      <c r="CU1329" s="4">
        <v>6.7000000000000004E-2</v>
      </c>
      <c r="CV1329" s="4" t="s">
        <v>271</v>
      </c>
      <c r="CW1329" s="4" t="s">
        <v>415</v>
      </c>
      <c r="CX1329" s="4" t="s">
        <v>2577</v>
      </c>
      <c r="CY1329" s="6">
        <f>0</f>
        <v>0</v>
      </c>
      <c r="CZ1329" s="6">
        <f>3050719</f>
        <v>3050719</v>
      </c>
      <c r="DA1329" s="6">
        <f>1824331</f>
        <v>1824331</v>
      </c>
      <c r="DC1329" s="4" t="s">
        <v>241</v>
      </c>
      <c r="DD1329" s="4" t="s">
        <v>241</v>
      </c>
      <c r="DF1329" s="4" t="s">
        <v>241</v>
      </c>
      <c r="DG1329" s="6">
        <f>0</f>
        <v>0</v>
      </c>
      <c r="DI1329" s="4" t="s">
        <v>241</v>
      </c>
      <c r="DJ1329" s="4" t="s">
        <v>241</v>
      </c>
      <c r="DK1329" s="4" t="s">
        <v>241</v>
      </c>
      <c r="DL1329" s="4" t="s">
        <v>241</v>
      </c>
      <c r="DM1329" s="4" t="s">
        <v>277</v>
      </c>
      <c r="DN1329" s="4" t="s">
        <v>278</v>
      </c>
      <c r="DO1329" s="6">
        <f>12.26</f>
        <v>12.26</v>
      </c>
      <c r="DP1329" s="4" t="s">
        <v>241</v>
      </c>
      <c r="DQ1329" s="4" t="s">
        <v>241</v>
      </c>
      <c r="DR1329" s="4" t="s">
        <v>241</v>
      </c>
      <c r="DS1329" s="4" t="s">
        <v>241</v>
      </c>
      <c r="DV1329" s="4" t="s">
        <v>2582</v>
      </c>
      <c r="DW1329" s="4" t="s">
        <v>277</v>
      </c>
      <c r="GN1329" s="4" t="s">
        <v>2583</v>
      </c>
      <c r="HO1329" s="4" t="s">
        <v>300</v>
      </c>
      <c r="HR1329" s="4" t="s">
        <v>278</v>
      </c>
      <c r="HS1329" s="4" t="s">
        <v>278</v>
      </c>
      <c r="HT1329" s="4" t="s">
        <v>241</v>
      </c>
      <c r="HU1329" s="4" t="s">
        <v>241</v>
      </c>
      <c r="HV1329" s="4" t="s">
        <v>241</v>
      </c>
      <c r="HW1329" s="4" t="s">
        <v>241</v>
      </c>
      <c r="HX1329" s="4" t="s">
        <v>241</v>
      </c>
      <c r="HY1329" s="4" t="s">
        <v>241</v>
      </c>
      <c r="HZ1329" s="4" t="s">
        <v>241</v>
      </c>
      <c r="IA1329" s="4" t="s">
        <v>241</v>
      </c>
      <c r="IB1329" s="4" t="s">
        <v>241</v>
      </c>
      <c r="IC1329" s="4" t="s">
        <v>241</v>
      </c>
      <c r="ID1329" s="4" t="s">
        <v>241</v>
      </c>
      <c r="IE1329" s="4" t="s">
        <v>241</v>
      </c>
      <c r="IF1329" s="4" t="s">
        <v>241</v>
      </c>
    </row>
    <row r="1330" spans="1:240" x14ac:dyDescent="0.4">
      <c r="A1330" s="4">
        <v>2</v>
      </c>
      <c r="B1330" s="4" t="s">
        <v>239</v>
      </c>
      <c r="C1330" s="4">
        <v>1640</v>
      </c>
      <c r="D1330" s="4">
        <v>1</v>
      </c>
      <c r="E1330" s="4">
        <v>3</v>
      </c>
      <c r="F1330" s="4" t="s">
        <v>240</v>
      </c>
      <c r="G1330" s="4" t="s">
        <v>241</v>
      </c>
      <c r="H1330" s="4" t="s">
        <v>241</v>
      </c>
      <c r="I1330" s="4" t="s">
        <v>2574</v>
      </c>
      <c r="J1330" s="4" t="s">
        <v>1296</v>
      </c>
      <c r="K1330" s="4" t="s">
        <v>256</v>
      </c>
      <c r="L1330" s="4" t="s">
        <v>440</v>
      </c>
      <c r="M1330" s="5" t="s">
        <v>2576</v>
      </c>
      <c r="N1330" s="4" t="s">
        <v>2573</v>
      </c>
      <c r="O1330" s="6">
        <f>8.26</f>
        <v>8.26</v>
      </c>
      <c r="P1330" s="4" t="s">
        <v>276</v>
      </c>
      <c r="Q1330" s="6">
        <f>1554065</f>
        <v>1554065</v>
      </c>
      <c r="R1330" s="6">
        <f>2598761</f>
        <v>2598761</v>
      </c>
      <c r="S1330" s="5" t="s">
        <v>2575</v>
      </c>
      <c r="T1330" s="4" t="s">
        <v>348</v>
      </c>
      <c r="U1330" s="4" t="s">
        <v>351</v>
      </c>
      <c r="V1330" s="6">
        <f>174116</f>
        <v>174116</v>
      </c>
      <c r="W1330" s="6">
        <f>1044696</f>
        <v>1044696</v>
      </c>
      <c r="X1330" s="4" t="s">
        <v>243</v>
      </c>
      <c r="Y1330" s="4" t="s">
        <v>244</v>
      </c>
      <c r="Z1330" s="4" t="s">
        <v>282</v>
      </c>
      <c r="AA1330" s="4" t="s">
        <v>241</v>
      </c>
      <c r="AD1330" s="4" t="s">
        <v>241</v>
      </c>
      <c r="AE1330" s="5" t="s">
        <v>241</v>
      </c>
      <c r="AF1330" s="5" t="s">
        <v>241</v>
      </c>
      <c r="AH1330" s="5" t="s">
        <v>241</v>
      </c>
      <c r="AI1330" s="5" t="s">
        <v>249</v>
      </c>
      <c r="AJ1330" s="4" t="s">
        <v>251</v>
      </c>
      <c r="AK1330" s="4" t="s">
        <v>252</v>
      </c>
      <c r="AQ1330" s="4" t="s">
        <v>241</v>
      </c>
      <c r="AR1330" s="4" t="s">
        <v>241</v>
      </c>
      <c r="AS1330" s="4" t="s">
        <v>241</v>
      </c>
      <c r="AT1330" s="5" t="s">
        <v>241</v>
      </c>
      <c r="AU1330" s="5" t="s">
        <v>241</v>
      </c>
      <c r="AV1330" s="5" t="s">
        <v>241</v>
      </c>
      <c r="AY1330" s="4" t="s">
        <v>286</v>
      </c>
      <c r="AZ1330" s="4" t="s">
        <v>286</v>
      </c>
      <c r="BA1330" s="4" t="s">
        <v>254</v>
      </c>
      <c r="BB1330" s="4" t="s">
        <v>287</v>
      </c>
      <c r="BC1330" s="4" t="s">
        <v>255</v>
      </c>
      <c r="BD1330" s="4" t="s">
        <v>241</v>
      </c>
      <c r="BE1330" s="4" t="s">
        <v>257</v>
      </c>
      <c r="BF1330" s="4" t="s">
        <v>241</v>
      </c>
      <c r="BH1330" s="4" t="s">
        <v>500</v>
      </c>
      <c r="BJ1330" s="4" t="s">
        <v>288</v>
      </c>
      <c r="BK1330" s="5" t="s">
        <v>289</v>
      </c>
      <c r="BL1330" s="4" t="s">
        <v>290</v>
      </c>
      <c r="BM1330" s="4" t="s">
        <v>290</v>
      </c>
      <c r="BN1330" s="4" t="s">
        <v>241</v>
      </c>
      <c r="BO1330" s="6">
        <f>0</f>
        <v>0</v>
      </c>
      <c r="BP1330" s="6">
        <f>-174116</f>
        <v>-174116</v>
      </c>
      <c r="BQ1330" s="4" t="s">
        <v>263</v>
      </c>
      <c r="BR1330" s="4" t="s">
        <v>264</v>
      </c>
      <c r="BS1330" s="4" t="s">
        <v>241</v>
      </c>
      <c r="BT1330" s="4" t="s">
        <v>241</v>
      </c>
      <c r="BU1330" s="4" t="s">
        <v>241</v>
      </c>
      <c r="BV1330" s="4" t="s">
        <v>241</v>
      </c>
      <c r="CE1330" s="4" t="s">
        <v>264</v>
      </c>
      <c r="CF1330" s="4" t="s">
        <v>241</v>
      </c>
      <c r="CG1330" s="4" t="s">
        <v>241</v>
      </c>
      <c r="CK1330" s="4" t="s">
        <v>291</v>
      </c>
      <c r="CL1330" s="4" t="s">
        <v>266</v>
      </c>
      <c r="CM1330" s="4" t="s">
        <v>241</v>
      </c>
      <c r="CO1330" s="4" t="s">
        <v>350</v>
      </c>
      <c r="CP1330" s="5" t="s">
        <v>268</v>
      </c>
      <c r="CQ1330" s="4" t="s">
        <v>269</v>
      </c>
      <c r="CR1330" s="4" t="s">
        <v>270</v>
      </c>
      <c r="CS1330" s="4" t="s">
        <v>293</v>
      </c>
      <c r="CT1330" s="4" t="s">
        <v>241</v>
      </c>
      <c r="CU1330" s="4">
        <v>6.7000000000000004E-2</v>
      </c>
      <c r="CV1330" s="4" t="s">
        <v>271</v>
      </c>
      <c r="CW1330" s="4" t="s">
        <v>415</v>
      </c>
      <c r="CX1330" s="4" t="s">
        <v>2577</v>
      </c>
      <c r="CY1330" s="6">
        <f>0</f>
        <v>0</v>
      </c>
      <c r="CZ1330" s="6">
        <f>2598761</f>
        <v>2598761</v>
      </c>
      <c r="DA1330" s="6">
        <f>1554065</f>
        <v>1554065</v>
      </c>
      <c r="DC1330" s="4" t="s">
        <v>241</v>
      </c>
      <c r="DD1330" s="4" t="s">
        <v>241</v>
      </c>
      <c r="DF1330" s="4" t="s">
        <v>241</v>
      </c>
      <c r="DG1330" s="6">
        <f>0</f>
        <v>0</v>
      </c>
      <c r="DI1330" s="4" t="s">
        <v>241</v>
      </c>
      <c r="DJ1330" s="4" t="s">
        <v>241</v>
      </c>
      <c r="DK1330" s="4" t="s">
        <v>241</v>
      </c>
      <c r="DL1330" s="4" t="s">
        <v>241</v>
      </c>
      <c r="DM1330" s="4" t="s">
        <v>277</v>
      </c>
      <c r="DN1330" s="4" t="s">
        <v>278</v>
      </c>
      <c r="DO1330" s="6">
        <f>8.26</f>
        <v>8.26</v>
      </c>
      <c r="DP1330" s="4" t="s">
        <v>241</v>
      </c>
      <c r="DQ1330" s="4" t="s">
        <v>241</v>
      </c>
      <c r="DR1330" s="4" t="s">
        <v>241</v>
      </c>
      <c r="DS1330" s="4" t="s">
        <v>241</v>
      </c>
      <c r="DV1330" s="4" t="s">
        <v>2578</v>
      </c>
      <c r="DW1330" s="4" t="s">
        <v>277</v>
      </c>
      <c r="GN1330" s="4" t="s">
        <v>2579</v>
      </c>
      <c r="HO1330" s="4" t="s">
        <v>300</v>
      </c>
      <c r="HR1330" s="4" t="s">
        <v>278</v>
      </c>
      <c r="HS1330" s="4" t="s">
        <v>278</v>
      </c>
      <c r="HT1330" s="4" t="s">
        <v>241</v>
      </c>
      <c r="HU1330" s="4" t="s">
        <v>241</v>
      </c>
      <c r="HV1330" s="4" t="s">
        <v>241</v>
      </c>
      <c r="HW1330" s="4" t="s">
        <v>241</v>
      </c>
      <c r="HX1330" s="4" t="s">
        <v>241</v>
      </c>
      <c r="HY1330" s="4" t="s">
        <v>241</v>
      </c>
      <c r="HZ1330" s="4" t="s">
        <v>241</v>
      </c>
      <c r="IA1330" s="4" t="s">
        <v>241</v>
      </c>
      <c r="IB1330" s="4" t="s">
        <v>241</v>
      </c>
      <c r="IC1330" s="4" t="s">
        <v>241</v>
      </c>
      <c r="ID1330" s="4" t="s">
        <v>241</v>
      </c>
      <c r="IE1330" s="4" t="s">
        <v>241</v>
      </c>
      <c r="IF1330" s="4" t="s">
        <v>241</v>
      </c>
    </row>
    <row r="1331" spans="1:240" x14ac:dyDescent="0.4">
      <c r="A1331" s="4">
        <v>2</v>
      </c>
      <c r="B1331" s="4" t="s">
        <v>239</v>
      </c>
      <c r="C1331" s="4">
        <v>1641</v>
      </c>
      <c r="D1331" s="4">
        <v>1</v>
      </c>
      <c r="E1331" s="4">
        <v>3</v>
      </c>
      <c r="F1331" s="4" t="s">
        <v>240</v>
      </c>
      <c r="G1331" s="4" t="s">
        <v>241</v>
      </c>
      <c r="H1331" s="4" t="s">
        <v>241</v>
      </c>
      <c r="I1331" s="4" t="s">
        <v>1415</v>
      </c>
      <c r="J1331" s="4" t="s">
        <v>1416</v>
      </c>
      <c r="K1331" s="4" t="s">
        <v>256</v>
      </c>
      <c r="L1331" s="4" t="s">
        <v>440</v>
      </c>
      <c r="M1331" s="5" t="s">
        <v>1418</v>
      </c>
      <c r="N1331" s="4" t="s">
        <v>1414</v>
      </c>
      <c r="O1331" s="6">
        <f>155.84</f>
        <v>155.84</v>
      </c>
      <c r="P1331" s="4" t="s">
        <v>276</v>
      </c>
      <c r="Q1331" s="6">
        <f>6732288</f>
        <v>6732288</v>
      </c>
      <c r="R1331" s="6">
        <f>28051200</f>
        <v>28051200</v>
      </c>
      <c r="S1331" s="5" t="s">
        <v>1417</v>
      </c>
      <c r="T1331" s="4" t="s">
        <v>296</v>
      </c>
      <c r="U1331" s="4" t="s">
        <v>777</v>
      </c>
      <c r="V1331" s="6">
        <f>561024</f>
        <v>561024</v>
      </c>
      <c r="W1331" s="6">
        <f>21318912</f>
        <v>21318912</v>
      </c>
      <c r="X1331" s="4" t="s">
        <v>243</v>
      </c>
      <c r="Y1331" s="4" t="s">
        <v>244</v>
      </c>
      <c r="Z1331" s="4" t="s">
        <v>282</v>
      </c>
      <c r="AA1331" s="4" t="s">
        <v>241</v>
      </c>
      <c r="AD1331" s="4" t="s">
        <v>241</v>
      </c>
      <c r="AE1331" s="5" t="s">
        <v>241</v>
      </c>
      <c r="AF1331" s="5" t="s">
        <v>241</v>
      </c>
      <c r="AH1331" s="5" t="s">
        <v>241</v>
      </c>
      <c r="AI1331" s="5" t="s">
        <v>249</v>
      </c>
      <c r="AJ1331" s="4" t="s">
        <v>251</v>
      </c>
      <c r="AK1331" s="4" t="s">
        <v>252</v>
      </c>
      <c r="AQ1331" s="4" t="s">
        <v>241</v>
      </c>
      <c r="AR1331" s="4" t="s">
        <v>241</v>
      </c>
      <c r="AS1331" s="4" t="s">
        <v>241</v>
      </c>
      <c r="AT1331" s="5" t="s">
        <v>241</v>
      </c>
      <c r="AU1331" s="5" t="s">
        <v>241</v>
      </c>
      <c r="AV1331" s="5" t="s">
        <v>241</v>
      </c>
      <c r="AY1331" s="4" t="s">
        <v>286</v>
      </c>
      <c r="AZ1331" s="4" t="s">
        <v>286</v>
      </c>
      <c r="BA1331" s="4" t="s">
        <v>254</v>
      </c>
      <c r="BB1331" s="4" t="s">
        <v>287</v>
      </c>
      <c r="BC1331" s="4" t="s">
        <v>255</v>
      </c>
      <c r="BD1331" s="4" t="s">
        <v>241</v>
      </c>
      <c r="BE1331" s="4" t="s">
        <v>257</v>
      </c>
      <c r="BF1331" s="4" t="s">
        <v>241</v>
      </c>
      <c r="BJ1331" s="4" t="s">
        <v>288</v>
      </c>
      <c r="BK1331" s="5" t="s">
        <v>289</v>
      </c>
      <c r="BL1331" s="4" t="s">
        <v>290</v>
      </c>
      <c r="BM1331" s="4" t="s">
        <v>290</v>
      </c>
      <c r="BN1331" s="4" t="s">
        <v>241</v>
      </c>
      <c r="BO1331" s="6">
        <f>0</f>
        <v>0</v>
      </c>
      <c r="BP1331" s="6">
        <f>-561024</f>
        <v>-561024</v>
      </c>
      <c r="BQ1331" s="4" t="s">
        <v>263</v>
      </c>
      <c r="BR1331" s="4" t="s">
        <v>264</v>
      </c>
      <c r="BS1331" s="4" t="s">
        <v>241</v>
      </c>
      <c r="BT1331" s="4" t="s">
        <v>241</v>
      </c>
      <c r="BU1331" s="4" t="s">
        <v>241</v>
      </c>
      <c r="BV1331" s="4" t="s">
        <v>241</v>
      </c>
      <c r="CE1331" s="4" t="s">
        <v>264</v>
      </c>
      <c r="CF1331" s="4" t="s">
        <v>241</v>
      </c>
      <c r="CG1331" s="4" t="s">
        <v>241</v>
      </c>
      <c r="CK1331" s="4" t="s">
        <v>265</v>
      </c>
      <c r="CL1331" s="4" t="s">
        <v>266</v>
      </c>
      <c r="CM1331" s="4" t="s">
        <v>241</v>
      </c>
      <c r="CO1331" s="4" t="s">
        <v>662</v>
      </c>
      <c r="CP1331" s="5" t="s">
        <v>268</v>
      </c>
      <c r="CQ1331" s="4" t="s">
        <v>269</v>
      </c>
      <c r="CR1331" s="4" t="s">
        <v>270</v>
      </c>
      <c r="CS1331" s="4" t="s">
        <v>293</v>
      </c>
      <c r="CT1331" s="4" t="s">
        <v>241</v>
      </c>
      <c r="CU1331" s="4">
        <v>0.02</v>
      </c>
      <c r="CV1331" s="4" t="s">
        <v>271</v>
      </c>
      <c r="CW1331" s="4" t="s">
        <v>1329</v>
      </c>
      <c r="CX1331" s="4" t="s">
        <v>295</v>
      </c>
      <c r="CY1331" s="6">
        <f>0</f>
        <v>0</v>
      </c>
      <c r="CZ1331" s="6">
        <f>28051200</f>
        <v>28051200</v>
      </c>
      <c r="DA1331" s="6">
        <f>6732288</f>
        <v>6732288</v>
      </c>
      <c r="DC1331" s="4" t="s">
        <v>241</v>
      </c>
      <c r="DD1331" s="4" t="s">
        <v>241</v>
      </c>
      <c r="DF1331" s="4" t="s">
        <v>241</v>
      </c>
      <c r="DG1331" s="6">
        <f>0</f>
        <v>0</v>
      </c>
      <c r="DI1331" s="4" t="s">
        <v>241</v>
      </c>
      <c r="DJ1331" s="4" t="s">
        <v>241</v>
      </c>
      <c r="DK1331" s="4" t="s">
        <v>241</v>
      </c>
      <c r="DL1331" s="4" t="s">
        <v>241</v>
      </c>
      <c r="DM1331" s="4" t="s">
        <v>277</v>
      </c>
      <c r="DN1331" s="4" t="s">
        <v>278</v>
      </c>
      <c r="DO1331" s="6">
        <f>155.84</f>
        <v>155.84</v>
      </c>
      <c r="DP1331" s="4" t="s">
        <v>241</v>
      </c>
      <c r="DQ1331" s="4" t="s">
        <v>241</v>
      </c>
      <c r="DR1331" s="4" t="s">
        <v>241</v>
      </c>
      <c r="DS1331" s="4" t="s">
        <v>241</v>
      </c>
      <c r="DV1331" s="4" t="s">
        <v>1419</v>
      </c>
      <c r="DW1331" s="4" t="s">
        <v>277</v>
      </c>
      <c r="GN1331" s="4" t="s">
        <v>1420</v>
      </c>
      <c r="HO1331" s="4" t="s">
        <v>300</v>
      </c>
      <c r="HR1331" s="4" t="s">
        <v>278</v>
      </c>
      <c r="HS1331" s="4" t="s">
        <v>278</v>
      </c>
      <c r="HT1331" s="4" t="s">
        <v>241</v>
      </c>
      <c r="HU1331" s="4" t="s">
        <v>241</v>
      </c>
      <c r="HV1331" s="4" t="s">
        <v>241</v>
      </c>
      <c r="HW1331" s="4" t="s">
        <v>241</v>
      </c>
      <c r="HX1331" s="4" t="s">
        <v>241</v>
      </c>
      <c r="HY1331" s="4" t="s">
        <v>241</v>
      </c>
      <c r="HZ1331" s="4" t="s">
        <v>241</v>
      </c>
      <c r="IA1331" s="4" t="s">
        <v>241</v>
      </c>
      <c r="IB1331" s="4" t="s">
        <v>241</v>
      </c>
      <c r="IC1331" s="4" t="s">
        <v>241</v>
      </c>
      <c r="ID1331" s="4" t="s">
        <v>241</v>
      </c>
      <c r="IE1331" s="4" t="s">
        <v>241</v>
      </c>
      <c r="IF1331" s="4" t="s">
        <v>241</v>
      </c>
    </row>
    <row r="1332" spans="1:240" x14ac:dyDescent="0.4">
      <c r="A1332" s="4">
        <v>2</v>
      </c>
      <c r="B1332" s="4" t="s">
        <v>239</v>
      </c>
      <c r="C1332" s="4">
        <v>1642</v>
      </c>
      <c r="D1332" s="4">
        <v>1</v>
      </c>
      <c r="E1332" s="4">
        <v>3</v>
      </c>
      <c r="F1332" s="4" t="s">
        <v>240</v>
      </c>
      <c r="G1332" s="4" t="s">
        <v>241</v>
      </c>
      <c r="H1332" s="4" t="s">
        <v>241</v>
      </c>
      <c r="I1332" s="4" t="s">
        <v>1250</v>
      </c>
      <c r="J1332" s="4" t="s">
        <v>1184</v>
      </c>
      <c r="K1332" s="4" t="s">
        <v>256</v>
      </c>
      <c r="L1332" s="4" t="s">
        <v>1185</v>
      </c>
      <c r="M1332" s="5" t="s">
        <v>1252</v>
      </c>
      <c r="N1332" s="4" t="s">
        <v>1185</v>
      </c>
      <c r="O1332" s="6">
        <f>123.64</f>
        <v>123.64</v>
      </c>
      <c r="P1332" s="4" t="s">
        <v>276</v>
      </c>
      <c r="Q1332" s="6">
        <f>1</f>
        <v>1</v>
      </c>
      <c r="R1332" s="6">
        <f>10756680</f>
        <v>10756680</v>
      </c>
      <c r="S1332" s="5" t="s">
        <v>1251</v>
      </c>
      <c r="T1332" s="4" t="s">
        <v>314</v>
      </c>
      <c r="U1332" s="4" t="s">
        <v>361</v>
      </c>
      <c r="V1332" s="6">
        <f>365732</f>
        <v>365732</v>
      </c>
      <c r="W1332" s="6">
        <f>10756679</f>
        <v>10756679</v>
      </c>
      <c r="X1332" s="4" t="s">
        <v>243</v>
      </c>
      <c r="Y1332" s="4" t="s">
        <v>244</v>
      </c>
      <c r="Z1332" s="4" t="s">
        <v>282</v>
      </c>
      <c r="AA1332" s="4" t="s">
        <v>241</v>
      </c>
      <c r="AD1332" s="4" t="s">
        <v>241</v>
      </c>
      <c r="AE1332" s="5" t="s">
        <v>241</v>
      </c>
      <c r="AF1332" s="5" t="s">
        <v>241</v>
      </c>
      <c r="AH1332" s="5" t="s">
        <v>241</v>
      </c>
      <c r="AI1332" s="5" t="s">
        <v>249</v>
      </c>
      <c r="AJ1332" s="4" t="s">
        <v>251</v>
      </c>
      <c r="AK1332" s="4" t="s">
        <v>252</v>
      </c>
      <c r="AQ1332" s="4" t="s">
        <v>241</v>
      </c>
      <c r="AR1332" s="4" t="s">
        <v>241</v>
      </c>
      <c r="AS1332" s="4" t="s">
        <v>241</v>
      </c>
      <c r="AT1332" s="5" t="s">
        <v>241</v>
      </c>
      <c r="AU1332" s="5" t="s">
        <v>241</v>
      </c>
      <c r="AV1332" s="5" t="s">
        <v>241</v>
      </c>
      <c r="AY1332" s="4" t="s">
        <v>286</v>
      </c>
      <c r="AZ1332" s="4" t="s">
        <v>286</v>
      </c>
      <c r="BA1332" s="4" t="s">
        <v>254</v>
      </c>
      <c r="BB1332" s="4" t="s">
        <v>287</v>
      </c>
      <c r="BC1332" s="4" t="s">
        <v>255</v>
      </c>
      <c r="BD1332" s="4" t="s">
        <v>241</v>
      </c>
      <c r="BE1332" s="4" t="s">
        <v>257</v>
      </c>
      <c r="BF1332" s="4" t="s">
        <v>241</v>
      </c>
      <c r="BJ1332" s="4" t="s">
        <v>288</v>
      </c>
      <c r="BK1332" s="5" t="s">
        <v>289</v>
      </c>
      <c r="BL1332" s="4" t="s">
        <v>290</v>
      </c>
      <c r="BM1332" s="4" t="s">
        <v>290</v>
      </c>
      <c r="BN1332" s="4" t="s">
        <v>241</v>
      </c>
      <c r="BO1332" s="6">
        <f>0</f>
        <v>0</v>
      </c>
      <c r="BP1332" s="6">
        <f>-365732</f>
        <v>-365732</v>
      </c>
      <c r="BQ1332" s="4" t="s">
        <v>263</v>
      </c>
      <c r="BR1332" s="4" t="s">
        <v>264</v>
      </c>
      <c r="BS1332" s="4" t="s">
        <v>241</v>
      </c>
      <c r="BT1332" s="4" t="s">
        <v>241</v>
      </c>
      <c r="BU1332" s="4" t="s">
        <v>241</v>
      </c>
      <c r="BV1332" s="4" t="s">
        <v>241</v>
      </c>
      <c r="CE1332" s="4" t="s">
        <v>264</v>
      </c>
      <c r="CF1332" s="4" t="s">
        <v>241</v>
      </c>
      <c r="CG1332" s="4" t="s">
        <v>241</v>
      </c>
      <c r="CK1332" s="4" t="s">
        <v>291</v>
      </c>
      <c r="CL1332" s="4" t="s">
        <v>266</v>
      </c>
      <c r="CM1332" s="4" t="s">
        <v>241</v>
      </c>
      <c r="CO1332" s="4" t="s">
        <v>360</v>
      </c>
      <c r="CP1332" s="5" t="s">
        <v>268</v>
      </c>
      <c r="CQ1332" s="4" t="s">
        <v>269</v>
      </c>
      <c r="CR1332" s="4" t="s">
        <v>270</v>
      </c>
      <c r="CS1332" s="4" t="s">
        <v>293</v>
      </c>
      <c r="CT1332" s="4" t="s">
        <v>241</v>
      </c>
      <c r="CU1332" s="4">
        <v>4.5999999999999999E-2</v>
      </c>
      <c r="CV1332" s="4" t="s">
        <v>271</v>
      </c>
      <c r="CW1332" s="4" t="s">
        <v>1176</v>
      </c>
      <c r="CX1332" s="4" t="s">
        <v>347</v>
      </c>
      <c r="CY1332" s="6">
        <f>0</f>
        <v>0</v>
      </c>
      <c r="CZ1332" s="6">
        <f>10756680</f>
        <v>10756680</v>
      </c>
      <c r="DA1332" s="6">
        <f>1</f>
        <v>1</v>
      </c>
      <c r="DC1332" s="4" t="s">
        <v>241</v>
      </c>
      <c r="DD1332" s="4" t="s">
        <v>241</v>
      </c>
      <c r="DF1332" s="4" t="s">
        <v>241</v>
      </c>
      <c r="DG1332" s="6">
        <f>0</f>
        <v>0</v>
      </c>
      <c r="DI1332" s="4" t="s">
        <v>241</v>
      </c>
      <c r="DJ1332" s="4" t="s">
        <v>241</v>
      </c>
      <c r="DK1332" s="4" t="s">
        <v>241</v>
      </c>
      <c r="DL1332" s="4" t="s">
        <v>241</v>
      </c>
      <c r="DM1332" s="4" t="s">
        <v>277</v>
      </c>
      <c r="DN1332" s="4" t="s">
        <v>278</v>
      </c>
      <c r="DO1332" s="6">
        <f>123.64</f>
        <v>123.64</v>
      </c>
      <c r="DP1332" s="4" t="s">
        <v>241</v>
      </c>
      <c r="DQ1332" s="4" t="s">
        <v>241</v>
      </c>
      <c r="DR1332" s="4" t="s">
        <v>241</v>
      </c>
      <c r="DS1332" s="4" t="s">
        <v>241</v>
      </c>
      <c r="DV1332" s="4" t="s">
        <v>1253</v>
      </c>
      <c r="DW1332" s="4" t="s">
        <v>277</v>
      </c>
      <c r="GN1332" s="4" t="s">
        <v>1254</v>
      </c>
      <c r="HO1332" s="4" t="s">
        <v>300</v>
      </c>
      <c r="HR1332" s="4" t="s">
        <v>278</v>
      </c>
      <c r="HS1332" s="4" t="s">
        <v>278</v>
      </c>
      <c r="HT1332" s="4" t="s">
        <v>241</v>
      </c>
      <c r="HU1332" s="4" t="s">
        <v>241</v>
      </c>
      <c r="HV1332" s="4" t="s">
        <v>241</v>
      </c>
      <c r="HW1332" s="4" t="s">
        <v>241</v>
      </c>
      <c r="HX1332" s="4" t="s">
        <v>241</v>
      </c>
      <c r="HY1332" s="4" t="s">
        <v>241</v>
      </c>
      <c r="HZ1332" s="4" t="s">
        <v>241</v>
      </c>
      <c r="IA1332" s="4" t="s">
        <v>241</v>
      </c>
      <c r="IB1332" s="4" t="s">
        <v>241</v>
      </c>
      <c r="IC1332" s="4" t="s">
        <v>241</v>
      </c>
      <c r="ID1332" s="4" t="s">
        <v>241</v>
      </c>
      <c r="IE1332" s="4" t="s">
        <v>241</v>
      </c>
      <c r="IF1332" s="4" t="s">
        <v>241</v>
      </c>
    </row>
    <row r="1333" spans="1:240" x14ac:dyDescent="0.4">
      <c r="A1333" s="4">
        <v>2</v>
      </c>
      <c r="B1333" s="4" t="s">
        <v>239</v>
      </c>
      <c r="C1333" s="4">
        <v>1643</v>
      </c>
      <c r="D1333" s="4">
        <v>1</v>
      </c>
      <c r="E1333" s="4">
        <v>1</v>
      </c>
      <c r="F1333" s="4" t="s">
        <v>240</v>
      </c>
      <c r="G1333" s="4" t="s">
        <v>241</v>
      </c>
      <c r="H1333" s="4" t="s">
        <v>241</v>
      </c>
      <c r="I1333" s="4" t="s">
        <v>1250</v>
      </c>
      <c r="J1333" s="4" t="s">
        <v>1184</v>
      </c>
      <c r="K1333" s="4" t="s">
        <v>256</v>
      </c>
      <c r="L1333" s="4" t="s">
        <v>429</v>
      </c>
      <c r="M1333" s="5" t="s">
        <v>1252</v>
      </c>
      <c r="N1333" s="4" t="s">
        <v>429</v>
      </c>
      <c r="O1333" s="6">
        <f>11.73</f>
        <v>11.73</v>
      </c>
      <c r="P1333" s="4" t="s">
        <v>276</v>
      </c>
      <c r="Q1333" s="6">
        <f>1</f>
        <v>1</v>
      </c>
      <c r="R1333" s="6">
        <f>1114350</f>
        <v>1114350</v>
      </c>
      <c r="S1333" s="5" t="s">
        <v>1251</v>
      </c>
      <c r="T1333" s="4" t="s">
        <v>348</v>
      </c>
      <c r="U1333" s="4" t="s">
        <v>371</v>
      </c>
      <c r="W1333" s="6">
        <f>1114349</f>
        <v>1114349</v>
      </c>
      <c r="X1333" s="4" t="s">
        <v>243</v>
      </c>
      <c r="Y1333" s="4" t="s">
        <v>244</v>
      </c>
      <c r="Z1333" s="4" t="s">
        <v>282</v>
      </c>
      <c r="AA1333" s="4" t="s">
        <v>241</v>
      </c>
      <c r="AD1333" s="4" t="s">
        <v>241</v>
      </c>
      <c r="AF1333" s="5" t="s">
        <v>241</v>
      </c>
      <c r="AI1333" s="5" t="s">
        <v>249</v>
      </c>
      <c r="AJ1333" s="4" t="s">
        <v>251</v>
      </c>
      <c r="AK1333" s="4" t="s">
        <v>252</v>
      </c>
      <c r="BA1333" s="4" t="s">
        <v>254</v>
      </c>
      <c r="BB1333" s="4" t="s">
        <v>241</v>
      </c>
      <c r="BC1333" s="4" t="s">
        <v>255</v>
      </c>
      <c r="BD1333" s="4" t="s">
        <v>241</v>
      </c>
      <c r="BE1333" s="4" t="s">
        <v>257</v>
      </c>
      <c r="BF1333" s="4" t="s">
        <v>241</v>
      </c>
      <c r="BJ1333" s="4" t="s">
        <v>367</v>
      </c>
      <c r="BK1333" s="5" t="s">
        <v>249</v>
      </c>
      <c r="BL1333" s="4" t="s">
        <v>261</v>
      </c>
      <c r="BM1333" s="4" t="s">
        <v>262</v>
      </c>
      <c r="BN1333" s="4" t="s">
        <v>241</v>
      </c>
      <c r="BO1333" s="6">
        <f>0</f>
        <v>0</v>
      </c>
      <c r="BP1333" s="6">
        <f>0</f>
        <v>0</v>
      </c>
      <c r="BQ1333" s="4" t="s">
        <v>263</v>
      </c>
      <c r="BR1333" s="4" t="s">
        <v>264</v>
      </c>
      <c r="CF1333" s="4" t="s">
        <v>241</v>
      </c>
      <c r="CG1333" s="4" t="s">
        <v>241</v>
      </c>
      <c r="CK1333" s="4" t="s">
        <v>291</v>
      </c>
      <c r="CL1333" s="4" t="s">
        <v>266</v>
      </c>
      <c r="CM1333" s="4" t="s">
        <v>241</v>
      </c>
      <c r="CO1333" s="4" t="s">
        <v>360</v>
      </c>
      <c r="CP1333" s="5" t="s">
        <v>268</v>
      </c>
      <c r="CQ1333" s="4" t="s">
        <v>269</v>
      </c>
      <c r="CR1333" s="4" t="s">
        <v>270</v>
      </c>
      <c r="CS1333" s="4" t="s">
        <v>241</v>
      </c>
      <c r="CT1333" s="4" t="s">
        <v>241</v>
      </c>
      <c r="CU1333" s="4">
        <v>0</v>
      </c>
      <c r="CV1333" s="4" t="s">
        <v>271</v>
      </c>
      <c r="CW1333" s="4" t="s">
        <v>272</v>
      </c>
      <c r="CX1333" s="4" t="s">
        <v>347</v>
      </c>
      <c r="CZ1333" s="6">
        <f>1114350</f>
        <v>1114350</v>
      </c>
      <c r="DA1333" s="6">
        <f>0</f>
        <v>0</v>
      </c>
      <c r="DC1333" s="4" t="s">
        <v>241</v>
      </c>
      <c r="DD1333" s="4" t="s">
        <v>241</v>
      </c>
      <c r="DF1333" s="4" t="s">
        <v>241</v>
      </c>
      <c r="DI1333" s="4" t="s">
        <v>241</v>
      </c>
      <c r="DJ1333" s="4" t="s">
        <v>241</v>
      </c>
      <c r="DK1333" s="4" t="s">
        <v>241</v>
      </c>
      <c r="DL1333" s="4" t="s">
        <v>241</v>
      </c>
      <c r="DM1333" s="4" t="s">
        <v>277</v>
      </c>
      <c r="DN1333" s="4" t="s">
        <v>278</v>
      </c>
      <c r="DO1333" s="6">
        <f>11.73</f>
        <v>11.73</v>
      </c>
      <c r="DP1333" s="4" t="s">
        <v>241</v>
      </c>
      <c r="DQ1333" s="4" t="s">
        <v>241</v>
      </c>
      <c r="DR1333" s="4" t="s">
        <v>241</v>
      </c>
      <c r="DS1333" s="4" t="s">
        <v>241</v>
      </c>
      <c r="DV1333" s="4" t="s">
        <v>1253</v>
      </c>
      <c r="DW1333" s="4" t="s">
        <v>323</v>
      </c>
      <c r="HO1333" s="4" t="s">
        <v>277</v>
      </c>
      <c r="HR1333" s="4" t="s">
        <v>278</v>
      </c>
      <c r="HS1333" s="4" t="s">
        <v>278</v>
      </c>
    </row>
    <row r="1334" spans="1:240" x14ac:dyDescent="0.4">
      <c r="A1334" s="4">
        <v>2</v>
      </c>
      <c r="B1334" s="4" t="s">
        <v>239</v>
      </c>
      <c r="C1334" s="4">
        <v>1645</v>
      </c>
      <c r="D1334" s="4">
        <v>1</v>
      </c>
      <c r="E1334" s="4">
        <v>3</v>
      </c>
      <c r="F1334" s="4" t="s">
        <v>240</v>
      </c>
      <c r="G1334" s="4" t="s">
        <v>241</v>
      </c>
      <c r="H1334" s="4" t="s">
        <v>241</v>
      </c>
      <c r="I1334" s="4" t="s">
        <v>1246</v>
      </c>
      <c r="J1334" s="4" t="s">
        <v>1137</v>
      </c>
      <c r="K1334" s="4" t="s">
        <v>256</v>
      </c>
      <c r="L1334" s="4" t="s">
        <v>1174</v>
      </c>
      <c r="M1334" s="5" t="s">
        <v>1247</v>
      </c>
      <c r="N1334" s="4" t="s">
        <v>1245</v>
      </c>
      <c r="O1334" s="6">
        <f>358</f>
        <v>358</v>
      </c>
      <c r="P1334" s="4" t="s">
        <v>276</v>
      </c>
      <c r="Q1334" s="6">
        <f>10195840</f>
        <v>10195840</v>
      </c>
      <c r="R1334" s="6">
        <f>63724000</f>
        <v>63724000</v>
      </c>
      <c r="S1334" s="5" t="s">
        <v>1037</v>
      </c>
      <c r="T1334" s="4" t="s">
        <v>357</v>
      </c>
      <c r="U1334" s="4" t="s">
        <v>358</v>
      </c>
      <c r="V1334" s="6">
        <f>1911720</f>
        <v>1911720</v>
      </c>
      <c r="W1334" s="6">
        <f>53528160</f>
        <v>53528160</v>
      </c>
      <c r="X1334" s="4" t="s">
        <v>243</v>
      </c>
      <c r="Y1334" s="4" t="s">
        <v>244</v>
      </c>
      <c r="Z1334" s="4" t="s">
        <v>282</v>
      </c>
      <c r="AA1334" s="4" t="s">
        <v>241</v>
      </c>
      <c r="AD1334" s="4" t="s">
        <v>241</v>
      </c>
      <c r="AE1334" s="5" t="s">
        <v>241</v>
      </c>
      <c r="AF1334" s="5" t="s">
        <v>241</v>
      </c>
      <c r="AH1334" s="5" t="s">
        <v>241</v>
      </c>
      <c r="AI1334" s="5" t="s">
        <v>249</v>
      </c>
      <c r="AJ1334" s="4" t="s">
        <v>251</v>
      </c>
      <c r="AK1334" s="4" t="s">
        <v>252</v>
      </c>
      <c r="AQ1334" s="4" t="s">
        <v>241</v>
      </c>
      <c r="AR1334" s="4" t="s">
        <v>241</v>
      </c>
      <c r="AS1334" s="4" t="s">
        <v>241</v>
      </c>
      <c r="AT1334" s="5" t="s">
        <v>241</v>
      </c>
      <c r="AU1334" s="5" t="s">
        <v>241</v>
      </c>
      <c r="AV1334" s="5" t="s">
        <v>241</v>
      </c>
      <c r="AY1334" s="4" t="s">
        <v>286</v>
      </c>
      <c r="AZ1334" s="4" t="s">
        <v>286</v>
      </c>
      <c r="BA1334" s="4" t="s">
        <v>254</v>
      </c>
      <c r="BB1334" s="4" t="s">
        <v>287</v>
      </c>
      <c r="BC1334" s="4" t="s">
        <v>255</v>
      </c>
      <c r="BD1334" s="4" t="s">
        <v>241</v>
      </c>
      <c r="BE1334" s="4" t="s">
        <v>257</v>
      </c>
      <c r="BF1334" s="4" t="s">
        <v>241</v>
      </c>
      <c r="BJ1334" s="4" t="s">
        <v>288</v>
      </c>
      <c r="BK1334" s="5" t="s">
        <v>289</v>
      </c>
      <c r="BL1334" s="4" t="s">
        <v>290</v>
      </c>
      <c r="BM1334" s="4" t="s">
        <v>290</v>
      </c>
      <c r="BN1334" s="4" t="s">
        <v>241</v>
      </c>
      <c r="BO1334" s="6">
        <f>0</f>
        <v>0</v>
      </c>
      <c r="BP1334" s="6">
        <f>-1911720</f>
        <v>-1911720</v>
      </c>
      <c r="BQ1334" s="4" t="s">
        <v>263</v>
      </c>
      <c r="BR1334" s="4" t="s">
        <v>264</v>
      </c>
      <c r="BS1334" s="4" t="s">
        <v>241</v>
      </c>
      <c r="BT1334" s="4" t="s">
        <v>241</v>
      </c>
      <c r="BU1334" s="4" t="s">
        <v>241</v>
      </c>
      <c r="BV1334" s="4" t="s">
        <v>241</v>
      </c>
      <c r="CE1334" s="4" t="s">
        <v>264</v>
      </c>
      <c r="CF1334" s="4" t="s">
        <v>241</v>
      </c>
      <c r="CG1334" s="4" t="s">
        <v>241</v>
      </c>
      <c r="CK1334" s="4" t="s">
        <v>291</v>
      </c>
      <c r="CL1334" s="4" t="s">
        <v>266</v>
      </c>
      <c r="CM1334" s="4" t="s">
        <v>241</v>
      </c>
      <c r="CO1334" s="4" t="s">
        <v>355</v>
      </c>
      <c r="CP1334" s="5" t="s">
        <v>268</v>
      </c>
      <c r="CQ1334" s="4" t="s">
        <v>269</v>
      </c>
      <c r="CR1334" s="4" t="s">
        <v>270</v>
      </c>
      <c r="CS1334" s="4" t="s">
        <v>293</v>
      </c>
      <c r="CT1334" s="4" t="s">
        <v>241</v>
      </c>
      <c r="CU1334" s="4">
        <v>0.03</v>
      </c>
      <c r="CV1334" s="4" t="s">
        <v>271</v>
      </c>
      <c r="CW1334" s="4" t="s">
        <v>1176</v>
      </c>
      <c r="CX1334" s="4" t="s">
        <v>487</v>
      </c>
      <c r="CY1334" s="6">
        <f>0</f>
        <v>0</v>
      </c>
      <c r="CZ1334" s="6">
        <f>63724000</f>
        <v>63724000</v>
      </c>
      <c r="DA1334" s="6">
        <f>10195840</f>
        <v>10195840</v>
      </c>
      <c r="DC1334" s="4" t="s">
        <v>241</v>
      </c>
      <c r="DD1334" s="4" t="s">
        <v>241</v>
      </c>
      <c r="DF1334" s="4" t="s">
        <v>241</v>
      </c>
      <c r="DG1334" s="6">
        <f>0</f>
        <v>0</v>
      </c>
      <c r="DI1334" s="4" t="s">
        <v>241</v>
      </c>
      <c r="DJ1334" s="4" t="s">
        <v>241</v>
      </c>
      <c r="DK1334" s="4" t="s">
        <v>241</v>
      </c>
      <c r="DL1334" s="4" t="s">
        <v>241</v>
      </c>
      <c r="DM1334" s="4" t="s">
        <v>277</v>
      </c>
      <c r="DN1334" s="4" t="s">
        <v>278</v>
      </c>
      <c r="DO1334" s="6">
        <f>358</f>
        <v>358</v>
      </c>
      <c r="DP1334" s="4" t="s">
        <v>241</v>
      </c>
      <c r="DQ1334" s="4" t="s">
        <v>241</v>
      </c>
      <c r="DR1334" s="4" t="s">
        <v>241</v>
      </c>
      <c r="DS1334" s="4" t="s">
        <v>241</v>
      </c>
      <c r="DV1334" s="4" t="s">
        <v>1248</v>
      </c>
      <c r="DW1334" s="4" t="s">
        <v>277</v>
      </c>
      <c r="GN1334" s="4" t="s">
        <v>1249</v>
      </c>
      <c r="HO1334" s="4" t="s">
        <v>300</v>
      </c>
      <c r="HR1334" s="4" t="s">
        <v>278</v>
      </c>
      <c r="HS1334" s="4" t="s">
        <v>278</v>
      </c>
      <c r="HT1334" s="4" t="s">
        <v>241</v>
      </c>
      <c r="HU1334" s="4" t="s">
        <v>241</v>
      </c>
      <c r="HV1334" s="4" t="s">
        <v>241</v>
      </c>
      <c r="HW1334" s="4" t="s">
        <v>241</v>
      </c>
      <c r="HX1334" s="4" t="s">
        <v>241</v>
      </c>
      <c r="HY1334" s="4" t="s">
        <v>241</v>
      </c>
      <c r="HZ1334" s="4" t="s">
        <v>241</v>
      </c>
      <c r="IA1334" s="4" t="s">
        <v>241</v>
      </c>
      <c r="IB1334" s="4" t="s">
        <v>241</v>
      </c>
      <c r="IC1334" s="4" t="s">
        <v>241</v>
      </c>
      <c r="ID1334" s="4" t="s">
        <v>241</v>
      </c>
      <c r="IE1334" s="4" t="s">
        <v>241</v>
      </c>
      <c r="IF1334" s="4" t="s">
        <v>241</v>
      </c>
    </row>
    <row r="1335" spans="1:240" x14ac:dyDescent="0.4">
      <c r="A1335" s="4">
        <v>2</v>
      </c>
      <c r="B1335" s="4" t="s">
        <v>239</v>
      </c>
      <c r="C1335" s="4">
        <v>1646</v>
      </c>
      <c r="D1335" s="4">
        <v>1</v>
      </c>
      <c r="E1335" s="4">
        <v>1</v>
      </c>
      <c r="F1335" s="4" t="s">
        <v>240</v>
      </c>
      <c r="G1335" s="4" t="s">
        <v>241</v>
      </c>
      <c r="H1335" s="4" t="s">
        <v>241</v>
      </c>
      <c r="I1335" s="4" t="s">
        <v>1246</v>
      </c>
      <c r="J1335" s="4" t="s">
        <v>1137</v>
      </c>
      <c r="K1335" s="4" t="s">
        <v>256</v>
      </c>
      <c r="L1335" s="4" t="s">
        <v>429</v>
      </c>
      <c r="M1335" s="5" t="s">
        <v>1247</v>
      </c>
      <c r="N1335" s="4" t="s">
        <v>429</v>
      </c>
      <c r="O1335" s="6">
        <f>64.61</f>
        <v>64.61</v>
      </c>
      <c r="P1335" s="4" t="s">
        <v>276</v>
      </c>
      <c r="Q1335" s="6">
        <f>1</f>
        <v>1</v>
      </c>
      <c r="R1335" s="6">
        <f>6137950</f>
        <v>6137950</v>
      </c>
      <c r="S1335" s="5" t="s">
        <v>1037</v>
      </c>
      <c r="T1335" s="4" t="s">
        <v>274</v>
      </c>
      <c r="U1335" s="4" t="s">
        <v>274</v>
      </c>
      <c r="W1335" s="6">
        <f>6137949</f>
        <v>6137949</v>
      </c>
      <c r="X1335" s="4" t="s">
        <v>243</v>
      </c>
      <c r="Y1335" s="4" t="s">
        <v>244</v>
      </c>
      <c r="Z1335" s="4" t="s">
        <v>282</v>
      </c>
      <c r="AA1335" s="4" t="s">
        <v>241</v>
      </c>
      <c r="AD1335" s="4" t="s">
        <v>241</v>
      </c>
      <c r="AF1335" s="5" t="s">
        <v>241</v>
      </c>
      <c r="AI1335" s="5" t="s">
        <v>249</v>
      </c>
      <c r="AJ1335" s="4" t="s">
        <v>251</v>
      </c>
      <c r="AK1335" s="4" t="s">
        <v>252</v>
      </c>
      <c r="BA1335" s="4" t="s">
        <v>254</v>
      </c>
      <c r="BB1335" s="4" t="s">
        <v>241</v>
      </c>
      <c r="BC1335" s="4" t="s">
        <v>255</v>
      </c>
      <c r="BD1335" s="4" t="s">
        <v>241</v>
      </c>
      <c r="BE1335" s="4" t="s">
        <v>257</v>
      </c>
      <c r="BF1335" s="4" t="s">
        <v>241</v>
      </c>
      <c r="BJ1335" s="4" t="s">
        <v>259</v>
      </c>
      <c r="BK1335" s="5" t="s">
        <v>260</v>
      </c>
      <c r="BL1335" s="4" t="s">
        <v>261</v>
      </c>
      <c r="BM1335" s="4" t="s">
        <v>290</v>
      </c>
      <c r="BN1335" s="4" t="s">
        <v>241</v>
      </c>
      <c r="BO1335" s="6">
        <f>0</f>
        <v>0</v>
      </c>
      <c r="BP1335" s="6">
        <f>0</f>
        <v>0</v>
      </c>
      <c r="BQ1335" s="4" t="s">
        <v>263</v>
      </c>
      <c r="BR1335" s="4" t="s">
        <v>264</v>
      </c>
      <c r="CF1335" s="4" t="s">
        <v>241</v>
      </c>
      <c r="CG1335" s="4" t="s">
        <v>241</v>
      </c>
      <c r="CK1335" s="4" t="s">
        <v>291</v>
      </c>
      <c r="CL1335" s="4" t="s">
        <v>266</v>
      </c>
      <c r="CM1335" s="4" t="s">
        <v>241</v>
      </c>
      <c r="CO1335" s="4" t="s">
        <v>355</v>
      </c>
      <c r="CP1335" s="5" t="s">
        <v>268</v>
      </c>
      <c r="CQ1335" s="4" t="s">
        <v>269</v>
      </c>
      <c r="CR1335" s="4" t="s">
        <v>270</v>
      </c>
      <c r="CS1335" s="4" t="s">
        <v>241</v>
      </c>
      <c r="CT1335" s="4" t="s">
        <v>241</v>
      </c>
      <c r="CU1335" s="4">
        <v>0</v>
      </c>
      <c r="CV1335" s="4" t="s">
        <v>271</v>
      </c>
      <c r="CW1335" s="4" t="s">
        <v>272</v>
      </c>
      <c r="CX1335" s="4" t="s">
        <v>273</v>
      </c>
      <c r="CZ1335" s="6">
        <f>6137950</f>
        <v>6137950</v>
      </c>
      <c r="DA1335" s="6">
        <f>0</f>
        <v>0</v>
      </c>
      <c r="DC1335" s="4" t="s">
        <v>241</v>
      </c>
      <c r="DD1335" s="4" t="s">
        <v>241</v>
      </c>
      <c r="DF1335" s="4" t="s">
        <v>241</v>
      </c>
      <c r="DI1335" s="4" t="s">
        <v>241</v>
      </c>
      <c r="DJ1335" s="4" t="s">
        <v>241</v>
      </c>
      <c r="DK1335" s="4" t="s">
        <v>241</v>
      </c>
      <c r="DL1335" s="4" t="s">
        <v>241</v>
      </c>
      <c r="DM1335" s="4" t="s">
        <v>277</v>
      </c>
      <c r="DN1335" s="4" t="s">
        <v>278</v>
      </c>
      <c r="DO1335" s="6">
        <f>64.61</f>
        <v>64.61</v>
      </c>
      <c r="DP1335" s="4" t="s">
        <v>241</v>
      </c>
      <c r="DQ1335" s="4" t="s">
        <v>241</v>
      </c>
      <c r="DR1335" s="4" t="s">
        <v>241</v>
      </c>
      <c r="DS1335" s="4" t="s">
        <v>241</v>
      </c>
      <c r="DV1335" s="4" t="s">
        <v>1248</v>
      </c>
      <c r="DW1335" s="4" t="s">
        <v>323</v>
      </c>
      <c r="HO1335" s="4" t="s">
        <v>297</v>
      </c>
      <c r="HR1335" s="4" t="s">
        <v>278</v>
      </c>
      <c r="HS1335" s="4" t="s">
        <v>278</v>
      </c>
    </row>
    <row r="1336" spans="1:240" x14ac:dyDescent="0.4">
      <c r="A1336" s="4">
        <v>2</v>
      </c>
      <c r="B1336" s="4" t="s">
        <v>239</v>
      </c>
      <c r="C1336" s="4">
        <v>1647</v>
      </c>
      <c r="D1336" s="4">
        <v>1</v>
      </c>
      <c r="E1336" s="4">
        <v>1</v>
      </c>
      <c r="F1336" s="4" t="s">
        <v>240</v>
      </c>
      <c r="G1336" s="4" t="s">
        <v>241</v>
      </c>
      <c r="H1336" s="4" t="s">
        <v>241</v>
      </c>
      <c r="I1336" s="4" t="s">
        <v>1931</v>
      </c>
      <c r="J1336" s="4" t="s">
        <v>396</v>
      </c>
      <c r="K1336" s="4" t="s">
        <v>256</v>
      </c>
      <c r="L1336" s="4" t="s">
        <v>1930</v>
      </c>
      <c r="M1336" s="5" t="s">
        <v>1932</v>
      </c>
      <c r="N1336" s="4" t="s">
        <v>1930</v>
      </c>
      <c r="O1336" s="6">
        <f>172.24</f>
        <v>172.24</v>
      </c>
      <c r="P1336" s="4" t="s">
        <v>276</v>
      </c>
      <c r="Q1336" s="6">
        <f>1</f>
        <v>1</v>
      </c>
      <c r="R1336" s="6">
        <f>10334400</f>
        <v>10334400</v>
      </c>
      <c r="S1336" s="5" t="s">
        <v>1088</v>
      </c>
      <c r="T1336" s="4" t="s">
        <v>441</v>
      </c>
      <c r="U1336" s="4" t="s">
        <v>1042</v>
      </c>
      <c r="W1336" s="6">
        <f>10334399</f>
        <v>10334399</v>
      </c>
      <c r="X1336" s="4" t="s">
        <v>243</v>
      </c>
      <c r="Y1336" s="4" t="s">
        <v>244</v>
      </c>
      <c r="Z1336" s="4" t="s">
        <v>282</v>
      </c>
      <c r="AA1336" s="4" t="s">
        <v>241</v>
      </c>
      <c r="AD1336" s="4" t="s">
        <v>241</v>
      </c>
      <c r="AF1336" s="5" t="s">
        <v>241</v>
      </c>
      <c r="AI1336" s="5" t="s">
        <v>249</v>
      </c>
      <c r="AJ1336" s="4" t="s">
        <v>251</v>
      </c>
      <c r="AK1336" s="4" t="s">
        <v>252</v>
      </c>
      <c r="BA1336" s="4" t="s">
        <v>254</v>
      </c>
      <c r="BB1336" s="4" t="s">
        <v>241</v>
      </c>
      <c r="BC1336" s="4" t="s">
        <v>255</v>
      </c>
      <c r="BD1336" s="4" t="s">
        <v>241</v>
      </c>
      <c r="BE1336" s="4" t="s">
        <v>257</v>
      </c>
      <c r="BF1336" s="4" t="s">
        <v>241</v>
      </c>
      <c r="BJ1336" s="4" t="s">
        <v>367</v>
      </c>
      <c r="BK1336" s="5" t="s">
        <v>249</v>
      </c>
      <c r="BL1336" s="4" t="s">
        <v>261</v>
      </c>
      <c r="BM1336" s="4" t="s">
        <v>262</v>
      </c>
      <c r="BN1336" s="4" t="s">
        <v>241</v>
      </c>
      <c r="BO1336" s="6">
        <f>0</f>
        <v>0</v>
      </c>
      <c r="BP1336" s="6">
        <f>0</f>
        <v>0</v>
      </c>
      <c r="BQ1336" s="4" t="s">
        <v>263</v>
      </c>
      <c r="BR1336" s="4" t="s">
        <v>264</v>
      </c>
      <c r="CF1336" s="4" t="s">
        <v>241</v>
      </c>
      <c r="CG1336" s="4" t="s">
        <v>241</v>
      </c>
      <c r="CK1336" s="4" t="s">
        <v>265</v>
      </c>
      <c r="CL1336" s="4" t="s">
        <v>266</v>
      </c>
      <c r="CM1336" s="4" t="s">
        <v>241</v>
      </c>
      <c r="CO1336" s="4" t="s">
        <v>914</v>
      </c>
      <c r="CP1336" s="5" t="s">
        <v>268</v>
      </c>
      <c r="CQ1336" s="4" t="s">
        <v>269</v>
      </c>
      <c r="CR1336" s="4" t="s">
        <v>270</v>
      </c>
      <c r="CS1336" s="4" t="s">
        <v>241</v>
      </c>
      <c r="CT1336" s="4" t="s">
        <v>241</v>
      </c>
      <c r="CU1336" s="4">
        <v>0</v>
      </c>
      <c r="CV1336" s="4" t="s">
        <v>271</v>
      </c>
      <c r="CW1336" s="4" t="s">
        <v>1920</v>
      </c>
      <c r="CX1336" s="4" t="s">
        <v>487</v>
      </c>
      <c r="CZ1336" s="6">
        <f>10334400</f>
        <v>10334400</v>
      </c>
      <c r="DA1336" s="6">
        <f>0</f>
        <v>0</v>
      </c>
      <c r="DC1336" s="4" t="s">
        <v>241</v>
      </c>
      <c r="DD1336" s="4" t="s">
        <v>241</v>
      </c>
      <c r="DF1336" s="4" t="s">
        <v>241</v>
      </c>
      <c r="DI1336" s="4" t="s">
        <v>241</v>
      </c>
      <c r="DJ1336" s="4" t="s">
        <v>241</v>
      </c>
      <c r="DK1336" s="4" t="s">
        <v>241</v>
      </c>
      <c r="DL1336" s="4" t="s">
        <v>241</v>
      </c>
      <c r="DM1336" s="4" t="s">
        <v>277</v>
      </c>
      <c r="DN1336" s="4" t="s">
        <v>278</v>
      </c>
      <c r="DO1336" s="6">
        <f>172.24</f>
        <v>172.24</v>
      </c>
      <c r="DP1336" s="4" t="s">
        <v>241</v>
      </c>
      <c r="DQ1336" s="4" t="s">
        <v>241</v>
      </c>
      <c r="DR1336" s="4" t="s">
        <v>241</v>
      </c>
      <c r="DS1336" s="4" t="s">
        <v>241</v>
      </c>
      <c r="DV1336" s="4" t="s">
        <v>1933</v>
      </c>
      <c r="DW1336" s="4" t="s">
        <v>277</v>
      </c>
      <c r="HO1336" s="4" t="s">
        <v>277</v>
      </c>
      <c r="HR1336" s="4" t="s">
        <v>278</v>
      </c>
      <c r="HS1336" s="4" t="s">
        <v>278</v>
      </c>
    </row>
    <row r="1337" spans="1:240" x14ac:dyDescent="0.4">
      <c r="A1337" s="4">
        <v>2</v>
      </c>
      <c r="B1337" s="4" t="s">
        <v>239</v>
      </c>
      <c r="C1337" s="4">
        <v>1648</v>
      </c>
      <c r="D1337" s="4">
        <v>1</v>
      </c>
      <c r="E1337" s="4">
        <v>1</v>
      </c>
      <c r="F1337" s="4" t="s">
        <v>326</v>
      </c>
      <c r="G1337" s="4" t="s">
        <v>241</v>
      </c>
      <c r="H1337" s="4" t="s">
        <v>241</v>
      </c>
      <c r="I1337" s="4" t="s">
        <v>1931</v>
      </c>
      <c r="J1337" s="4" t="s">
        <v>396</v>
      </c>
      <c r="K1337" s="4" t="s">
        <v>256</v>
      </c>
      <c r="L1337" s="4" t="s">
        <v>241</v>
      </c>
      <c r="M1337" s="5" t="s">
        <v>1932</v>
      </c>
      <c r="N1337" s="4" t="s">
        <v>1930</v>
      </c>
      <c r="O1337" s="6">
        <f>295</f>
        <v>295</v>
      </c>
      <c r="P1337" s="4" t="s">
        <v>276</v>
      </c>
      <c r="Q1337" s="6">
        <f>1</f>
        <v>1</v>
      </c>
      <c r="R1337" s="6">
        <f>53100000</f>
        <v>53100000</v>
      </c>
      <c r="S1337" s="5" t="s">
        <v>1088</v>
      </c>
      <c r="T1337" s="4" t="s">
        <v>441</v>
      </c>
      <c r="U1337" s="4" t="s">
        <v>333</v>
      </c>
      <c r="W1337" s="6">
        <f>53099999</f>
        <v>53099999</v>
      </c>
      <c r="X1337" s="4" t="s">
        <v>243</v>
      </c>
      <c r="Y1337" s="4" t="s">
        <v>244</v>
      </c>
      <c r="Z1337" s="4" t="s">
        <v>241</v>
      </c>
      <c r="AA1337" s="4" t="s">
        <v>241</v>
      </c>
      <c r="AD1337" s="4" t="s">
        <v>241</v>
      </c>
      <c r="AF1337" s="5" t="s">
        <v>241</v>
      </c>
      <c r="AI1337" s="5" t="s">
        <v>249</v>
      </c>
      <c r="AJ1337" s="4" t="s">
        <v>251</v>
      </c>
      <c r="AK1337" s="4" t="s">
        <v>252</v>
      </c>
      <c r="BA1337" s="4" t="s">
        <v>254</v>
      </c>
      <c r="BB1337" s="4" t="s">
        <v>241</v>
      </c>
      <c r="BC1337" s="4" t="s">
        <v>255</v>
      </c>
      <c r="BD1337" s="4" t="s">
        <v>241</v>
      </c>
      <c r="BE1337" s="4" t="s">
        <v>257</v>
      </c>
      <c r="BF1337" s="4" t="s">
        <v>241</v>
      </c>
      <c r="BJ1337" s="4" t="s">
        <v>374</v>
      </c>
      <c r="BK1337" s="5" t="s">
        <v>375</v>
      </c>
      <c r="BL1337" s="4" t="s">
        <v>261</v>
      </c>
      <c r="BM1337" s="4" t="s">
        <v>410</v>
      </c>
      <c r="BN1337" s="4" t="s">
        <v>241</v>
      </c>
      <c r="BO1337" s="6">
        <f>0</f>
        <v>0</v>
      </c>
      <c r="BP1337" s="6">
        <f>0</f>
        <v>0</v>
      </c>
      <c r="BQ1337" s="4" t="s">
        <v>263</v>
      </c>
      <c r="BR1337" s="4" t="s">
        <v>264</v>
      </c>
      <c r="CF1337" s="4" t="s">
        <v>241</v>
      </c>
      <c r="CG1337" s="4" t="s">
        <v>241</v>
      </c>
      <c r="CK1337" s="4" t="s">
        <v>265</v>
      </c>
      <c r="CL1337" s="4" t="s">
        <v>266</v>
      </c>
      <c r="CM1337" s="4" t="s">
        <v>241</v>
      </c>
      <c r="CO1337" s="4" t="s">
        <v>914</v>
      </c>
      <c r="CP1337" s="5" t="s">
        <v>268</v>
      </c>
      <c r="CQ1337" s="4" t="s">
        <v>269</v>
      </c>
      <c r="CR1337" s="4" t="s">
        <v>270</v>
      </c>
      <c r="CS1337" s="4" t="s">
        <v>241</v>
      </c>
      <c r="CT1337" s="4" t="s">
        <v>241</v>
      </c>
      <c r="CU1337" s="4">
        <v>0</v>
      </c>
      <c r="CV1337" s="4" t="s">
        <v>271</v>
      </c>
      <c r="CW1337" s="4" t="s">
        <v>1920</v>
      </c>
      <c r="CX1337" s="4" t="s">
        <v>487</v>
      </c>
      <c r="CZ1337" s="6">
        <f>53100000</f>
        <v>53100000</v>
      </c>
      <c r="DA1337" s="6">
        <f>0</f>
        <v>0</v>
      </c>
      <c r="DC1337" s="4" t="s">
        <v>241</v>
      </c>
      <c r="DD1337" s="4" t="s">
        <v>241</v>
      </c>
      <c r="DF1337" s="4" t="s">
        <v>241</v>
      </c>
      <c r="DI1337" s="4" t="s">
        <v>241</v>
      </c>
      <c r="DJ1337" s="4" t="s">
        <v>241</v>
      </c>
      <c r="DK1337" s="4" t="s">
        <v>241</v>
      </c>
      <c r="DL1337" s="4" t="s">
        <v>241</v>
      </c>
      <c r="DM1337" s="4" t="s">
        <v>278</v>
      </c>
      <c r="DN1337" s="4" t="s">
        <v>278</v>
      </c>
      <c r="DO1337" s="6">
        <f>295</f>
        <v>295</v>
      </c>
      <c r="DP1337" s="4" t="s">
        <v>241</v>
      </c>
      <c r="DQ1337" s="4" t="s">
        <v>241</v>
      </c>
      <c r="DR1337" s="4" t="s">
        <v>241</v>
      </c>
      <c r="DS1337" s="4" t="s">
        <v>241</v>
      </c>
      <c r="DV1337" s="4" t="s">
        <v>1933</v>
      </c>
      <c r="DW1337" s="4" t="s">
        <v>323</v>
      </c>
      <c r="HO1337" s="4" t="s">
        <v>277</v>
      </c>
      <c r="HR1337" s="4" t="s">
        <v>278</v>
      </c>
      <c r="HS1337" s="4" t="s">
        <v>278</v>
      </c>
    </row>
    <row r="1338" spans="1:240" x14ac:dyDescent="0.4">
      <c r="A1338" s="4">
        <v>2</v>
      </c>
      <c r="B1338" s="4" t="s">
        <v>239</v>
      </c>
      <c r="C1338" s="4">
        <v>1649</v>
      </c>
      <c r="D1338" s="4">
        <v>1</v>
      </c>
      <c r="E1338" s="4">
        <v>1</v>
      </c>
      <c r="F1338" s="4" t="s">
        <v>326</v>
      </c>
      <c r="G1338" s="4" t="s">
        <v>241</v>
      </c>
      <c r="H1338" s="4" t="s">
        <v>241</v>
      </c>
      <c r="I1338" s="4" t="s">
        <v>1931</v>
      </c>
      <c r="J1338" s="4" t="s">
        <v>396</v>
      </c>
      <c r="K1338" s="4" t="s">
        <v>256</v>
      </c>
      <c r="L1338" s="4" t="s">
        <v>241</v>
      </c>
      <c r="M1338" s="5" t="s">
        <v>1932</v>
      </c>
      <c r="N1338" s="4" t="s">
        <v>1930</v>
      </c>
      <c r="O1338" s="6">
        <f>218</f>
        <v>218</v>
      </c>
      <c r="P1338" s="4" t="s">
        <v>276</v>
      </c>
      <c r="Q1338" s="6">
        <f>1</f>
        <v>1</v>
      </c>
      <c r="R1338" s="6">
        <f>23820000</f>
        <v>23820000</v>
      </c>
      <c r="S1338" s="5" t="s">
        <v>1088</v>
      </c>
      <c r="T1338" s="4" t="s">
        <v>348</v>
      </c>
      <c r="U1338" s="4" t="s">
        <v>333</v>
      </c>
      <c r="W1338" s="6">
        <f>23819999</f>
        <v>23819999</v>
      </c>
      <c r="X1338" s="4" t="s">
        <v>243</v>
      </c>
      <c r="Y1338" s="4" t="s">
        <v>244</v>
      </c>
      <c r="Z1338" s="4" t="s">
        <v>241</v>
      </c>
      <c r="AA1338" s="4" t="s">
        <v>241</v>
      </c>
      <c r="AD1338" s="4" t="s">
        <v>241</v>
      </c>
      <c r="AF1338" s="5" t="s">
        <v>241</v>
      </c>
      <c r="AI1338" s="5" t="s">
        <v>249</v>
      </c>
      <c r="AJ1338" s="4" t="s">
        <v>251</v>
      </c>
      <c r="AK1338" s="4" t="s">
        <v>252</v>
      </c>
      <c r="BA1338" s="4" t="s">
        <v>254</v>
      </c>
      <c r="BB1338" s="4" t="s">
        <v>241</v>
      </c>
      <c r="BC1338" s="4" t="s">
        <v>255</v>
      </c>
      <c r="BD1338" s="4" t="s">
        <v>241</v>
      </c>
      <c r="BE1338" s="4" t="s">
        <v>257</v>
      </c>
      <c r="BF1338" s="4" t="s">
        <v>241</v>
      </c>
      <c r="BJ1338" s="4" t="s">
        <v>377</v>
      </c>
      <c r="BK1338" s="5" t="s">
        <v>378</v>
      </c>
      <c r="BL1338" s="4" t="s">
        <v>261</v>
      </c>
      <c r="BM1338" s="4" t="s">
        <v>410</v>
      </c>
      <c r="BN1338" s="4" t="s">
        <v>241</v>
      </c>
      <c r="BO1338" s="6">
        <f>0</f>
        <v>0</v>
      </c>
      <c r="BP1338" s="6">
        <f>0</f>
        <v>0</v>
      </c>
      <c r="BQ1338" s="4" t="s">
        <v>263</v>
      </c>
      <c r="BR1338" s="4" t="s">
        <v>264</v>
      </c>
      <c r="CF1338" s="4" t="s">
        <v>241</v>
      </c>
      <c r="CG1338" s="4" t="s">
        <v>241</v>
      </c>
      <c r="CK1338" s="4" t="s">
        <v>265</v>
      </c>
      <c r="CL1338" s="4" t="s">
        <v>266</v>
      </c>
      <c r="CM1338" s="4" t="s">
        <v>241</v>
      </c>
      <c r="CO1338" s="4" t="s">
        <v>914</v>
      </c>
      <c r="CP1338" s="5" t="s">
        <v>268</v>
      </c>
      <c r="CQ1338" s="4" t="s">
        <v>269</v>
      </c>
      <c r="CR1338" s="4" t="s">
        <v>270</v>
      </c>
      <c r="CS1338" s="4" t="s">
        <v>241</v>
      </c>
      <c r="CT1338" s="4" t="s">
        <v>241</v>
      </c>
      <c r="CU1338" s="4">
        <v>0</v>
      </c>
      <c r="CV1338" s="4" t="s">
        <v>271</v>
      </c>
      <c r="CW1338" s="4" t="s">
        <v>1920</v>
      </c>
      <c r="CX1338" s="4" t="s">
        <v>347</v>
      </c>
      <c r="CZ1338" s="6">
        <f>23820000</f>
        <v>23820000</v>
      </c>
      <c r="DA1338" s="6">
        <f>0</f>
        <v>0</v>
      </c>
      <c r="DC1338" s="4" t="s">
        <v>241</v>
      </c>
      <c r="DD1338" s="4" t="s">
        <v>241</v>
      </c>
      <c r="DF1338" s="4" t="s">
        <v>241</v>
      </c>
      <c r="DI1338" s="4" t="s">
        <v>241</v>
      </c>
      <c r="DJ1338" s="4" t="s">
        <v>241</v>
      </c>
      <c r="DK1338" s="4" t="s">
        <v>241</v>
      </c>
      <c r="DL1338" s="4" t="s">
        <v>241</v>
      </c>
      <c r="DM1338" s="4" t="s">
        <v>278</v>
      </c>
      <c r="DN1338" s="4" t="s">
        <v>278</v>
      </c>
      <c r="DO1338" s="6">
        <f>218</f>
        <v>218</v>
      </c>
      <c r="DP1338" s="4" t="s">
        <v>241</v>
      </c>
      <c r="DQ1338" s="4" t="s">
        <v>241</v>
      </c>
      <c r="DR1338" s="4" t="s">
        <v>241</v>
      </c>
      <c r="DS1338" s="4" t="s">
        <v>241</v>
      </c>
      <c r="DV1338" s="4" t="s">
        <v>1933</v>
      </c>
      <c r="DW1338" s="4" t="s">
        <v>297</v>
      </c>
      <c r="HO1338" s="4" t="s">
        <v>277</v>
      </c>
      <c r="HR1338" s="4" t="s">
        <v>278</v>
      </c>
      <c r="HS1338" s="4" t="s">
        <v>278</v>
      </c>
    </row>
    <row r="1339" spans="1:240" x14ac:dyDescent="0.4">
      <c r="A1339" s="4">
        <v>2</v>
      </c>
      <c r="B1339" s="4" t="s">
        <v>239</v>
      </c>
      <c r="C1339" s="4">
        <v>1650</v>
      </c>
      <c r="D1339" s="4">
        <v>1</v>
      </c>
      <c r="E1339" s="4">
        <v>1</v>
      </c>
      <c r="F1339" s="4" t="s">
        <v>240</v>
      </c>
      <c r="G1339" s="4" t="s">
        <v>241</v>
      </c>
      <c r="H1339" s="4" t="s">
        <v>241</v>
      </c>
      <c r="I1339" s="4" t="s">
        <v>1972</v>
      </c>
      <c r="J1339" s="4" t="s">
        <v>396</v>
      </c>
      <c r="K1339" s="4" t="s">
        <v>256</v>
      </c>
      <c r="L1339" s="4" t="s">
        <v>1930</v>
      </c>
      <c r="M1339" s="5" t="s">
        <v>1974</v>
      </c>
      <c r="N1339" s="4" t="s">
        <v>1930</v>
      </c>
      <c r="O1339" s="6">
        <f>200.4</f>
        <v>200.4</v>
      </c>
      <c r="P1339" s="4" t="s">
        <v>276</v>
      </c>
      <c r="Q1339" s="6">
        <f>1</f>
        <v>1</v>
      </c>
      <c r="R1339" s="6">
        <f>12024000</f>
        <v>12024000</v>
      </c>
      <c r="S1339" s="5" t="s">
        <v>1973</v>
      </c>
      <c r="T1339" s="4" t="s">
        <v>348</v>
      </c>
      <c r="U1339" s="4" t="s">
        <v>441</v>
      </c>
      <c r="W1339" s="6">
        <f>12023999</f>
        <v>12023999</v>
      </c>
      <c r="X1339" s="4" t="s">
        <v>243</v>
      </c>
      <c r="Y1339" s="4" t="s">
        <v>244</v>
      </c>
      <c r="Z1339" s="4" t="s">
        <v>282</v>
      </c>
      <c r="AA1339" s="4" t="s">
        <v>241</v>
      </c>
      <c r="AD1339" s="4" t="s">
        <v>241</v>
      </c>
      <c r="AF1339" s="5" t="s">
        <v>241</v>
      </c>
      <c r="AI1339" s="5" t="s">
        <v>249</v>
      </c>
      <c r="AJ1339" s="4" t="s">
        <v>251</v>
      </c>
      <c r="AK1339" s="4" t="s">
        <v>252</v>
      </c>
      <c r="BA1339" s="4" t="s">
        <v>254</v>
      </c>
      <c r="BB1339" s="4" t="s">
        <v>241</v>
      </c>
      <c r="BC1339" s="4" t="s">
        <v>255</v>
      </c>
      <c r="BD1339" s="4" t="s">
        <v>241</v>
      </c>
      <c r="BE1339" s="4" t="s">
        <v>257</v>
      </c>
      <c r="BF1339" s="4" t="s">
        <v>241</v>
      </c>
      <c r="BJ1339" s="4" t="s">
        <v>259</v>
      </c>
      <c r="BK1339" s="5" t="s">
        <v>260</v>
      </c>
      <c r="BL1339" s="4" t="s">
        <v>261</v>
      </c>
      <c r="BM1339" s="4" t="s">
        <v>262</v>
      </c>
      <c r="BN1339" s="4" t="s">
        <v>241</v>
      </c>
      <c r="BO1339" s="6">
        <f>0</f>
        <v>0</v>
      </c>
      <c r="BP1339" s="6">
        <f>0</f>
        <v>0</v>
      </c>
      <c r="BQ1339" s="4" t="s">
        <v>263</v>
      </c>
      <c r="BR1339" s="4" t="s">
        <v>264</v>
      </c>
      <c r="CF1339" s="4" t="s">
        <v>241</v>
      </c>
      <c r="CG1339" s="4" t="s">
        <v>241</v>
      </c>
      <c r="CK1339" s="4" t="s">
        <v>265</v>
      </c>
      <c r="CL1339" s="4" t="s">
        <v>266</v>
      </c>
      <c r="CM1339" s="4" t="s">
        <v>241</v>
      </c>
      <c r="CO1339" s="4" t="s">
        <v>724</v>
      </c>
      <c r="CP1339" s="5" t="s">
        <v>268</v>
      </c>
      <c r="CQ1339" s="4" t="s">
        <v>269</v>
      </c>
      <c r="CR1339" s="4" t="s">
        <v>270</v>
      </c>
      <c r="CS1339" s="4" t="s">
        <v>241</v>
      </c>
      <c r="CT1339" s="4" t="s">
        <v>241</v>
      </c>
      <c r="CU1339" s="4">
        <v>0</v>
      </c>
      <c r="CV1339" s="4" t="s">
        <v>271</v>
      </c>
      <c r="CW1339" s="4" t="s">
        <v>1920</v>
      </c>
      <c r="CX1339" s="4" t="s">
        <v>347</v>
      </c>
      <c r="CZ1339" s="6">
        <f>12024000</f>
        <v>12024000</v>
      </c>
      <c r="DA1339" s="6">
        <f>0</f>
        <v>0</v>
      </c>
      <c r="DC1339" s="4" t="s">
        <v>241</v>
      </c>
      <c r="DD1339" s="4" t="s">
        <v>241</v>
      </c>
      <c r="DF1339" s="4" t="s">
        <v>241</v>
      </c>
      <c r="DI1339" s="4" t="s">
        <v>241</v>
      </c>
      <c r="DJ1339" s="4" t="s">
        <v>241</v>
      </c>
      <c r="DK1339" s="4" t="s">
        <v>241</v>
      </c>
      <c r="DL1339" s="4" t="s">
        <v>241</v>
      </c>
      <c r="DM1339" s="4" t="s">
        <v>277</v>
      </c>
      <c r="DN1339" s="4" t="s">
        <v>278</v>
      </c>
      <c r="DO1339" s="6">
        <f>200.4</f>
        <v>200.4</v>
      </c>
      <c r="DP1339" s="4" t="s">
        <v>241</v>
      </c>
      <c r="DQ1339" s="4" t="s">
        <v>241</v>
      </c>
      <c r="DR1339" s="4" t="s">
        <v>241</v>
      </c>
      <c r="DS1339" s="4" t="s">
        <v>241</v>
      </c>
      <c r="DV1339" s="4" t="s">
        <v>1975</v>
      </c>
      <c r="DW1339" s="4" t="s">
        <v>277</v>
      </c>
      <c r="HO1339" s="4" t="s">
        <v>277</v>
      </c>
      <c r="HR1339" s="4" t="s">
        <v>278</v>
      </c>
      <c r="HS1339" s="4" t="s">
        <v>278</v>
      </c>
    </row>
    <row r="1340" spans="1:240" x14ac:dyDescent="0.4">
      <c r="A1340" s="4">
        <v>2</v>
      </c>
      <c r="B1340" s="4" t="s">
        <v>239</v>
      </c>
      <c r="C1340" s="4">
        <v>1653</v>
      </c>
      <c r="D1340" s="4">
        <v>1</v>
      </c>
      <c r="E1340" s="4">
        <v>3</v>
      </c>
      <c r="F1340" s="4" t="s">
        <v>240</v>
      </c>
      <c r="G1340" s="4" t="s">
        <v>241</v>
      </c>
      <c r="H1340" s="4" t="s">
        <v>241</v>
      </c>
      <c r="I1340" s="4" t="s">
        <v>1136</v>
      </c>
      <c r="J1340" s="4" t="s">
        <v>1137</v>
      </c>
      <c r="K1340" s="4" t="s">
        <v>256</v>
      </c>
      <c r="L1340" s="4" t="s">
        <v>444</v>
      </c>
      <c r="M1340" s="5" t="s">
        <v>1139</v>
      </c>
      <c r="N1340" s="4" t="s">
        <v>1135</v>
      </c>
      <c r="O1340" s="6">
        <f>902.5</f>
        <v>902.5</v>
      </c>
      <c r="P1340" s="4" t="s">
        <v>276</v>
      </c>
      <c r="Q1340" s="6">
        <f>79600500</f>
        <v>79600500</v>
      </c>
      <c r="R1340" s="6">
        <f>162450000</f>
        <v>162450000</v>
      </c>
      <c r="S1340" s="5" t="s">
        <v>1138</v>
      </c>
      <c r="T1340" s="4" t="s">
        <v>357</v>
      </c>
      <c r="U1340" s="4" t="s">
        <v>371</v>
      </c>
      <c r="V1340" s="6">
        <f>4873500</f>
        <v>4873500</v>
      </c>
      <c r="W1340" s="6">
        <f>82849500</f>
        <v>82849500</v>
      </c>
      <c r="X1340" s="4" t="s">
        <v>243</v>
      </c>
      <c r="Y1340" s="4" t="s">
        <v>244</v>
      </c>
      <c r="Z1340" s="4" t="s">
        <v>282</v>
      </c>
      <c r="AA1340" s="4" t="s">
        <v>241</v>
      </c>
      <c r="AD1340" s="4" t="s">
        <v>241</v>
      </c>
      <c r="AE1340" s="5" t="s">
        <v>241</v>
      </c>
      <c r="AF1340" s="5" t="s">
        <v>241</v>
      </c>
      <c r="AH1340" s="5" t="s">
        <v>241</v>
      </c>
      <c r="AI1340" s="5" t="s">
        <v>249</v>
      </c>
      <c r="AJ1340" s="4" t="s">
        <v>251</v>
      </c>
      <c r="AK1340" s="4" t="s">
        <v>252</v>
      </c>
      <c r="AQ1340" s="4" t="s">
        <v>241</v>
      </c>
      <c r="AR1340" s="4" t="s">
        <v>241</v>
      </c>
      <c r="AS1340" s="4" t="s">
        <v>241</v>
      </c>
      <c r="AT1340" s="5" t="s">
        <v>241</v>
      </c>
      <c r="AU1340" s="5" t="s">
        <v>241</v>
      </c>
      <c r="AV1340" s="5" t="s">
        <v>241</v>
      </c>
      <c r="AY1340" s="4" t="s">
        <v>286</v>
      </c>
      <c r="AZ1340" s="4" t="s">
        <v>286</v>
      </c>
      <c r="BA1340" s="4" t="s">
        <v>254</v>
      </c>
      <c r="BB1340" s="4" t="s">
        <v>287</v>
      </c>
      <c r="BC1340" s="4" t="s">
        <v>255</v>
      </c>
      <c r="BD1340" s="4" t="s">
        <v>241</v>
      </c>
      <c r="BE1340" s="4" t="s">
        <v>257</v>
      </c>
      <c r="BF1340" s="4" t="s">
        <v>241</v>
      </c>
      <c r="BH1340" s="4" t="s">
        <v>500</v>
      </c>
      <c r="BJ1340" s="4" t="s">
        <v>288</v>
      </c>
      <c r="BK1340" s="5" t="s">
        <v>289</v>
      </c>
      <c r="BL1340" s="4" t="s">
        <v>290</v>
      </c>
      <c r="BM1340" s="4" t="s">
        <v>290</v>
      </c>
      <c r="BN1340" s="4" t="s">
        <v>241</v>
      </c>
      <c r="BO1340" s="6">
        <f>0</f>
        <v>0</v>
      </c>
      <c r="BP1340" s="6">
        <f>-4873500</f>
        <v>-4873500</v>
      </c>
      <c r="BQ1340" s="4" t="s">
        <v>263</v>
      </c>
      <c r="BR1340" s="4" t="s">
        <v>264</v>
      </c>
      <c r="BS1340" s="4" t="s">
        <v>241</v>
      </c>
      <c r="BT1340" s="4" t="s">
        <v>241</v>
      </c>
      <c r="BU1340" s="4" t="s">
        <v>241</v>
      </c>
      <c r="BV1340" s="4" t="s">
        <v>241</v>
      </c>
      <c r="CE1340" s="4" t="s">
        <v>264</v>
      </c>
      <c r="CF1340" s="4" t="s">
        <v>241</v>
      </c>
      <c r="CG1340" s="4" t="s">
        <v>241</v>
      </c>
      <c r="CK1340" s="4" t="s">
        <v>291</v>
      </c>
      <c r="CL1340" s="4" t="s">
        <v>266</v>
      </c>
      <c r="CM1340" s="4" t="s">
        <v>241</v>
      </c>
      <c r="CO1340" s="4" t="s">
        <v>407</v>
      </c>
      <c r="CP1340" s="5" t="s">
        <v>268</v>
      </c>
      <c r="CQ1340" s="4" t="s">
        <v>269</v>
      </c>
      <c r="CR1340" s="4" t="s">
        <v>270</v>
      </c>
      <c r="CS1340" s="4" t="s">
        <v>293</v>
      </c>
      <c r="CT1340" s="4" t="s">
        <v>241</v>
      </c>
      <c r="CU1340" s="4">
        <v>0.03</v>
      </c>
      <c r="CV1340" s="4" t="s">
        <v>271</v>
      </c>
      <c r="CW1340" s="4" t="s">
        <v>1006</v>
      </c>
      <c r="CX1340" s="4" t="s">
        <v>487</v>
      </c>
      <c r="CY1340" s="6">
        <f>0</f>
        <v>0</v>
      </c>
      <c r="CZ1340" s="6">
        <f>162450000</f>
        <v>162450000</v>
      </c>
      <c r="DA1340" s="6">
        <f>79600500</f>
        <v>79600500</v>
      </c>
      <c r="DC1340" s="4" t="s">
        <v>241</v>
      </c>
      <c r="DD1340" s="4" t="s">
        <v>241</v>
      </c>
      <c r="DF1340" s="4" t="s">
        <v>241</v>
      </c>
      <c r="DG1340" s="6">
        <f>0</f>
        <v>0</v>
      </c>
      <c r="DI1340" s="4" t="s">
        <v>241</v>
      </c>
      <c r="DJ1340" s="4" t="s">
        <v>241</v>
      </c>
      <c r="DK1340" s="4" t="s">
        <v>241</v>
      </c>
      <c r="DL1340" s="4" t="s">
        <v>241</v>
      </c>
      <c r="DM1340" s="4" t="s">
        <v>277</v>
      </c>
      <c r="DN1340" s="4" t="s">
        <v>278</v>
      </c>
      <c r="DO1340" s="6">
        <f>902.5</f>
        <v>902.5</v>
      </c>
      <c r="DP1340" s="4" t="s">
        <v>241</v>
      </c>
      <c r="DQ1340" s="4" t="s">
        <v>241</v>
      </c>
      <c r="DR1340" s="4" t="s">
        <v>241</v>
      </c>
      <c r="DS1340" s="4" t="s">
        <v>241</v>
      </c>
      <c r="DV1340" s="4" t="s">
        <v>1140</v>
      </c>
      <c r="DW1340" s="4" t="s">
        <v>277</v>
      </c>
      <c r="GN1340" s="4" t="s">
        <v>1141</v>
      </c>
      <c r="HO1340" s="4" t="s">
        <v>300</v>
      </c>
      <c r="HR1340" s="4" t="s">
        <v>278</v>
      </c>
      <c r="HS1340" s="4" t="s">
        <v>278</v>
      </c>
      <c r="HT1340" s="4" t="s">
        <v>241</v>
      </c>
      <c r="HU1340" s="4" t="s">
        <v>241</v>
      </c>
      <c r="HV1340" s="4" t="s">
        <v>241</v>
      </c>
      <c r="HW1340" s="4" t="s">
        <v>241</v>
      </c>
      <c r="HX1340" s="4" t="s">
        <v>241</v>
      </c>
      <c r="HY1340" s="4" t="s">
        <v>241</v>
      </c>
      <c r="HZ1340" s="4" t="s">
        <v>241</v>
      </c>
      <c r="IA1340" s="4" t="s">
        <v>241</v>
      </c>
      <c r="IB1340" s="4" t="s">
        <v>241</v>
      </c>
      <c r="IC1340" s="4" t="s">
        <v>241</v>
      </c>
      <c r="ID1340" s="4" t="s">
        <v>241</v>
      </c>
      <c r="IE1340" s="4" t="s">
        <v>241</v>
      </c>
      <c r="IF1340" s="4" t="s">
        <v>241</v>
      </c>
    </row>
    <row r="1341" spans="1:240" x14ac:dyDescent="0.4">
      <c r="A1341" s="4">
        <v>2</v>
      </c>
      <c r="B1341" s="4" t="s">
        <v>239</v>
      </c>
      <c r="C1341" s="4">
        <v>1654</v>
      </c>
      <c r="D1341" s="4">
        <v>1</v>
      </c>
      <c r="E1341" s="4">
        <v>3</v>
      </c>
      <c r="F1341" s="4" t="s">
        <v>240</v>
      </c>
      <c r="G1341" s="4" t="s">
        <v>241</v>
      </c>
      <c r="H1341" s="4" t="s">
        <v>241</v>
      </c>
      <c r="I1341" s="4" t="s">
        <v>1240</v>
      </c>
      <c r="J1341" s="4" t="s">
        <v>406</v>
      </c>
      <c r="K1341" s="4" t="s">
        <v>256</v>
      </c>
      <c r="L1341" s="4" t="s">
        <v>440</v>
      </c>
      <c r="M1341" s="5" t="s">
        <v>1242</v>
      </c>
      <c r="N1341" s="4" t="s">
        <v>1239</v>
      </c>
      <c r="O1341" s="6">
        <f>312.98</f>
        <v>312.98</v>
      </c>
      <c r="P1341" s="4" t="s">
        <v>276</v>
      </c>
      <c r="Q1341" s="6">
        <f>3015940</f>
        <v>3015940</v>
      </c>
      <c r="R1341" s="6">
        <f>37699200</f>
        <v>37699200</v>
      </c>
      <c r="S1341" s="5" t="s">
        <v>1241</v>
      </c>
      <c r="T1341" s="4" t="s">
        <v>314</v>
      </c>
      <c r="U1341" s="4" t="s">
        <v>379</v>
      </c>
      <c r="V1341" s="6">
        <f>1734163</f>
        <v>1734163</v>
      </c>
      <c r="W1341" s="6">
        <f>34683260</f>
        <v>34683260</v>
      </c>
      <c r="X1341" s="4" t="s">
        <v>243</v>
      </c>
      <c r="Y1341" s="4" t="s">
        <v>244</v>
      </c>
      <c r="Z1341" s="4" t="s">
        <v>282</v>
      </c>
      <c r="AA1341" s="4" t="s">
        <v>241</v>
      </c>
      <c r="AD1341" s="4" t="s">
        <v>241</v>
      </c>
      <c r="AE1341" s="5" t="s">
        <v>241</v>
      </c>
      <c r="AF1341" s="5" t="s">
        <v>241</v>
      </c>
      <c r="AH1341" s="5" t="s">
        <v>241</v>
      </c>
      <c r="AI1341" s="5" t="s">
        <v>249</v>
      </c>
      <c r="AJ1341" s="4" t="s">
        <v>251</v>
      </c>
      <c r="AK1341" s="4" t="s">
        <v>252</v>
      </c>
      <c r="AQ1341" s="4" t="s">
        <v>241</v>
      </c>
      <c r="AR1341" s="4" t="s">
        <v>241</v>
      </c>
      <c r="AS1341" s="4" t="s">
        <v>241</v>
      </c>
      <c r="AT1341" s="5" t="s">
        <v>241</v>
      </c>
      <c r="AU1341" s="5" t="s">
        <v>241</v>
      </c>
      <c r="AV1341" s="5" t="s">
        <v>241</v>
      </c>
      <c r="AY1341" s="4" t="s">
        <v>286</v>
      </c>
      <c r="AZ1341" s="4" t="s">
        <v>286</v>
      </c>
      <c r="BA1341" s="4" t="s">
        <v>254</v>
      </c>
      <c r="BB1341" s="4" t="s">
        <v>287</v>
      </c>
      <c r="BC1341" s="4" t="s">
        <v>255</v>
      </c>
      <c r="BD1341" s="4" t="s">
        <v>241</v>
      </c>
      <c r="BE1341" s="4" t="s">
        <v>257</v>
      </c>
      <c r="BF1341" s="4" t="s">
        <v>241</v>
      </c>
      <c r="BJ1341" s="4" t="s">
        <v>288</v>
      </c>
      <c r="BK1341" s="5" t="s">
        <v>289</v>
      </c>
      <c r="BL1341" s="4" t="s">
        <v>290</v>
      </c>
      <c r="BM1341" s="4" t="s">
        <v>290</v>
      </c>
      <c r="BN1341" s="4" t="s">
        <v>241</v>
      </c>
      <c r="BO1341" s="6">
        <f>0</f>
        <v>0</v>
      </c>
      <c r="BP1341" s="6">
        <f>-1734163</f>
        <v>-1734163</v>
      </c>
      <c r="BQ1341" s="4" t="s">
        <v>263</v>
      </c>
      <c r="BR1341" s="4" t="s">
        <v>264</v>
      </c>
      <c r="BS1341" s="4" t="s">
        <v>241</v>
      </c>
      <c r="BT1341" s="4" t="s">
        <v>241</v>
      </c>
      <c r="BU1341" s="4" t="s">
        <v>241</v>
      </c>
      <c r="BV1341" s="4" t="s">
        <v>241</v>
      </c>
      <c r="CE1341" s="4" t="s">
        <v>264</v>
      </c>
      <c r="CF1341" s="4" t="s">
        <v>241</v>
      </c>
      <c r="CG1341" s="4" t="s">
        <v>241</v>
      </c>
      <c r="CK1341" s="4" t="s">
        <v>291</v>
      </c>
      <c r="CL1341" s="4" t="s">
        <v>266</v>
      </c>
      <c r="CM1341" s="4" t="s">
        <v>241</v>
      </c>
      <c r="CO1341" s="4" t="s">
        <v>1127</v>
      </c>
      <c r="CP1341" s="5" t="s">
        <v>268</v>
      </c>
      <c r="CQ1341" s="4" t="s">
        <v>269</v>
      </c>
      <c r="CR1341" s="4" t="s">
        <v>270</v>
      </c>
      <c r="CS1341" s="4" t="s">
        <v>293</v>
      </c>
      <c r="CT1341" s="4" t="s">
        <v>241</v>
      </c>
      <c r="CU1341" s="4">
        <v>4.5999999999999999E-2</v>
      </c>
      <c r="CV1341" s="4" t="s">
        <v>271</v>
      </c>
      <c r="CW1341" s="4" t="s">
        <v>1176</v>
      </c>
      <c r="CX1341" s="4" t="s">
        <v>347</v>
      </c>
      <c r="CY1341" s="6">
        <f>0</f>
        <v>0</v>
      </c>
      <c r="CZ1341" s="6">
        <f>37699200</f>
        <v>37699200</v>
      </c>
      <c r="DA1341" s="6">
        <f>3015940</f>
        <v>3015940</v>
      </c>
      <c r="DC1341" s="4" t="s">
        <v>241</v>
      </c>
      <c r="DD1341" s="4" t="s">
        <v>241</v>
      </c>
      <c r="DF1341" s="4" t="s">
        <v>241</v>
      </c>
      <c r="DG1341" s="6">
        <f>0</f>
        <v>0</v>
      </c>
      <c r="DI1341" s="4" t="s">
        <v>241</v>
      </c>
      <c r="DJ1341" s="4" t="s">
        <v>241</v>
      </c>
      <c r="DK1341" s="4" t="s">
        <v>241</v>
      </c>
      <c r="DL1341" s="4" t="s">
        <v>241</v>
      </c>
      <c r="DM1341" s="4" t="s">
        <v>277</v>
      </c>
      <c r="DN1341" s="4" t="s">
        <v>278</v>
      </c>
      <c r="DO1341" s="6">
        <f>312.98</f>
        <v>312.98</v>
      </c>
      <c r="DP1341" s="4" t="s">
        <v>241</v>
      </c>
      <c r="DQ1341" s="4" t="s">
        <v>241</v>
      </c>
      <c r="DR1341" s="4" t="s">
        <v>241</v>
      </c>
      <c r="DS1341" s="4" t="s">
        <v>241</v>
      </c>
      <c r="DV1341" s="4" t="s">
        <v>1243</v>
      </c>
      <c r="DW1341" s="4" t="s">
        <v>277</v>
      </c>
      <c r="GN1341" s="4" t="s">
        <v>1244</v>
      </c>
      <c r="HO1341" s="4" t="s">
        <v>300</v>
      </c>
      <c r="HR1341" s="4" t="s">
        <v>278</v>
      </c>
      <c r="HS1341" s="4" t="s">
        <v>278</v>
      </c>
      <c r="HT1341" s="4" t="s">
        <v>241</v>
      </c>
      <c r="HU1341" s="4" t="s">
        <v>241</v>
      </c>
      <c r="HV1341" s="4" t="s">
        <v>241</v>
      </c>
      <c r="HW1341" s="4" t="s">
        <v>241</v>
      </c>
      <c r="HX1341" s="4" t="s">
        <v>241</v>
      </c>
      <c r="HY1341" s="4" t="s">
        <v>241</v>
      </c>
      <c r="HZ1341" s="4" t="s">
        <v>241</v>
      </c>
      <c r="IA1341" s="4" t="s">
        <v>241</v>
      </c>
      <c r="IB1341" s="4" t="s">
        <v>241</v>
      </c>
      <c r="IC1341" s="4" t="s">
        <v>241</v>
      </c>
      <c r="ID1341" s="4" t="s">
        <v>241</v>
      </c>
      <c r="IE1341" s="4" t="s">
        <v>241</v>
      </c>
      <c r="IF1341" s="4" t="s">
        <v>241</v>
      </c>
    </row>
    <row r="1342" spans="1:240" x14ac:dyDescent="0.4">
      <c r="A1342" s="4">
        <v>2</v>
      </c>
      <c r="B1342" s="4" t="s">
        <v>239</v>
      </c>
      <c r="C1342" s="4">
        <v>1655</v>
      </c>
      <c r="D1342" s="4">
        <v>1</v>
      </c>
      <c r="E1342" s="4">
        <v>3</v>
      </c>
      <c r="F1342" s="4" t="s">
        <v>326</v>
      </c>
      <c r="G1342" s="4" t="s">
        <v>241</v>
      </c>
      <c r="H1342" s="4" t="s">
        <v>241</v>
      </c>
      <c r="I1342" s="4" t="s">
        <v>1240</v>
      </c>
      <c r="J1342" s="4" t="s">
        <v>406</v>
      </c>
      <c r="K1342" s="4" t="s">
        <v>256</v>
      </c>
      <c r="L1342" s="4" t="s">
        <v>2571</v>
      </c>
      <c r="M1342" s="5" t="s">
        <v>1242</v>
      </c>
      <c r="N1342" s="4" t="s">
        <v>2570</v>
      </c>
      <c r="O1342" s="6">
        <f>0</f>
        <v>0</v>
      </c>
      <c r="P1342" s="4" t="s">
        <v>276</v>
      </c>
      <c r="Q1342" s="6">
        <f>295208</f>
        <v>295208</v>
      </c>
      <c r="R1342" s="6">
        <f>426600</f>
        <v>426600</v>
      </c>
      <c r="S1342" s="5" t="s">
        <v>723</v>
      </c>
      <c r="T1342" s="4" t="s">
        <v>322</v>
      </c>
      <c r="U1342" s="4" t="s">
        <v>297</v>
      </c>
      <c r="V1342" s="6">
        <f>32848</f>
        <v>32848</v>
      </c>
      <c r="W1342" s="6">
        <f>131392</f>
        <v>131392</v>
      </c>
      <c r="X1342" s="4" t="s">
        <v>243</v>
      </c>
      <c r="Y1342" s="4" t="s">
        <v>244</v>
      </c>
      <c r="Z1342" s="4" t="s">
        <v>282</v>
      </c>
      <c r="AA1342" s="4" t="s">
        <v>241</v>
      </c>
      <c r="AD1342" s="4" t="s">
        <v>241</v>
      </c>
      <c r="AE1342" s="5" t="s">
        <v>241</v>
      </c>
      <c r="AF1342" s="5" t="s">
        <v>241</v>
      </c>
      <c r="AH1342" s="5" t="s">
        <v>241</v>
      </c>
      <c r="AI1342" s="5" t="s">
        <v>249</v>
      </c>
      <c r="AJ1342" s="4" t="s">
        <v>251</v>
      </c>
      <c r="AK1342" s="4" t="s">
        <v>252</v>
      </c>
      <c r="AQ1342" s="4" t="s">
        <v>241</v>
      </c>
      <c r="AR1342" s="4" t="s">
        <v>241</v>
      </c>
      <c r="AS1342" s="4" t="s">
        <v>241</v>
      </c>
      <c r="AT1342" s="5" t="s">
        <v>241</v>
      </c>
      <c r="AU1342" s="5" t="s">
        <v>241</v>
      </c>
      <c r="AV1342" s="5" t="s">
        <v>241</v>
      </c>
      <c r="AY1342" s="4" t="s">
        <v>286</v>
      </c>
      <c r="AZ1342" s="4" t="s">
        <v>286</v>
      </c>
      <c r="BA1342" s="4" t="s">
        <v>254</v>
      </c>
      <c r="BB1342" s="4" t="s">
        <v>287</v>
      </c>
      <c r="BC1342" s="4" t="s">
        <v>255</v>
      </c>
      <c r="BD1342" s="4" t="s">
        <v>241</v>
      </c>
      <c r="BE1342" s="4" t="s">
        <v>257</v>
      </c>
      <c r="BF1342" s="4" t="s">
        <v>241</v>
      </c>
      <c r="BJ1342" s="4" t="s">
        <v>288</v>
      </c>
      <c r="BK1342" s="5" t="s">
        <v>289</v>
      </c>
      <c r="BL1342" s="4" t="s">
        <v>290</v>
      </c>
      <c r="BM1342" s="4" t="s">
        <v>290</v>
      </c>
      <c r="BN1342" s="4" t="s">
        <v>241</v>
      </c>
      <c r="BP1342" s="6">
        <f>-32848</f>
        <v>-32848</v>
      </c>
      <c r="BQ1342" s="4" t="s">
        <v>263</v>
      </c>
      <c r="BR1342" s="4" t="s">
        <v>264</v>
      </c>
      <c r="BS1342" s="4" t="s">
        <v>241</v>
      </c>
      <c r="BT1342" s="4" t="s">
        <v>241</v>
      </c>
      <c r="BU1342" s="4" t="s">
        <v>241</v>
      </c>
      <c r="BV1342" s="4" t="s">
        <v>241</v>
      </c>
      <c r="CE1342" s="4" t="s">
        <v>264</v>
      </c>
      <c r="CF1342" s="4" t="s">
        <v>241</v>
      </c>
      <c r="CG1342" s="4" t="s">
        <v>241</v>
      </c>
      <c r="CK1342" s="4" t="s">
        <v>291</v>
      </c>
      <c r="CL1342" s="4" t="s">
        <v>266</v>
      </c>
      <c r="CM1342" s="4" t="s">
        <v>241</v>
      </c>
      <c r="CO1342" s="4" t="s">
        <v>413</v>
      </c>
      <c r="CP1342" s="5" t="s">
        <v>268</v>
      </c>
      <c r="CQ1342" s="4" t="s">
        <v>269</v>
      </c>
      <c r="CR1342" s="4" t="s">
        <v>270</v>
      </c>
      <c r="CS1342" s="4" t="s">
        <v>293</v>
      </c>
      <c r="CT1342" s="4" t="s">
        <v>241</v>
      </c>
      <c r="CU1342" s="4">
        <v>7.6999999999999999E-2</v>
      </c>
      <c r="CV1342" s="4" t="s">
        <v>271</v>
      </c>
      <c r="CW1342" s="4" t="s">
        <v>415</v>
      </c>
      <c r="CX1342" s="4" t="s">
        <v>428</v>
      </c>
      <c r="CY1342" s="6">
        <f>0</f>
        <v>0</v>
      </c>
      <c r="CZ1342" s="6">
        <f>426600</f>
        <v>426600</v>
      </c>
      <c r="DA1342" s="6">
        <f>295208</f>
        <v>295208</v>
      </c>
      <c r="DC1342" s="4" t="s">
        <v>241</v>
      </c>
      <c r="DD1342" s="4" t="s">
        <v>241</v>
      </c>
      <c r="DF1342" s="4" t="s">
        <v>241</v>
      </c>
      <c r="DG1342" s="6">
        <f>0</f>
        <v>0</v>
      </c>
      <c r="DI1342" s="4" t="s">
        <v>241</v>
      </c>
      <c r="DJ1342" s="4" t="s">
        <v>241</v>
      </c>
      <c r="DK1342" s="4" t="s">
        <v>241</v>
      </c>
      <c r="DL1342" s="4" t="s">
        <v>241</v>
      </c>
      <c r="DM1342" s="4" t="s">
        <v>278</v>
      </c>
      <c r="DN1342" s="4" t="s">
        <v>278</v>
      </c>
      <c r="DO1342" s="6" t="s">
        <v>241</v>
      </c>
      <c r="DP1342" s="4" t="s">
        <v>241</v>
      </c>
      <c r="DQ1342" s="4" t="s">
        <v>241</v>
      </c>
      <c r="DR1342" s="4" t="s">
        <v>241</v>
      </c>
      <c r="DS1342" s="4" t="s">
        <v>241</v>
      </c>
      <c r="DV1342" s="4" t="s">
        <v>1243</v>
      </c>
      <c r="DW1342" s="4" t="s">
        <v>323</v>
      </c>
      <c r="GN1342" s="4" t="s">
        <v>2572</v>
      </c>
      <c r="HO1342" s="4" t="s">
        <v>351</v>
      </c>
      <c r="HR1342" s="4" t="s">
        <v>278</v>
      </c>
      <c r="HS1342" s="4" t="s">
        <v>278</v>
      </c>
      <c r="HT1342" s="4" t="s">
        <v>241</v>
      </c>
      <c r="HU1342" s="4" t="s">
        <v>241</v>
      </c>
      <c r="HV1342" s="4" t="s">
        <v>241</v>
      </c>
      <c r="HW1342" s="4" t="s">
        <v>241</v>
      </c>
      <c r="HX1342" s="4" t="s">
        <v>241</v>
      </c>
      <c r="HY1342" s="4" t="s">
        <v>241</v>
      </c>
      <c r="HZ1342" s="4" t="s">
        <v>241</v>
      </c>
      <c r="IA1342" s="4" t="s">
        <v>241</v>
      </c>
      <c r="IB1342" s="4" t="s">
        <v>241</v>
      </c>
      <c r="IC1342" s="4" t="s">
        <v>241</v>
      </c>
      <c r="ID1342" s="4" t="s">
        <v>241</v>
      </c>
      <c r="IE1342" s="4" t="s">
        <v>241</v>
      </c>
      <c r="IF1342" s="4" t="s">
        <v>241</v>
      </c>
    </row>
    <row r="1343" spans="1:240" x14ac:dyDescent="0.4">
      <c r="A1343" s="4">
        <v>2</v>
      </c>
      <c r="B1343" s="4" t="s">
        <v>239</v>
      </c>
      <c r="C1343" s="4">
        <v>1656</v>
      </c>
      <c r="D1343" s="4">
        <v>1</v>
      </c>
      <c r="E1343" s="4">
        <v>3</v>
      </c>
      <c r="F1343" s="4" t="s">
        <v>326</v>
      </c>
      <c r="G1343" s="4" t="s">
        <v>241</v>
      </c>
      <c r="H1343" s="4" t="s">
        <v>241</v>
      </c>
      <c r="I1343" s="4" t="s">
        <v>1240</v>
      </c>
      <c r="J1343" s="4" t="s">
        <v>406</v>
      </c>
      <c r="K1343" s="4" t="s">
        <v>256</v>
      </c>
      <c r="L1343" s="4" t="s">
        <v>241</v>
      </c>
      <c r="M1343" s="5" t="s">
        <v>1242</v>
      </c>
      <c r="N1343" s="4" t="s">
        <v>2567</v>
      </c>
      <c r="O1343" s="6">
        <f>0</f>
        <v>0</v>
      </c>
      <c r="P1343" s="4" t="s">
        <v>276</v>
      </c>
      <c r="Q1343" s="6">
        <f>436579</f>
        <v>436579</v>
      </c>
      <c r="R1343" s="6">
        <f>473000</f>
        <v>473000</v>
      </c>
      <c r="S1343" s="5" t="s">
        <v>2568</v>
      </c>
      <c r="T1343" s="4" t="s">
        <v>322</v>
      </c>
      <c r="U1343" s="4" t="s">
        <v>278</v>
      </c>
      <c r="V1343" s="6">
        <f>472999</f>
        <v>472999</v>
      </c>
      <c r="W1343" s="6">
        <f>36421</f>
        <v>36421</v>
      </c>
      <c r="X1343" s="4" t="s">
        <v>243</v>
      </c>
      <c r="Y1343" s="4" t="s">
        <v>244</v>
      </c>
      <c r="Z1343" s="4" t="s">
        <v>241</v>
      </c>
      <c r="AA1343" s="4" t="s">
        <v>241</v>
      </c>
      <c r="AD1343" s="4" t="s">
        <v>241</v>
      </c>
      <c r="AE1343" s="5" t="s">
        <v>241</v>
      </c>
      <c r="AF1343" s="5" t="s">
        <v>241</v>
      </c>
      <c r="AH1343" s="5" t="s">
        <v>241</v>
      </c>
      <c r="AI1343" s="5" t="s">
        <v>249</v>
      </c>
      <c r="AJ1343" s="4" t="s">
        <v>251</v>
      </c>
      <c r="AK1343" s="4" t="s">
        <v>252</v>
      </c>
      <c r="AQ1343" s="4" t="s">
        <v>241</v>
      </c>
      <c r="AR1343" s="4" t="s">
        <v>241</v>
      </c>
      <c r="AS1343" s="4" t="s">
        <v>241</v>
      </c>
      <c r="AT1343" s="5" t="s">
        <v>241</v>
      </c>
      <c r="AU1343" s="5" t="s">
        <v>241</v>
      </c>
      <c r="AV1343" s="5" t="s">
        <v>241</v>
      </c>
      <c r="AY1343" s="4" t="s">
        <v>286</v>
      </c>
      <c r="AZ1343" s="4" t="s">
        <v>286</v>
      </c>
      <c r="BA1343" s="4" t="s">
        <v>254</v>
      </c>
      <c r="BB1343" s="4" t="s">
        <v>287</v>
      </c>
      <c r="BC1343" s="4" t="s">
        <v>255</v>
      </c>
      <c r="BD1343" s="4" t="s">
        <v>241</v>
      </c>
      <c r="BE1343" s="4" t="s">
        <v>257</v>
      </c>
      <c r="BF1343" s="4" t="s">
        <v>241</v>
      </c>
      <c r="BJ1343" s="4" t="s">
        <v>288</v>
      </c>
      <c r="BK1343" s="5" t="s">
        <v>289</v>
      </c>
      <c r="BL1343" s="4" t="s">
        <v>290</v>
      </c>
      <c r="BM1343" s="4" t="s">
        <v>290</v>
      </c>
      <c r="BN1343" s="4" t="s">
        <v>241</v>
      </c>
      <c r="BP1343" s="6">
        <f>-36421</f>
        <v>-36421</v>
      </c>
      <c r="BQ1343" s="4" t="s">
        <v>263</v>
      </c>
      <c r="BR1343" s="4" t="s">
        <v>264</v>
      </c>
      <c r="BS1343" s="4" t="s">
        <v>241</v>
      </c>
      <c r="BT1343" s="4" t="s">
        <v>241</v>
      </c>
      <c r="BU1343" s="4" t="s">
        <v>241</v>
      </c>
      <c r="BV1343" s="4" t="s">
        <v>241</v>
      </c>
      <c r="CE1343" s="4" t="s">
        <v>264</v>
      </c>
      <c r="CF1343" s="4" t="s">
        <v>241</v>
      </c>
      <c r="CG1343" s="4" t="s">
        <v>241</v>
      </c>
      <c r="CK1343" s="4" t="s">
        <v>291</v>
      </c>
      <c r="CL1343" s="4" t="s">
        <v>266</v>
      </c>
      <c r="CM1343" s="4" t="s">
        <v>241</v>
      </c>
      <c r="CO1343" s="4" t="s">
        <v>426</v>
      </c>
      <c r="CP1343" s="5" t="s">
        <v>268</v>
      </c>
      <c r="CQ1343" s="4" t="s">
        <v>269</v>
      </c>
      <c r="CR1343" s="4" t="s">
        <v>270</v>
      </c>
      <c r="CS1343" s="4" t="s">
        <v>293</v>
      </c>
      <c r="CT1343" s="4" t="s">
        <v>241</v>
      </c>
      <c r="CU1343" s="4">
        <v>7.6999999999999999E-2</v>
      </c>
      <c r="CV1343" s="4" t="s">
        <v>271</v>
      </c>
      <c r="CW1343" s="4" t="s">
        <v>415</v>
      </c>
      <c r="CX1343" s="4" t="s">
        <v>428</v>
      </c>
      <c r="CY1343" s="6">
        <f>0</f>
        <v>0</v>
      </c>
      <c r="CZ1343" s="6">
        <f>473000</f>
        <v>473000</v>
      </c>
      <c r="DA1343" s="6">
        <f>1</f>
        <v>1</v>
      </c>
      <c r="DC1343" s="4" t="s">
        <v>241</v>
      </c>
      <c r="DD1343" s="4" t="s">
        <v>241</v>
      </c>
      <c r="DF1343" s="4" t="s">
        <v>241</v>
      </c>
      <c r="DG1343" s="6">
        <f>0</f>
        <v>0</v>
      </c>
      <c r="DI1343" s="4" t="s">
        <v>241</v>
      </c>
      <c r="DJ1343" s="4" t="s">
        <v>241</v>
      </c>
      <c r="DK1343" s="4" t="s">
        <v>241</v>
      </c>
      <c r="DL1343" s="4" t="s">
        <v>241</v>
      </c>
      <c r="DM1343" s="4" t="s">
        <v>278</v>
      </c>
      <c r="DN1343" s="4" t="s">
        <v>278</v>
      </c>
      <c r="DO1343" s="6" t="s">
        <v>241</v>
      </c>
      <c r="DP1343" s="4" t="s">
        <v>241</v>
      </c>
      <c r="DQ1343" s="4" t="s">
        <v>241</v>
      </c>
      <c r="DR1343" s="4" t="s">
        <v>241</v>
      </c>
      <c r="DS1343" s="4" t="s">
        <v>241</v>
      </c>
      <c r="DV1343" s="4" t="s">
        <v>1243</v>
      </c>
      <c r="DW1343" s="4" t="s">
        <v>297</v>
      </c>
      <c r="GN1343" s="4" t="s">
        <v>2569</v>
      </c>
      <c r="HO1343" s="4" t="s">
        <v>323</v>
      </c>
      <c r="HR1343" s="4" t="s">
        <v>278</v>
      </c>
      <c r="HS1343" s="4" t="s">
        <v>278</v>
      </c>
      <c r="HT1343" s="4" t="s">
        <v>241</v>
      </c>
      <c r="HU1343" s="4" t="s">
        <v>241</v>
      </c>
      <c r="HV1343" s="4" t="s">
        <v>241</v>
      </c>
      <c r="HW1343" s="4" t="s">
        <v>241</v>
      </c>
      <c r="HX1343" s="4" t="s">
        <v>241</v>
      </c>
      <c r="HY1343" s="4" t="s">
        <v>241</v>
      </c>
      <c r="HZ1343" s="4" t="s">
        <v>241</v>
      </c>
      <c r="IA1343" s="4" t="s">
        <v>241</v>
      </c>
      <c r="IB1343" s="4" t="s">
        <v>241</v>
      </c>
      <c r="IC1343" s="4" t="s">
        <v>241</v>
      </c>
      <c r="ID1343" s="4" t="s">
        <v>241</v>
      </c>
      <c r="IE1343" s="4" t="s">
        <v>241</v>
      </c>
      <c r="IF1343" s="4" t="s">
        <v>241</v>
      </c>
    </row>
    <row r="1344" spans="1:240" x14ac:dyDescent="0.4">
      <c r="A1344" s="4">
        <v>2</v>
      </c>
      <c r="B1344" s="4" t="s">
        <v>239</v>
      </c>
      <c r="C1344" s="4">
        <v>1657</v>
      </c>
      <c r="D1344" s="4">
        <v>1</v>
      </c>
      <c r="E1344" s="4">
        <v>1</v>
      </c>
      <c r="F1344" s="4" t="s">
        <v>240</v>
      </c>
      <c r="G1344" s="4" t="s">
        <v>241</v>
      </c>
      <c r="H1344" s="4" t="s">
        <v>241</v>
      </c>
      <c r="I1344" s="4" t="s">
        <v>635</v>
      </c>
      <c r="J1344" s="4" t="s">
        <v>406</v>
      </c>
      <c r="K1344" s="4" t="s">
        <v>256</v>
      </c>
      <c r="L1344" s="4" t="s">
        <v>532</v>
      </c>
      <c r="M1344" s="5" t="s">
        <v>636</v>
      </c>
      <c r="N1344" s="4" t="s">
        <v>532</v>
      </c>
      <c r="O1344" s="6">
        <f>154.14</f>
        <v>154.13999999999999</v>
      </c>
      <c r="P1344" s="4" t="s">
        <v>276</v>
      </c>
      <c r="Q1344" s="6">
        <f>1</f>
        <v>1</v>
      </c>
      <c r="R1344" s="6">
        <f>14643300</f>
        <v>14643300</v>
      </c>
      <c r="S1344" s="5" t="s">
        <v>248</v>
      </c>
      <c r="T1344" s="4" t="s">
        <v>274</v>
      </c>
      <c r="U1344" s="4" t="s">
        <v>275</v>
      </c>
      <c r="W1344" s="6">
        <f>14643299</f>
        <v>14643299</v>
      </c>
      <c r="X1344" s="4" t="s">
        <v>243</v>
      </c>
      <c r="Y1344" s="4" t="s">
        <v>244</v>
      </c>
      <c r="Z1344" s="4" t="s">
        <v>282</v>
      </c>
      <c r="AA1344" s="4" t="s">
        <v>241</v>
      </c>
      <c r="AD1344" s="4" t="s">
        <v>241</v>
      </c>
      <c r="AF1344" s="5" t="s">
        <v>241</v>
      </c>
      <c r="AI1344" s="5" t="s">
        <v>249</v>
      </c>
      <c r="AJ1344" s="4" t="s">
        <v>251</v>
      </c>
      <c r="AK1344" s="4" t="s">
        <v>252</v>
      </c>
      <c r="BA1344" s="4" t="s">
        <v>254</v>
      </c>
      <c r="BB1344" s="4" t="s">
        <v>241</v>
      </c>
      <c r="BC1344" s="4" t="s">
        <v>255</v>
      </c>
      <c r="BD1344" s="4" t="s">
        <v>241</v>
      </c>
      <c r="BE1344" s="4" t="s">
        <v>257</v>
      </c>
      <c r="BF1344" s="4" t="s">
        <v>241</v>
      </c>
      <c r="BJ1344" s="4" t="s">
        <v>377</v>
      </c>
      <c r="BK1344" s="5" t="s">
        <v>378</v>
      </c>
      <c r="BL1344" s="4" t="s">
        <v>261</v>
      </c>
      <c r="BM1344" s="4" t="s">
        <v>262</v>
      </c>
      <c r="BN1344" s="4" t="s">
        <v>241</v>
      </c>
      <c r="BO1344" s="6">
        <f>0</f>
        <v>0</v>
      </c>
      <c r="BP1344" s="6">
        <f>0</f>
        <v>0</v>
      </c>
      <c r="BQ1344" s="4" t="s">
        <v>263</v>
      </c>
      <c r="BR1344" s="4" t="s">
        <v>264</v>
      </c>
      <c r="CF1344" s="4" t="s">
        <v>241</v>
      </c>
      <c r="CG1344" s="4" t="s">
        <v>241</v>
      </c>
      <c r="CK1344" s="4" t="s">
        <v>265</v>
      </c>
      <c r="CL1344" s="4" t="s">
        <v>266</v>
      </c>
      <c r="CM1344" s="4" t="s">
        <v>241</v>
      </c>
      <c r="CO1344" s="4" t="s">
        <v>267</v>
      </c>
      <c r="CP1344" s="5" t="s">
        <v>268</v>
      </c>
      <c r="CQ1344" s="4" t="s">
        <v>269</v>
      </c>
      <c r="CR1344" s="4" t="s">
        <v>270</v>
      </c>
      <c r="CS1344" s="4" t="s">
        <v>241</v>
      </c>
      <c r="CT1344" s="4" t="s">
        <v>241</v>
      </c>
      <c r="CU1344" s="4">
        <v>0</v>
      </c>
      <c r="CV1344" s="4" t="s">
        <v>271</v>
      </c>
      <c r="CW1344" s="4" t="s">
        <v>495</v>
      </c>
      <c r="CX1344" s="4" t="s">
        <v>347</v>
      </c>
      <c r="CZ1344" s="6">
        <f>14643300</f>
        <v>14643300</v>
      </c>
      <c r="DA1344" s="6">
        <f>0</f>
        <v>0</v>
      </c>
      <c r="DC1344" s="4" t="s">
        <v>241</v>
      </c>
      <c r="DD1344" s="4" t="s">
        <v>241</v>
      </c>
      <c r="DF1344" s="4" t="s">
        <v>241</v>
      </c>
      <c r="DI1344" s="4" t="s">
        <v>241</v>
      </c>
      <c r="DJ1344" s="4" t="s">
        <v>241</v>
      </c>
      <c r="DK1344" s="4" t="s">
        <v>241</v>
      </c>
      <c r="DL1344" s="4" t="s">
        <v>241</v>
      </c>
      <c r="DM1344" s="4" t="s">
        <v>277</v>
      </c>
      <c r="DN1344" s="4" t="s">
        <v>278</v>
      </c>
      <c r="DO1344" s="6">
        <f>154.14</f>
        <v>154.13999999999999</v>
      </c>
      <c r="DP1344" s="4" t="s">
        <v>241</v>
      </c>
      <c r="DQ1344" s="4" t="s">
        <v>241</v>
      </c>
      <c r="DR1344" s="4" t="s">
        <v>241</v>
      </c>
      <c r="DS1344" s="4" t="s">
        <v>241</v>
      </c>
      <c r="DV1344" s="4" t="s">
        <v>637</v>
      </c>
      <c r="DW1344" s="4" t="s">
        <v>277</v>
      </c>
      <c r="HO1344" s="4" t="s">
        <v>277</v>
      </c>
      <c r="HR1344" s="4" t="s">
        <v>278</v>
      </c>
      <c r="HS1344" s="4" t="s">
        <v>278</v>
      </c>
    </row>
    <row r="1345" spans="1:240" x14ac:dyDescent="0.4">
      <c r="A1345" s="4">
        <v>2</v>
      </c>
      <c r="B1345" s="4" t="s">
        <v>239</v>
      </c>
      <c r="C1345" s="4">
        <v>1658</v>
      </c>
      <c r="D1345" s="4">
        <v>1</v>
      </c>
      <c r="E1345" s="4">
        <v>1</v>
      </c>
      <c r="F1345" s="4" t="s">
        <v>240</v>
      </c>
      <c r="G1345" s="4" t="s">
        <v>241</v>
      </c>
      <c r="H1345" s="4" t="s">
        <v>241</v>
      </c>
      <c r="I1345" s="4" t="s">
        <v>635</v>
      </c>
      <c r="J1345" s="4" t="s">
        <v>406</v>
      </c>
      <c r="K1345" s="4" t="s">
        <v>256</v>
      </c>
      <c r="L1345" s="4" t="s">
        <v>340</v>
      </c>
      <c r="M1345" s="5" t="s">
        <v>636</v>
      </c>
      <c r="N1345" s="4" t="s">
        <v>340</v>
      </c>
      <c r="O1345" s="6">
        <f>10.89</f>
        <v>10.89</v>
      </c>
      <c r="P1345" s="4" t="s">
        <v>276</v>
      </c>
      <c r="Q1345" s="6">
        <f>1</f>
        <v>1</v>
      </c>
      <c r="R1345" s="6">
        <f>1034550</f>
        <v>1034550</v>
      </c>
      <c r="S1345" s="5" t="s">
        <v>248</v>
      </c>
      <c r="T1345" s="4" t="s">
        <v>348</v>
      </c>
      <c r="U1345" s="4" t="s">
        <v>275</v>
      </c>
      <c r="W1345" s="6">
        <f>1034549</f>
        <v>1034549</v>
      </c>
      <c r="X1345" s="4" t="s">
        <v>243</v>
      </c>
      <c r="Y1345" s="4" t="s">
        <v>244</v>
      </c>
      <c r="Z1345" s="4" t="s">
        <v>282</v>
      </c>
      <c r="AA1345" s="4" t="s">
        <v>241</v>
      </c>
      <c r="AD1345" s="4" t="s">
        <v>241</v>
      </c>
      <c r="AF1345" s="5" t="s">
        <v>241</v>
      </c>
      <c r="AI1345" s="5" t="s">
        <v>249</v>
      </c>
      <c r="AJ1345" s="4" t="s">
        <v>251</v>
      </c>
      <c r="AK1345" s="4" t="s">
        <v>252</v>
      </c>
      <c r="BA1345" s="4" t="s">
        <v>254</v>
      </c>
      <c r="BB1345" s="4" t="s">
        <v>241</v>
      </c>
      <c r="BC1345" s="4" t="s">
        <v>255</v>
      </c>
      <c r="BD1345" s="4" t="s">
        <v>241</v>
      </c>
      <c r="BE1345" s="4" t="s">
        <v>257</v>
      </c>
      <c r="BF1345" s="4" t="s">
        <v>241</v>
      </c>
      <c r="BJ1345" s="4" t="s">
        <v>259</v>
      </c>
      <c r="BK1345" s="5" t="s">
        <v>260</v>
      </c>
      <c r="BL1345" s="4" t="s">
        <v>261</v>
      </c>
      <c r="BM1345" s="4" t="s">
        <v>262</v>
      </c>
      <c r="BN1345" s="4" t="s">
        <v>241</v>
      </c>
      <c r="BO1345" s="6">
        <f>0</f>
        <v>0</v>
      </c>
      <c r="BP1345" s="6">
        <f>0</f>
        <v>0</v>
      </c>
      <c r="BQ1345" s="4" t="s">
        <v>263</v>
      </c>
      <c r="BR1345" s="4" t="s">
        <v>264</v>
      </c>
      <c r="CF1345" s="4" t="s">
        <v>241</v>
      </c>
      <c r="CG1345" s="4" t="s">
        <v>241</v>
      </c>
      <c r="CK1345" s="4" t="s">
        <v>265</v>
      </c>
      <c r="CL1345" s="4" t="s">
        <v>266</v>
      </c>
      <c r="CM1345" s="4" t="s">
        <v>241</v>
      </c>
      <c r="CO1345" s="4" t="s">
        <v>267</v>
      </c>
      <c r="CP1345" s="5" t="s">
        <v>268</v>
      </c>
      <c r="CQ1345" s="4" t="s">
        <v>269</v>
      </c>
      <c r="CR1345" s="4" t="s">
        <v>270</v>
      </c>
      <c r="CS1345" s="4" t="s">
        <v>241</v>
      </c>
      <c r="CT1345" s="4" t="s">
        <v>241</v>
      </c>
      <c r="CU1345" s="4">
        <v>0</v>
      </c>
      <c r="CV1345" s="4" t="s">
        <v>271</v>
      </c>
      <c r="CW1345" s="4" t="s">
        <v>332</v>
      </c>
      <c r="CX1345" s="4" t="s">
        <v>347</v>
      </c>
      <c r="CZ1345" s="6">
        <f>1034550</f>
        <v>1034550</v>
      </c>
      <c r="DA1345" s="6">
        <f>0</f>
        <v>0</v>
      </c>
      <c r="DC1345" s="4" t="s">
        <v>241</v>
      </c>
      <c r="DD1345" s="4" t="s">
        <v>241</v>
      </c>
      <c r="DF1345" s="4" t="s">
        <v>241</v>
      </c>
      <c r="DI1345" s="4" t="s">
        <v>241</v>
      </c>
      <c r="DJ1345" s="4" t="s">
        <v>241</v>
      </c>
      <c r="DK1345" s="4" t="s">
        <v>241</v>
      </c>
      <c r="DL1345" s="4" t="s">
        <v>241</v>
      </c>
      <c r="DM1345" s="4" t="s">
        <v>277</v>
      </c>
      <c r="DN1345" s="4" t="s">
        <v>278</v>
      </c>
      <c r="DO1345" s="6">
        <f>10.89</f>
        <v>10.89</v>
      </c>
      <c r="DP1345" s="4" t="s">
        <v>241</v>
      </c>
      <c r="DQ1345" s="4" t="s">
        <v>241</v>
      </c>
      <c r="DR1345" s="4" t="s">
        <v>241</v>
      </c>
      <c r="DS1345" s="4" t="s">
        <v>241</v>
      </c>
      <c r="DV1345" s="4" t="s">
        <v>637</v>
      </c>
      <c r="DW1345" s="4" t="s">
        <v>323</v>
      </c>
      <c r="HO1345" s="4" t="s">
        <v>277</v>
      </c>
      <c r="HR1345" s="4" t="s">
        <v>278</v>
      </c>
      <c r="HS1345" s="4" t="s">
        <v>278</v>
      </c>
    </row>
    <row r="1346" spans="1:240" x14ac:dyDescent="0.4">
      <c r="A1346" s="4">
        <v>2</v>
      </c>
      <c r="B1346" s="4" t="s">
        <v>239</v>
      </c>
      <c r="C1346" s="4">
        <v>1659</v>
      </c>
      <c r="D1346" s="4">
        <v>1</v>
      </c>
      <c r="E1346" s="4">
        <v>1</v>
      </c>
      <c r="F1346" s="4" t="s">
        <v>240</v>
      </c>
      <c r="G1346" s="4" t="s">
        <v>241</v>
      </c>
      <c r="H1346" s="4" t="s">
        <v>241</v>
      </c>
      <c r="I1346" s="4" t="s">
        <v>635</v>
      </c>
      <c r="J1346" s="4" t="s">
        <v>406</v>
      </c>
      <c r="K1346" s="4" t="s">
        <v>256</v>
      </c>
      <c r="L1346" s="4" t="s">
        <v>429</v>
      </c>
      <c r="M1346" s="5" t="s">
        <v>636</v>
      </c>
      <c r="N1346" s="4" t="s">
        <v>429</v>
      </c>
      <c r="O1346" s="6">
        <f>6.62</f>
        <v>6.62</v>
      </c>
      <c r="P1346" s="4" t="s">
        <v>276</v>
      </c>
      <c r="Q1346" s="6">
        <f>1</f>
        <v>1</v>
      </c>
      <c r="R1346" s="6">
        <f>397200</f>
        <v>397200</v>
      </c>
      <c r="S1346" s="5" t="s">
        <v>248</v>
      </c>
      <c r="T1346" s="4" t="s">
        <v>348</v>
      </c>
      <c r="U1346" s="4" t="s">
        <v>275</v>
      </c>
      <c r="W1346" s="6">
        <f>397199</f>
        <v>397199</v>
      </c>
      <c r="X1346" s="4" t="s">
        <v>243</v>
      </c>
      <c r="Y1346" s="4" t="s">
        <v>244</v>
      </c>
      <c r="Z1346" s="4" t="s">
        <v>282</v>
      </c>
      <c r="AA1346" s="4" t="s">
        <v>241</v>
      </c>
      <c r="AD1346" s="4" t="s">
        <v>241</v>
      </c>
      <c r="AF1346" s="5" t="s">
        <v>241</v>
      </c>
      <c r="AI1346" s="5" t="s">
        <v>249</v>
      </c>
      <c r="AJ1346" s="4" t="s">
        <v>251</v>
      </c>
      <c r="AK1346" s="4" t="s">
        <v>252</v>
      </c>
      <c r="BA1346" s="4" t="s">
        <v>254</v>
      </c>
      <c r="BB1346" s="4" t="s">
        <v>241</v>
      </c>
      <c r="BC1346" s="4" t="s">
        <v>255</v>
      </c>
      <c r="BD1346" s="4" t="s">
        <v>241</v>
      </c>
      <c r="BE1346" s="4" t="s">
        <v>257</v>
      </c>
      <c r="BF1346" s="4" t="s">
        <v>241</v>
      </c>
      <c r="BJ1346" s="4" t="s">
        <v>367</v>
      </c>
      <c r="BK1346" s="5" t="s">
        <v>249</v>
      </c>
      <c r="BL1346" s="4" t="s">
        <v>261</v>
      </c>
      <c r="BM1346" s="4" t="s">
        <v>262</v>
      </c>
      <c r="BN1346" s="4" t="s">
        <v>241</v>
      </c>
      <c r="BO1346" s="6">
        <f>0</f>
        <v>0</v>
      </c>
      <c r="BP1346" s="6">
        <f>0</f>
        <v>0</v>
      </c>
      <c r="BQ1346" s="4" t="s">
        <v>263</v>
      </c>
      <c r="BR1346" s="4" t="s">
        <v>264</v>
      </c>
      <c r="CF1346" s="4" t="s">
        <v>241</v>
      </c>
      <c r="CG1346" s="4" t="s">
        <v>241</v>
      </c>
      <c r="CK1346" s="4" t="s">
        <v>265</v>
      </c>
      <c r="CL1346" s="4" t="s">
        <v>266</v>
      </c>
      <c r="CM1346" s="4" t="s">
        <v>241</v>
      </c>
      <c r="CO1346" s="4" t="s">
        <v>267</v>
      </c>
      <c r="CP1346" s="5" t="s">
        <v>268</v>
      </c>
      <c r="CQ1346" s="4" t="s">
        <v>269</v>
      </c>
      <c r="CR1346" s="4" t="s">
        <v>270</v>
      </c>
      <c r="CS1346" s="4" t="s">
        <v>241</v>
      </c>
      <c r="CT1346" s="4" t="s">
        <v>241</v>
      </c>
      <c r="CU1346" s="4">
        <v>0</v>
      </c>
      <c r="CV1346" s="4" t="s">
        <v>271</v>
      </c>
      <c r="CW1346" s="4" t="s">
        <v>272</v>
      </c>
      <c r="CX1346" s="4" t="s">
        <v>347</v>
      </c>
      <c r="CZ1346" s="6">
        <f>397200</f>
        <v>397200</v>
      </c>
      <c r="DA1346" s="6">
        <f>0</f>
        <v>0</v>
      </c>
      <c r="DC1346" s="4" t="s">
        <v>241</v>
      </c>
      <c r="DD1346" s="4" t="s">
        <v>241</v>
      </c>
      <c r="DF1346" s="4" t="s">
        <v>241</v>
      </c>
      <c r="DI1346" s="4" t="s">
        <v>241</v>
      </c>
      <c r="DJ1346" s="4" t="s">
        <v>241</v>
      </c>
      <c r="DK1346" s="4" t="s">
        <v>241</v>
      </c>
      <c r="DL1346" s="4" t="s">
        <v>241</v>
      </c>
      <c r="DM1346" s="4" t="s">
        <v>277</v>
      </c>
      <c r="DN1346" s="4" t="s">
        <v>278</v>
      </c>
      <c r="DO1346" s="6">
        <f>6.62</f>
        <v>6.62</v>
      </c>
      <c r="DP1346" s="4" t="s">
        <v>241</v>
      </c>
      <c r="DQ1346" s="4" t="s">
        <v>241</v>
      </c>
      <c r="DR1346" s="4" t="s">
        <v>241</v>
      </c>
      <c r="DS1346" s="4" t="s">
        <v>241</v>
      </c>
      <c r="DV1346" s="4" t="s">
        <v>637</v>
      </c>
      <c r="DW1346" s="4" t="s">
        <v>297</v>
      </c>
      <c r="HO1346" s="4" t="s">
        <v>277</v>
      </c>
      <c r="HR1346" s="4" t="s">
        <v>278</v>
      </c>
      <c r="HS1346" s="4" t="s">
        <v>278</v>
      </c>
    </row>
    <row r="1347" spans="1:240" x14ac:dyDescent="0.4">
      <c r="A1347" s="4">
        <v>2</v>
      </c>
      <c r="B1347" s="4" t="s">
        <v>239</v>
      </c>
      <c r="C1347" s="4">
        <v>1660</v>
      </c>
      <c r="D1347" s="4">
        <v>1</v>
      </c>
      <c r="E1347" s="4">
        <v>1</v>
      </c>
      <c r="F1347" s="4" t="s">
        <v>240</v>
      </c>
      <c r="G1347" s="4" t="s">
        <v>241</v>
      </c>
      <c r="H1347" s="4" t="s">
        <v>241</v>
      </c>
      <c r="I1347" s="4" t="s">
        <v>635</v>
      </c>
      <c r="J1347" s="4" t="s">
        <v>406</v>
      </c>
      <c r="K1347" s="4" t="s">
        <v>256</v>
      </c>
      <c r="L1347" s="4" t="s">
        <v>429</v>
      </c>
      <c r="M1347" s="5" t="s">
        <v>636</v>
      </c>
      <c r="N1347" s="4" t="s">
        <v>429</v>
      </c>
      <c r="O1347" s="6">
        <f>19.87</f>
        <v>19.87</v>
      </c>
      <c r="P1347" s="4" t="s">
        <v>276</v>
      </c>
      <c r="Q1347" s="6">
        <f>1</f>
        <v>1</v>
      </c>
      <c r="R1347" s="6">
        <f>1192200</f>
        <v>1192200</v>
      </c>
      <c r="S1347" s="5" t="s">
        <v>248</v>
      </c>
      <c r="T1347" s="4" t="s">
        <v>348</v>
      </c>
      <c r="U1347" s="4" t="s">
        <v>275</v>
      </c>
      <c r="W1347" s="6">
        <f>1192199</f>
        <v>1192199</v>
      </c>
      <c r="X1347" s="4" t="s">
        <v>243</v>
      </c>
      <c r="Y1347" s="4" t="s">
        <v>244</v>
      </c>
      <c r="Z1347" s="4" t="s">
        <v>282</v>
      </c>
      <c r="AA1347" s="4" t="s">
        <v>241</v>
      </c>
      <c r="AD1347" s="4" t="s">
        <v>241</v>
      </c>
      <c r="AF1347" s="5" t="s">
        <v>241</v>
      </c>
      <c r="AI1347" s="5" t="s">
        <v>249</v>
      </c>
      <c r="AJ1347" s="4" t="s">
        <v>251</v>
      </c>
      <c r="AK1347" s="4" t="s">
        <v>252</v>
      </c>
      <c r="BA1347" s="4" t="s">
        <v>254</v>
      </c>
      <c r="BB1347" s="4" t="s">
        <v>241</v>
      </c>
      <c r="BC1347" s="4" t="s">
        <v>255</v>
      </c>
      <c r="BD1347" s="4" t="s">
        <v>241</v>
      </c>
      <c r="BE1347" s="4" t="s">
        <v>257</v>
      </c>
      <c r="BF1347" s="4" t="s">
        <v>241</v>
      </c>
      <c r="BJ1347" s="4" t="s">
        <v>374</v>
      </c>
      <c r="BK1347" s="5" t="s">
        <v>375</v>
      </c>
      <c r="BL1347" s="4" t="s">
        <v>261</v>
      </c>
      <c r="BM1347" s="4" t="s">
        <v>262</v>
      </c>
      <c r="BN1347" s="4" t="s">
        <v>241</v>
      </c>
      <c r="BO1347" s="6">
        <f>0</f>
        <v>0</v>
      </c>
      <c r="BP1347" s="6">
        <f>0</f>
        <v>0</v>
      </c>
      <c r="BQ1347" s="4" t="s">
        <v>263</v>
      </c>
      <c r="BR1347" s="4" t="s">
        <v>264</v>
      </c>
      <c r="CF1347" s="4" t="s">
        <v>241</v>
      </c>
      <c r="CG1347" s="4" t="s">
        <v>241</v>
      </c>
      <c r="CK1347" s="4" t="s">
        <v>265</v>
      </c>
      <c r="CL1347" s="4" t="s">
        <v>266</v>
      </c>
      <c r="CM1347" s="4" t="s">
        <v>241</v>
      </c>
      <c r="CO1347" s="4" t="s">
        <v>267</v>
      </c>
      <c r="CP1347" s="5" t="s">
        <v>268</v>
      </c>
      <c r="CQ1347" s="4" t="s">
        <v>269</v>
      </c>
      <c r="CR1347" s="4" t="s">
        <v>270</v>
      </c>
      <c r="CS1347" s="4" t="s">
        <v>241</v>
      </c>
      <c r="CT1347" s="4" t="s">
        <v>241</v>
      </c>
      <c r="CU1347" s="4">
        <v>0</v>
      </c>
      <c r="CV1347" s="4" t="s">
        <v>271</v>
      </c>
      <c r="CW1347" s="4" t="s">
        <v>272</v>
      </c>
      <c r="CX1347" s="4" t="s">
        <v>347</v>
      </c>
      <c r="CZ1347" s="6">
        <f>1192200</f>
        <v>1192200</v>
      </c>
      <c r="DA1347" s="6">
        <f>0</f>
        <v>0</v>
      </c>
      <c r="DC1347" s="4" t="s">
        <v>241</v>
      </c>
      <c r="DD1347" s="4" t="s">
        <v>241</v>
      </c>
      <c r="DF1347" s="4" t="s">
        <v>241</v>
      </c>
      <c r="DI1347" s="4" t="s">
        <v>241</v>
      </c>
      <c r="DJ1347" s="4" t="s">
        <v>241</v>
      </c>
      <c r="DK1347" s="4" t="s">
        <v>241</v>
      </c>
      <c r="DL1347" s="4" t="s">
        <v>241</v>
      </c>
      <c r="DM1347" s="4" t="s">
        <v>277</v>
      </c>
      <c r="DN1347" s="4" t="s">
        <v>278</v>
      </c>
      <c r="DO1347" s="6">
        <f>19.87</f>
        <v>19.87</v>
      </c>
      <c r="DP1347" s="4" t="s">
        <v>241</v>
      </c>
      <c r="DQ1347" s="4" t="s">
        <v>241</v>
      </c>
      <c r="DR1347" s="4" t="s">
        <v>241</v>
      </c>
      <c r="DS1347" s="4" t="s">
        <v>241</v>
      </c>
      <c r="DV1347" s="4" t="s">
        <v>637</v>
      </c>
      <c r="DW1347" s="4" t="s">
        <v>336</v>
      </c>
      <c r="HO1347" s="4" t="s">
        <v>277</v>
      </c>
      <c r="HR1347" s="4" t="s">
        <v>278</v>
      </c>
      <c r="HS1347" s="4" t="s">
        <v>278</v>
      </c>
    </row>
    <row r="1348" spans="1:240" x14ac:dyDescent="0.4">
      <c r="A1348" s="4">
        <v>2</v>
      </c>
      <c r="B1348" s="4" t="s">
        <v>239</v>
      </c>
      <c r="C1348" s="4">
        <v>1661</v>
      </c>
      <c r="D1348" s="4">
        <v>1</v>
      </c>
      <c r="E1348" s="4">
        <v>1</v>
      </c>
      <c r="F1348" s="4" t="s">
        <v>240</v>
      </c>
      <c r="G1348" s="4" t="s">
        <v>241</v>
      </c>
      <c r="H1348" s="4" t="s">
        <v>241</v>
      </c>
      <c r="I1348" s="4" t="s">
        <v>1786</v>
      </c>
      <c r="J1348" s="4" t="s">
        <v>328</v>
      </c>
      <c r="K1348" s="4" t="s">
        <v>256</v>
      </c>
      <c r="L1348" s="4" t="s">
        <v>340</v>
      </c>
      <c r="M1348" s="5" t="s">
        <v>1787</v>
      </c>
      <c r="N1348" s="4" t="s">
        <v>340</v>
      </c>
      <c r="O1348" s="6">
        <f>13.6</f>
        <v>13.6</v>
      </c>
      <c r="P1348" s="4" t="s">
        <v>276</v>
      </c>
      <c r="Q1348" s="6">
        <f>1</f>
        <v>1</v>
      </c>
      <c r="R1348" s="6">
        <f>1292000</f>
        <v>1292000</v>
      </c>
      <c r="S1348" s="5" t="s">
        <v>248</v>
      </c>
      <c r="T1348" s="4" t="s">
        <v>348</v>
      </c>
      <c r="U1348" s="4" t="s">
        <v>275</v>
      </c>
      <c r="W1348" s="6">
        <f>1291999</f>
        <v>1291999</v>
      </c>
      <c r="X1348" s="4" t="s">
        <v>243</v>
      </c>
      <c r="Y1348" s="4" t="s">
        <v>244</v>
      </c>
      <c r="Z1348" s="4" t="s">
        <v>282</v>
      </c>
      <c r="AA1348" s="4" t="s">
        <v>241</v>
      </c>
      <c r="AD1348" s="4" t="s">
        <v>241</v>
      </c>
      <c r="AF1348" s="5" t="s">
        <v>241</v>
      </c>
      <c r="AI1348" s="5" t="s">
        <v>249</v>
      </c>
      <c r="AJ1348" s="4" t="s">
        <v>251</v>
      </c>
      <c r="AK1348" s="4" t="s">
        <v>252</v>
      </c>
      <c r="BA1348" s="4" t="s">
        <v>254</v>
      </c>
      <c r="BB1348" s="4" t="s">
        <v>241</v>
      </c>
      <c r="BC1348" s="4" t="s">
        <v>255</v>
      </c>
      <c r="BD1348" s="4" t="s">
        <v>241</v>
      </c>
      <c r="BE1348" s="4" t="s">
        <v>257</v>
      </c>
      <c r="BF1348" s="4" t="s">
        <v>241</v>
      </c>
      <c r="BH1348" s="4" t="s">
        <v>500</v>
      </c>
      <c r="BJ1348" s="4" t="s">
        <v>377</v>
      </c>
      <c r="BK1348" s="5" t="s">
        <v>378</v>
      </c>
      <c r="BL1348" s="4" t="s">
        <v>261</v>
      </c>
      <c r="BM1348" s="4" t="s">
        <v>262</v>
      </c>
      <c r="BN1348" s="4" t="s">
        <v>241</v>
      </c>
      <c r="BO1348" s="6">
        <f>0</f>
        <v>0</v>
      </c>
      <c r="BP1348" s="6">
        <f>0</f>
        <v>0</v>
      </c>
      <c r="BQ1348" s="4" t="s">
        <v>263</v>
      </c>
      <c r="BR1348" s="4" t="s">
        <v>264</v>
      </c>
      <c r="CF1348" s="4" t="s">
        <v>241</v>
      </c>
      <c r="CG1348" s="4" t="s">
        <v>241</v>
      </c>
      <c r="CK1348" s="4" t="s">
        <v>265</v>
      </c>
      <c r="CL1348" s="4" t="s">
        <v>266</v>
      </c>
      <c r="CM1348" s="4" t="s">
        <v>241</v>
      </c>
      <c r="CO1348" s="4" t="s">
        <v>267</v>
      </c>
      <c r="CP1348" s="5" t="s">
        <v>268</v>
      </c>
      <c r="CQ1348" s="4" t="s">
        <v>269</v>
      </c>
      <c r="CR1348" s="4" t="s">
        <v>270</v>
      </c>
      <c r="CS1348" s="4" t="s">
        <v>241</v>
      </c>
      <c r="CT1348" s="4" t="s">
        <v>241</v>
      </c>
      <c r="CU1348" s="4">
        <v>0</v>
      </c>
      <c r="CV1348" s="4" t="s">
        <v>271</v>
      </c>
      <c r="CW1348" s="4" t="s">
        <v>332</v>
      </c>
      <c r="CX1348" s="4" t="s">
        <v>347</v>
      </c>
      <c r="CZ1348" s="6">
        <f>1292000</f>
        <v>1292000</v>
      </c>
      <c r="DA1348" s="6">
        <f>0</f>
        <v>0</v>
      </c>
      <c r="DC1348" s="4" t="s">
        <v>241</v>
      </c>
      <c r="DD1348" s="4" t="s">
        <v>241</v>
      </c>
      <c r="DF1348" s="4" t="s">
        <v>241</v>
      </c>
      <c r="DI1348" s="4" t="s">
        <v>241</v>
      </c>
      <c r="DJ1348" s="4" t="s">
        <v>241</v>
      </c>
      <c r="DK1348" s="4" t="s">
        <v>241</v>
      </c>
      <c r="DL1348" s="4" t="s">
        <v>241</v>
      </c>
      <c r="DM1348" s="4" t="s">
        <v>277</v>
      </c>
      <c r="DN1348" s="4" t="s">
        <v>278</v>
      </c>
      <c r="DO1348" s="6">
        <f>13.6</f>
        <v>13.6</v>
      </c>
      <c r="DP1348" s="4" t="s">
        <v>241</v>
      </c>
      <c r="DQ1348" s="4" t="s">
        <v>241</v>
      </c>
      <c r="DR1348" s="4" t="s">
        <v>241</v>
      </c>
      <c r="DS1348" s="4" t="s">
        <v>241</v>
      </c>
      <c r="DV1348" s="4" t="s">
        <v>1788</v>
      </c>
      <c r="DW1348" s="4" t="s">
        <v>277</v>
      </c>
      <c r="HO1348" s="4" t="s">
        <v>277</v>
      </c>
      <c r="HR1348" s="4" t="s">
        <v>278</v>
      </c>
      <c r="HS1348" s="4" t="s">
        <v>278</v>
      </c>
    </row>
    <row r="1349" spans="1:240" x14ac:dyDescent="0.4">
      <c r="A1349" s="4">
        <v>2</v>
      </c>
      <c r="B1349" s="4" t="s">
        <v>239</v>
      </c>
      <c r="C1349" s="4">
        <v>1662</v>
      </c>
      <c r="D1349" s="4">
        <v>1</v>
      </c>
      <c r="E1349" s="4">
        <v>1</v>
      </c>
      <c r="F1349" s="4" t="s">
        <v>240</v>
      </c>
      <c r="G1349" s="4" t="s">
        <v>241</v>
      </c>
      <c r="H1349" s="4" t="s">
        <v>241</v>
      </c>
      <c r="I1349" s="4" t="s">
        <v>632</v>
      </c>
      <c r="J1349" s="4" t="s">
        <v>328</v>
      </c>
      <c r="K1349" s="4" t="s">
        <v>256</v>
      </c>
      <c r="L1349" s="4" t="s">
        <v>532</v>
      </c>
      <c r="M1349" s="5" t="s">
        <v>633</v>
      </c>
      <c r="N1349" s="4" t="s">
        <v>532</v>
      </c>
      <c r="O1349" s="6">
        <f>39.69</f>
        <v>39.69</v>
      </c>
      <c r="P1349" s="4" t="s">
        <v>276</v>
      </c>
      <c r="Q1349" s="6">
        <f>1</f>
        <v>1</v>
      </c>
      <c r="R1349" s="6">
        <f>7025130</f>
        <v>7025130</v>
      </c>
      <c r="S1349" s="5" t="s">
        <v>398</v>
      </c>
      <c r="T1349" s="4" t="s">
        <v>274</v>
      </c>
      <c r="U1349" s="4" t="s">
        <v>391</v>
      </c>
      <c r="W1349" s="6">
        <f>7025129</f>
        <v>7025129</v>
      </c>
      <c r="X1349" s="4" t="s">
        <v>243</v>
      </c>
      <c r="Y1349" s="4" t="s">
        <v>244</v>
      </c>
      <c r="Z1349" s="4" t="s">
        <v>282</v>
      </c>
      <c r="AA1349" s="4" t="s">
        <v>241</v>
      </c>
      <c r="AD1349" s="4" t="s">
        <v>241</v>
      </c>
      <c r="AF1349" s="5" t="s">
        <v>241</v>
      </c>
      <c r="AI1349" s="5" t="s">
        <v>249</v>
      </c>
      <c r="AJ1349" s="4" t="s">
        <v>251</v>
      </c>
      <c r="AK1349" s="4" t="s">
        <v>252</v>
      </c>
      <c r="BA1349" s="4" t="s">
        <v>254</v>
      </c>
      <c r="BB1349" s="4" t="s">
        <v>241</v>
      </c>
      <c r="BC1349" s="4" t="s">
        <v>255</v>
      </c>
      <c r="BD1349" s="4" t="s">
        <v>241</v>
      </c>
      <c r="BE1349" s="4" t="s">
        <v>257</v>
      </c>
      <c r="BF1349" s="4" t="s">
        <v>241</v>
      </c>
      <c r="BH1349" s="4" t="s">
        <v>500</v>
      </c>
      <c r="BJ1349" s="4" t="s">
        <v>259</v>
      </c>
      <c r="BK1349" s="5" t="s">
        <v>260</v>
      </c>
      <c r="BL1349" s="4" t="s">
        <v>261</v>
      </c>
      <c r="BM1349" s="4" t="s">
        <v>262</v>
      </c>
      <c r="BN1349" s="4" t="s">
        <v>241</v>
      </c>
      <c r="BO1349" s="6">
        <f>0</f>
        <v>0</v>
      </c>
      <c r="BP1349" s="6">
        <f>0</f>
        <v>0</v>
      </c>
      <c r="BQ1349" s="4" t="s">
        <v>263</v>
      </c>
      <c r="BR1349" s="4" t="s">
        <v>264</v>
      </c>
      <c r="CF1349" s="4" t="s">
        <v>241</v>
      </c>
      <c r="CG1349" s="4" t="s">
        <v>241</v>
      </c>
      <c r="CK1349" s="4" t="s">
        <v>291</v>
      </c>
      <c r="CL1349" s="4" t="s">
        <v>266</v>
      </c>
      <c r="CM1349" s="4" t="s">
        <v>241</v>
      </c>
      <c r="CO1349" s="4" t="s">
        <v>390</v>
      </c>
      <c r="CP1349" s="5" t="s">
        <v>268</v>
      </c>
      <c r="CQ1349" s="4" t="s">
        <v>269</v>
      </c>
      <c r="CR1349" s="4" t="s">
        <v>270</v>
      </c>
      <c r="CS1349" s="4" t="s">
        <v>241</v>
      </c>
      <c r="CT1349" s="4" t="s">
        <v>241</v>
      </c>
      <c r="CU1349" s="4">
        <v>0</v>
      </c>
      <c r="CV1349" s="4" t="s">
        <v>271</v>
      </c>
      <c r="CW1349" s="4" t="s">
        <v>495</v>
      </c>
      <c r="CX1349" s="4" t="s">
        <v>347</v>
      </c>
      <c r="CZ1349" s="6">
        <f>7025130</f>
        <v>7025130</v>
      </c>
      <c r="DA1349" s="6">
        <f>0</f>
        <v>0</v>
      </c>
      <c r="DC1349" s="4" t="s">
        <v>241</v>
      </c>
      <c r="DD1349" s="4" t="s">
        <v>241</v>
      </c>
      <c r="DF1349" s="4" t="s">
        <v>241</v>
      </c>
      <c r="DI1349" s="4" t="s">
        <v>241</v>
      </c>
      <c r="DJ1349" s="4" t="s">
        <v>241</v>
      </c>
      <c r="DK1349" s="4" t="s">
        <v>241</v>
      </c>
      <c r="DL1349" s="4" t="s">
        <v>241</v>
      </c>
      <c r="DM1349" s="4" t="s">
        <v>277</v>
      </c>
      <c r="DN1349" s="4" t="s">
        <v>278</v>
      </c>
      <c r="DO1349" s="6">
        <f>39.69</f>
        <v>39.69</v>
      </c>
      <c r="DP1349" s="4" t="s">
        <v>241</v>
      </c>
      <c r="DQ1349" s="4" t="s">
        <v>241</v>
      </c>
      <c r="DR1349" s="4" t="s">
        <v>241</v>
      </c>
      <c r="DS1349" s="4" t="s">
        <v>241</v>
      </c>
      <c r="DV1349" s="4" t="s">
        <v>634</v>
      </c>
      <c r="DW1349" s="4" t="s">
        <v>277</v>
      </c>
      <c r="HO1349" s="4" t="s">
        <v>277</v>
      </c>
      <c r="HR1349" s="4" t="s">
        <v>278</v>
      </c>
      <c r="HS1349" s="4" t="s">
        <v>278</v>
      </c>
    </row>
    <row r="1350" spans="1:240" x14ac:dyDescent="0.4">
      <c r="A1350" s="4">
        <v>2</v>
      </c>
      <c r="B1350" s="4" t="s">
        <v>239</v>
      </c>
      <c r="C1350" s="4">
        <v>1663</v>
      </c>
      <c r="D1350" s="4">
        <v>1</v>
      </c>
      <c r="E1350" s="4">
        <v>1</v>
      </c>
      <c r="F1350" s="4" t="s">
        <v>240</v>
      </c>
      <c r="G1350" s="4" t="s">
        <v>241</v>
      </c>
      <c r="H1350" s="4" t="s">
        <v>241</v>
      </c>
      <c r="I1350" s="4" t="s">
        <v>2933</v>
      </c>
      <c r="J1350" s="4" t="s">
        <v>328</v>
      </c>
      <c r="K1350" s="4" t="s">
        <v>256</v>
      </c>
      <c r="L1350" s="4" t="s">
        <v>440</v>
      </c>
      <c r="M1350" s="5" t="s">
        <v>2935</v>
      </c>
      <c r="N1350" s="4" t="s">
        <v>2932</v>
      </c>
      <c r="O1350" s="6">
        <f>12</f>
        <v>12</v>
      </c>
      <c r="P1350" s="4" t="s">
        <v>276</v>
      </c>
      <c r="Q1350" s="6">
        <f>1</f>
        <v>1</v>
      </c>
      <c r="R1350" s="6">
        <f>1476000</f>
        <v>1476000</v>
      </c>
      <c r="S1350" s="5" t="s">
        <v>2934</v>
      </c>
      <c r="T1350" s="4" t="s">
        <v>343</v>
      </c>
      <c r="U1350" s="4" t="s">
        <v>371</v>
      </c>
      <c r="W1350" s="6">
        <f>1475999</f>
        <v>1475999</v>
      </c>
      <c r="X1350" s="4" t="s">
        <v>243</v>
      </c>
      <c r="Y1350" s="4" t="s">
        <v>244</v>
      </c>
      <c r="Z1350" s="4" t="s">
        <v>282</v>
      </c>
      <c r="AA1350" s="4" t="s">
        <v>241</v>
      </c>
      <c r="AD1350" s="4" t="s">
        <v>241</v>
      </c>
      <c r="AF1350" s="5" t="s">
        <v>241</v>
      </c>
      <c r="AI1350" s="5" t="s">
        <v>249</v>
      </c>
      <c r="AJ1350" s="4" t="s">
        <v>251</v>
      </c>
      <c r="AK1350" s="4" t="s">
        <v>252</v>
      </c>
      <c r="BA1350" s="4" t="s">
        <v>254</v>
      </c>
      <c r="BB1350" s="4" t="s">
        <v>241</v>
      </c>
      <c r="BC1350" s="4" t="s">
        <v>255</v>
      </c>
      <c r="BD1350" s="4" t="s">
        <v>241</v>
      </c>
      <c r="BE1350" s="4" t="s">
        <v>257</v>
      </c>
      <c r="BF1350" s="4" t="s">
        <v>241</v>
      </c>
      <c r="BH1350" s="4" t="s">
        <v>500</v>
      </c>
      <c r="BJ1350" s="4" t="s">
        <v>367</v>
      </c>
      <c r="BK1350" s="5" t="s">
        <v>249</v>
      </c>
      <c r="BL1350" s="4" t="s">
        <v>261</v>
      </c>
      <c r="BM1350" s="4" t="s">
        <v>262</v>
      </c>
      <c r="BN1350" s="4" t="s">
        <v>241</v>
      </c>
      <c r="BO1350" s="6">
        <f>0</f>
        <v>0</v>
      </c>
      <c r="BP1350" s="6">
        <f>0</f>
        <v>0</v>
      </c>
      <c r="BQ1350" s="4" t="s">
        <v>263</v>
      </c>
      <c r="BR1350" s="4" t="s">
        <v>264</v>
      </c>
      <c r="CF1350" s="4" t="s">
        <v>241</v>
      </c>
      <c r="CG1350" s="4" t="s">
        <v>241</v>
      </c>
      <c r="CK1350" s="4" t="s">
        <v>291</v>
      </c>
      <c r="CL1350" s="4" t="s">
        <v>266</v>
      </c>
      <c r="CM1350" s="4" t="s">
        <v>241</v>
      </c>
      <c r="CO1350" s="4" t="s">
        <v>360</v>
      </c>
      <c r="CP1350" s="5" t="s">
        <v>268</v>
      </c>
      <c r="CQ1350" s="4" t="s">
        <v>269</v>
      </c>
      <c r="CR1350" s="4" t="s">
        <v>270</v>
      </c>
      <c r="CS1350" s="4" t="s">
        <v>241</v>
      </c>
      <c r="CT1350" s="4" t="s">
        <v>241</v>
      </c>
      <c r="CU1350" s="4">
        <v>0</v>
      </c>
      <c r="CV1350" s="4" t="s">
        <v>271</v>
      </c>
      <c r="CW1350" s="4" t="s">
        <v>415</v>
      </c>
      <c r="CX1350" s="4" t="s">
        <v>2523</v>
      </c>
      <c r="CZ1350" s="6">
        <f>1476000</f>
        <v>1476000</v>
      </c>
      <c r="DA1350" s="6">
        <f>0</f>
        <v>0</v>
      </c>
      <c r="DC1350" s="4" t="s">
        <v>241</v>
      </c>
      <c r="DD1350" s="4" t="s">
        <v>241</v>
      </c>
      <c r="DF1350" s="4" t="s">
        <v>241</v>
      </c>
      <c r="DI1350" s="4" t="s">
        <v>241</v>
      </c>
      <c r="DJ1350" s="4" t="s">
        <v>241</v>
      </c>
      <c r="DK1350" s="4" t="s">
        <v>241</v>
      </c>
      <c r="DL1350" s="4" t="s">
        <v>241</v>
      </c>
      <c r="DM1350" s="4" t="s">
        <v>277</v>
      </c>
      <c r="DN1350" s="4" t="s">
        <v>278</v>
      </c>
      <c r="DO1350" s="6">
        <f>12</f>
        <v>12</v>
      </c>
      <c r="DP1350" s="4" t="s">
        <v>241</v>
      </c>
      <c r="DQ1350" s="4" t="s">
        <v>241</v>
      </c>
      <c r="DR1350" s="4" t="s">
        <v>241</v>
      </c>
      <c r="DS1350" s="4" t="s">
        <v>241</v>
      </c>
      <c r="DV1350" s="4" t="s">
        <v>2936</v>
      </c>
      <c r="DW1350" s="4" t="s">
        <v>277</v>
      </c>
      <c r="HO1350" s="4" t="s">
        <v>277</v>
      </c>
      <c r="HR1350" s="4" t="s">
        <v>278</v>
      </c>
      <c r="HS1350" s="4" t="s">
        <v>278</v>
      </c>
    </row>
    <row r="1351" spans="1:240" x14ac:dyDescent="0.4">
      <c r="A1351" s="4">
        <v>2</v>
      </c>
      <c r="B1351" s="4" t="s">
        <v>239</v>
      </c>
      <c r="C1351" s="4">
        <v>1664</v>
      </c>
      <c r="D1351" s="4">
        <v>1</v>
      </c>
      <c r="E1351" s="4">
        <v>1</v>
      </c>
      <c r="F1351" s="4" t="s">
        <v>240</v>
      </c>
      <c r="G1351" s="4" t="s">
        <v>241</v>
      </c>
      <c r="H1351" s="4" t="s">
        <v>241</v>
      </c>
      <c r="I1351" s="4" t="s">
        <v>1858</v>
      </c>
      <c r="J1351" s="4" t="s">
        <v>406</v>
      </c>
      <c r="K1351" s="4" t="s">
        <v>256</v>
      </c>
      <c r="L1351" s="4" t="s">
        <v>440</v>
      </c>
      <c r="M1351" s="5" t="s">
        <v>1242</v>
      </c>
      <c r="N1351" s="4" t="s">
        <v>1857</v>
      </c>
      <c r="O1351" s="6">
        <f>19.87</f>
        <v>19.87</v>
      </c>
      <c r="P1351" s="4" t="s">
        <v>276</v>
      </c>
      <c r="Q1351" s="6">
        <f>1</f>
        <v>1</v>
      </c>
      <c r="R1351" s="6">
        <f>3059980</f>
        <v>3059980</v>
      </c>
      <c r="S1351" s="5" t="s">
        <v>1241</v>
      </c>
      <c r="T1351" s="4" t="s">
        <v>348</v>
      </c>
      <c r="U1351" s="4" t="s">
        <v>348</v>
      </c>
      <c r="W1351" s="6">
        <f>3059979</f>
        <v>3059979</v>
      </c>
      <c r="X1351" s="4" t="s">
        <v>243</v>
      </c>
      <c r="Y1351" s="4" t="s">
        <v>244</v>
      </c>
      <c r="Z1351" s="4" t="s">
        <v>282</v>
      </c>
      <c r="AA1351" s="4" t="s">
        <v>241</v>
      </c>
      <c r="AD1351" s="4" t="s">
        <v>241</v>
      </c>
      <c r="AF1351" s="5" t="s">
        <v>241</v>
      </c>
      <c r="AI1351" s="5" t="s">
        <v>249</v>
      </c>
      <c r="AJ1351" s="4" t="s">
        <v>251</v>
      </c>
      <c r="AK1351" s="4" t="s">
        <v>252</v>
      </c>
      <c r="BA1351" s="4" t="s">
        <v>254</v>
      </c>
      <c r="BB1351" s="4" t="s">
        <v>241</v>
      </c>
      <c r="BC1351" s="4" t="s">
        <v>255</v>
      </c>
      <c r="BD1351" s="4" t="s">
        <v>241</v>
      </c>
      <c r="BE1351" s="4" t="s">
        <v>257</v>
      </c>
      <c r="BF1351" s="4" t="s">
        <v>241</v>
      </c>
      <c r="BH1351" s="4" t="s">
        <v>500</v>
      </c>
      <c r="BJ1351" s="4" t="s">
        <v>374</v>
      </c>
      <c r="BK1351" s="5" t="s">
        <v>375</v>
      </c>
      <c r="BL1351" s="4" t="s">
        <v>261</v>
      </c>
      <c r="BM1351" s="4" t="s">
        <v>290</v>
      </c>
      <c r="BN1351" s="4" t="s">
        <v>241</v>
      </c>
      <c r="BO1351" s="6">
        <f>0</f>
        <v>0</v>
      </c>
      <c r="BP1351" s="6">
        <f>0</f>
        <v>0</v>
      </c>
      <c r="BQ1351" s="4" t="s">
        <v>263</v>
      </c>
      <c r="BR1351" s="4" t="s">
        <v>264</v>
      </c>
      <c r="CF1351" s="4" t="s">
        <v>241</v>
      </c>
      <c r="CG1351" s="4" t="s">
        <v>241</v>
      </c>
      <c r="CK1351" s="4" t="s">
        <v>291</v>
      </c>
      <c r="CL1351" s="4" t="s">
        <v>266</v>
      </c>
      <c r="CM1351" s="4" t="s">
        <v>241</v>
      </c>
      <c r="CO1351" s="4" t="s">
        <v>1127</v>
      </c>
      <c r="CP1351" s="5" t="s">
        <v>268</v>
      </c>
      <c r="CQ1351" s="4" t="s">
        <v>269</v>
      </c>
      <c r="CR1351" s="4" t="s">
        <v>270</v>
      </c>
      <c r="CS1351" s="4" t="s">
        <v>241</v>
      </c>
      <c r="CT1351" s="4" t="s">
        <v>241</v>
      </c>
      <c r="CU1351" s="4">
        <v>0</v>
      </c>
      <c r="CV1351" s="4" t="s">
        <v>271</v>
      </c>
      <c r="CW1351" s="4" t="s">
        <v>1830</v>
      </c>
      <c r="CX1351" s="4" t="s">
        <v>347</v>
      </c>
      <c r="CZ1351" s="6">
        <f>3059980</f>
        <v>3059980</v>
      </c>
      <c r="DA1351" s="6">
        <f>0</f>
        <v>0</v>
      </c>
      <c r="DC1351" s="4" t="s">
        <v>241</v>
      </c>
      <c r="DD1351" s="4" t="s">
        <v>241</v>
      </c>
      <c r="DF1351" s="4" t="s">
        <v>241</v>
      </c>
      <c r="DI1351" s="4" t="s">
        <v>241</v>
      </c>
      <c r="DJ1351" s="4" t="s">
        <v>241</v>
      </c>
      <c r="DK1351" s="4" t="s">
        <v>241</v>
      </c>
      <c r="DL1351" s="4" t="s">
        <v>241</v>
      </c>
      <c r="DM1351" s="4" t="s">
        <v>277</v>
      </c>
      <c r="DN1351" s="4" t="s">
        <v>278</v>
      </c>
      <c r="DO1351" s="6">
        <f>19.87</f>
        <v>19.87</v>
      </c>
      <c r="DP1351" s="4" t="s">
        <v>241</v>
      </c>
      <c r="DQ1351" s="4" t="s">
        <v>241</v>
      </c>
      <c r="DR1351" s="4" t="s">
        <v>241</v>
      </c>
      <c r="DS1351" s="4" t="s">
        <v>241</v>
      </c>
      <c r="DV1351" s="4" t="s">
        <v>1859</v>
      </c>
      <c r="DW1351" s="4" t="s">
        <v>277</v>
      </c>
      <c r="HO1351" s="4" t="s">
        <v>323</v>
      </c>
      <c r="HR1351" s="4" t="s">
        <v>278</v>
      </c>
      <c r="HS1351" s="4" t="s">
        <v>278</v>
      </c>
    </row>
    <row r="1352" spans="1:240" x14ac:dyDescent="0.4">
      <c r="A1352" s="4">
        <v>2</v>
      </c>
      <c r="B1352" s="4" t="s">
        <v>239</v>
      </c>
      <c r="C1352" s="4">
        <v>1665</v>
      </c>
      <c r="D1352" s="4">
        <v>1</v>
      </c>
      <c r="E1352" s="4">
        <v>1</v>
      </c>
      <c r="F1352" s="4" t="s">
        <v>240</v>
      </c>
      <c r="G1352" s="4" t="s">
        <v>241</v>
      </c>
      <c r="H1352" s="4" t="s">
        <v>241</v>
      </c>
      <c r="I1352" s="4" t="s">
        <v>1977</v>
      </c>
      <c r="J1352" s="4" t="s">
        <v>406</v>
      </c>
      <c r="K1352" s="4" t="s">
        <v>256</v>
      </c>
      <c r="L1352" s="4" t="s">
        <v>1930</v>
      </c>
      <c r="M1352" s="5" t="s">
        <v>1978</v>
      </c>
      <c r="N1352" s="4" t="s">
        <v>1930</v>
      </c>
      <c r="O1352" s="6">
        <f>119.18</f>
        <v>119.18</v>
      </c>
      <c r="P1352" s="4" t="s">
        <v>276</v>
      </c>
      <c r="Q1352" s="6">
        <f>1</f>
        <v>1</v>
      </c>
      <c r="R1352" s="6">
        <f>21571580</f>
        <v>21571580</v>
      </c>
      <c r="S1352" s="5" t="s">
        <v>390</v>
      </c>
      <c r="T1352" s="4" t="s">
        <v>348</v>
      </c>
      <c r="U1352" s="4" t="s">
        <v>358</v>
      </c>
      <c r="W1352" s="6">
        <f>21571579</f>
        <v>21571579</v>
      </c>
      <c r="X1352" s="4" t="s">
        <v>243</v>
      </c>
      <c r="Y1352" s="4" t="s">
        <v>244</v>
      </c>
      <c r="Z1352" s="4" t="s">
        <v>282</v>
      </c>
      <c r="AA1352" s="4" t="s">
        <v>241</v>
      </c>
      <c r="AD1352" s="4" t="s">
        <v>241</v>
      </c>
      <c r="AF1352" s="5" t="s">
        <v>241</v>
      </c>
      <c r="AI1352" s="5" t="s">
        <v>249</v>
      </c>
      <c r="AJ1352" s="4" t="s">
        <v>251</v>
      </c>
      <c r="AK1352" s="4" t="s">
        <v>252</v>
      </c>
      <c r="BA1352" s="4" t="s">
        <v>254</v>
      </c>
      <c r="BB1352" s="4" t="s">
        <v>241</v>
      </c>
      <c r="BC1352" s="4" t="s">
        <v>255</v>
      </c>
      <c r="BD1352" s="4" t="s">
        <v>241</v>
      </c>
      <c r="BE1352" s="4" t="s">
        <v>257</v>
      </c>
      <c r="BF1352" s="4" t="s">
        <v>241</v>
      </c>
      <c r="BH1352" s="4" t="s">
        <v>500</v>
      </c>
      <c r="BJ1352" s="4" t="s">
        <v>377</v>
      </c>
      <c r="BK1352" s="5" t="s">
        <v>378</v>
      </c>
      <c r="BL1352" s="4" t="s">
        <v>261</v>
      </c>
      <c r="BM1352" s="4" t="s">
        <v>262</v>
      </c>
      <c r="BN1352" s="4" t="s">
        <v>241</v>
      </c>
      <c r="BO1352" s="6">
        <f>0</f>
        <v>0</v>
      </c>
      <c r="BP1352" s="6">
        <f>0</f>
        <v>0</v>
      </c>
      <c r="BQ1352" s="4" t="s">
        <v>263</v>
      </c>
      <c r="BR1352" s="4" t="s">
        <v>264</v>
      </c>
      <c r="CF1352" s="4" t="s">
        <v>241</v>
      </c>
      <c r="CG1352" s="4" t="s">
        <v>241</v>
      </c>
      <c r="CK1352" s="4" t="s">
        <v>291</v>
      </c>
      <c r="CL1352" s="4" t="s">
        <v>266</v>
      </c>
      <c r="CM1352" s="4" t="s">
        <v>241</v>
      </c>
      <c r="CO1352" s="4" t="s">
        <v>551</v>
      </c>
      <c r="CP1352" s="5" t="s">
        <v>268</v>
      </c>
      <c r="CQ1352" s="4" t="s">
        <v>269</v>
      </c>
      <c r="CR1352" s="4" t="s">
        <v>270</v>
      </c>
      <c r="CS1352" s="4" t="s">
        <v>241</v>
      </c>
      <c r="CT1352" s="4" t="s">
        <v>241</v>
      </c>
      <c r="CU1352" s="4">
        <v>0</v>
      </c>
      <c r="CV1352" s="4" t="s">
        <v>271</v>
      </c>
      <c r="CW1352" s="4" t="s">
        <v>1920</v>
      </c>
      <c r="CX1352" s="4" t="s">
        <v>347</v>
      </c>
      <c r="CZ1352" s="6">
        <f>21571580</f>
        <v>21571580</v>
      </c>
      <c r="DA1352" s="6">
        <f>0</f>
        <v>0</v>
      </c>
      <c r="DC1352" s="4" t="s">
        <v>241</v>
      </c>
      <c r="DD1352" s="4" t="s">
        <v>241</v>
      </c>
      <c r="DF1352" s="4" t="s">
        <v>241</v>
      </c>
      <c r="DI1352" s="4" t="s">
        <v>241</v>
      </c>
      <c r="DJ1352" s="4" t="s">
        <v>241</v>
      </c>
      <c r="DK1352" s="4" t="s">
        <v>241</v>
      </c>
      <c r="DL1352" s="4" t="s">
        <v>241</v>
      </c>
      <c r="DM1352" s="4" t="s">
        <v>277</v>
      </c>
      <c r="DN1352" s="4" t="s">
        <v>278</v>
      </c>
      <c r="DO1352" s="6">
        <f>119.18</f>
        <v>119.18</v>
      </c>
      <c r="DP1352" s="4" t="s">
        <v>241</v>
      </c>
      <c r="DQ1352" s="4" t="s">
        <v>241</v>
      </c>
      <c r="DR1352" s="4" t="s">
        <v>241</v>
      </c>
      <c r="DS1352" s="4" t="s">
        <v>241</v>
      </c>
      <c r="DV1352" s="4" t="s">
        <v>1979</v>
      </c>
      <c r="DW1352" s="4" t="s">
        <v>277</v>
      </c>
      <c r="HO1352" s="4" t="s">
        <v>277</v>
      </c>
      <c r="HR1352" s="4" t="s">
        <v>278</v>
      </c>
      <c r="HS1352" s="4" t="s">
        <v>278</v>
      </c>
    </row>
    <row r="1353" spans="1:240" x14ac:dyDescent="0.4">
      <c r="A1353" s="4">
        <v>2</v>
      </c>
      <c r="B1353" s="4" t="s">
        <v>239</v>
      </c>
      <c r="C1353" s="4">
        <v>1666</v>
      </c>
      <c r="D1353" s="4">
        <v>1</v>
      </c>
      <c r="E1353" s="4">
        <v>1</v>
      </c>
      <c r="F1353" s="4" t="s">
        <v>240</v>
      </c>
      <c r="G1353" s="4" t="s">
        <v>241</v>
      </c>
      <c r="H1353" s="4" t="s">
        <v>241</v>
      </c>
      <c r="I1353" s="4" t="s">
        <v>629</v>
      </c>
      <c r="J1353" s="4" t="s">
        <v>406</v>
      </c>
      <c r="K1353" s="4" t="s">
        <v>256</v>
      </c>
      <c r="L1353" s="4" t="s">
        <v>440</v>
      </c>
      <c r="M1353" s="5" t="s">
        <v>630</v>
      </c>
      <c r="N1353" s="4" t="s">
        <v>628</v>
      </c>
      <c r="O1353" s="6">
        <f>139.12</f>
        <v>139.12</v>
      </c>
      <c r="P1353" s="4" t="s">
        <v>276</v>
      </c>
      <c r="Q1353" s="6">
        <f>1</f>
        <v>1</v>
      </c>
      <c r="R1353" s="6">
        <f>29771680</f>
        <v>29771680</v>
      </c>
      <c r="S1353" s="5" t="s">
        <v>383</v>
      </c>
      <c r="T1353" s="4" t="s">
        <v>274</v>
      </c>
      <c r="U1353" s="4" t="s">
        <v>404</v>
      </c>
      <c r="W1353" s="6">
        <f>29771679</f>
        <v>29771679</v>
      </c>
      <c r="X1353" s="4" t="s">
        <v>243</v>
      </c>
      <c r="Y1353" s="4" t="s">
        <v>244</v>
      </c>
      <c r="Z1353" s="4" t="s">
        <v>282</v>
      </c>
      <c r="AA1353" s="4" t="s">
        <v>241</v>
      </c>
      <c r="AD1353" s="4" t="s">
        <v>241</v>
      </c>
      <c r="AF1353" s="5" t="s">
        <v>241</v>
      </c>
      <c r="AI1353" s="5" t="s">
        <v>249</v>
      </c>
      <c r="AJ1353" s="4" t="s">
        <v>251</v>
      </c>
      <c r="AK1353" s="4" t="s">
        <v>252</v>
      </c>
      <c r="BA1353" s="4" t="s">
        <v>254</v>
      </c>
      <c r="BB1353" s="4" t="s">
        <v>241</v>
      </c>
      <c r="BC1353" s="4" t="s">
        <v>255</v>
      </c>
      <c r="BD1353" s="4" t="s">
        <v>241</v>
      </c>
      <c r="BE1353" s="4" t="s">
        <v>257</v>
      </c>
      <c r="BF1353" s="4" t="s">
        <v>241</v>
      </c>
      <c r="BH1353" s="4" t="s">
        <v>500</v>
      </c>
      <c r="BJ1353" s="4" t="s">
        <v>259</v>
      </c>
      <c r="BK1353" s="5" t="s">
        <v>260</v>
      </c>
      <c r="BL1353" s="4" t="s">
        <v>261</v>
      </c>
      <c r="BM1353" s="4" t="s">
        <v>262</v>
      </c>
      <c r="BN1353" s="4" t="s">
        <v>241</v>
      </c>
      <c r="BO1353" s="6">
        <f>0</f>
        <v>0</v>
      </c>
      <c r="BP1353" s="6">
        <f>0</f>
        <v>0</v>
      </c>
      <c r="BQ1353" s="4" t="s">
        <v>263</v>
      </c>
      <c r="BR1353" s="4" t="s">
        <v>264</v>
      </c>
      <c r="CF1353" s="4" t="s">
        <v>241</v>
      </c>
      <c r="CG1353" s="4" t="s">
        <v>241</v>
      </c>
      <c r="CK1353" s="4" t="s">
        <v>291</v>
      </c>
      <c r="CL1353" s="4" t="s">
        <v>266</v>
      </c>
      <c r="CM1353" s="4" t="s">
        <v>241</v>
      </c>
      <c r="CO1353" s="4" t="s">
        <v>468</v>
      </c>
      <c r="CP1353" s="5" t="s">
        <v>268</v>
      </c>
      <c r="CQ1353" s="4" t="s">
        <v>269</v>
      </c>
      <c r="CR1353" s="4" t="s">
        <v>270</v>
      </c>
      <c r="CS1353" s="4" t="s">
        <v>241</v>
      </c>
      <c r="CT1353" s="4" t="s">
        <v>241</v>
      </c>
      <c r="CU1353" s="4">
        <v>0</v>
      </c>
      <c r="CV1353" s="4" t="s">
        <v>271</v>
      </c>
      <c r="CW1353" s="4" t="s">
        <v>495</v>
      </c>
      <c r="CX1353" s="4" t="s">
        <v>347</v>
      </c>
      <c r="CZ1353" s="6">
        <f>29771680</f>
        <v>29771680</v>
      </c>
      <c r="DA1353" s="6">
        <f>0</f>
        <v>0</v>
      </c>
      <c r="DC1353" s="4" t="s">
        <v>241</v>
      </c>
      <c r="DD1353" s="4" t="s">
        <v>241</v>
      </c>
      <c r="DF1353" s="4" t="s">
        <v>241</v>
      </c>
      <c r="DI1353" s="4" t="s">
        <v>241</v>
      </c>
      <c r="DJ1353" s="4" t="s">
        <v>241</v>
      </c>
      <c r="DK1353" s="4" t="s">
        <v>241</v>
      </c>
      <c r="DL1353" s="4" t="s">
        <v>241</v>
      </c>
      <c r="DM1353" s="4" t="s">
        <v>277</v>
      </c>
      <c r="DN1353" s="4" t="s">
        <v>278</v>
      </c>
      <c r="DO1353" s="6">
        <f>139.12</f>
        <v>139.12</v>
      </c>
      <c r="DP1353" s="4" t="s">
        <v>241</v>
      </c>
      <c r="DQ1353" s="4" t="s">
        <v>241</v>
      </c>
      <c r="DR1353" s="4" t="s">
        <v>241</v>
      </c>
      <c r="DS1353" s="4" t="s">
        <v>241</v>
      </c>
      <c r="DV1353" s="4" t="s">
        <v>631</v>
      </c>
      <c r="DW1353" s="4" t="s">
        <v>277</v>
      </c>
      <c r="HO1353" s="4" t="s">
        <v>277</v>
      </c>
      <c r="HR1353" s="4" t="s">
        <v>278</v>
      </c>
      <c r="HS1353" s="4" t="s">
        <v>278</v>
      </c>
    </row>
    <row r="1354" spans="1:240" x14ac:dyDescent="0.4">
      <c r="A1354" s="4">
        <v>2</v>
      </c>
      <c r="B1354" s="4" t="s">
        <v>239</v>
      </c>
      <c r="C1354" s="4">
        <v>1668</v>
      </c>
      <c r="D1354" s="4">
        <v>1</v>
      </c>
      <c r="E1354" s="4">
        <v>3</v>
      </c>
      <c r="F1354" s="4" t="s">
        <v>240</v>
      </c>
      <c r="G1354" s="4" t="s">
        <v>241</v>
      </c>
      <c r="H1354" s="4" t="s">
        <v>241</v>
      </c>
      <c r="I1354" s="4" t="s">
        <v>530</v>
      </c>
      <c r="J1354" s="4" t="s">
        <v>406</v>
      </c>
      <c r="K1354" s="4" t="s">
        <v>256</v>
      </c>
      <c r="L1354" s="4" t="s">
        <v>532</v>
      </c>
      <c r="M1354" s="5" t="s">
        <v>533</v>
      </c>
      <c r="N1354" s="4" t="s">
        <v>529</v>
      </c>
      <c r="O1354" s="6">
        <f>683.06</f>
        <v>683.06</v>
      </c>
      <c r="P1354" s="4" t="s">
        <v>276</v>
      </c>
      <c r="Q1354" s="6">
        <f>126999984</f>
        <v>126999984</v>
      </c>
      <c r="R1354" s="6">
        <f>520491720</f>
        <v>520491720</v>
      </c>
      <c r="S1354" s="5" t="s">
        <v>531</v>
      </c>
      <c r="T1354" s="4" t="s">
        <v>274</v>
      </c>
      <c r="U1354" s="4" t="s">
        <v>401</v>
      </c>
      <c r="V1354" s="6">
        <f>21860652</f>
        <v>21860652</v>
      </c>
      <c r="W1354" s="6">
        <f>393491736</f>
        <v>393491736</v>
      </c>
      <c r="X1354" s="4" t="s">
        <v>243</v>
      </c>
      <c r="Y1354" s="4" t="s">
        <v>244</v>
      </c>
      <c r="Z1354" s="4" t="s">
        <v>282</v>
      </c>
      <c r="AA1354" s="4" t="s">
        <v>241</v>
      </c>
      <c r="AD1354" s="4" t="s">
        <v>241</v>
      </c>
      <c r="AE1354" s="5" t="s">
        <v>241</v>
      </c>
      <c r="AF1354" s="5" t="s">
        <v>241</v>
      </c>
      <c r="AH1354" s="5" t="s">
        <v>241</v>
      </c>
      <c r="AI1354" s="5" t="s">
        <v>249</v>
      </c>
      <c r="AJ1354" s="4" t="s">
        <v>251</v>
      </c>
      <c r="AK1354" s="4" t="s">
        <v>252</v>
      </c>
      <c r="AQ1354" s="4" t="s">
        <v>241</v>
      </c>
      <c r="AR1354" s="4" t="s">
        <v>241</v>
      </c>
      <c r="AS1354" s="4" t="s">
        <v>241</v>
      </c>
      <c r="AT1354" s="5" t="s">
        <v>241</v>
      </c>
      <c r="AU1354" s="5" t="s">
        <v>241</v>
      </c>
      <c r="AV1354" s="5" t="s">
        <v>241</v>
      </c>
      <c r="AY1354" s="4" t="s">
        <v>286</v>
      </c>
      <c r="AZ1354" s="4" t="s">
        <v>286</v>
      </c>
      <c r="BA1354" s="4" t="s">
        <v>254</v>
      </c>
      <c r="BB1354" s="4" t="s">
        <v>287</v>
      </c>
      <c r="BC1354" s="4" t="s">
        <v>255</v>
      </c>
      <c r="BD1354" s="4" t="s">
        <v>241</v>
      </c>
      <c r="BE1354" s="4" t="s">
        <v>257</v>
      </c>
      <c r="BF1354" s="4" t="s">
        <v>241</v>
      </c>
      <c r="BH1354" s="4" t="s">
        <v>500</v>
      </c>
      <c r="BJ1354" s="4" t="s">
        <v>288</v>
      </c>
      <c r="BK1354" s="5" t="s">
        <v>289</v>
      </c>
      <c r="BL1354" s="4" t="s">
        <v>290</v>
      </c>
      <c r="BM1354" s="4" t="s">
        <v>290</v>
      </c>
      <c r="BN1354" s="4" t="s">
        <v>241</v>
      </c>
      <c r="BO1354" s="6">
        <f>0</f>
        <v>0</v>
      </c>
      <c r="BP1354" s="6">
        <f>-21860652</f>
        <v>-21860652</v>
      </c>
      <c r="BQ1354" s="4" t="s">
        <v>263</v>
      </c>
      <c r="BR1354" s="4" t="s">
        <v>264</v>
      </c>
      <c r="BS1354" s="4" t="s">
        <v>241</v>
      </c>
      <c r="BT1354" s="4" t="s">
        <v>241</v>
      </c>
      <c r="BU1354" s="4" t="s">
        <v>241</v>
      </c>
      <c r="BV1354" s="4" t="s">
        <v>241</v>
      </c>
      <c r="CE1354" s="4" t="s">
        <v>264</v>
      </c>
      <c r="CF1354" s="4" t="s">
        <v>241</v>
      </c>
      <c r="CG1354" s="4" t="s">
        <v>241</v>
      </c>
      <c r="CK1354" s="4" t="s">
        <v>291</v>
      </c>
      <c r="CL1354" s="4" t="s">
        <v>266</v>
      </c>
      <c r="CM1354" s="4" t="s">
        <v>241</v>
      </c>
      <c r="CO1354" s="4" t="s">
        <v>446</v>
      </c>
      <c r="CP1354" s="5" t="s">
        <v>268</v>
      </c>
      <c r="CQ1354" s="4" t="s">
        <v>269</v>
      </c>
      <c r="CR1354" s="4" t="s">
        <v>270</v>
      </c>
      <c r="CS1354" s="4" t="s">
        <v>293</v>
      </c>
      <c r="CT1354" s="4" t="s">
        <v>241</v>
      </c>
      <c r="CU1354" s="4">
        <v>4.2000000000000003E-2</v>
      </c>
      <c r="CV1354" s="4" t="s">
        <v>271</v>
      </c>
      <c r="CW1354" s="4" t="s">
        <v>495</v>
      </c>
      <c r="CX1354" s="4" t="s">
        <v>347</v>
      </c>
      <c r="CY1354" s="6">
        <f>0</f>
        <v>0</v>
      </c>
      <c r="CZ1354" s="6">
        <f>520491720</f>
        <v>520491720</v>
      </c>
      <c r="DA1354" s="6">
        <f>126999984</f>
        <v>126999984</v>
      </c>
      <c r="DC1354" s="4" t="s">
        <v>241</v>
      </c>
      <c r="DD1354" s="4" t="s">
        <v>241</v>
      </c>
      <c r="DF1354" s="4" t="s">
        <v>241</v>
      </c>
      <c r="DG1354" s="6">
        <f>0</f>
        <v>0</v>
      </c>
      <c r="DI1354" s="4" t="s">
        <v>241</v>
      </c>
      <c r="DJ1354" s="4" t="s">
        <v>241</v>
      </c>
      <c r="DK1354" s="4" t="s">
        <v>241</v>
      </c>
      <c r="DL1354" s="4" t="s">
        <v>241</v>
      </c>
      <c r="DM1354" s="4" t="s">
        <v>277</v>
      </c>
      <c r="DN1354" s="4" t="s">
        <v>278</v>
      </c>
      <c r="DO1354" s="6">
        <f>683.06</f>
        <v>683.06</v>
      </c>
      <c r="DP1354" s="4" t="s">
        <v>241</v>
      </c>
      <c r="DQ1354" s="4" t="s">
        <v>241</v>
      </c>
      <c r="DR1354" s="4" t="s">
        <v>241</v>
      </c>
      <c r="DS1354" s="4" t="s">
        <v>241</v>
      </c>
      <c r="DV1354" s="4" t="s">
        <v>534</v>
      </c>
      <c r="DW1354" s="4" t="s">
        <v>277</v>
      </c>
      <c r="GN1354" s="4" t="s">
        <v>535</v>
      </c>
      <c r="HO1354" s="4" t="s">
        <v>341</v>
      </c>
      <c r="HR1354" s="4" t="s">
        <v>278</v>
      </c>
      <c r="HS1354" s="4" t="s">
        <v>278</v>
      </c>
      <c r="HT1354" s="4" t="s">
        <v>241</v>
      </c>
      <c r="HU1354" s="4" t="s">
        <v>241</v>
      </c>
      <c r="HV1354" s="4" t="s">
        <v>241</v>
      </c>
      <c r="HW1354" s="4" t="s">
        <v>241</v>
      </c>
      <c r="HX1354" s="4" t="s">
        <v>241</v>
      </c>
      <c r="HY1354" s="4" t="s">
        <v>241</v>
      </c>
      <c r="HZ1354" s="4" t="s">
        <v>241</v>
      </c>
      <c r="IA1354" s="4" t="s">
        <v>241</v>
      </c>
      <c r="IB1354" s="4" t="s">
        <v>241</v>
      </c>
      <c r="IC1354" s="4" t="s">
        <v>241</v>
      </c>
      <c r="ID1354" s="4" t="s">
        <v>241</v>
      </c>
      <c r="IE1354" s="4" t="s">
        <v>241</v>
      </c>
      <c r="IF1354" s="4" t="s">
        <v>241</v>
      </c>
    </row>
    <row r="1355" spans="1:240" x14ac:dyDescent="0.4">
      <c r="A1355" s="4">
        <v>2</v>
      </c>
      <c r="B1355" s="4" t="s">
        <v>239</v>
      </c>
      <c r="C1355" s="4">
        <v>1669</v>
      </c>
      <c r="D1355" s="4">
        <v>1</v>
      </c>
      <c r="E1355" s="4">
        <v>3</v>
      </c>
      <c r="F1355" s="4" t="s">
        <v>326</v>
      </c>
      <c r="G1355" s="4" t="s">
        <v>241</v>
      </c>
      <c r="H1355" s="4" t="s">
        <v>241</v>
      </c>
      <c r="I1355" s="4" t="s">
        <v>530</v>
      </c>
      <c r="J1355" s="4" t="s">
        <v>406</v>
      </c>
      <c r="K1355" s="4" t="s">
        <v>256</v>
      </c>
      <c r="L1355" s="4" t="s">
        <v>241</v>
      </c>
      <c r="M1355" s="5" t="s">
        <v>533</v>
      </c>
      <c r="N1355" s="4" t="s">
        <v>2563</v>
      </c>
      <c r="O1355" s="6">
        <f>0</f>
        <v>0</v>
      </c>
      <c r="P1355" s="4" t="s">
        <v>276</v>
      </c>
      <c r="Q1355" s="6">
        <f>476595</f>
        <v>476595</v>
      </c>
      <c r="R1355" s="6">
        <f>520300</f>
        <v>520300</v>
      </c>
      <c r="S1355" s="5" t="s">
        <v>2564</v>
      </c>
      <c r="T1355" s="4" t="s">
        <v>409</v>
      </c>
      <c r="U1355" s="4" t="s">
        <v>278</v>
      </c>
      <c r="V1355" s="6">
        <f>520299</f>
        <v>520299</v>
      </c>
      <c r="W1355" s="6">
        <f>43705</f>
        <v>43705</v>
      </c>
      <c r="X1355" s="4" t="s">
        <v>243</v>
      </c>
      <c r="Y1355" s="4" t="s">
        <v>244</v>
      </c>
      <c r="Z1355" s="4" t="s">
        <v>241</v>
      </c>
      <c r="AA1355" s="4" t="s">
        <v>241</v>
      </c>
      <c r="AD1355" s="4" t="s">
        <v>241</v>
      </c>
      <c r="AE1355" s="5" t="s">
        <v>241</v>
      </c>
      <c r="AF1355" s="5" t="s">
        <v>241</v>
      </c>
      <c r="AH1355" s="5" t="s">
        <v>241</v>
      </c>
      <c r="AI1355" s="5" t="s">
        <v>249</v>
      </c>
      <c r="AJ1355" s="4" t="s">
        <v>251</v>
      </c>
      <c r="AK1355" s="4" t="s">
        <v>252</v>
      </c>
      <c r="AQ1355" s="4" t="s">
        <v>241</v>
      </c>
      <c r="AR1355" s="4" t="s">
        <v>241</v>
      </c>
      <c r="AS1355" s="4" t="s">
        <v>241</v>
      </c>
      <c r="AT1355" s="5" t="s">
        <v>241</v>
      </c>
      <c r="AU1355" s="5" t="s">
        <v>241</v>
      </c>
      <c r="AV1355" s="5" t="s">
        <v>241</v>
      </c>
      <c r="AY1355" s="4" t="s">
        <v>286</v>
      </c>
      <c r="AZ1355" s="4" t="s">
        <v>286</v>
      </c>
      <c r="BA1355" s="4" t="s">
        <v>254</v>
      </c>
      <c r="BB1355" s="4" t="s">
        <v>287</v>
      </c>
      <c r="BC1355" s="4" t="s">
        <v>255</v>
      </c>
      <c r="BD1355" s="4" t="s">
        <v>241</v>
      </c>
      <c r="BE1355" s="4" t="s">
        <v>257</v>
      </c>
      <c r="BF1355" s="4" t="s">
        <v>241</v>
      </c>
      <c r="BJ1355" s="4" t="s">
        <v>288</v>
      </c>
      <c r="BK1355" s="5" t="s">
        <v>289</v>
      </c>
      <c r="BL1355" s="4" t="s">
        <v>290</v>
      </c>
      <c r="BM1355" s="4" t="s">
        <v>290</v>
      </c>
      <c r="BN1355" s="4" t="s">
        <v>241</v>
      </c>
      <c r="BP1355" s="6">
        <f>-43705</f>
        <v>-43705</v>
      </c>
      <c r="BQ1355" s="4" t="s">
        <v>263</v>
      </c>
      <c r="BR1355" s="4" t="s">
        <v>264</v>
      </c>
      <c r="BS1355" s="4" t="s">
        <v>241</v>
      </c>
      <c r="BT1355" s="4" t="s">
        <v>241</v>
      </c>
      <c r="BU1355" s="4" t="s">
        <v>241</v>
      </c>
      <c r="BV1355" s="4" t="s">
        <v>241</v>
      </c>
      <c r="CE1355" s="4" t="s">
        <v>264</v>
      </c>
      <c r="CF1355" s="4" t="s">
        <v>241</v>
      </c>
      <c r="CG1355" s="4" t="s">
        <v>241</v>
      </c>
      <c r="CK1355" s="4" t="s">
        <v>291</v>
      </c>
      <c r="CL1355" s="4" t="s">
        <v>266</v>
      </c>
      <c r="CM1355" s="4" t="s">
        <v>241</v>
      </c>
      <c r="CO1355" s="4" t="s">
        <v>426</v>
      </c>
      <c r="CP1355" s="5" t="s">
        <v>268</v>
      </c>
      <c r="CQ1355" s="4" t="s">
        <v>269</v>
      </c>
      <c r="CR1355" s="4" t="s">
        <v>270</v>
      </c>
      <c r="CS1355" s="4" t="s">
        <v>293</v>
      </c>
      <c r="CT1355" s="4" t="s">
        <v>241</v>
      </c>
      <c r="CU1355" s="4">
        <v>8.4000000000000005E-2</v>
      </c>
      <c r="CV1355" s="4" t="s">
        <v>271</v>
      </c>
      <c r="CW1355" s="4" t="s">
        <v>415</v>
      </c>
      <c r="CX1355" s="4" t="s">
        <v>2565</v>
      </c>
      <c r="CY1355" s="6">
        <f>0</f>
        <v>0</v>
      </c>
      <c r="CZ1355" s="6">
        <f>520300</f>
        <v>520300</v>
      </c>
      <c r="DA1355" s="6">
        <f>1</f>
        <v>1</v>
      </c>
      <c r="DC1355" s="4" t="s">
        <v>241</v>
      </c>
      <c r="DD1355" s="4" t="s">
        <v>241</v>
      </c>
      <c r="DF1355" s="4" t="s">
        <v>241</v>
      </c>
      <c r="DG1355" s="6">
        <f>0</f>
        <v>0</v>
      </c>
      <c r="DI1355" s="4" t="s">
        <v>241</v>
      </c>
      <c r="DJ1355" s="4" t="s">
        <v>241</v>
      </c>
      <c r="DK1355" s="4" t="s">
        <v>241</v>
      </c>
      <c r="DL1355" s="4" t="s">
        <v>241</v>
      </c>
      <c r="DM1355" s="4" t="s">
        <v>278</v>
      </c>
      <c r="DN1355" s="4" t="s">
        <v>278</v>
      </c>
      <c r="DO1355" s="6" t="s">
        <v>241</v>
      </c>
      <c r="DP1355" s="4" t="s">
        <v>241</v>
      </c>
      <c r="DQ1355" s="4" t="s">
        <v>241</v>
      </c>
      <c r="DR1355" s="4" t="s">
        <v>241</v>
      </c>
      <c r="DS1355" s="4" t="s">
        <v>241</v>
      </c>
      <c r="DV1355" s="4" t="s">
        <v>534</v>
      </c>
      <c r="DW1355" s="4" t="s">
        <v>323</v>
      </c>
      <c r="GN1355" s="4" t="s">
        <v>2566</v>
      </c>
      <c r="HO1355" s="4" t="s">
        <v>323</v>
      </c>
      <c r="HR1355" s="4" t="s">
        <v>278</v>
      </c>
      <c r="HS1355" s="4" t="s">
        <v>278</v>
      </c>
      <c r="HT1355" s="4" t="s">
        <v>241</v>
      </c>
      <c r="HU1355" s="4" t="s">
        <v>241</v>
      </c>
      <c r="HV1355" s="4" t="s">
        <v>241</v>
      </c>
      <c r="HW1355" s="4" t="s">
        <v>241</v>
      </c>
      <c r="HX1355" s="4" t="s">
        <v>241</v>
      </c>
      <c r="HY1355" s="4" t="s">
        <v>241</v>
      </c>
      <c r="HZ1355" s="4" t="s">
        <v>241</v>
      </c>
      <c r="IA1355" s="4" t="s">
        <v>241</v>
      </c>
      <c r="IB1355" s="4" t="s">
        <v>241</v>
      </c>
      <c r="IC1355" s="4" t="s">
        <v>241</v>
      </c>
      <c r="ID1355" s="4" t="s">
        <v>241</v>
      </c>
      <c r="IE1355" s="4" t="s">
        <v>241</v>
      </c>
      <c r="IF1355" s="4" t="s">
        <v>241</v>
      </c>
    </row>
    <row r="1356" spans="1:240" x14ac:dyDescent="0.4">
      <c r="A1356" s="4">
        <v>2</v>
      </c>
      <c r="B1356" s="4" t="s">
        <v>239</v>
      </c>
      <c r="C1356" s="4">
        <v>1670</v>
      </c>
      <c r="D1356" s="4">
        <v>1</v>
      </c>
      <c r="E1356" s="4">
        <v>1</v>
      </c>
      <c r="F1356" s="4" t="s">
        <v>240</v>
      </c>
      <c r="G1356" s="4" t="s">
        <v>241</v>
      </c>
      <c r="H1356" s="4" t="s">
        <v>241</v>
      </c>
      <c r="I1356" s="4" t="s">
        <v>1783</v>
      </c>
      <c r="J1356" s="4" t="s">
        <v>328</v>
      </c>
      <c r="K1356" s="4" t="s">
        <v>256</v>
      </c>
      <c r="L1356" s="4" t="s">
        <v>340</v>
      </c>
      <c r="M1356" s="5" t="s">
        <v>1784</v>
      </c>
      <c r="N1356" s="4" t="s">
        <v>340</v>
      </c>
      <c r="O1356" s="6">
        <f>11.47</f>
        <v>11.47</v>
      </c>
      <c r="P1356" s="4" t="s">
        <v>276</v>
      </c>
      <c r="Q1356" s="6">
        <f>1</f>
        <v>1</v>
      </c>
      <c r="R1356" s="6">
        <f>1089650</f>
        <v>1089650</v>
      </c>
      <c r="S1356" s="5" t="s">
        <v>248</v>
      </c>
      <c r="T1356" s="4" t="s">
        <v>348</v>
      </c>
      <c r="U1356" s="4" t="s">
        <v>275</v>
      </c>
      <c r="W1356" s="6">
        <f>1089649</f>
        <v>1089649</v>
      </c>
      <c r="X1356" s="4" t="s">
        <v>243</v>
      </c>
      <c r="Y1356" s="4" t="s">
        <v>244</v>
      </c>
      <c r="Z1356" s="4" t="s">
        <v>282</v>
      </c>
      <c r="AA1356" s="4" t="s">
        <v>241</v>
      </c>
      <c r="AD1356" s="4" t="s">
        <v>241</v>
      </c>
      <c r="AF1356" s="5" t="s">
        <v>241</v>
      </c>
      <c r="AI1356" s="5" t="s">
        <v>249</v>
      </c>
      <c r="AJ1356" s="4" t="s">
        <v>251</v>
      </c>
      <c r="AK1356" s="4" t="s">
        <v>252</v>
      </c>
      <c r="BA1356" s="4" t="s">
        <v>254</v>
      </c>
      <c r="BB1356" s="4" t="s">
        <v>241</v>
      </c>
      <c r="BC1356" s="4" t="s">
        <v>255</v>
      </c>
      <c r="BD1356" s="4" t="s">
        <v>241</v>
      </c>
      <c r="BE1356" s="4" t="s">
        <v>257</v>
      </c>
      <c r="BF1356" s="4" t="s">
        <v>241</v>
      </c>
      <c r="BH1356" s="4" t="s">
        <v>500</v>
      </c>
      <c r="BJ1356" s="4" t="s">
        <v>259</v>
      </c>
      <c r="BK1356" s="5" t="s">
        <v>260</v>
      </c>
      <c r="BL1356" s="4" t="s">
        <v>261</v>
      </c>
      <c r="BM1356" s="4" t="s">
        <v>262</v>
      </c>
      <c r="BN1356" s="4" t="s">
        <v>241</v>
      </c>
      <c r="BO1356" s="6">
        <f>0</f>
        <v>0</v>
      </c>
      <c r="BP1356" s="6">
        <f>0</f>
        <v>0</v>
      </c>
      <c r="BQ1356" s="4" t="s">
        <v>263</v>
      </c>
      <c r="BR1356" s="4" t="s">
        <v>264</v>
      </c>
      <c r="CF1356" s="4" t="s">
        <v>241</v>
      </c>
      <c r="CG1356" s="4" t="s">
        <v>241</v>
      </c>
      <c r="CK1356" s="4" t="s">
        <v>265</v>
      </c>
      <c r="CL1356" s="4" t="s">
        <v>266</v>
      </c>
      <c r="CM1356" s="4" t="s">
        <v>241</v>
      </c>
      <c r="CO1356" s="4" t="s">
        <v>267</v>
      </c>
      <c r="CP1356" s="5" t="s">
        <v>268</v>
      </c>
      <c r="CQ1356" s="4" t="s">
        <v>269</v>
      </c>
      <c r="CR1356" s="4" t="s">
        <v>270</v>
      </c>
      <c r="CS1356" s="4" t="s">
        <v>241</v>
      </c>
      <c r="CT1356" s="4" t="s">
        <v>241</v>
      </c>
      <c r="CU1356" s="4">
        <v>0</v>
      </c>
      <c r="CV1356" s="4" t="s">
        <v>271</v>
      </c>
      <c r="CW1356" s="4" t="s">
        <v>332</v>
      </c>
      <c r="CX1356" s="4" t="s">
        <v>347</v>
      </c>
      <c r="CZ1356" s="6">
        <f>1089650</f>
        <v>1089650</v>
      </c>
      <c r="DA1356" s="6">
        <f>0</f>
        <v>0</v>
      </c>
      <c r="DC1356" s="4" t="s">
        <v>241</v>
      </c>
      <c r="DD1356" s="4" t="s">
        <v>241</v>
      </c>
      <c r="DF1356" s="4" t="s">
        <v>241</v>
      </c>
      <c r="DI1356" s="4" t="s">
        <v>241</v>
      </c>
      <c r="DJ1356" s="4" t="s">
        <v>241</v>
      </c>
      <c r="DK1356" s="4" t="s">
        <v>241</v>
      </c>
      <c r="DL1356" s="4" t="s">
        <v>241</v>
      </c>
      <c r="DM1356" s="4" t="s">
        <v>277</v>
      </c>
      <c r="DN1356" s="4" t="s">
        <v>278</v>
      </c>
      <c r="DO1356" s="6">
        <f>11.47</f>
        <v>11.47</v>
      </c>
      <c r="DP1356" s="4" t="s">
        <v>241</v>
      </c>
      <c r="DQ1356" s="4" t="s">
        <v>241</v>
      </c>
      <c r="DR1356" s="4" t="s">
        <v>241</v>
      </c>
      <c r="DS1356" s="4" t="s">
        <v>241</v>
      </c>
      <c r="DV1356" s="4" t="s">
        <v>1785</v>
      </c>
      <c r="DW1356" s="4" t="s">
        <v>277</v>
      </c>
      <c r="HO1356" s="4" t="s">
        <v>277</v>
      </c>
      <c r="HR1356" s="4" t="s">
        <v>278</v>
      </c>
      <c r="HS1356" s="4" t="s">
        <v>278</v>
      </c>
    </row>
    <row r="1357" spans="1:240" x14ac:dyDescent="0.4">
      <c r="A1357" s="4">
        <v>2</v>
      </c>
      <c r="B1357" s="4" t="s">
        <v>239</v>
      </c>
      <c r="C1357" s="4">
        <v>1671</v>
      </c>
      <c r="D1357" s="4">
        <v>1</v>
      </c>
      <c r="E1357" s="4">
        <v>3</v>
      </c>
      <c r="F1357" s="4" t="s">
        <v>240</v>
      </c>
      <c r="G1357" s="4" t="s">
        <v>241</v>
      </c>
      <c r="H1357" s="4" t="s">
        <v>241</v>
      </c>
      <c r="I1357" s="4" t="s">
        <v>1233</v>
      </c>
      <c r="J1357" s="4" t="s">
        <v>328</v>
      </c>
      <c r="K1357" s="4" t="s">
        <v>256</v>
      </c>
      <c r="L1357" s="4" t="s">
        <v>1174</v>
      </c>
      <c r="M1357" s="5" t="s">
        <v>1234</v>
      </c>
      <c r="N1357" s="4" t="s">
        <v>1174</v>
      </c>
      <c r="O1357" s="6">
        <f>441.43</f>
        <v>441.43</v>
      </c>
      <c r="P1357" s="4" t="s">
        <v>276</v>
      </c>
      <c r="Q1357" s="6">
        <f>44200402</f>
        <v>44200402</v>
      </c>
      <c r="R1357" s="6">
        <f>142581890</f>
        <v>142581890</v>
      </c>
      <c r="S1357" s="5" t="s">
        <v>1237</v>
      </c>
      <c r="T1357" s="4" t="s">
        <v>357</v>
      </c>
      <c r="U1357" s="4" t="s">
        <v>314</v>
      </c>
      <c r="V1357" s="6">
        <f>4277456</f>
        <v>4277456</v>
      </c>
      <c r="W1357" s="6">
        <f>98381488</f>
        <v>98381488</v>
      </c>
      <c r="X1357" s="4" t="s">
        <v>243</v>
      </c>
      <c r="Y1357" s="4" t="s">
        <v>244</v>
      </c>
      <c r="Z1357" s="4" t="s">
        <v>282</v>
      </c>
      <c r="AA1357" s="4" t="s">
        <v>241</v>
      </c>
      <c r="AD1357" s="4" t="s">
        <v>241</v>
      </c>
      <c r="AE1357" s="5" t="s">
        <v>241</v>
      </c>
      <c r="AF1357" s="5" t="s">
        <v>241</v>
      </c>
      <c r="AH1357" s="5" t="s">
        <v>241</v>
      </c>
      <c r="AI1357" s="5" t="s">
        <v>249</v>
      </c>
      <c r="AJ1357" s="4" t="s">
        <v>251</v>
      </c>
      <c r="AK1357" s="4" t="s">
        <v>252</v>
      </c>
      <c r="AQ1357" s="4" t="s">
        <v>241</v>
      </c>
      <c r="AR1357" s="4" t="s">
        <v>241</v>
      </c>
      <c r="AS1357" s="4" t="s">
        <v>241</v>
      </c>
      <c r="AT1357" s="5" t="s">
        <v>241</v>
      </c>
      <c r="AU1357" s="5" t="s">
        <v>241</v>
      </c>
      <c r="AV1357" s="5" t="s">
        <v>241</v>
      </c>
      <c r="AY1357" s="4" t="s">
        <v>286</v>
      </c>
      <c r="AZ1357" s="4" t="s">
        <v>286</v>
      </c>
      <c r="BA1357" s="4" t="s">
        <v>254</v>
      </c>
      <c r="BB1357" s="4" t="s">
        <v>287</v>
      </c>
      <c r="BC1357" s="4" t="s">
        <v>255</v>
      </c>
      <c r="BD1357" s="4" t="s">
        <v>241</v>
      </c>
      <c r="BE1357" s="4" t="s">
        <v>257</v>
      </c>
      <c r="BF1357" s="4" t="s">
        <v>241</v>
      </c>
      <c r="BH1357" s="4" t="s">
        <v>500</v>
      </c>
      <c r="BJ1357" s="4" t="s">
        <v>288</v>
      </c>
      <c r="BK1357" s="5" t="s">
        <v>289</v>
      </c>
      <c r="BL1357" s="4" t="s">
        <v>290</v>
      </c>
      <c r="BM1357" s="4" t="s">
        <v>290</v>
      </c>
      <c r="BN1357" s="4" t="s">
        <v>241</v>
      </c>
      <c r="BO1357" s="6">
        <f>0</f>
        <v>0</v>
      </c>
      <c r="BP1357" s="6">
        <f>-4277456</f>
        <v>-4277456</v>
      </c>
      <c r="BQ1357" s="4" t="s">
        <v>263</v>
      </c>
      <c r="BR1357" s="4" t="s">
        <v>264</v>
      </c>
      <c r="BS1357" s="4" t="s">
        <v>241</v>
      </c>
      <c r="BT1357" s="4" t="s">
        <v>241</v>
      </c>
      <c r="BU1357" s="4" t="s">
        <v>241</v>
      </c>
      <c r="BV1357" s="4" t="s">
        <v>241</v>
      </c>
      <c r="CE1357" s="4" t="s">
        <v>264</v>
      </c>
      <c r="CF1357" s="4" t="s">
        <v>241</v>
      </c>
      <c r="CG1357" s="4" t="s">
        <v>241</v>
      </c>
      <c r="CK1357" s="4" t="s">
        <v>291</v>
      </c>
      <c r="CL1357" s="4" t="s">
        <v>266</v>
      </c>
      <c r="CM1357" s="4" t="s">
        <v>241</v>
      </c>
      <c r="CO1357" s="4" t="s">
        <v>313</v>
      </c>
      <c r="CP1357" s="5" t="s">
        <v>268</v>
      </c>
      <c r="CQ1357" s="4" t="s">
        <v>269</v>
      </c>
      <c r="CR1357" s="4" t="s">
        <v>270</v>
      </c>
      <c r="CS1357" s="4" t="s">
        <v>293</v>
      </c>
      <c r="CT1357" s="4" t="s">
        <v>241</v>
      </c>
      <c r="CU1357" s="4">
        <v>0.03</v>
      </c>
      <c r="CV1357" s="4" t="s">
        <v>271</v>
      </c>
      <c r="CW1357" s="4" t="s">
        <v>1176</v>
      </c>
      <c r="CX1357" s="4" t="s">
        <v>487</v>
      </c>
      <c r="CY1357" s="6">
        <f>0</f>
        <v>0</v>
      </c>
      <c r="CZ1357" s="6">
        <f>142581890</f>
        <v>142581890</v>
      </c>
      <c r="DA1357" s="6">
        <f>44200402</f>
        <v>44200402</v>
      </c>
      <c r="DC1357" s="4" t="s">
        <v>241</v>
      </c>
      <c r="DD1357" s="4" t="s">
        <v>241</v>
      </c>
      <c r="DF1357" s="4" t="s">
        <v>241</v>
      </c>
      <c r="DG1357" s="6">
        <f>0</f>
        <v>0</v>
      </c>
      <c r="DI1357" s="4" t="s">
        <v>241</v>
      </c>
      <c r="DJ1357" s="4" t="s">
        <v>241</v>
      </c>
      <c r="DK1357" s="4" t="s">
        <v>241</v>
      </c>
      <c r="DL1357" s="4" t="s">
        <v>241</v>
      </c>
      <c r="DM1357" s="4" t="s">
        <v>277</v>
      </c>
      <c r="DN1357" s="4" t="s">
        <v>278</v>
      </c>
      <c r="DO1357" s="6">
        <f>441.43</f>
        <v>441.43</v>
      </c>
      <c r="DP1357" s="4" t="s">
        <v>241</v>
      </c>
      <c r="DQ1357" s="4" t="s">
        <v>241</v>
      </c>
      <c r="DR1357" s="4" t="s">
        <v>241</v>
      </c>
      <c r="DS1357" s="4" t="s">
        <v>241</v>
      </c>
      <c r="DV1357" s="4" t="s">
        <v>1235</v>
      </c>
      <c r="DW1357" s="4" t="s">
        <v>277</v>
      </c>
      <c r="GN1357" s="4" t="s">
        <v>1238</v>
      </c>
      <c r="HO1357" s="4" t="s">
        <v>341</v>
      </c>
      <c r="HR1357" s="4" t="s">
        <v>278</v>
      </c>
      <c r="HS1357" s="4" t="s">
        <v>278</v>
      </c>
      <c r="HT1357" s="4" t="s">
        <v>241</v>
      </c>
      <c r="HU1357" s="4" t="s">
        <v>241</v>
      </c>
      <c r="HV1357" s="4" t="s">
        <v>241</v>
      </c>
      <c r="HW1357" s="4" t="s">
        <v>241</v>
      </c>
      <c r="HX1357" s="4" t="s">
        <v>241</v>
      </c>
      <c r="HY1357" s="4" t="s">
        <v>241</v>
      </c>
      <c r="HZ1357" s="4" t="s">
        <v>241</v>
      </c>
      <c r="IA1357" s="4" t="s">
        <v>241</v>
      </c>
      <c r="IB1357" s="4" t="s">
        <v>241</v>
      </c>
      <c r="IC1357" s="4" t="s">
        <v>241</v>
      </c>
      <c r="ID1357" s="4" t="s">
        <v>241</v>
      </c>
      <c r="IE1357" s="4" t="s">
        <v>241</v>
      </c>
      <c r="IF1357" s="4" t="s">
        <v>241</v>
      </c>
    </row>
    <row r="1358" spans="1:240" x14ac:dyDescent="0.4">
      <c r="A1358" s="4">
        <v>2</v>
      </c>
      <c r="B1358" s="4" t="s">
        <v>239</v>
      </c>
      <c r="C1358" s="4">
        <v>1672</v>
      </c>
      <c r="D1358" s="4">
        <v>1</v>
      </c>
      <c r="E1358" s="4">
        <v>1</v>
      </c>
      <c r="F1358" s="4" t="s">
        <v>240</v>
      </c>
      <c r="G1358" s="4" t="s">
        <v>241</v>
      </c>
      <c r="H1358" s="4" t="s">
        <v>241</v>
      </c>
      <c r="I1358" s="4" t="s">
        <v>1233</v>
      </c>
      <c r="J1358" s="4" t="s">
        <v>328</v>
      </c>
      <c r="K1358" s="4" t="s">
        <v>256</v>
      </c>
      <c r="L1358" s="4" t="s">
        <v>340</v>
      </c>
      <c r="M1358" s="5" t="s">
        <v>1234</v>
      </c>
      <c r="N1358" s="4" t="s">
        <v>340</v>
      </c>
      <c r="O1358" s="6">
        <f>9.94</f>
        <v>9.94</v>
      </c>
      <c r="P1358" s="4" t="s">
        <v>276</v>
      </c>
      <c r="Q1358" s="6">
        <f>1</f>
        <v>1</v>
      </c>
      <c r="R1358" s="6">
        <f>1461180</f>
        <v>1461180</v>
      </c>
      <c r="S1358" s="5" t="s">
        <v>1237</v>
      </c>
      <c r="T1358" s="4" t="s">
        <v>348</v>
      </c>
      <c r="U1358" s="4" t="s">
        <v>401</v>
      </c>
      <c r="W1358" s="6">
        <f>1461179</f>
        <v>1461179</v>
      </c>
      <c r="X1358" s="4" t="s">
        <v>243</v>
      </c>
      <c r="Y1358" s="4" t="s">
        <v>244</v>
      </c>
      <c r="Z1358" s="4" t="s">
        <v>282</v>
      </c>
      <c r="AA1358" s="4" t="s">
        <v>241</v>
      </c>
      <c r="AD1358" s="4" t="s">
        <v>241</v>
      </c>
      <c r="AF1358" s="5" t="s">
        <v>241</v>
      </c>
      <c r="AI1358" s="5" t="s">
        <v>249</v>
      </c>
      <c r="AJ1358" s="4" t="s">
        <v>251</v>
      </c>
      <c r="AK1358" s="4" t="s">
        <v>252</v>
      </c>
      <c r="BA1358" s="4" t="s">
        <v>254</v>
      </c>
      <c r="BB1358" s="4" t="s">
        <v>241</v>
      </c>
      <c r="BC1358" s="4" t="s">
        <v>255</v>
      </c>
      <c r="BD1358" s="4" t="s">
        <v>241</v>
      </c>
      <c r="BE1358" s="4" t="s">
        <v>257</v>
      </c>
      <c r="BF1358" s="4" t="s">
        <v>241</v>
      </c>
      <c r="BJ1358" s="4" t="s">
        <v>374</v>
      </c>
      <c r="BK1358" s="5" t="s">
        <v>375</v>
      </c>
      <c r="BL1358" s="4" t="s">
        <v>261</v>
      </c>
      <c r="BM1358" s="4" t="s">
        <v>262</v>
      </c>
      <c r="BN1358" s="4" t="s">
        <v>241</v>
      </c>
      <c r="BO1358" s="6">
        <f>0</f>
        <v>0</v>
      </c>
      <c r="BP1358" s="6">
        <f>0</f>
        <v>0</v>
      </c>
      <c r="BQ1358" s="4" t="s">
        <v>263</v>
      </c>
      <c r="BR1358" s="4" t="s">
        <v>264</v>
      </c>
      <c r="CF1358" s="4" t="s">
        <v>241</v>
      </c>
      <c r="CG1358" s="4" t="s">
        <v>241</v>
      </c>
      <c r="CK1358" s="4" t="s">
        <v>291</v>
      </c>
      <c r="CL1358" s="4" t="s">
        <v>266</v>
      </c>
      <c r="CM1358" s="4" t="s">
        <v>241</v>
      </c>
      <c r="CO1358" s="4" t="s">
        <v>313</v>
      </c>
      <c r="CP1358" s="5" t="s">
        <v>268</v>
      </c>
      <c r="CQ1358" s="4" t="s">
        <v>269</v>
      </c>
      <c r="CR1358" s="4" t="s">
        <v>270</v>
      </c>
      <c r="CS1358" s="4" t="s">
        <v>241</v>
      </c>
      <c r="CT1358" s="4" t="s">
        <v>241</v>
      </c>
      <c r="CU1358" s="4">
        <v>0</v>
      </c>
      <c r="CV1358" s="4" t="s">
        <v>271</v>
      </c>
      <c r="CW1358" s="4" t="s">
        <v>332</v>
      </c>
      <c r="CX1358" s="4" t="s">
        <v>347</v>
      </c>
      <c r="CZ1358" s="6">
        <f>1461180</f>
        <v>1461180</v>
      </c>
      <c r="DA1358" s="6">
        <f>0</f>
        <v>0</v>
      </c>
      <c r="DC1358" s="4" t="s">
        <v>241</v>
      </c>
      <c r="DD1358" s="4" t="s">
        <v>241</v>
      </c>
      <c r="DF1358" s="4" t="s">
        <v>241</v>
      </c>
      <c r="DI1358" s="4" t="s">
        <v>241</v>
      </c>
      <c r="DJ1358" s="4" t="s">
        <v>241</v>
      </c>
      <c r="DK1358" s="4" t="s">
        <v>241</v>
      </c>
      <c r="DL1358" s="4" t="s">
        <v>241</v>
      </c>
      <c r="DM1358" s="4" t="s">
        <v>277</v>
      </c>
      <c r="DN1358" s="4" t="s">
        <v>278</v>
      </c>
      <c r="DO1358" s="6">
        <f>9.94</f>
        <v>9.94</v>
      </c>
      <c r="DP1358" s="4" t="s">
        <v>241</v>
      </c>
      <c r="DQ1358" s="4" t="s">
        <v>241</v>
      </c>
      <c r="DR1358" s="4" t="s">
        <v>241</v>
      </c>
      <c r="DS1358" s="4" t="s">
        <v>241</v>
      </c>
      <c r="DV1358" s="4" t="s">
        <v>1235</v>
      </c>
      <c r="DW1358" s="4" t="s">
        <v>323</v>
      </c>
      <c r="HO1358" s="4" t="s">
        <v>277</v>
      </c>
      <c r="HR1358" s="4" t="s">
        <v>278</v>
      </c>
      <c r="HS1358" s="4" t="s">
        <v>278</v>
      </c>
    </row>
    <row r="1359" spans="1:240" x14ac:dyDescent="0.4">
      <c r="A1359" s="4">
        <v>2</v>
      </c>
      <c r="B1359" s="4" t="s">
        <v>239</v>
      </c>
      <c r="C1359" s="4">
        <v>1673</v>
      </c>
      <c r="D1359" s="4">
        <v>1</v>
      </c>
      <c r="E1359" s="4">
        <v>1</v>
      </c>
      <c r="F1359" s="4" t="s">
        <v>240</v>
      </c>
      <c r="G1359" s="4" t="s">
        <v>241</v>
      </c>
      <c r="H1359" s="4" t="s">
        <v>241</v>
      </c>
      <c r="I1359" s="4" t="s">
        <v>1233</v>
      </c>
      <c r="J1359" s="4" t="s">
        <v>328</v>
      </c>
      <c r="K1359" s="4" t="s">
        <v>256</v>
      </c>
      <c r="L1359" s="4" t="s">
        <v>429</v>
      </c>
      <c r="M1359" s="5" t="s">
        <v>1234</v>
      </c>
      <c r="N1359" s="4" t="s">
        <v>429</v>
      </c>
      <c r="O1359" s="6">
        <f>6.55</f>
        <v>6.55</v>
      </c>
      <c r="P1359" s="4" t="s">
        <v>276</v>
      </c>
      <c r="Q1359" s="6">
        <f>1</f>
        <v>1</v>
      </c>
      <c r="R1359" s="6">
        <f>596050</f>
        <v>596050</v>
      </c>
      <c r="S1359" s="5" t="s">
        <v>1237</v>
      </c>
      <c r="T1359" s="4" t="s">
        <v>348</v>
      </c>
      <c r="U1359" s="4" t="s">
        <v>401</v>
      </c>
      <c r="W1359" s="6">
        <f>596049</f>
        <v>596049</v>
      </c>
      <c r="X1359" s="4" t="s">
        <v>243</v>
      </c>
      <c r="Y1359" s="4" t="s">
        <v>244</v>
      </c>
      <c r="Z1359" s="4" t="s">
        <v>282</v>
      </c>
      <c r="AA1359" s="4" t="s">
        <v>241</v>
      </c>
      <c r="AD1359" s="4" t="s">
        <v>241</v>
      </c>
      <c r="AF1359" s="5" t="s">
        <v>241</v>
      </c>
      <c r="AI1359" s="5" t="s">
        <v>249</v>
      </c>
      <c r="AJ1359" s="4" t="s">
        <v>251</v>
      </c>
      <c r="AK1359" s="4" t="s">
        <v>252</v>
      </c>
      <c r="BA1359" s="4" t="s">
        <v>254</v>
      </c>
      <c r="BB1359" s="4" t="s">
        <v>241</v>
      </c>
      <c r="BC1359" s="4" t="s">
        <v>255</v>
      </c>
      <c r="BD1359" s="4" t="s">
        <v>241</v>
      </c>
      <c r="BE1359" s="4" t="s">
        <v>257</v>
      </c>
      <c r="BF1359" s="4" t="s">
        <v>241</v>
      </c>
      <c r="BJ1359" s="4" t="s">
        <v>377</v>
      </c>
      <c r="BK1359" s="5" t="s">
        <v>378</v>
      </c>
      <c r="BL1359" s="4" t="s">
        <v>261</v>
      </c>
      <c r="BM1359" s="4" t="s">
        <v>262</v>
      </c>
      <c r="BN1359" s="4" t="s">
        <v>241</v>
      </c>
      <c r="BO1359" s="6">
        <f>0</f>
        <v>0</v>
      </c>
      <c r="BP1359" s="6">
        <f>0</f>
        <v>0</v>
      </c>
      <c r="BQ1359" s="4" t="s">
        <v>263</v>
      </c>
      <c r="BR1359" s="4" t="s">
        <v>264</v>
      </c>
      <c r="CF1359" s="4" t="s">
        <v>241</v>
      </c>
      <c r="CG1359" s="4" t="s">
        <v>241</v>
      </c>
      <c r="CK1359" s="4" t="s">
        <v>291</v>
      </c>
      <c r="CL1359" s="4" t="s">
        <v>266</v>
      </c>
      <c r="CM1359" s="4" t="s">
        <v>241</v>
      </c>
      <c r="CO1359" s="4" t="s">
        <v>313</v>
      </c>
      <c r="CP1359" s="5" t="s">
        <v>268</v>
      </c>
      <c r="CQ1359" s="4" t="s">
        <v>269</v>
      </c>
      <c r="CR1359" s="4" t="s">
        <v>270</v>
      </c>
      <c r="CS1359" s="4" t="s">
        <v>241</v>
      </c>
      <c r="CT1359" s="4" t="s">
        <v>241</v>
      </c>
      <c r="CU1359" s="4">
        <v>0</v>
      </c>
      <c r="CV1359" s="4" t="s">
        <v>271</v>
      </c>
      <c r="CW1359" s="4" t="s">
        <v>272</v>
      </c>
      <c r="CX1359" s="4" t="s">
        <v>347</v>
      </c>
      <c r="CZ1359" s="6">
        <f>596050</f>
        <v>596050</v>
      </c>
      <c r="DA1359" s="6">
        <f>0</f>
        <v>0</v>
      </c>
      <c r="DC1359" s="4" t="s">
        <v>241</v>
      </c>
      <c r="DD1359" s="4" t="s">
        <v>241</v>
      </c>
      <c r="DF1359" s="4" t="s">
        <v>241</v>
      </c>
      <c r="DI1359" s="4" t="s">
        <v>241</v>
      </c>
      <c r="DJ1359" s="4" t="s">
        <v>241</v>
      </c>
      <c r="DK1359" s="4" t="s">
        <v>241</v>
      </c>
      <c r="DL1359" s="4" t="s">
        <v>241</v>
      </c>
      <c r="DM1359" s="4" t="s">
        <v>277</v>
      </c>
      <c r="DN1359" s="4" t="s">
        <v>278</v>
      </c>
      <c r="DO1359" s="6">
        <f>6.55</f>
        <v>6.55</v>
      </c>
      <c r="DP1359" s="4" t="s">
        <v>241</v>
      </c>
      <c r="DQ1359" s="4" t="s">
        <v>241</v>
      </c>
      <c r="DR1359" s="4" t="s">
        <v>241</v>
      </c>
      <c r="DS1359" s="4" t="s">
        <v>241</v>
      </c>
      <c r="DV1359" s="4" t="s">
        <v>1235</v>
      </c>
      <c r="DW1359" s="4" t="s">
        <v>297</v>
      </c>
      <c r="HO1359" s="4" t="s">
        <v>277</v>
      </c>
      <c r="HR1359" s="4" t="s">
        <v>278</v>
      </c>
      <c r="HS1359" s="4" t="s">
        <v>278</v>
      </c>
    </row>
    <row r="1360" spans="1:240" x14ac:dyDescent="0.4">
      <c r="A1360" s="4">
        <v>2</v>
      </c>
      <c r="B1360" s="4" t="s">
        <v>239</v>
      </c>
      <c r="C1360" s="4">
        <v>1674</v>
      </c>
      <c r="D1360" s="4">
        <v>1</v>
      </c>
      <c r="E1360" s="4">
        <v>3</v>
      </c>
      <c r="F1360" s="4" t="s">
        <v>326</v>
      </c>
      <c r="G1360" s="4" t="s">
        <v>241</v>
      </c>
      <c r="H1360" s="4" t="s">
        <v>241</v>
      </c>
      <c r="I1360" s="4" t="s">
        <v>1233</v>
      </c>
      <c r="J1360" s="4" t="s">
        <v>328</v>
      </c>
      <c r="K1360" s="4" t="s">
        <v>256</v>
      </c>
      <c r="L1360" s="4" t="s">
        <v>241</v>
      </c>
      <c r="M1360" s="5" t="s">
        <v>1234</v>
      </c>
      <c r="N1360" s="4" t="s">
        <v>1232</v>
      </c>
      <c r="O1360" s="6">
        <f>449.84</f>
        <v>449.84</v>
      </c>
      <c r="P1360" s="4" t="s">
        <v>276</v>
      </c>
      <c r="Q1360" s="6">
        <f>18436347</f>
        <v>18436347</v>
      </c>
      <c r="R1360" s="6">
        <f>20259720</f>
        <v>20259720</v>
      </c>
      <c r="S1360" s="5" t="s">
        <v>260</v>
      </c>
      <c r="T1360" s="4" t="s">
        <v>357</v>
      </c>
      <c r="U1360" s="4" t="s">
        <v>323</v>
      </c>
      <c r="V1360" s="6">
        <f>607791</f>
        <v>607791</v>
      </c>
      <c r="W1360" s="6">
        <f>1823373</f>
        <v>1823373</v>
      </c>
      <c r="X1360" s="4" t="s">
        <v>243</v>
      </c>
      <c r="Y1360" s="4" t="s">
        <v>244</v>
      </c>
      <c r="Z1360" s="4" t="s">
        <v>241</v>
      </c>
      <c r="AA1360" s="4" t="s">
        <v>241</v>
      </c>
      <c r="AD1360" s="4" t="s">
        <v>241</v>
      </c>
      <c r="AE1360" s="5" t="s">
        <v>241</v>
      </c>
      <c r="AF1360" s="5" t="s">
        <v>241</v>
      </c>
      <c r="AH1360" s="5" t="s">
        <v>241</v>
      </c>
      <c r="AI1360" s="5" t="s">
        <v>249</v>
      </c>
      <c r="AJ1360" s="4" t="s">
        <v>251</v>
      </c>
      <c r="AK1360" s="4" t="s">
        <v>252</v>
      </c>
      <c r="AQ1360" s="4" t="s">
        <v>241</v>
      </c>
      <c r="AR1360" s="4" t="s">
        <v>241</v>
      </c>
      <c r="AS1360" s="4" t="s">
        <v>241</v>
      </c>
      <c r="AT1360" s="5" t="s">
        <v>241</v>
      </c>
      <c r="AU1360" s="5" t="s">
        <v>241</v>
      </c>
      <c r="AV1360" s="5" t="s">
        <v>241</v>
      </c>
      <c r="AY1360" s="4" t="s">
        <v>286</v>
      </c>
      <c r="AZ1360" s="4" t="s">
        <v>286</v>
      </c>
      <c r="BA1360" s="4" t="s">
        <v>254</v>
      </c>
      <c r="BB1360" s="4" t="s">
        <v>287</v>
      </c>
      <c r="BC1360" s="4" t="s">
        <v>255</v>
      </c>
      <c r="BD1360" s="4" t="s">
        <v>241</v>
      </c>
      <c r="BE1360" s="4" t="s">
        <v>257</v>
      </c>
      <c r="BF1360" s="4" t="s">
        <v>241</v>
      </c>
      <c r="BJ1360" s="4" t="s">
        <v>288</v>
      </c>
      <c r="BK1360" s="5" t="s">
        <v>289</v>
      </c>
      <c r="BL1360" s="4" t="s">
        <v>290</v>
      </c>
      <c r="BM1360" s="4" t="s">
        <v>290</v>
      </c>
      <c r="BN1360" s="4" t="s">
        <v>241</v>
      </c>
      <c r="BO1360" s="6">
        <f>0</f>
        <v>0</v>
      </c>
      <c r="BP1360" s="6">
        <f>-607791</f>
        <v>-607791</v>
      </c>
      <c r="BQ1360" s="4" t="s">
        <v>263</v>
      </c>
      <c r="BR1360" s="4" t="s">
        <v>264</v>
      </c>
      <c r="BS1360" s="4" t="s">
        <v>241</v>
      </c>
      <c r="BT1360" s="4" t="s">
        <v>241</v>
      </c>
      <c r="BU1360" s="4" t="s">
        <v>241</v>
      </c>
      <c r="BV1360" s="4" t="s">
        <v>241</v>
      </c>
      <c r="CE1360" s="4" t="s">
        <v>264</v>
      </c>
      <c r="CF1360" s="4" t="s">
        <v>241</v>
      </c>
      <c r="CG1360" s="4" t="s">
        <v>241</v>
      </c>
      <c r="CK1360" s="4" t="s">
        <v>291</v>
      </c>
      <c r="CL1360" s="4" t="s">
        <v>266</v>
      </c>
      <c r="CM1360" s="4" t="s">
        <v>241</v>
      </c>
      <c r="CO1360" s="4" t="s">
        <v>421</v>
      </c>
      <c r="CP1360" s="5" t="s">
        <v>268</v>
      </c>
      <c r="CQ1360" s="4" t="s">
        <v>269</v>
      </c>
      <c r="CR1360" s="4" t="s">
        <v>270</v>
      </c>
      <c r="CS1360" s="4" t="s">
        <v>293</v>
      </c>
      <c r="CT1360" s="4" t="s">
        <v>241</v>
      </c>
      <c r="CU1360" s="4">
        <v>0.03</v>
      </c>
      <c r="CV1360" s="4" t="s">
        <v>271</v>
      </c>
      <c r="CW1360" s="4" t="s">
        <v>1176</v>
      </c>
      <c r="CX1360" s="4" t="s">
        <v>487</v>
      </c>
      <c r="CY1360" s="6">
        <f>0</f>
        <v>0</v>
      </c>
      <c r="CZ1360" s="6">
        <f>20259720</f>
        <v>20259720</v>
      </c>
      <c r="DA1360" s="6">
        <f>18436347</f>
        <v>18436347</v>
      </c>
      <c r="DC1360" s="4" t="s">
        <v>241</v>
      </c>
      <c r="DD1360" s="4" t="s">
        <v>241</v>
      </c>
      <c r="DF1360" s="4" t="s">
        <v>241</v>
      </c>
      <c r="DG1360" s="6">
        <f>0</f>
        <v>0</v>
      </c>
      <c r="DI1360" s="4" t="s">
        <v>241</v>
      </c>
      <c r="DJ1360" s="4" t="s">
        <v>241</v>
      </c>
      <c r="DK1360" s="4" t="s">
        <v>241</v>
      </c>
      <c r="DL1360" s="4" t="s">
        <v>241</v>
      </c>
      <c r="DM1360" s="4" t="s">
        <v>278</v>
      </c>
      <c r="DN1360" s="4" t="s">
        <v>278</v>
      </c>
      <c r="DO1360" s="6">
        <f>449.84</f>
        <v>449.84</v>
      </c>
      <c r="DP1360" s="4" t="s">
        <v>241</v>
      </c>
      <c r="DQ1360" s="4" t="s">
        <v>241</v>
      </c>
      <c r="DR1360" s="4" t="s">
        <v>241</v>
      </c>
      <c r="DS1360" s="4" t="s">
        <v>241</v>
      </c>
      <c r="DV1360" s="4" t="s">
        <v>1235</v>
      </c>
      <c r="DW1360" s="4" t="s">
        <v>336</v>
      </c>
      <c r="GN1360" s="4" t="s">
        <v>1236</v>
      </c>
      <c r="HO1360" s="4" t="s">
        <v>351</v>
      </c>
      <c r="HR1360" s="4" t="s">
        <v>278</v>
      </c>
      <c r="HS1360" s="4" t="s">
        <v>278</v>
      </c>
      <c r="HT1360" s="4" t="s">
        <v>241</v>
      </c>
      <c r="HU1360" s="4" t="s">
        <v>241</v>
      </c>
      <c r="HV1360" s="4" t="s">
        <v>241</v>
      </c>
      <c r="HW1360" s="4" t="s">
        <v>241</v>
      </c>
      <c r="HX1360" s="4" t="s">
        <v>241</v>
      </c>
      <c r="HY1360" s="4" t="s">
        <v>241</v>
      </c>
      <c r="HZ1360" s="4" t="s">
        <v>241</v>
      </c>
      <c r="IA1360" s="4" t="s">
        <v>241</v>
      </c>
      <c r="IB1360" s="4" t="s">
        <v>241</v>
      </c>
      <c r="IC1360" s="4" t="s">
        <v>241</v>
      </c>
      <c r="ID1360" s="4" t="s">
        <v>241</v>
      </c>
      <c r="IE1360" s="4" t="s">
        <v>241</v>
      </c>
      <c r="IF1360" s="4" t="s">
        <v>241</v>
      </c>
    </row>
    <row r="1361" spans="1:240" x14ac:dyDescent="0.4">
      <c r="A1361" s="4">
        <v>2</v>
      </c>
      <c r="B1361" s="4" t="s">
        <v>239</v>
      </c>
      <c r="C1361" s="4">
        <v>1675</v>
      </c>
      <c r="D1361" s="4">
        <v>1</v>
      </c>
      <c r="E1361" s="4">
        <v>7</v>
      </c>
      <c r="F1361" s="4" t="s">
        <v>240</v>
      </c>
      <c r="G1361" s="4" t="s">
        <v>241</v>
      </c>
      <c r="H1361" s="4" t="s">
        <v>241</v>
      </c>
      <c r="I1361" s="4" t="s">
        <v>1763</v>
      </c>
      <c r="J1361" s="4" t="s">
        <v>458</v>
      </c>
      <c r="K1361" s="4" t="s">
        <v>256</v>
      </c>
      <c r="L1361" s="4" t="s">
        <v>340</v>
      </c>
      <c r="M1361" s="5" t="s">
        <v>1764</v>
      </c>
      <c r="N1361" s="4" t="s">
        <v>340</v>
      </c>
      <c r="O1361" s="6">
        <f>40.43</f>
        <v>40.43</v>
      </c>
      <c r="P1361" s="4" t="s">
        <v>276</v>
      </c>
      <c r="Q1361" s="6">
        <f>5150785</f>
        <v>5150785</v>
      </c>
      <c r="R1361" s="6">
        <f>15848560</f>
        <v>15848560</v>
      </c>
      <c r="S1361" s="5" t="s">
        <v>387</v>
      </c>
      <c r="T1361" s="4" t="s">
        <v>333</v>
      </c>
      <c r="U1361" s="4" t="s">
        <v>274</v>
      </c>
      <c r="V1361" s="6">
        <f>427911</f>
        <v>427911</v>
      </c>
      <c r="W1361" s="6">
        <f>10697775</f>
        <v>10697775</v>
      </c>
      <c r="X1361" s="4" t="s">
        <v>243</v>
      </c>
      <c r="Y1361" s="4" t="s">
        <v>244</v>
      </c>
      <c r="Z1361" s="4" t="s">
        <v>282</v>
      </c>
      <c r="AA1361" s="4" t="s">
        <v>241</v>
      </c>
      <c r="AD1361" s="4" t="s">
        <v>241</v>
      </c>
      <c r="AE1361" s="5" t="s">
        <v>241</v>
      </c>
      <c r="AF1361" s="5" t="s">
        <v>241</v>
      </c>
      <c r="AH1361" s="5" t="s">
        <v>241</v>
      </c>
      <c r="AI1361" s="5" t="s">
        <v>249</v>
      </c>
      <c r="AJ1361" s="4" t="s">
        <v>251</v>
      </c>
      <c r="AK1361" s="4" t="s">
        <v>252</v>
      </c>
      <c r="AQ1361" s="4" t="s">
        <v>241</v>
      </c>
      <c r="AR1361" s="4" t="s">
        <v>241</v>
      </c>
      <c r="AS1361" s="4" t="s">
        <v>241</v>
      </c>
      <c r="AT1361" s="5" t="s">
        <v>241</v>
      </c>
      <c r="AU1361" s="5" t="s">
        <v>241</v>
      </c>
      <c r="AV1361" s="5" t="s">
        <v>241</v>
      </c>
      <c r="AY1361" s="4" t="s">
        <v>286</v>
      </c>
      <c r="AZ1361" s="4" t="s">
        <v>286</v>
      </c>
      <c r="BA1361" s="4" t="s">
        <v>254</v>
      </c>
      <c r="BB1361" s="4" t="s">
        <v>287</v>
      </c>
      <c r="BC1361" s="4" t="s">
        <v>255</v>
      </c>
      <c r="BD1361" s="4" t="s">
        <v>241</v>
      </c>
      <c r="BE1361" s="4" t="s">
        <v>257</v>
      </c>
      <c r="BF1361" s="4" t="s">
        <v>241</v>
      </c>
      <c r="BH1361" s="4" t="s">
        <v>500</v>
      </c>
      <c r="BJ1361" s="4" t="s">
        <v>288</v>
      </c>
      <c r="BK1361" s="5" t="s">
        <v>289</v>
      </c>
      <c r="BL1361" s="4" t="s">
        <v>290</v>
      </c>
      <c r="BM1361" s="4" t="s">
        <v>290</v>
      </c>
      <c r="BN1361" s="4" t="s">
        <v>241</v>
      </c>
      <c r="BO1361" s="6">
        <f>0</f>
        <v>0</v>
      </c>
      <c r="BP1361" s="6">
        <f>-427911</f>
        <v>-427911</v>
      </c>
      <c r="BQ1361" s="4" t="s">
        <v>263</v>
      </c>
      <c r="BR1361" s="4" t="s">
        <v>264</v>
      </c>
      <c r="BS1361" s="4" t="s">
        <v>241</v>
      </c>
      <c r="BT1361" s="4" t="s">
        <v>241</v>
      </c>
      <c r="BU1361" s="4" t="s">
        <v>241</v>
      </c>
      <c r="BV1361" s="4" t="s">
        <v>241</v>
      </c>
      <c r="CE1361" s="4" t="s">
        <v>264</v>
      </c>
      <c r="CF1361" s="4" t="s">
        <v>241</v>
      </c>
      <c r="CG1361" s="4" t="s">
        <v>241</v>
      </c>
      <c r="CK1361" s="4" t="s">
        <v>291</v>
      </c>
      <c r="CL1361" s="4" t="s">
        <v>266</v>
      </c>
      <c r="CM1361" s="4" t="s">
        <v>241</v>
      </c>
      <c r="CO1361" s="4" t="s">
        <v>292</v>
      </c>
      <c r="CP1361" s="5" t="s">
        <v>268</v>
      </c>
      <c r="CQ1361" s="4" t="s">
        <v>269</v>
      </c>
      <c r="CR1361" s="4" t="s">
        <v>270</v>
      </c>
      <c r="CS1361" s="4" t="s">
        <v>293</v>
      </c>
      <c r="CT1361" s="4" t="s">
        <v>241</v>
      </c>
      <c r="CU1361" s="4">
        <v>2.7E-2</v>
      </c>
      <c r="CV1361" s="4" t="s">
        <v>271</v>
      </c>
      <c r="CW1361" s="4" t="s">
        <v>332</v>
      </c>
      <c r="CX1361" s="4" t="s">
        <v>295</v>
      </c>
      <c r="CY1361" s="6">
        <f>0</f>
        <v>0</v>
      </c>
      <c r="CZ1361" s="6">
        <f>15848560</f>
        <v>15848560</v>
      </c>
      <c r="DA1361" s="6">
        <f>3439141</f>
        <v>3439141</v>
      </c>
      <c r="DC1361" s="4" t="s">
        <v>241</v>
      </c>
      <c r="DD1361" s="4" t="s">
        <v>241</v>
      </c>
      <c r="DF1361" s="4" t="s">
        <v>241</v>
      </c>
      <c r="DG1361" s="6">
        <f>0</f>
        <v>0</v>
      </c>
      <c r="DI1361" s="4" t="s">
        <v>241</v>
      </c>
      <c r="DJ1361" s="4" t="s">
        <v>241</v>
      </c>
      <c r="DK1361" s="4" t="s">
        <v>241</v>
      </c>
      <c r="DL1361" s="4" t="s">
        <v>241</v>
      </c>
      <c r="DM1361" s="4" t="s">
        <v>277</v>
      </c>
      <c r="DN1361" s="4" t="s">
        <v>278</v>
      </c>
      <c r="DO1361" s="6">
        <f>40.43</f>
        <v>40.43</v>
      </c>
      <c r="DP1361" s="4" t="s">
        <v>241</v>
      </c>
      <c r="DQ1361" s="4" t="s">
        <v>241</v>
      </c>
      <c r="DR1361" s="4" t="s">
        <v>241</v>
      </c>
      <c r="DS1361" s="4" t="s">
        <v>241</v>
      </c>
      <c r="DV1361" s="4" t="s">
        <v>1765</v>
      </c>
      <c r="DW1361" s="4" t="s">
        <v>277</v>
      </c>
      <c r="GN1361" s="4" t="s">
        <v>1766</v>
      </c>
      <c r="HO1361" s="4" t="s">
        <v>300</v>
      </c>
      <c r="HR1361" s="4" t="s">
        <v>278</v>
      </c>
      <c r="HS1361" s="4" t="s">
        <v>278</v>
      </c>
      <c r="HT1361" s="4" t="s">
        <v>241</v>
      </c>
      <c r="HU1361" s="4" t="s">
        <v>241</v>
      </c>
      <c r="HV1361" s="4" t="s">
        <v>241</v>
      </c>
      <c r="HW1361" s="4" t="s">
        <v>241</v>
      </c>
      <c r="HX1361" s="4" t="s">
        <v>241</v>
      </c>
      <c r="HY1361" s="4" t="s">
        <v>241</v>
      </c>
      <c r="HZ1361" s="4" t="s">
        <v>241</v>
      </c>
      <c r="IA1361" s="4" t="s">
        <v>241</v>
      </c>
      <c r="IB1361" s="4" t="s">
        <v>241</v>
      </c>
      <c r="IC1361" s="4" t="s">
        <v>241</v>
      </c>
      <c r="ID1361" s="4" t="s">
        <v>241</v>
      </c>
      <c r="IE1361" s="4" t="s">
        <v>241</v>
      </c>
      <c r="IF1361" s="4" t="s">
        <v>241</v>
      </c>
    </row>
    <row r="1362" spans="1:240" x14ac:dyDescent="0.4">
      <c r="A1362" s="4">
        <v>2</v>
      </c>
      <c r="B1362" s="4" t="s">
        <v>239</v>
      </c>
      <c r="C1362" s="4">
        <v>1676</v>
      </c>
      <c r="D1362" s="4">
        <v>1</v>
      </c>
      <c r="E1362" s="4">
        <v>1</v>
      </c>
      <c r="F1362" s="4" t="s">
        <v>240</v>
      </c>
      <c r="G1362" s="4" t="s">
        <v>241</v>
      </c>
      <c r="H1362" s="4" t="s">
        <v>241</v>
      </c>
      <c r="I1362" s="4" t="s">
        <v>1779</v>
      </c>
      <c r="J1362" s="4" t="s">
        <v>458</v>
      </c>
      <c r="K1362" s="4" t="s">
        <v>256</v>
      </c>
      <c r="L1362" s="4" t="s">
        <v>340</v>
      </c>
      <c r="M1362" s="5" t="s">
        <v>1781</v>
      </c>
      <c r="N1362" s="4" t="s">
        <v>340</v>
      </c>
      <c r="O1362" s="6">
        <f>11.11</f>
        <v>11.11</v>
      </c>
      <c r="P1362" s="4" t="s">
        <v>276</v>
      </c>
      <c r="Q1362" s="6">
        <f>1</f>
        <v>1</v>
      </c>
      <c r="R1362" s="6">
        <f>1111000</f>
        <v>1111000</v>
      </c>
      <c r="S1362" s="5" t="s">
        <v>1780</v>
      </c>
      <c r="T1362" s="4" t="s">
        <v>357</v>
      </c>
      <c r="U1362" s="4" t="s">
        <v>835</v>
      </c>
      <c r="W1362" s="6">
        <f>1110999</f>
        <v>1110999</v>
      </c>
      <c r="X1362" s="4" t="s">
        <v>243</v>
      </c>
      <c r="Y1362" s="4" t="s">
        <v>244</v>
      </c>
      <c r="Z1362" s="4" t="s">
        <v>282</v>
      </c>
      <c r="AA1362" s="4" t="s">
        <v>241</v>
      </c>
      <c r="AD1362" s="4" t="s">
        <v>241</v>
      </c>
      <c r="AF1362" s="5" t="s">
        <v>241</v>
      </c>
      <c r="AI1362" s="5" t="s">
        <v>249</v>
      </c>
      <c r="AJ1362" s="4" t="s">
        <v>251</v>
      </c>
      <c r="AK1362" s="4" t="s">
        <v>252</v>
      </c>
      <c r="BA1362" s="4" t="s">
        <v>254</v>
      </c>
      <c r="BB1362" s="4" t="s">
        <v>241</v>
      </c>
      <c r="BC1362" s="4" t="s">
        <v>255</v>
      </c>
      <c r="BD1362" s="4" t="s">
        <v>241</v>
      </c>
      <c r="BE1362" s="4" t="s">
        <v>257</v>
      </c>
      <c r="BF1362" s="4" t="s">
        <v>241</v>
      </c>
      <c r="BH1362" s="4" t="s">
        <v>500</v>
      </c>
      <c r="BJ1362" s="4" t="s">
        <v>374</v>
      </c>
      <c r="BK1362" s="5" t="s">
        <v>375</v>
      </c>
      <c r="BL1362" s="4" t="s">
        <v>261</v>
      </c>
      <c r="BM1362" s="4" t="s">
        <v>262</v>
      </c>
      <c r="BN1362" s="4" t="s">
        <v>241</v>
      </c>
      <c r="BO1362" s="6">
        <f>0</f>
        <v>0</v>
      </c>
      <c r="BP1362" s="6">
        <f>0</f>
        <v>0</v>
      </c>
      <c r="BQ1362" s="4" t="s">
        <v>263</v>
      </c>
      <c r="BR1362" s="4" t="s">
        <v>264</v>
      </c>
      <c r="CF1362" s="4" t="s">
        <v>241</v>
      </c>
      <c r="CG1362" s="4" t="s">
        <v>241</v>
      </c>
      <c r="CK1362" s="4" t="s">
        <v>265</v>
      </c>
      <c r="CL1362" s="4" t="s">
        <v>266</v>
      </c>
      <c r="CM1362" s="4" t="s">
        <v>241</v>
      </c>
      <c r="CO1362" s="4" t="s">
        <v>513</v>
      </c>
      <c r="CP1362" s="5" t="s">
        <v>268</v>
      </c>
      <c r="CQ1362" s="4" t="s">
        <v>269</v>
      </c>
      <c r="CR1362" s="4" t="s">
        <v>270</v>
      </c>
      <c r="CS1362" s="4" t="s">
        <v>241</v>
      </c>
      <c r="CT1362" s="4" t="s">
        <v>241</v>
      </c>
      <c r="CU1362" s="4">
        <v>0</v>
      </c>
      <c r="CV1362" s="4" t="s">
        <v>271</v>
      </c>
      <c r="CW1362" s="4" t="s">
        <v>332</v>
      </c>
      <c r="CX1362" s="4" t="s">
        <v>356</v>
      </c>
      <c r="CZ1362" s="6">
        <f>1111000</f>
        <v>1111000</v>
      </c>
      <c r="DA1362" s="6">
        <f>0</f>
        <v>0</v>
      </c>
      <c r="DC1362" s="4" t="s">
        <v>241</v>
      </c>
      <c r="DD1362" s="4" t="s">
        <v>241</v>
      </c>
      <c r="DF1362" s="4" t="s">
        <v>241</v>
      </c>
      <c r="DI1362" s="4" t="s">
        <v>241</v>
      </c>
      <c r="DJ1362" s="4" t="s">
        <v>241</v>
      </c>
      <c r="DK1362" s="4" t="s">
        <v>241</v>
      </c>
      <c r="DL1362" s="4" t="s">
        <v>241</v>
      </c>
      <c r="DM1362" s="4" t="s">
        <v>277</v>
      </c>
      <c r="DN1362" s="4" t="s">
        <v>278</v>
      </c>
      <c r="DO1362" s="6">
        <f>11.11</f>
        <v>11.11</v>
      </c>
      <c r="DP1362" s="4" t="s">
        <v>241</v>
      </c>
      <c r="DQ1362" s="4" t="s">
        <v>241</v>
      </c>
      <c r="DR1362" s="4" t="s">
        <v>241</v>
      </c>
      <c r="DS1362" s="4" t="s">
        <v>241</v>
      </c>
      <c r="DV1362" s="4" t="s">
        <v>1782</v>
      </c>
      <c r="DW1362" s="4" t="s">
        <v>277</v>
      </c>
      <c r="HO1362" s="4" t="s">
        <v>277</v>
      </c>
      <c r="HR1362" s="4" t="s">
        <v>278</v>
      </c>
      <c r="HS1362" s="4" t="s">
        <v>278</v>
      </c>
    </row>
    <row r="1363" spans="1:240" x14ac:dyDescent="0.4">
      <c r="A1363" s="4">
        <v>2</v>
      </c>
      <c r="B1363" s="4" t="s">
        <v>239</v>
      </c>
      <c r="C1363" s="4">
        <v>1677</v>
      </c>
      <c r="D1363" s="4">
        <v>1</v>
      </c>
      <c r="E1363" s="4">
        <v>1</v>
      </c>
      <c r="F1363" s="4" t="s">
        <v>240</v>
      </c>
      <c r="G1363" s="4" t="s">
        <v>241</v>
      </c>
      <c r="H1363" s="4" t="s">
        <v>241</v>
      </c>
      <c r="I1363" s="4" t="s">
        <v>1776</v>
      </c>
      <c r="J1363" s="4" t="s">
        <v>458</v>
      </c>
      <c r="K1363" s="4" t="s">
        <v>256</v>
      </c>
      <c r="L1363" s="4" t="s">
        <v>340</v>
      </c>
      <c r="M1363" s="5" t="s">
        <v>1777</v>
      </c>
      <c r="N1363" s="4" t="s">
        <v>340</v>
      </c>
      <c r="O1363" s="6">
        <f>5.4</f>
        <v>5.4</v>
      </c>
      <c r="P1363" s="4" t="s">
        <v>276</v>
      </c>
      <c r="Q1363" s="6">
        <f>1</f>
        <v>1</v>
      </c>
      <c r="R1363" s="6">
        <f>837000</f>
        <v>837000</v>
      </c>
      <c r="S1363" s="5" t="s">
        <v>248</v>
      </c>
      <c r="T1363" s="4" t="s">
        <v>333</v>
      </c>
      <c r="U1363" s="4" t="s">
        <v>275</v>
      </c>
      <c r="W1363" s="6">
        <f>836999</f>
        <v>836999</v>
      </c>
      <c r="X1363" s="4" t="s">
        <v>243</v>
      </c>
      <c r="Y1363" s="4" t="s">
        <v>244</v>
      </c>
      <c r="Z1363" s="4" t="s">
        <v>282</v>
      </c>
      <c r="AA1363" s="4" t="s">
        <v>241</v>
      </c>
      <c r="AD1363" s="4" t="s">
        <v>241</v>
      </c>
      <c r="AF1363" s="5" t="s">
        <v>241</v>
      </c>
      <c r="AI1363" s="5" t="s">
        <v>249</v>
      </c>
      <c r="AJ1363" s="4" t="s">
        <v>251</v>
      </c>
      <c r="AK1363" s="4" t="s">
        <v>252</v>
      </c>
      <c r="BA1363" s="4" t="s">
        <v>254</v>
      </c>
      <c r="BB1363" s="4" t="s">
        <v>241</v>
      </c>
      <c r="BC1363" s="4" t="s">
        <v>255</v>
      </c>
      <c r="BD1363" s="4" t="s">
        <v>241</v>
      </c>
      <c r="BE1363" s="4" t="s">
        <v>257</v>
      </c>
      <c r="BF1363" s="4" t="s">
        <v>241</v>
      </c>
      <c r="BH1363" s="4" t="s">
        <v>500</v>
      </c>
      <c r="BJ1363" s="4" t="s">
        <v>377</v>
      </c>
      <c r="BK1363" s="5" t="s">
        <v>378</v>
      </c>
      <c r="BL1363" s="4" t="s">
        <v>261</v>
      </c>
      <c r="BM1363" s="4" t="s">
        <v>262</v>
      </c>
      <c r="BN1363" s="4" t="s">
        <v>241</v>
      </c>
      <c r="BO1363" s="6">
        <f>0</f>
        <v>0</v>
      </c>
      <c r="BP1363" s="6">
        <f>0</f>
        <v>0</v>
      </c>
      <c r="BQ1363" s="4" t="s">
        <v>263</v>
      </c>
      <c r="BR1363" s="4" t="s">
        <v>264</v>
      </c>
      <c r="CF1363" s="4" t="s">
        <v>241</v>
      </c>
      <c r="CG1363" s="4" t="s">
        <v>241</v>
      </c>
      <c r="CK1363" s="4" t="s">
        <v>265</v>
      </c>
      <c r="CL1363" s="4" t="s">
        <v>266</v>
      </c>
      <c r="CM1363" s="4" t="s">
        <v>241</v>
      </c>
      <c r="CO1363" s="4" t="s">
        <v>267</v>
      </c>
      <c r="CP1363" s="5" t="s">
        <v>268</v>
      </c>
      <c r="CQ1363" s="4" t="s">
        <v>269</v>
      </c>
      <c r="CR1363" s="4" t="s">
        <v>270</v>
      </c>
      <c r="CS1363" s="4" t="s">
        <v>241</v>
      </c>
      <c r="CT1363" s="4" t="s">
        <v>241</v>
      </c>
      <c r="CU1363" s="4">
        <v>0</v>
      </c>
      <c r="CV1363" s="4" t="s">
        <v>271</v>
      </c>
      <c r="CW1363" s="4" t="s">
        <v>332</v>
      </c>
      <c r="CX1363" s="4" t="s">
        <v>295</v>
      </c>
      <c r="CZ1363" s="6">
        <f>837000</f>
        <v>837000</v>
      </c>
      <c r="DA1363" s="6">
        <f>0</f>
        <v>0</v>
      </c>
      <c r="DC1363" s="4" t="s">
        <v>241</v>
      </c>
      <c r="DD1363" s="4" t="s">
        <v>241</v>
      </c>
      <c r="DF1363" s="4" t="s">
        <v>241</v>
      </c>
      <c r="DI1363" s="4" t="s">
        <v>241</v>
      </c>
      <c r="DJ1363" s="4" t="s">
        <v>241</v>
      </c>
      <c r="DK1363" s="4" t="s">
        <v>241</v>
      </c>
      <c r="DL1363" s="4" t="s">
        <v>241</v>
      </c>
      <c r="DM1363" s="4" t="s">
        <v>277</v>
      </c>
      <c r="DN1363" s="4" t="s">
        <v>278</v>
      </c>
      <c r="DO1363" s="6">
        <f>5.4</f>
        <v>5.4</v>
      </c>
      <c r="DP1363" s="4" t="s">
        <v>241</v>
      </c>
      <c r="DQ1363" s="4" t="s">
        <v>241</v>
      </c>
      <c r="DR1363" s="4" t="s">
        <v>241</v>
      </c>
      <c r="DS1363" s="4" t="s">
        <v>241</v>
      </c>
      <c r="DV1363" s="4" t="s">
        <v>1778</v>
      </c>
      <c r="DW1363" s="4" t="s">
        <v>277</v>
      </c>
      <c r="HO1363" s="4" t="s">
        <v>277</v>
      </c>
      <c r="HR1363" s="4" t="s">
        <v>278</v>
      </c>
      <c r="HS1363" s="4" t="s">
        <v>278</v>
      </c>
    </row>
    <row r="1364" spans="1:240" x14ac:dyDescent="0.4">
      <c r="A1364" s="4">
        <v>2</v>
      </c>
      <c r="B1364" s="4" t="s">
        <v>239</v>
      </c>
      <c r="C1364" s="4">
        <v>1678</v>
      </c>
      <c r="D1364" s="4">
        <v>1</v>
      </c>
      <c r="E1364" s="4">
        <v>1</v>
      </c>
      <c r="F1364" s="4" t="s">
        <v>240</v>
      </c>
      <c r="G1364" s="4" t="s">
        <v>241</v>
      </c>
      <c r="H1364" s="4" t="s">
        <v>241</v>
      </c>
      <c r="I1364" s="4" t="s">
        <v>2036</v>
      </c>
      <c r="J1364" s="4" t="s">
        <v>283</v>
      </c>
      <c r="K1364" s="4" t="s">
        <v>256</v>
      </c>
      <c r="L1364" s="4" t="s">
        <v>440</v>
      </c>
      <c r="M1364" s="5" t="s">
        <v>2038</v>
      </c>
      <c r="N1364" s="4" t="s">
        <v>2035</v>
      </c>
      <c r="O1364" s="6">
        <f>2.88</f>
        <v>2.88</v>
      </c>
      <c r="P1364" s="4" t="s">
        <v>276</v>
      </c>
      <c r="Q1364" s="6">
        <f>1</f>
        <v>1</v>
      </c>
      <c r="R1364" s="6">
        <f>999360</f>
        <v>999360</v>
      </c>
      <c r="S1364" s="5" t="s">
        <v>2037</v>
      </c>
      <c r="T1364" s="4" t="s">
        <v>348</v>
      </c>
      <c r="U1364" s="4" t="s">
        <v>348</v>
      </c>
      <c r="W1364" s="6">
        <f>999359</f>
        <v>999359</v>
      </c>
      <c r="X1364" s="4" t="s">
        <v>243</v>
      </c>
      <c r="Y1364" s="4" t="s">
        <v>244</v>
      </c>
      <c r="Z1364" s="4" t="s">
        <v>282</v>
      </c>
      <c r="AA1364" s="4" t="s">
        <v>241</v>
      </c>
      <c r="AD1364" s="4" t="s">
        <v>241</v>
      </c>
      <c r="AF1364" s="5" t="s">
        <v>241</v>
      </c>
      <c r="AI1364" s="5" t="s">
        <v>249</v>
      </c>
      <c r="AJ1364" s="4" t="s">
        <v>251</v>
      </c>
      <c r="AK1364" s="4" t="s">
        <v>252</v>
      </c>
      <c r="BA1364" s="4" t="s">
        <v>254</v>
      </c>
      <c r="BB1364" s="4" t="s">
        <v>241</v>
      </c>
      <c r="BC1364" s="4" t="s">
        <v>255</v>
      </c>
      <c r="BD1364" s="4" t="s">
        <v>241</v>
      </c>
      <c r="BE1364" s="4" t="s">
        <v>257</v>
      </c>
      <c r="BF1364" s="4" t="s">
        <v>241</v>
      </c>
      <c r="BH1364" s="4" t="s">
        <v>500</v>
      </c>
      <c r="BJ1364" s="4" t="s">
        <v>259</v>
      </c>
      <c r="BK1364" s="5" t="s">
        <v>260</v>
      </c>
      <c r="BL1364" s="4" t="s">
        <v>261</v>
      </c>
      <c r="BM1364" s="4" t="s">
        <v>290</v>
      </c>
      <c r="BN1364" s="4" t="s">
        <v>241</v>
      </c>
      <c r="BO1364" s="6">
        <f>0</f>
        <v>0</v>
      </c>
      <c r="BP1364" s="6">
        <f>0</f>
        <v>0</v>
      </c>
      <c r="BQ1364" s="4" t="s">
        <v>263</v>
      </c>
      <c r="BR1364" s="4" t="s">
        <v>264</v>
      </c>
      <c r="CF1364" s="4" t="s">
        <v>241</v>
      </c>
      <c r="CG1364" s="4" t="s">
        <v>241</v>
      </c>
      <c r="CK1364" s="4" t="s">
        <v>291</v>
      </c>
      <c r="CL1364" s="4" t="s">
        <v>266</v>
      </c>
      <c r="CM1364" s="4" t="s">
        <v>241</v>
      </c>
      <c r="CO1364" s="4" t="s">
        <v>407</v>
      </c>
      <c r="CP1364" s="5" t="s">
        <v>268</v>
      </c>
      <c r="CQ1364" s="4" t="s">
        <v>269</v>
      </c>
      <c r="CR1364" s="4" t="s">
        <v>270</v>
      </c>
      <c r="CS1364" s="4" t="s">
        <v>241</v>
      </c>
      <c r="CT1364" s="4" t="s">
        <v>241</v>
      </c>
      <c r="CU1364" s="4">
        <v>0</v>
      </c>
      <c r="CV1364" s="4" t="s">
        <v>271</v>
      </c>
      <c r="CW1364" s="4" t="s">
        <v>1986</v>
      </c>
      <c r="CX1364" s="4" t="s">
        <v>347</v>
      </c>
      <c r="CZ1364" s="6">
        <f>999360</f>
        <v>999360</v>
      </c>
      <c r="DA1364" s="6">
        <f>0</f>
        <v>0</v>
      </c>
      <c r="DC1364" s="4" t="s">
        <v>241</v>
      </c>
      <c r="DD1364" s="4" t="s">
        <v>241</v>
      </c>
      <c r="DF1364" s="4" t="s">
        <v>241</v>
      </c>
      <c r="DI1364" s="4" t="s">
        <v>241</v>
      </c>
      <c r="DJ1364" s="4" t="s">
        <v>241</v>
      </c>
      <c r="DK1364" s="4" t="s">
        <v>241</v>
      </c>
      <c r="DL1364" s="4" t="s">
        <v>241</v>
      </c>
      <c r="DM1364" s="4" t="s">
        <v>277</v>
      </c>
      <c r="DN1364" s="4" t="s">
        <v>278</v>
      </c>
      <c r="DO1364" s="6">
        <f>2.88</f>
        <v>2.88</v>
      </c>
      <c r="DP1364" s="4" t="s">
        <v>241</v>
      </c>
      <c r="DQ1364" s="4" t="s">
        <v>241</v>
      </c>
      <c r="DR1364" s="4" t="s">
        <v>241</v>
      </c>
      <c r="DS1364" s="4" t="s">
        <v>241</v>
      </c>
      <c r="DV1364" s="4" t="s">
        <v>2039</v>
      </c>
      <c r="DW1364" s="4" t="s">
        <v>277</v>
      </c>
      <c r="HO1364" s="4" t="s">
        <v>351</v>
      </c>
      <c r="HR1364" s="4" t="s">
        <v>278</v>
      </c>
      <c r="HS1364" s="4" t="s">
        <v>278</v>
      </c>
    </row>
    <row r="1365" spans="1:240" x14ac:dyDescent="0.4">
      <c r="A1365" s="4">
        <v>2</v>
      </c>
      <c r="B1365" s="4" t="s">
        <v>239</v>
      </c>
      <c r="C1365" s="4">
        <v>1680</v>
      </c>
      <c r="D1365" s="4">
        <v>1</v>
      </c>
      <c r="E1365" s="4">
        <v>1</v>
      </c>
      <c r="F1365" s="4" t="s">
        <v>240</v>
      </c>
      <c r="G1365" s="4" t="s">
        <v>241</v>
      </c>
      <c r="H1365" s="4" t="s">
        <v>241</v>
      </c>
      <c r="I1365" s="4" t="s">
        <v>3040</v>
      </c>
      <c r="J1365" s="4" t="s">
        <v>3041</v>
      </c>
      <c r="K1365" s="4" t="s">
        <v>256</v>
      </c>
      <c r="L1365" s="4" t="s">
        <v>429</v>
      </c>
      <c r="M1365" s="5" t="s">
        <v>3042</v>
      </c>
      <c r="N1365" s="4" t="s">
        <v>429</v>
      </c>
      <c r="O1365" s="6">
        <f>370.97</f>
        <v>370.97</v>
      </c>
      <c r="P1365" s="4" t="s">
        <v>276</v>
      </c>
      <c r="Q1365" s="6">
        <f>1</f>
        <v>1</v>
      </c>
      <c r="R1365" s="6">
        <f>22258200</f>
        <v>22258200</v>
      </c>
      <c r="S1365" s="5" t="s">
        <v>248</v>
      </c>
      <c r="T1365" s="4" t="s">
        <v>348</v>
      </c>
      <c r="U1365" s="4" t="s">
        <v>275</v>
      </c>
      <c r="W1365" s="6">
        <f>22258199</f>
        <v>22258199</v>
      </c>
      <c r="X1365" s="4" t="s">
        <v>243</v>
      </c>
      <c r="Y1365" s="4" t="s">
        <v>244</v>
      </c>
      <c r="Z1365" s="4" t="s">
        <v>282</v>
      </c>
      <c r="AA1365" s="4" t="s">
        <v>241</v>
      </c>
      <c r="AD1365" s="4" t="s">
        <v>241</v>
      </c>
      <c r="AF1365" s="5" t="s">
        <v>241</v>
      </c>
      <c r="AI1365" s="5" t="s">
        <v>249</v>
      </c>
      <c r="AJ1365" s="4" t="s">
        <v>251</v>
      </c>
      <c r="AK1365" s="4" t="s">
        <v>252</v>
      </c>
      <c r="BA1365" s="4" t="s">
        <v>254</v>
      </c>
      <c r="BB1365" s="4" t="s">
        <v>241</v>
      </c>
      <c r="BC1365" s="4" t="s">
        <v>255</v>
      </c>
      <c r="BD1365" s="4" t="s">
        <v>241</v>
      </c>
      <c r="BE1365" s="4" t="s">
        <v>257</v>
      </c>
      <c r="BF1365" s="4" t="s">
        <v>241</v>
      </c>
      <c r="BH1365" s="4" t="s">
        <v>500</v>
      </c>
      <c r="BJ1365" s="4" t="s">
        <v>374</v>
      </c>
      <c r="BK1365" s="5" t="s">
        <v>375</v>
      </c>
      <c r="BL1365" s="4" t="s">
        <v>261</v>
      </c>
      <c r="BM1365" s="4" t="s">
        <v>262</v>
      </c>
      <c r="BN1365" s="4" t="s">
        <v>241</v>
      </c>
      <c r="BO1365" s="6">
        <f>0</f>
        <v>0</v>
      </c>
      <c r="BP1365" s="6">
        <f>0</f>
        <v>0</v>
      </c>
      <c r="BQ1365" s="4" t="s">
        <v>263</v>
      </c>
      <c r="BR1365" s="4" t="s">
        <v>264</v>
      </c>
      <c r="CF1365" s="4" t="s">
        <v>241</v>
      </c>
      <c r="CG1365" s="4" t="s">
        <v>241</v>
      </c>
      <c r="CK1365" s="4" t="s">
        <v>265</v>
      </c>
      <c r="CL1365" s="4" t="s">
        <v>266</v>
      </c>
      <c r="CM1365" s="4" t="s">
        <v>241</v>
      </c>
      <c r="CO1365" s="4" t="s">
        <v>267</v>
      </c>
      <c r="CP1365" s="5" t="s">
        <v>268</v>
      </c>
      <c r="CQ1365" s="4" t="s">
        <v>269</v>
      </c>
      <c r="CR1365" s="4" t="s">
        <v>270</v>
      </c>
      <c r="CS1365" s="4" t="s">
        <v>241</v>
      </c>
      <c r="CT1365" s="4" t="s">
        <v>241</v>
      </c>
      <c r="CU1365" s="4">
        <v>0</v>
      </c>
      <c r="CV1365" s="4" t="s">
        <v>271</v>
      </c>
      <c r="CW1365" s="4" t="s">
        <v>272</v>
      </c>
      <c r="CX1365" s="4" t="s">
        <v>347</v>
      </c>
      <c r="CZ1365" s="6">
        <f>22258200</f>
        <v>22258200</v>
      </c>
      <c r="DA1365" s="6">
        <f>0</f>
        <v>0</v>
      </c>
      <c r="DC1365" s="4" t="s">
        <v>241</v>
      </c>
      <c r="DD1365" s="4" t="s">
        <v>241</v>
      </c>
      <c r="DF1365" s="4" t="s">
        <v>241</v>
      </c>
      <c r="DI1365" s="4" t="s">
        <v>241</v>
      </c>
      <c r="DJ1365" s="4" t="s">
        <v>241</v>
      </c>
      <c r="DK1365" s="4" t="s">
        <v>241</v>
      </c>
      <c r="DL1365" s="4" t="s">
        <v>241</v>
      </c>
      <c r="DM1365" s="4" t="s">
        <v>277</v>
      </c>
      <c r="DN1365" s="4" t="s">
        <v>278</v>
      </c>
      <c r="DO1365" s="6">
        <f>370.97</f>
        <v>370.97</v>
      </c>
      <c r="DP1365" s="4" t="s">
        <v>241</v>
      </c>
      <c r="DQ1365" s="4" t="s">
        <v>241</v>
      </c>
      <c r="DR1365" s="4" t="s">
        <v>241</v>
      </c>
      <c r="DS1365" s="4" t="s">
        <v>241</v>
      </c>
      <c r="DV1365" s="4" t="s">
        <v>3043</v>
      </c>
      <c r="DW1365" s="4" t="s">
        <v>277</v>
      </c>
      <c r="HO1365" s="4" t="s">
        <v>277</v>
      </c>
      <c r="HR1365" s="4" t="s">
        <v>278</v>
      </c>
      <c r="HS1365" s="4" t="s">
        <v>278</v>
      </c>
    </row>
    <row r="1366" spans="1:240" x14ac:dyDescent="0.4">
      <c r="A1366" s="4">
        <v>2</v>
      </c>
      <c r="B1366" s="4" t="s">
        <v>239</v>
      </c>
      <c r="C1366" s="4">
        <v>1681</v>
      </c>
      <c r="D1366" s="4">
        <v>1</v>
      </c>
      <c r="E1366" s="4">
        <v>1</v>
      </c>
      <c r="F1366" s="4" t="s">
        <v>240</v>
      </c>
      <c r="G1366" s="4" t="s">
        <v>241</v>
      </c>
      <c r="H1366" s="4" t="s">
        <v>241</v>
      </c>
      <c r="I1366" s="4" t="s">
        <v>3829</v>
      </c>
      <c r="J1366" s="4" t="s">
        <v>310</v>
      </c>
      <c r="K1366" s="4" t="s">
        <v>256</v>
      </c>
      <c r="L1366" s="4" t="s">
        <v>3822</v>
      </c>
      <c r="M1366" s="5" t="s">
        <v>3831</v>
      </c>
      <c r="N1366" s="4" t="s">
        <v>3822</v>
      </c>
      <c r="O1366" s="6">
        <f>14.02</f>
        <v>14.02</v>
      </c>
      <c r="P1366" s="4" t="s">
        <v>276</v>
      </c>
      <c r="Q1366" s="6">
        <f>1</f>
        <v>1</v>
      </c>
      <c r="R1366" s="6">
        <f>841200</f>
        <v>841200</v>
      </c>
      <c r="S1366" s="5" t="s">
        <v>3830</v>
      </c>
      <c r="T1366" s="4" t="s">
        <v>274</v>
      </c>
      <c r="U1366" s="4" t="s">
        <v>412</v>
      </c>
      <c r="W1366" s="6">
        <f>841199</f>
        <v>841199</v>
      </c>
      <c r="X1366" s="4" t="s">
        <v>243</v>
      </c>
      <c r="Y1366" s="4" t="s">
        <v>244</v>
      </c>
      <c r="Z1366" s="4" t="s">
        <v>282</v>
      </c>
      <c r="AA1366" s="4" t="s">
        <v>241</v>
      </c>
      <c r="AD1366" s="4" t="s">
        <v>241</v>
      </c>
      <c r="AF1366" s="5" t="s">
        <v>241</v>
      </c>
      <c r="AI1366" s="5" t="s">
        <v>249</v>
      </c>
      <c r="AJ1366" s="4" t="s">
        <v>251</v>
      </c>
      <c r="AK1366" s="4" t="s">
        <v>252</v>
      </c>
      <c r="BA1366" s="4" t="s">
        <v>254</v>
      </c>
      <c r="BB1366" s="4" t="s">
        <v>241</v>
      </c>
      <c r="BC1366" s="4" t="s">
        <v>255</v>
      </c>
      <c r="BD1366" s="4" t="s">
        <v>241</v>
      </c>
      <c r="BE1366" s="4" t="s">
        <v>257</v>
      </c>
      <c r="BF1366" s="4" t="s">
        <v>241</v>
      </c>
      <c r="BH1366" s="4" t="s">
        <v>500</v>
      </c>
      <c r="BJ1366" s="4" t="s">
        <v>377</v>
      </c>
      <c r="BK1366" s="5" t="s">
        <v>378</v>
      </c>
      <c r="BL1366" s="4" t="s">
        <v>261</v>
      </c>
      <c r="BM1366" s="4" t="s">
        <v>262</v>
      </c>
      <c r="BN1366" s="4" t="s">
        <v>241</v>
      </c>
      <c r="BO1366" s="6">
        <f>0</f>
        <v>0</v>
      </c>
      <c r="BP1366" s="6">
        <f>0</f>
        <v>0</v>
      </c>
      <c r="BQ1366" s="4" t="s">
        <v>263</v>
      </c>
      <c r="BR1366" s="4" t="s">
        <v>264</v>
      </c>
      <c r="CF1366" s="4" t="s">
        <v>241</v>
      </c>
      <c r="CG1366" s="4" t="s">
        <v>241</v>
      </c>
      <c r="CK1366" s="4" t="s">
        <v>265</v>
      </c>
      <c r="CL1366" s="4" t="s">
        <v>266</v>
      </c>
      <c r="CM1366" s="4" t="s">
        <v>241</v>
      </c>
      <c r="CO1366" s="4" t="s">
        <v>1670</v>
      </c>
      <c r="CP1366" s="5" t="s">
        <v>268</v>
      </c>
      <c r="CQ1366" s="4" t="s">
        <v>269</v>
      </c>
      <c r="CR1366" s="4" t="s">
        <v>270</v>
      </c>
      <c r="CS1366" s="4" t="s">
        <v>241</v>
      </c>
      <c r="CT1366" s="4" t="s">
        <v>241</v>
      </c>
      <c r="CU1366" s="4">
        <v>0</v>
      </c>
      <c r="CV1366" s="4" t="s">
        <v>271</v>
      </c>
      <c r="CW1366" s="4" t="s">
        <v>3823</v>
      </c>
      <c r="CX1366" s="4" t="s">
        <v>273</v>
      </c>
      <c r="CZ1366" s="6">
        <f>841200</f>
        <v>841200</v>
      </c>
      <c r="DA1366" s="6">
        <f>0</f>
        <v>0</v>
      </c>
      <c r="DC1366" s="4" t="s">
        <v>241</v>
      </c>
      <c r="DD1366" s="4" t="s">
        <v>241</v>
      </c>
      <c r="DF1366" s="4" t="s">
        <v>241</v>
      </c>
      <c r="DI1366" s="4" t="s">
        <v>241</v>
      </c>
      <c r="DJ1366" s="4" t="s">
        <v>241</v>
      </c>
      <c r="DK1366" s="4" t="s">
        <v>241</v>
      </c>
      <c r="DL1366" s="4" t="s">
        <v>241</v>
      </c>
      <c r="DM1366" s="4" t="s">
        <v>277</v>
      </c>
      <c r="DN1366" s="4" t="s">
        <v>278</v>
      </c>
      <c r="DO1366" s="6">
        <f>14.02</f>
        <v>14.02</v>
      </c>
      <c r="DP1366" s="4" t="s">
        <v>241</v>
      </c>
      <c r="DQ1366" s="4" t="s">
        <v>241</v>
      </c>
      <c r="DR1366" s="4" t="s">
        <v>241</v>
      </c>
      <c r="DS1366" s="4" t="s">
        <v>241</v>
      </c>
      <c r="DV1366" s="4" t="s">
        <v>3832</v>
      </c>
      <c r="DW1366" s="4" t="s">
        <v>277</v>
      </c>
      <c r="HO1366" s="4" t="s">
        <v>277</v>
      </c>
      <c r="HR1366" s="4" t="s">
        <v>278</v>
      </c>
      <c r="HS1366" s="4" t="s">
        <v>278</v>
      </c>
    </row>
    <row r="1367" spans="1:240" x14ac:dyDescent="0.4">
      <c r="A1367" s="4">
        <v>2</v>
      </c>
      <c r="B1367" s="4" t="s">
        <v>239</v>
      </c>
      <c r="C1367" s="4">
        <v>1682</v>
      </c>
      <c r="D1367" s="4">
        <v>1</v>
      </c>
      <c r="E1367" s="4">
        <v>1</v>
      </c>
      <c r="F1367" s="4" t="s">
        <v>240</v>
      </c>
      <c r="G1367" s="4" t="s">
        <v>241</v>
      </c>
      <c r="H1367" s="4" t="s">
        <v>241</v>
      </c>
      <c r="I1367" s="4" t="s">
        <v>1193</v>
      </c>
      <c r="J1367" s="4" t="s">
        <v>424</v>
      </c>
      <c r="K1367" s="4" t="s">
        <v>256</v>
      </c>
      <c r="L1367" s="4" t="s">
        <v>1174</v>
      </c>
      <c r="M1367" s="5" t="s">
        <v>1194</v>
      </c>
      <c r="N1367" s="4" t="s">
        <v>1174</v>
      </c>
      <c r="O1367" s="6">
        <f>498.23</f>
        <v>498.23</v>
      </c>
      <c r="P1367" s="4" t="s">
        <v>276</v>
      </c>
      <c r="Q1367" s="6">
        <f>1</f>
        <v>1</v>
      </c>
      <c r="R1367" s="6">
        <f>79716800</f>
        <v>79716800</v>
      </c>
      <c r="S1367" s="5" t="s">
        <v>1129</v>
      </c>
      <c r="T1367" s="4" t="s">
        <v>314</v>
      </c>
      <c r="U1367" s="4" t="s">
        <v>358</v>
      </c>
      <c r="W1367" s="6">
        <f>79716799</f>
        <v>79716799</v>
      </c>
      <c r="X1367" s="4" t="s">
        <v>243</v>
      </c>
      <c r="Y1367" s="4" t="s">
        <v>244</v>
      </c>
      <c r="Z1367" s="4" t="s">
        <v>282</v>
      </c>
      <c r="AA1367" s="4" t="s">
        <v>241</v>
      </c>
      <c r="AD1367" s="4" t="s">
        <v>241</v>
      </c>
      <c r="AF1367" s="5" t="s">
        <v>241</v>
      </c>
      <c r="AI1367" s="5" t="s">
        <v>249</v>
      </c>
      <c r="AJ1367" s="4" t="s">
        <v>251</v>
      </c>
      <c r="AK1367" s="4" t="s">
        <v>252</v>
      </c>
      <c r="BA1367" s="4" t="s">
        <v>254</v>
      </c>
      <c r="BB1367" s="4" t="s">
        <v>241</v>
      </c>
      <c r="BC1367" s="4" t="s">
        <v>255</v>
      </c>
      <c r="BD1367" s="4" t="s">
        <v>241</v>
      </c>
      <c r="BE1367" s="4" t="s">
        <v>257</v>
      </c>
      <c r="BF1367" s="4" t="s">
        <v>241</v>
      </c>
      <c r="BJ1367" s="4" t="s">
        <v>259</v>
      </c>
      <c r="BK1367" s="5" t="s">
        <v>260</v>
      </c>
      <c r="BL1367" s="4" t="s">
        <v>261</v>
      </c>
      <c r="BM1367" s="4" t="s">
        <v>262</v>
      </c>
      <c r="BN1367" s="4" t="s">
        <v>241</v>
      </c>
      <c r="BO1367" s="6">
        <f>0</f>
        <v>0</v>
      </c>
      <c r="BP1367" s="6">
        <f>0</f>
        <v>0</v>
      </c>
      <c r="BQ1367" s="4" t="s">
        <v>263</v>
      </c>
      <c r="BR1367" s="4" t="s">
        <v>264</v>
      </c>
      <c r="CF1367" s="4" t="s">
        <v>241</v>
      </c>
      <c r="CG1367" s="4" t="s">
        <v>241</v>
      </c>
      <c r="CK1367" s="4" t="s">
        <v>291</v>
      </c>
      <c r="CL1367" s="4" t="s">
        <v>266</v>
      </c>
      <c r="CM1367" s="4" t="s">
        <v>241</v>
      </c>
      <c r="CO1367" s="4" t="s">
        <v>551</v>
      </c>
      <c r="CP1367" s="5" t="s">
        <v>268</v>
      </c>
      <c r="CQ1367" s="4" t="s">
        <v>269</v>
      </c>
      <c r="CR1367" s="4" t="s">
        <v>270</v>
      </c>
      <c r="CS1367" s="4" t="s">
        <v>241</v>
      </c>
      <c r="CT1367" s="4" t="s">
        <v>241</v>
      </c>
      <c r="CU1367" s="4">
        <v>0</v>
      </c>
      <c r="CV1367" s="4" t="s">
        <v>271</v>
      </c>
      <c r="CW1367" s="4" t="s">
        <v>1176</v>
      </c>
      <c r="CX1367" s="4" t="s">
        <v>347</v>
      </c>
      <c r="CZ1367" s="6">
        <f>79716800</f>
        <v>79716800</v>
      </c>
      <c r="DA1367" s="6">
        <f>0</f>
        <v>0</v>
      </c>
      <c r="DC1367" s="4" t="s">
        <v>241</v>
      </c>
      <c r="DD1367" s="4" t="s">
        <v>241</v>
      </c>
      <c r="DF1367" s="4" t="s">
        <v>241</v>
      </c>
      <c r="DI1367" s="4" t="s">
        <v>241</v>
      </c>
      <c r="DJ1367" s="4" t="s">
        <v>241</v>
      </c>
      <c r="DK1367" s="4" t="s">
        <v>241</v>
      </c>
      <c r="DL1367" s="4" t="s">
        <v>241</v>
      </c>
      <c r="DM1367" s="4" t="s">
        <v>277</v>
      </c>
      <c r="DN1367" s="4" t="s">
        <v>278</v>
      </c>
      <c r="DO1367" s="6">
        <f>498.23</f>
        <v>498.23</v>
      </c>
      <c r="DP1367" s="4" t="s">
        <v>241</v>
      </c>
      <c r="DQ1367" s="4" t="s">
        <v>241</v>
      </c>
      <c r="DR1367" s="4" t="s">
        <v>241</v>
      </c>
      <c r="DS1367" s="4" t="s">
        <v>241</v>
      </c>
      <c r="DV1367" s="4" t="s">
        <v>1195</v>
      </c>
      <c r="DW1367" s="4" t="s">
        <v>277</v>
      </c>
      <c r="HO1367" s="4" t="s">
        <v>277</v>
      </c>
      <c r="HR1367" s="4" t="s">
        <v>278</v>
      </c>
      <c r="HS1367" s="4" t="s">
        <v>278</v>
      </c>
    </row>
    <row r="1368" spans="1:240" x14ac:dyDescent="0.4">
      <c r="A1368" s="4">
        <v>2</v>
      </c>
      <c r="B1368" s="4" t="s">
        <v>239</v>
      </c>
      <c r="C1368" s="4">
        <v>1683</v>
      </c>
      <c r="D1368" s="4">
        <v>1</v>
      </c>
      <c r="E1368" s="4">
        <v>1</v>
      </c>
      <c r="F1368" s="4" t="s">
        <v>240</v>
      </c>
      <c r="G1368" s="4" t="s">
        <v>241</v>
      </c>
      <c r="H1368" s="4" t="s">
        <v>241</v>
      </c>
      <c r="I1368" s="4" t="s">
        <v>1193</v>
      </c>
      <c r="J1368" s="4" t="s">
        <v>424</v>
      </c>
      <c r="K1368" s="4" t="s">
        <v>256</v>
      </c>
      <c r="L1368" s="4" t="s">
        <v>429</v>
      </c>
      <c r="M1368" s="5" t="s">
        <v>1194</v>
      </c>
      <c r="N1368" s="4" t="s">
        <v>429</v>
      </c>
      <c r="O1368" s="6">
        <f>19.87</f>
        <v>19.87</v>
      </c>
      <c r="P1368" s="4" t="s">
        <v>276</v>
      </c>
      <c r="Q1368" s="6">
        <f>1</f>
        <v>1</v>
      </c>
      <c r="R1368" s="6">
        <f>1192200</f>
        <v>1192200</v>
      </c>
      <c r="S1368" s="5" t="s">
        <v>248</v>
      </c>
      <c r="T1368" s="4" t="s">
        <v>348</v>
      </c>
      <c r="U1368" s="4" t="s">
        <v>275</v>
      </c>
      <c r="W1368" s="6">
        <f>1192199</f>
        <v>1192199</v>
      </c>
      <c r="X1368" s="4" t="s">
        <v>243</v>
      </c>
      <c r="Y1368" s="4" t="s">
        <v>244</v>
      </c>
      <c r="Z1368" s="4" t="s">
        <v>282</v>
      </c>
      <c r="AA1368" s="4" t="s">
        <v>241</v>
      </c>
      <c r="AD1368" s="4" t="s">
        <v>241</v>
      </c>
      <c r="AF1368" s="5" t="s">
        <v>241</v>
      </c>
      <c r="AI1368" s="5" t="s">
        <v>249</v>
      </c>
      <c r="AJ1368" s="4" t="s">
        <v>251</v>
      </c>
      <c r="AK1368" s="4" t="s">
        <v>252</v>
      </c>
      <c r="BA1368" s="4" t="s">
        <v>254</v>
      </c>
      <c r="BB1368" s="4" t="s">
        <v>241</v>
      </c>
      <c r="BC1368" s="4" t="s">
        <v>255</v>
      </c>
      <c r="BD1368" s="4" t="s">
        <v>241</v>
      </c>
      <c r="BE1368" s="4" t="s">
        <v>257</v>
      </c>
      <c r="BF1368" s="4" t="s">
        <v>241</v>
      </c>
      <c r="BJ1368" s="4" t="s">
        <v>367</v>
      </c>
      <c r="BK1368" s="5" t="s">
        <v>249</v>
      </c>
      <c r="BL1368" s="4" t="s">
        <v>261</v>
      </c>
      <c r="BM1368" s="4" t="s">
        <v>262</v>
      </c>
      <c r="BN1368" s="4" t="s">
        <v>241</v>
      </c>
      <c r="BO1368" s="6">
        <f>0</f>
        <v>0</v>
      </c>
      <c r="BP1368" s="6">
        <f>0</f>
        <v>0</v>
      </c>
      <c r="BQ1368" s="4" t="s">
        <v>263</v>
      </c>
      <c r="BR1368" s="4" t="s">
        <v>264</v>
      </c>
      <c r="CF1368" s="4" t="s">
        <v>241</v>
      </c>
      <c r="CG1368" s="4" t="s">
        <v>241</v>
      </c>
      <c r="CK1368" s="4" t="s">
        <v>265</v>
      </c>
      <c r="CL1368" s="4" t="s">
        <v>266</v>
      </c>
      <c r="CM1368" s="4" t="s">
        <v>241</v>
      </c>
      <c r="CO1368" s="4" t="s">
        <v>267</v>
      </c>
      <c r="CP1368" s="5" t="s">
        <v>268</v>
      </c>
      <c r="CQ1368" s="4" t="s">
        <v>269</v>
      </c>
      <c r="CR1368" s="4" t="s">
        <v>270</v>
      </c>
      <c r="CS1368" s="4" t="s">
        <v>241</v>
      </c>
      <c r="CT1368" s="4" t="s">
        <v>241</v>
      </c>
      <c r="CU1368" s="4">
        <v>0</v>
      </c>
      <c r="CV1368" s="4" t="s">
        <v>271</v>
      </c>
      <c r="CW1368" s="4" t="s">
        <v>272</v>
      </c>
      <c r="CX1368" s="4" t="s">
        <v>347</v>
      </c>
      <c r="CZ1368" s="6">
        <f>1192200</f>
        <v>1192200</v>
      </c>
      <c r="DA1368" s="6">
        <f>0</f>
        <v>0</v>
      </c>
      <c r="DC1368" s="4" t="s">
        <v>241</v>
      </c>
      <c r="DD1368" s="4" t="s">
        <v>241</v>
      </c>
      <c r="DF1368" s="4" t="s">
        <v>241</v>
      </c>
      <c r="DI1368" s="4" t="s">
        <v>241</v>
      </c>
      <c r="DJ1368" s="4" t="s">
        <v>241</v>
      </c>
      <c r="DK1368" s="4" t="s">
        <v>241</v>
      </c>
      <c r="DL1368" s="4" t="s">
        <v>241</v>
      </c>
      <c r="DM1368" s="4" t="s">
        <v>277</v>
      </c>
      <c r="DN1368" s="4" t="s">
        <v>278</v>
      </c>
      <c r="DO1368" s="6">
        <f>19.87</f>
        <v>19.87</v>
      </c>
      <c r="DP1368" s="4" t="s">
        <v>241</v>
      </c>
      <c r="DQ1368" s="4" t="s">
        <v>241</v>
      </c>
      <c r="DR1368" s="4" t="s">
        <v>241</v>
      </c>
      <c r="DS1368" s="4" t="s">
        <v>241</v>
      </c>
      <c r="DV1368" s="4" t="s">
        <v>1195</v>
      </c>
      <c r="DW1368" s="4" t="s">
        <v>323</v>
      </c>
      <c r="HO1368" s="4" t="s">
        <v>277</v>
      </c>
      <c r="HR1368" s="4" t="s">
        <v>278</v>
      </c>
      <c r="HS1368" s="4" t="s">
        <v>278</v>
      </c>
    </row>
    <row r="1369" spans="1:240" x14ac:dyDescent="0.4">
      <c r="A1369" s="4">
        <v>2</v>
      </c>
      <c r="B1369" s="4" t="s">
        <v>239</v>
      </c>
      <c r="C1369" s="4">
        <v>1684</v>
      </c>
      <c r="D1369" s="4">
        <v>1</v>
      </c>
      <c r="E1369" s="4">
        <v>1</v>
      </c>
      <c r="F1369" s="4" t="s">
        <v>240</v>
      </c>
      <c r="G1369" s="4" t="s">
        <v>241</v>
      </c>
      <c r="H1369" s="4" t="s">
        <v>241</v>
      </c>
      <c r="I1369" s="4" t="s">
        <v>1193</v>
      </c>
      <c r="J1369" s="4" t="s">
        <v>424</v>
      </c>
      <c r="K1369" s="4" t="s">
        <v>256</v>
      </c>
      <c r="L1369" s="4" t="s">
        <v>340</v>
      </c>
      <c r="M1369" s="5" t="s">
        <v>1194</v>
      </c>
      <c r="N1369" s="4" t="s">
        <v>340</v>
      </c>
      <c r="O1369" s="6">
        <f>9.94</f>
        <v>9.94</v>
      </c>
      <c r="P1369" s="4" t="s">
        <v>276</v>
      </c>
      <c r="Q1369" s="6">
        <f>1</f>
        <v>1</v>
      </c>
      <c r="R1369" s="6">
        <f>944300</f>
        <v>944300</v>
      </c>
      <c r="S1369" s="5" t="s">
        <v>248</v>
      </c>
      <c r="T1369" s="4" t="s">
        <v>348</v>
      </c>
      <c r="U1369" s="4" t="s">
        <v>275</v>
      </c>
      <c r="W1369" s="6">
        <f>944299</f>
        <v>944299</v>
      </c>
      <c r="X1369" s="4" t="s">
        <v>243</v>
      </c>
      <c r="Y1369" s="4" t="s">
        <v>244</v>
      </c>
      <c r="Z1369" s="4" t="s">
        <v>282</v>
      </c>
      <c r="AA1369" s="4" t="s">
        <v>241</v>
      </c>
      <c r="AD1369" s="4" t="s">
        <v>241</v>
      </c>
      <c r="AF1369" s="5" t="s">
        <v>241</v>
      </c>
      <c r="AI1369" s="5" t="s">
        <v>249</v>
      </c>
      <c r="AJ1369" s="4" t="s">
        <v>251</v>
      </c>
      <c r="AK1369" s="4" t="s">
        <v>252</v>
      </c>
      <c r="BA1369" s="4" t="s">
        <v>254</v>
      </c>
      <c r="BB1369" s="4" t="s">
        <v>241</v>
      </c>
      <c r="BC1369" s="4" t="s">
        <v>255</v>
      </c>
      <c r="BD1369" s="4" t="s">
        <v>241</v>
      </c>
      <c r="BE1369" s="4" t="s">
        <v>257</v>
      </c>
      <c r="BF1369" s="4" t="s">
        <v>241</v>
      </c>
      <c r="BJ1369" s="4" t="s">
        <v>374</v>
      </c>
      <c r="BK1369" s="5" t="s">
        <v>375</v>
      </c>
      <c r="BL1369" s="4" t="s">
        <v>261</v>
      </c>
      <c r="BM1369" s="4" t="s">
        <v>262</v>
      </c>
      <c r="BN1369" s="4" t="s">
        <v>241</v>
      </c>
      <c r="BO1369" s="6">
        <f>0</f>
        <v>0</v>
      </c>
      <c r="BP1369" s="6">
        <f>0</f>
        <v>0</v>
      </c>
      <c r="BQ1369" s="4" t="s">
        <v>263</v>
      </c>
      <c r="BR1369" s="4" t="s">
        <v>264</v>
      </c>
      <c r="CF1369" s="4" t="s">
        <v>241</v>
      </c>
      <c r="CG1369" s="4" t="s">
        <v>241</v>
      </c>
      <c r="CK1369" s="4" t="s">
        <v>265</v>
      </c>
      <c r="CL1369" s="4" t="s">
        <v>266</v>
      </c>
      <c r="CM1369" s="4" t="s">
        <v>241</v>
      </c>
      <c r="CO1369" s="4" t="s">
        <v>267</v>
      </c>
      <c r="CP1369" s="5" t="s">
        <v>268</v>
      </c>
      <c r="CQ1369" s="4" t="s">
        <v>269</v>
      </c>
      <c r="CR1369" s="4" t="s">
        <v>270</v>
      </c>
      <c r="CS1369" s="4" t="s">
        <v>241</v>
      </c>
      <c r="CT1369" s="4" t="s">
        <v>241</v>
      </c>
      <c r="CU1369" s="4">
        <v>0</v>
      </c>
      <c r="CV1369" s="4" t="s">
        <v>271</v>
      </c>
      <c r="CW1369" s="4" t="s">
        <v>332</v>
      </c>
      <c r="CX1369" s="4" t="s">
        <v>347</v>
      </c>
      <c r="CZ1369" s="6">
        <f>944300</f>
        <v>944300</v>
      </c>
      <c r="DA1369" s="6">
        <f>0</f>
        <v>0</v>
      </c>
      <c r="DC1369" s="4" t="s">
        <v>241</v>
      </c>
      <c r="DD1369" s="4" t="s">
        <v>241</v>
      </c>
      <c r="DF1369" s="4" t="s">
        <v>241</v>
      </c>
      <c r="DI1369" s="4" t="s">
        <v>241</v>
      </c>
      <c r="DJ1369" s="4" t="s">
        <v>241</v>
      </c>
      <c r="DK1369" s="4" t="s">
        <v>241</v>
      </c>
      <c r="DL1369" s="4" t="s">
        <v>241</v>
      </c>
      <c r="DM1369" s="4" t="s">
        <v>277</v>
      </c>
      <c r="DN1369" s="4" t="s">
        <v>278</v>
      </c>
      <c r="DO1369" s="6">
        <f>9.94</f>
        <v>9.94</v>
      </c>
      <c r="DP1369" s="4" t="s">
        <v>241</v>
      </c>
      <c r="DQ1369" s="4" t="s">
        <v>241</v>
      </c>
      <c r="DR1369" s="4" t="s">
        <v>241</v>
      </c>
      <c r="DS1369" s="4" t="s">
        <v>241</v>
      </c>
      <c r="DV1369" s="4" t="s">
        <v>1195</v>
      </c>
      <c r="DW1369" s="4" t="s">
        <v>297</v>
      </c>
      <c r="HO1369" s="4" t="s">
        <v>277</v>
      </c>
      <c r="HR1369" s="4" t="s">
        <v>278</v>
      </c>
      <c r="HS1369" s="4" t="s">
        <v>278</v>
      </c>
    </row>
    <row r="1370" spans="1:240" x14ac:dyDescent="0.4">
      <c r="A1370" s="4">
        <v>2</v>
      </c>
      <c r="B1370" s="4" t="s">
        <v>239</v>
      </c>
      <c r="C1370" s="4">
        <v>1685</v>
      </c>
      <c r="D1370" s="4">
        <v>1</v>
      </c>
      <c r="E1370" s="4">
        <v>3</v>
      </c>
      <c r="F1370" s="4" t="s">
        <v>326</v>
      </c>
      <c r="G1370" s="4" t="s">
        <v>241</v>
      </c>
      <c r="H1370" s="4" t="s">
        <v>241</v>
      </c>
      <c r="I1370" s="4" t="s">
        <v>1193</v>
      </c>
      <c r="J1370" s="4" t="s">
        <v>424</v>
      </c>
      <c r="K1370" s="4" t="s">
        <v>256</v>
      </c>
      <c r="L1370" s="4" t="s">
        <v>114</v>
      </c>
      <c r="M1370" s="5" t="s">
        <v>1194</v>
      </c>
      <c r="N1370" s="4" t="s">
        <v>1229</v>
      </c>
      <c r="O1370" s="6">
        <f>0</f>
        <v>0</v>
      </c>
      <c r="P1370" s="4" t="s">
        <v>276</v>
      </c>
      <c r="Q1370" s="6">
        <f>4075920</f>
        <v>4075920</v>
      </c>
      <c r="R1370" s="6">
        <f>4995000</f>
        <v>4995000</v>
      </c>
      <c r="S1370" s="5" t="s">
        <v>1230</v>
      </c>
      <c r="T1370" s="4" t="s">
        <v>314</v>
      </c>
      <c r="U1370" s="4" t="s">
        <v>297</v>
      </c>
      <c r="V1370" s="6">
        <f>229770</f>
        <v>229770</v>
      </c>
      <c r="W1370" s="6">
        <f>919080</f>
        <v>919080</v>
      </c>
      <c r="X1370" s="4" t="s">
        <v>243</v>
      </c>
      <c r="Y1370" s="4" t="s">
        <v>244</v>
      </c>
      <c r="Z1370" s="4" t="s">
        <v>465</v>
      </c>
      <c r="AA1370" s="4" t="s">
        <v>241</v>
      </c>
      <c r="AD1370" s="4" t="s">
        <v>241</v>
      </c>
      <c r="AE1370" s="5" t="s">
        <v>241</v>
      </c>
      <c r="AF1370" s="5" t="s">
        <v>241</v>
      </c>
      <c r="AH1370" s="5" t="s">
        <v>241</v>
      </c>
      <c r="AI1370" s="5" t="s">
        <v>249</v>
      </c>
      <c r="AJ1370" s="4" t="s">
        <v>251</v>
      </c>
      <c r="AK1370" s="4" t="s">
        <v>252</v>
      </c>
      <c r="AQ1370" s="4" t="s">
        <v>241</v>
      </c>
      <c r="AR1370" s="4" t="s">
        <v>241</v>
      </c>
      <c r="AS1370" s="4" t="s">
        <v>241</v>
      </c>
      <c r="AT1370" s="5" t="s">
        <v>241</v>
      </c>
      <c r="AU1370" s="5" t="s">
        <v>241</v>
      </c>
      <c r="AV1370" s="5" t="s">
        <v>241</v>
      </c>
      <c r="AY1370" s="4" t="s">
        <v>286</v>
      </c>
      <c r="AZ1370" s="4" t="s">
        <v>286</v>
      </c>
      <c r="BA1370" s="4" t="s">
        <v>254</v>
      </c>
      <c r="BB1370" s="4" t="s">
        <v>287</v>
      </c>
      <c r="BC1370" s="4" t="s">
        <v>255</v>
      </c>
      <c r="BD1370" s="4" t="s">
        <v>241</v>
      </c>
      <c r="BE1370" s="4" t="s">
        <v>257</v>
      </c>
      <c r="BF1370" s="4" t="s">
        <v>241</v>
      </c>
      <c r="BJ1370" s="4" t="s">
        <v>288</v>
      </c>
      <c r="BK1370" s="5" t="s">
        <v>289</v>
      </c>
      <c r="BL1370" s="4" t="s">
        <v>290</v>
      </c>
      <c r="BM1370" s="4" t="s">
        <v>290</v>
      </c>
      <c r="BN1370" s="4" t="s">
        <v>241</v>
      </c>
      <c r="BP1370" s="6">
        <f>-229770</f>
        <v>-229770</v>
      </c>
      <c r="BQ1370" s="4" t="s">
        <v>263</v>
      </c>
      <c r="BR1370" s="4" t="s">
        <v>264</v>
      </c>
      <c r="BS1370" s="4" t="s">
        <v>241</v>
      </c>
      <c r="BT1370" s="4" t="s">
        <v>241</v>
      </c>
      <c r="BU1370" s="4" t="s">
        <v>241</v>
      </c>
      <c r="BV1370" s="4" t="s">
        <v>241</v>
      </c>
      <c r="CE1370" s="4" t="s">
        <v>264</v>
      </c>
      <c r="CF1370" s="4" t="s">
        <v>241</v>
      </c>
      <c r="CG1370" s="4" t="s">
        <v>241</v>
      </c>
      <c r="CK1370" s="4" t="s">
        <v>291</v>
      </c>
      <c r="CL1370" s="4" t="s">
        <v>266</v>
      </c>
      <c r="CM1370" s="4" t="s">
        <v>241</v>
      </c>
      <c r="CO1370" s="4" t="s">
        <v>413</v>
      </c>
      <c r="CP1370" s="5" t="s">
        <v>268</v>
      </c>
      <c r="CQ1370" s="4" t="s">
        <v>269</v>
      </c>
      <c r="CR1370" s="4" t="s">
        <v>270</v>
      </c>
      <c r="CS1370" s="4" t="s">
        <v>293</v>
      </c>
      <c r="CT1370" s="4" t="s">
        <v>241</v>
      </c>
      <c r="CU1370" s="4">
        <v>4.5999999999999999E-2</v>
      </c>
      <c r="CV1370" s="4" t="s">
        <v>271</v>
      </c>
      <c r="CW1370" s="4" t="s">
        <v>1176</v>
      </c>
      <c r="CX1370" s="4" t="s">
        <v>347</v>
      </c>
      <c r="CY1370" s="6">
        <f>0</f>
        <v>0</v>
      </c>
      <c r="CZ1370" s="6">
        <f>4995000</f>
        <v>4995000</v>
      </c>
      <c r="DA1370" s="6">
        <f>4075920</f>
        <v>4075920</v>
      </c>
      <c r="DC1370" s="4" t="s">
        <v>241</v>
      </c>
      <c r="DD1370" s="4" t="s">
        <v>241</v>
      </c>
      <c r="DF1370" s="4" t="s">
        <v>241</v>
      </c>
      <c r="DG1370" s="6">
        <f>0</f>
        <v>0</v>
      </c>
      <c r="DI1370" s="4" t="s">
        <v>241</v>
      </c>
      <c r="DJ1370" s="4" t="s">
        <v>241</v>
      </c>
      <c r="DK1370" s="4" t="s">
        <v>241</v>
      </c>
      <c r="DL1370" s="4" t="s">
        <v>241</v>
      </c>
      <c r="DM1370" s="4" t="s">
        <v>278</v>
      </c>
      <c r="DN1370" s="4" t="s">
        <v>278</v>
      </c>
      <c r="DO1370" s="6" t="s">
        <v>241</v>
      </c>
      <c r="DP1370" s="4" t="s">
        <v>241</v>
      </c>
      <c r="DQ1370" s="4" t="s">
        <v>241</v>
      </c>
      <c r="DR1370" s="4" t="s">
        <v>241</v>
      </c>
      <c r="DS1370" s="4" t="s">
        <v>241</v>
      </c>
      <c r="DV1370" s="4" t="s">
        <v>1195</v>
      </c>
      <c r="DW1370" s="4" t="s">
        <v>336</v>
      </c>
      <c r="GN1370" s="4" t="s">
        <v>1231</v>
      </c>
      <c r="HO1370" s="4" t="s">
        <v>351</v>
      </c>
      <c r="HR1370" s="4" t="s">
        <v>278</v>
      </c>
      <c r="HS1370" s="4" t="s">
        <v>278</v>
      </c>
      <c r="HT1370" s="4" t="s">
        <v>241</v>
      </c>
      <c r="HU1370" s="4" t="s">
        <v>241</v>
      </c>
      <c r="HV1370" s="4" t="s">
        <v>241</v>
      </c>
      <c r="HW1370" s="4" t="s">
        <v>241</v>
      </c>
      <c r="HX1370" s="4" t="s">
        <v>241</v>
      </c>
      <c r="HY1370" s="4" t="s">
        <v>241</v>
      </c>
      <c r="HZ1370" s="4" t="s">
        <v>241</v>
      </c>
      <c r="IA1370" s="4" t="s">
        <v>241</v>
      </c>
      <c r="IB1370" s="4" t="s">
        <v>241</v>
      </c>
      <c r="IC1370" s="4" t="s">
        <v>241</v>
      </c>
      <c r="ID1370" s="4" t="s">
        <v>241</v>
      </c>
      <c r="IE1370" s="4" t="s">
        <v>241</v>
      </c>
      <c r="IF1370" s="4" t="s">
        <v>241</v>
      </c>
    </row>
    <row r="1371" spans="1:240" x14ac:dyDescent="0.4">
      <c r="A1371" s="4">
        <v>2</v>
      </c>
      <c r="B1371" s="4" t="s">
        <v>239</v>
      </c>
      <c r="C1371" s="4">
        <v>1686</v>
      </c>
      <c r="D1371" s="4">
        <v>1</v>
      </c>
      <c r="E1371" s="4">
        <v>3</v>
      </c>
      <c r="F1371" s="4" t="s">
        <v>240</v>
      </c>
      <c r="G1371" s="4" t="s">
        <v>241</v>
      </c>
      <c r="H1371" s="4" t="s">
        <v>241</v>
      </c>
      <c r="I1371" s="4" t="s">
        <v>556</v>
      </c>
      <c r="J1371" s="4" t="s">
        <v>424</v>
      </c>
      <c r="K1371" s="4" t="s">
        <v>256</v>
      </c>
      <c r="L1371" s="4" t="s">
        <v>440</v>
      </c>
      <c r="M1371" s="5" t="s">
        <v>558</v>
      </c>
      <c r="N1371" s="4" t="s">
        <v>555</v>
      </c>
      <c r="O1371" s="6">
        <f>481.29</f>
        <v>481.29</v>
      </c>
      <c r="P1371" s="4" t="s">
        <v>276</v>
      </c>
      <c r="Q1371" s="6">
        <f>33999296</f>
        <v>33999296</v>
      </c>
      <c r="R1371" s="6">
        <f>118878630</f>
        <v>118878630</v>
      </c>
      <c r="S1371" s="5" t="s">
        <v>557</v>
      </c>
      <c r="T1371" s="4" t="s">
        <v>274</v>
      </c>
      <c r="U1371" s="4" t="s">
        <v>371</v>
      </c>
      <c r="V1371" s="6">
        <f>4992902</f>
        <v>4992902</v>
      </c>
      <c r="W1371" s="6">
        <f>84879334</f>
        <v>84879334</v>
      </c>
      <c r="X1371" s="4" t="s">
        <v>243</v>
      </c>
      <c r="Y1371" s="4" t="s">
        <v>244</v>
      </c>
      <c r="Z1371" s="4" t="s">
        <v>282</v>
      </c>
      <c r="AA1371" s="4" t="s">
        <v>241</v>
      </c>
      <c r="AD1371" s="4" t="s">
        <v>241</v>
      </c>
      <c r="AE1371" s="5" t="s">
        <v>241</v>
      </c>
      <c r="AF1371" s="5" t="s">
        <v>241</v>
      </c>
      <c r="AH1371" s="5" t="s">
        <v>241</v>
      </c>
      <c r="AI1371" s="5" t="s">
        <v>249</v>
      </c>
      <c r="AJ1371" s="4" t="s">
        <v>251</v>
      </c>
      <c r="AK1371" s="4" t="s">
        <v>252</v>
      </c>
      <c r="AQ1371" s="4" t="s">
        <v>241</v>
      </c>
      <c r="AR1371" s="4" t="s">
        <v>241</v>
      </c>
      <c r="AS1371" s="4" t="s">
        <v>241</v>
      </c>
      <c r="AT1371" s="5" t="s">
        <v>241</v>
      </c>
      <c r="AU1371" s="5" t="s">
        <v>241</v>
      </c>
      <c r="AV1371" s="5" t="s">
        <v>241</v>
      </c>
      <c r="AY1371" s="4" t="s">
        <v>286</v>
      </c>
      <c r="AZ1371" s="4" t="s">
        <v>286</v>
      </c>
      <c r="BA1371" s="4" t="s">
        <v>254</v>
      </c>
      <c r="BB1371" s="4" t="s">
        <v>287</v>
      </c>
      <c r="BC1371" s="4" t="s">
        <v>255</v>
      </c>
      <c r="BD1371" s="4" t="s">
        <v>241</v>
      </c>
      <c r="BE1371" s="4" t="s">
        <v>257</v>
      </c>
      <c r="BF1371" s="4" t="s">
        <v>241</v>
      </c>
      <c r="BJ1371" s="4" t="s">
        <v>288</v>
      </c>
      <c r="BK1371" s="5" t="s">
        <v>289</v>
      </c>
      <c r="BL1371" s="4" t="s">
        <v>290</v>
      </c>
      <c r="BM1371" s="4" t="s">
        <v>290</v>
      </c>
      <c r="BN1371" s="4" t="s">
        <v>241</v>
      </c>
      <c r="BO1371" s="6">
        <f>0</f>
        <v>0</v>
      </c>
      <c r="BP1371" s="6">
        <f>-4992902</f>
        <v>-4992902</v>
      </c>
      <c r="BQ1371" s="4" t="s">
        <v>263</v>
      </c>
      <c r="BR1371" s="4" t="s">
        <v>264</v>
      </c>
      <c r="BS1371" s="4" t="s">
        <v>241</v>
      </c>
      <c r="BT1371" s="4" t="s">
        <v>241</v>
      </c>
      <c r="BU1371" s="4" t="s">
        <v>241</v>
      </c>
      <c r="BV1371" s="4" t="s">
        <v>241</v>
      </c>
      <c r="CE1371" s="4" t="s">
        <v>264</v>
      </c>
      <c r="CF1371" s="4" t="s">
        <v>241</v>
      </c>
      <c r="CG1371" s="4" t="s">
        <v>241</v>
      </c>
      <c r="CK1371" s="4" t="s">
        <v>291</v>
      </c>
      <c r="CL1371" s="4" t="s">
        <v>266</v>
      </c>
      <c r="CM1371" s="4" t="s">
        <v>241</v>
      </c>
      <c r="CO1371" s="4" t="s">
        <v>407</v>
      </c>
      <c r="CP1371" s="5" t="s">
        <v>268</v>
      </c>
      <c r="CQ1371" s="4" t="s">
        <v>269</v>
      </c>
      <c r="CR1371" s="4" t="s">
        <v>270</v>
      </c>
      <c r="CS1371" s="4" t="s">
        <v>293</v>
      </c>
      <c r="CT1371" s="4" t="s">
        <v>241</v>
      </c>
      <c r="CU1371" s="4">
        <v>4.2000000000000003E-2</v>
      </c>
      <c r="CV1371" s="4" t="s">
        <v>271</v>
      </c>
      <c r="CW1371" s="4" t="s">
        <v>495</v>
      </c>
      <c r="CX1371" s="4" t="s">
        <v>347</v>
      </c>
      <c r="CY1371" s="6">
        <f>0</f>
        <v>0</v>
      </c>
      <c r="CZ1371" s="6">
        <f>118878630</f>
        <v>118878630</v>
      </c>
      <c r="DA1371" s="6">
        <f>33999296</f>
        <v>33999296</v>
      </c>
      <c r="DC1371" s="4" t="s">
        <v>241</v>
      </c>
      <c r="DD1371" s="4" t="s">
        <v>241</v>
      </c>
      <c r="DF1371" s="4" t="s">
        <v>241</v>
      </c>
      <c r="DG1371" s="6">
        <f>0</f>
        <v>0</v>
      </c>
      <c r="DI1371" s="4" t="s">
        <v>241</v>
      </c>
      <c r="DJ1371" s="4" t="s">
        <v>241</v>
      </c>
      <c r="DK1371" s="4" t="s">
        <v>241</v>
      </c>
      <c r="DL1371" s="4" t="s">
        <v>241</v>
      </c>
      <c r="DM1371" s="4" t="s">
        <v>277</v>
      </c>
      <c r="DN1371" s="4" t="s">
        <v>278</v>
      </c>
      <c r="DO1371" s="6">
        <f>481.29</f>
        <v>481.29</v>
      </c>
      <c r="DP1371" s="4" t="s">
        <v>241</v>
      </c>
      <c r="DQ1371" s="4" t="s">
        <v>241</v>
      </c>
      <c r="DR1371" s="4" t="s">
        <v>241</v>
      </c>
      <c r="DS1371" s="4" t="s">
        <v>241</v>
      </c>
      <c r="DV1371" s="4" t="s">
        <v>559</v>
      </c>
      <c r="DW1371" s="4" t="s">
        <v>277</v>
      </c>
      <c r="GN1371" s="4" t="s">
        <v>560</v>
      </c>
      <c r="HO1371" s="4" t="s">
        <v>300</v>
      </c>
      <c r="HR1371" s="4" t="s">
        <v>278</v>
      </c>
      <c r="HS1371" s="4" t="s">
        <v>278</v>
      </c>
      <c r="HT1371" s="4" t="s">
        <v>241</v>
      </c>
      <c r="HU1371" s="4" t="s">
        <v>241</v>
      </c>
      <c r="HV1371" s="4" t="s">
        <v>241</v>
      </c>
      <c r="HW1371" s="4" t="s">
        <v>241</v>
      </c>
      <c r="HX1371" s="4" t="s">
        <v>241</v>
      </c>
      <c r="HY1371" s="4" t="s">
        <v>241</v>
      </c>
      <c r="HZ1371" s="4" t="s">
        <v>241</v>
      </c>
      <c r="IA1371" s="4" t="s">
        <v>241</v>
      </c>
      <c r="IB1371" s="4" t="s">
        <v>241</v>
      </c>
      <c r="IC1371" s="4" t="s">
        <v>241</v>
      </c>
      <c r="ID1371" s="4" t="s">
        <v>241</v>
      </c>
      <c r="IE1371" s="4" t="s">
        <v>241</v>
      </c>
      <c r="IF1371" s="4" t="s">
        <v>241</v>
      </c>
    </row>
    <row r="1372" spans="1:240" x14ac:dyDescent="0.4">
      <c r="A1372" s="4">
        <v>2</v>
      </c>
      <c r="B1372" s="4" t="s">
        <v>239</v>
      </c>
      <c r="C1372" s="4">
        <v>1687</v>
      </c>
      <c r="D1372" s="4">
        <v>1</v>
      </c>
      <c r="E1372" s="4">
        <v>1</v>
      </c>
      <c r="F1372" s="4" t="s">
        <v>240</v>
      </c>
      <c r="G1372" s="4" t="s">
        <v>241</v>
      </c>
      <c r="H1372" s="4" t="s">
        <v>241</v>
      </c>
      <c r="I1372" s="4" t="s">
        <v>556</v>
      </c>
      <c r="J1372" s="4" t="s">
        <v>424</v>
      </c>
      <c r="K1372" s="4" t="s">
        <v>256</v>
      </c>
      <c r="L1372" s="4" t="s">
        <v>340</v>
      </c>
      <c r="M1372" s="5" t="s">
        <v>558</v>
      </c>
      <c r="N1372" s="4" t="s">
        <v>340</v>
      </c>
      <c r="O1372" s="6">
        <f>40.57</f>
        <v>40.57</v>
      </c>
      <c r="P1372" s="4" t="s">
        <v>276</v>
      </c>
      <c r="Q1372" s="6">
        <f>1</f>
        <v>1</v>
      </c>
      <c r="R1372" s="6">
        <f>8763120</f>
        <v>8763120</v>
      </c>
      <c r="S1372" s="5" t="s">
        <v>557</v>
      </c>
      <c r="T1372" s="4" t="s">
        <v>348</v>
      </c>
      <c r="U1372" s="4" t="s">
        <v>348</v>
      </c>
      <c r="W1372" s="6">
        <f>8763119</f>
        <v>8763119</v>
      </c>
      <c r="X1372" s="4" t="s">
        <v>243</v>
      </c>
      <c r="Y1372" s="4" t="s">
        <v>244</v>
      </c>
      <c r="Z1372" s="4" t="s">
        <v>282</v>
      </c>
      <c r="AA1372" s="4" t="s">
        <v>241</v>
      </c>
      <c r="AD1372" s="4" t="s">
        <v>241</v>
      </c>
      <c r="AF1372" s="5" t="s">
        <v>241</v>
      </c>
      <c r="AI1372" s="5" t="s">
        <v>249</v>
      </c>
      <c r="AJ1372" s="4" t="s">
        <v>251</v>
      </c>
      <c r="AK1372" s="4" t="s">
        <v>252</v>
      </c>
      <c r="BA1372" s="4" t="s">
        <v>254</v>
      </c>
      <c r="BB1372" s="4" t="s">
        <v>241</v>
      </c>
      <c r="BC1372" s="4" t="s">
        <v>255</v>
      </c>
      <c r="BD1372" s="4" t="s">
        <v>241</v>
      </c>
      <c r="BE1372" s="4" t="s">
        <v>257</v>
      </c>
      <c r="BF1372" s="4" t="s">
        <v>241</v>
      </c>
      <c r="BJ1372" s="4" t="s">
        <v>367</v>
      </c>
      <c r="BK1372" s="5" t="s">
        <v>249</v>
      </c>
      <c r="BL1372" s="4" t="s">
        <v>261</v>
      </c>
      <c r="BM1372" s="4" t="s">
        <v>290</v>
      </c>
      <c r="BN1372" s="4" t="s">
        <v>241</v>
      </c>
      <c r="BO1372" s="6">
        <f>0</f>
        <v>0</v>
      </c>
      <c r="BP1372" s="6">
        <f>0</f>
        <v>0</v>
      </c>
      <c r="BQ1372" s="4" t="s">
        <v>263</v>
      </c>
      <c r="BR1372" s="4" t="s">
        <v>264</v>
      </c>
      <c r="CF1372" s="4" t="s">
        <v>241</v>
      </c>
      <c r="CG1372" s="4" t="s">
        <v>241</v>
      </c>
      <c r="CK1372" s="4" t="s">
        <v>291</v>
      </c>
      <c r="CL1372" s="4" t="s">
        <v>266</v>
      </c>
      <c r="CM1372" s="4" t="s">
        <v>241</v>
      </c>
      <c r="CO1372" s="4" t="s">
        <v>407</v>
      </c>
      <c r="CP1372" s="5" t="s">
        <v>268</v>
      </c>
      <c r="CQ1372" s="4" t="s">
        <v>269</v>
      </c>
      <c r="CR1372" s="4" t="s">
        <v>270</v>
      </c>
      <c r="CS1372" s="4" t="s">
        <v>241</v>
      </c>
      <c r="CT1372" s="4" t="s">
        <v>241</v>
      </c>
      <c r="CU1372" s="4">
        <v>0</v>
      </c>
      <c r="CV1372" s="4" t="s">
        <v>271</v>
      </c>
      <c r="CW1372" s="4" t="s">
        <v>332</v>
      </c>
      <c r="CX1372" s="4" t="s">
        <v>347</v>
      </c>
      <c r="CZ1372" s="6">
        <f>8763120</f>
        <v>8763120</v>
      </c>
      <c r="DA1372" s="6">
        <f>0</f>
        <v>0</v>
      </c>
      <c r="DC1372" s="4" t="s">
        <v>241</v>
      </c>
      <c r="DD1372" s="4" t="s">
        <v>241</v>
      </c>
      <c r="DF1372" s="4" t="s">
        <v>241</v>
      </c>
      <c r="DI1372" s="4" t="s">
        <v>241</v>
      </c>
      <c r="DJ1372" s="4" t="s">
        <v>241</v>
      </c>
      <c r="DK1372" s="4" t="s">
        <v>241</v>
      </c>
      <c r="DL1372" s="4" t="s">
        <v>241</v>
      </c>
      <c r="DM1372" s="4" t="s">
        <v>277</v>
      </c>
      <c r="DN1372" s="4" t="s">
        <v>278</v>
      </c>
      <c r="DO1372" s="6">
        <f>40.57</f>
        <v>40.57</v>
      </c>
      <c r="DP1372" s="4" t="s">
        <v>241</v>
      </c>
      <c r="DQ1372" s="4" t="s">
        <v>241</v>
      </c>
      <c r="DR1372" s="4" t="s">
        <v>241</v>
      </c>
      <c r="DS1372" s="4" t="s">
        <v>241</v>
      </c>
      <c r="DV1372" s="4" t="s">
        <v>559</v>
      </c>
      <c r="DW1372" s="4" t="s">
        <v>323</v>
      </c>
      <c r="HO1372" s="4" t="s">
        <v>351</v>
      </c>
      <c r="HR1372" s="4" t="s">
        <v>278</v>
      </c>
      <c r="HS1372" s="4" t="s">
        <v>278</v>
      </c>
    </row>
    <row r="1373" spans="1:240" x14ac:dyDescent="0.4">
      <c r="A1373" s="4">
        <v>2</v>
      </c>
      <c r="B1373" s="4" t="s">
        <v>239</v>
      </c>
      <c r="C1373" s="4">
        <v>1688</v>
      </c>
      <c r="D1373" s="4">
        <v>1</v>
      </c>
      <c r="E1373" s="4">
        <v>1</v>
      </c>
      <c r="F1373" s="4" t="s">
        <v>240</v>
      </c>
      <c r="G1373" s="4" t="s">
        <v>241</v>
      </c>
      <c r="H1373" s="4" t="s">
        <v>241</v>
      </c>
      <c r="I1373" s="4" t="s">
        <v>625</v>
      </c>
      <c r="J1373" s="4" t="s">
        <v>424</v>
      </c>
      <c r="K1373" s="4" t="s">
        <v>256</v>
      </c>
      <c r="L1373" s="4" t="s">
        <v>492</v>
      </c>
      <c r="M1373" s="5" t="s">
        <v>626</v>
      </c>
      <c r="N1373" s="4" t="s">
        <v>624</v>
      </c>
      <c r="O1373" s="6">
        <f>165.98</f>
        <v>165.98</v>
      </c>
      <c r="P1373" s="4" t="s">
        <v>276</v>
      </c>
      <c r="Q1373" s="6">
        <f>1</f>
        <v>1</v>
      </c>
      <c r="R1373" s="6">
        <f>15768100</f>
        <v>15768100</v>
      </c>
      <c r="S1373" s="5" t="s">
        <v>248</v>
      </c>
      <c r="T1373" s="4" t="s">
        <v>274</v>
      </c>
      <c r="U1373" s="4" t="s">
        <v>275</v>
      </c>
      <c r="W1373" s="6">
        <f>15768099</f>
        <v>15768099</v>
      </c>
      <c r="X1373" s="4" t="s">
        <v>243</v>
      </c>
      <c r="Y1373" s="4" t="s">
        <v>244</v>
      </c>
      <c r="Z1373" s="4" t="s">
        <v>282</v>
      </c>
      <c r="AA1373" s="4" t="s">
        <v>241</v>
      </c>
      <c r="AD1373" s="4" t="s">
        <v>241</v>
      </c>
      <c r="AF1373" s="5" t="s">
        <v>241</v>
      </c>
      <c r="AI1373" s="5" t="s">
        <v>249</v>
      </c>
      <c r="AJ1373" s="4" t="s">
        <v>251</v>
      </c>
      <c r="AK1373" s="4" t="s">
        <v>252</v>
      </c>
      <c r="BA1373" s="4" t="s">
        <v>254</v>
      </c>
      <c r="BB1373" s="4" t="s">
        <v>241</v>
      </c>
      <c r="BC1373" s="4" t="s">
        <v>255</v>
      </c>
      <c r="BD1373" s="4" t="s">
        <v>241</v>
      </c>
      <c r="BE1373" s="4" t="s">
        <v>257</v>
      </c>
      <c r="BF1373" s="4" t="s">
        <v>241</v>
      </c>
      <c r="BJ1373" s="4" t="s">
        <v>367</v>
      </c>
      <c r="BK1373" s="5" t="s">
        <v>249</v>
      </c>
      <c r="BL1373" s="4" t="s">
        <v>261</v>
      </c>
      <c r="BM1373" s="4" t="s">
        <v>262</v>
      </c>
      <c r="BN1373" s="4" t="s">
        <v>241</v>
      </c>
      <c r="BO1373" s="6">
        <f>0</f>
        <v>0</v>
      </c>
      <c r="BP1373" s="6">
        <f>0</f>
        <v>0</v>
      </c>
      <c r="BQ1373" s="4" t="s">
        <v>263</v>
      </c>
      <c r="BR1373" s="4" t="s">
        <v>264</v>
      </c>
      <c r="CF1373" s="4" t="s">
        <v>241</v>
      </c>
      <c r="CG1373" s="4" t="s">
        <v>241</v>
      </c>
      <c r="CK1373" s="4" t="s">
        <v>265</v>
      </c>
      <c r="CL1373" s="4" t="s">
        <v>266</v>
      </c>
      <c r="CM1373" s="4" t="s">
        <v>241</v>
      </c>
      <c r="CO1373" s="4" t="s">
        <v>267</v>
      </c>
      <c r="CP1373" s="5" t="s">
        <v>268</v>
      </c>
      <c r="CQ1373" s="4" t="s">
        <v>269</v>
      </c>
      <c r="CR1373" s="4" t="s">
        <v>270</v>
      </c>
      <c r="CS1373" s="4" t="s">
        <v>241</v>
      </c>
      <c r="CT1373" s="4" t="s">
        <v>241</v>
      </c>
      <c r="CU1373" s="4">
        <v>0</v>
      </c>
      <c r="CV1373" s="4" t="s">
        <v>271</v>
      </c>
      <c r="CW1373" s="4" t="s">
        <v>495</v>
      </c>
      <c r="CX1373" s="4" t="s">
        <v>347</v>
      </c>
      <c r="CZ1373" s="6">
        <f>15768100</f>
        <v>15768100</v>
      </c>
      <c r="DA1373" s="6">
        <f>0</f>
        <v>0</v>
      </c>
      <c r="DC1373" s="4" t="s">
        <v>241</v>
      </c>
      <c r="DD1373" s="4" t="s">
        <v>241</v>
      </c>
      <c r="DF1373" s="4" t="s">
        <v>241</v>
      </c>
      <c r="DI1373" s="4" t="s">
        <v>241</v>
      </c>
      <c r="DJ1373" s="4" t="s">
        <v>241</v>
      </c>
      <c r="DK1373" s="4" t="s">
        <v>241</v>
      </c>
      <c r="DL1373" s="4" t="s">
        <v>241</v>
      </c>
      <c r="DM1373" s="4" t="s">
        <v>277</v>
      </c>
      <c r="DN1373" s="4" t="s">
        <v>278</v>
      </c>
      <c r="DO1373" s="6">
        <f>165.98</f>
        <v>165.98</v>
      </c>
      <c r="DP1373" s="4" t="s">
        <v>241</v>
      </c>
      <c r="DQ1373" s="4" t="s">
        <v>241</v>
      </c>
      <c r="DR1373" s="4" t="s">
        <v>241</v>
      </c>
      <c r="DS1373" s="4" t="s">
        <v>241</v>
      </c>
      <c r="DV1373" s="4" t="s">
        <v>627</v>
      </c>
      <c r="DW1373" s="4" t="s">
        <v>277</v>
      </c>
      <c r="HO1373" s="4" t="s">
        <v>277</v>
      </c>
      <c r="HR1373" s="4" t="s">
        <v>278</v>
      </c>
      <c r="HS1373" s="4" t="s">
        <v>278</v>
      </c>
    </row>
    <row r="1374" spans="1:240" x14ac:dyDescent="0.4">
      <c r="A1374" s="4">
        <v>2</v>
      </c>
      <c r="B1374" s="4" t="s">
        <v>239</v>
      </c>
      <c r="C1374" s="4">
        <v>1689</v>
      </c>
      <c r="D1374" s="4">
        <v>1</v>
      </c>
      <c r="E1374" s="4">
        <v>1</v>
      </c>
      <c r="F1374" s="4" t="s">
        <v>240</v>
      </c>
      <c r="G1374" s="4" t="s">
        <v>241</v>
      </c>
      <c r="H1374" s="4" t="s">
        <v>241</v>
      </c>
      <c r="I1374" s="4" t="s">
        <v>625</v>
      </c>
      <c r="J1374" s="4" t="s">
        <v>424</v>
      </c>
      <c r="K1374" s="4" t="s">
        <v>256</v>
      </c>
      <c r="L1374" s="4" t="s">
        <v>454</v>
      </c>
      <c r="M1374" s="5" t="s">
        <v>626</v>
      </c>
      <c r="N1374" s="4" t="s">
        <v>454</v>
      </c>
      <c r="O1374" s="6">
        <f>9.94</f>
        <v>9.94</v>
      </c>
      <c r="P1374" s="4" t="s">
        <v>276</v>
      </c>
      <c r="Q1374" s="6">
        <f>1</f>
        <v>1</v>
      </c>
      <c r="R1374" s="6">
        <f>596400</f>
        <v>596400</v>
      </c>
      <c r="S1374" s="5" t="s">
        <v>248</v>
      </c>
      <c r="T1374" s="4" t="s">
        <v>401</v>
      </c>
      <c r="U1374" s="4" t="s">
        <v>275</v>
      </c>
      <c r="W1374" s="6">
        <f>596399</f>
        <v>596399</v>
      </c>
      <c r="X1374" s="4" t="s">
        <v>243</v>
      </c>
      <c r="Y1374" s="4" t="s">
        <v>244</v>
      </c>
      <c r="Z1374" s="4" t="s">
        <v>282</v>
      </c>
      <c r="AA1374" s="4" t="s">
        <v>241</v>
      </c>
      <c r="AD1374" s="4" t="s">
        <v>241</v>
      </c>
      <c r="AF1374" s="5" t="s">
        <v>241</v>
      </c>
      <c r="AI1374" s="5" t="s">
        <v>249</v>
      </c>
      <c r="AJ1374" s="4" t="s">
        <v>251</v>
      </c>
      <c r="AK1374" s="4" t="s">
        <v>252</v>
      </c>
      <c r="BA1374" s="4" t="s">
        <v>254</v>
      </c>
      <c r="BB1374" s="4" t="s">
        <v>241</v>
      </c>
      <c r="BC1374" s="4" t="s">
        <v>255</v>
      </c>
      <c r="BD1374" s="4" t="s">
        <v>241</v>
      </c>
      <c r="BE1374" s="4" t="s">
        <v>257</v>
      </c>
      <c r="BF1374" s="4" t="s">
        <v>241</v>
      </c>
      <c r="BJ1374" s="4" t="s">
        <v>367</v>
      </c>
      <c r="BK1374" s="5" t="s">
        <v>249</v>
      </c>
      <c r="BL1374" s="4" t="s">
        <v>261</v>
      </c>
      <c r="BM1374" s="4" t="s">
        <v>262</v>
      </c>
      <c r="BN1374" s="4" t="s">
        <v>241</v>
      </c>
      <c r="BO1374" s="6">
        <f>0</f>
        <v>0</v>
      </c>
      <c r="BP1374" s="6">
        <f>0</f>
        <v>0</v>
      </c>
      <c r="BQ1374" s="4" t="s">
        <v>263</v>
      </c>
      <c r="BR1374" s="4" t="s">
        <v>264</v>
      </c>
      <c r="CF1374" s="4" t="s">
        <v>241</v>
      </c>
      <c r="CG1374" s="4" t="s">
        <v>241</v>
      </c>
      <c r="CK1374" s="4" t="s">
        <v>265</v>
      </c>
      <c r="CL1374" s="4" t="s">
        <v>266</v>
      </c>
      <c r="CM1374" s="4" t="s">
        <v>241</v>
      </c>
      <c r="CO1374" s="4" t="s">
        <v>267</v>
      </c>
      <c r="CP1374" s="5" t="s">
        <v>268</v>
      </c>
      <c r="CQ1374" s="4" t="s">
        <v>269</v>
      </c>
      <c r="CR1374" s="4" t="s">
        <v>270</v>
      </c>
      <c r="CS1374" s="4" t="s">
        <v>241</v>
      </c>
      <c r="CT1374" s="4" t="s">
        <v>241</v>
      </c>
      <c r="CU1374" s="4">
        <v>0</v>
      </c>
      <c r="CV1374" s="4" t="s">
        <v>271</v>
      </c>
      <c r="CW1374" s="4" t="s">
        <v>455</v>
      </c>
      <c r="CX1374" s="4" t="s">
        <v>347</v>
      </c>
      <c r="CZ1374" s="6">
        <f>596400</f>
        <v>596400</v>
      </c>
      <c r="DA1374" s="6">
        <f>0</f>
        <v>0</v>
      </c>
      <c r="DC1374" s="4" t="s">
        <v>241</v>
      </c>
      <c r="DD1374" s="4" t="s">
        <v>241</v>
      </c>
      <c r="DF1374" s="4" t="s">
        <v>241</v>
      </c>
      <c r="DI1374" s="4" t="s">
        <v>241</v>
      </c>
      <c r="DJ1374" s="4" t="s">
        <v>241</v>
      </c>
      <c r="DK1374" s="4" t="s">
        <v>241</v>
      </c>
      <c r="DL1374" s="4" t="s">
        <v>241</v>
      </c>
      <c r="DM1374" s="4" t="s">
        <v>277</v>
      </c>
      <c r="DN1374" s="4" t="s">
        <v>278</v>
      </c>
      <c r="DO1374" s="6">
        <f>9.94</f>
        <v>9.94</v>
      </c>
      <c r="DP1374" s="4" t="s">
        <v>241</v>
      </c>
      <c r="DQ1374" s="4" t="s">
        <v>241</v>
      </c>
      <c r="DR1374" s="4" t="s">
        <v>241</v>
      </c>
      <c r="DS1374" s="4" t="s">
        <v>241</v>
      </c>
      <c r="DV1374" s="4" t="s">
        <v>627</v>
      </c>
      <c r="DW1374" s="4" t="s">
        <v>323</v>
      </c>
      <c r="HO1374" s="4" t="s">
        <v>277</v>
      </c>
      <c r="HR1374" s="4" t="s">
        <v>278</v>
      </c>
      <c r="HS1374" s="4" t="s">
        <v>278</v>
      </c>
    </row>
    <row r="1375" spans="1:240" x14ac:dyDescent="0.4">
      <c r="A1375" s="4">
        <v>2</v>
      </c>
      <c r="B1375" s="4" t="s">
        <v>239</v>
      </c>
      <c r="C1375" s="4">
        <v>1690</v>
      </c>
      <c r="D1375" s="4">
        <v>1</v>
      </c>
      <c r="E1375" s="4">
        <v>1</v>
      </c>
      <c r="F1375" s="4" t="s">
        <v>240</v>
      </c>
      <c r="G1375" s="4" t="s">
        <v>241</v>
      </c>
      <c r="H1375" s="4" t="s">
        <v>241</v>
      </c>
      <c r="I1375" s="4" t="s">
        <v>625</v>
      </c>
      <c r="J1375" s="4" t="s">
        <v>424</v>
      </c>
      <c r="K1375" s="4" t="s">
        <v>256</v>
      </c>
      <c r="L1375" s="4" t="s">
        <v>429</v>
      </c>
      <c r="M1375" s="5" t="s">
        <v>626</v>
      </c>
      <c r="N1375" s="4" t="s">
        <v>429</v>
      </c>
      <c r="O1375" s="6">
        <f>9.94</f>
        <v>9.94</v>
      </c>
      <c r="P1375" s="4" t="s">
        <v>276</v>
      </c>
      <c r="Q1375" s="6">
        <f>1</f>
        <v>1</v>
      </c>
      <c r="R1375" s="6">
        <f>596400</f>
        <v>596400</v>
      </c>
      <c r="S1375" s="5" t="s">
        <v>248</v>
      </c>
      <c r="T1375" s="4" t="s">
        <v>348</v>
      </c>
      <c r="U1375" s="4" t="s">
        <v>275</v>
      </c>
      <c r="W1375" s="6">
        <f>596399</f>
        <v>596399</v>
      </c>
      <c r="X1375" s="4" t="s">
        <v>243</v>
      </c>
      <c r="Y1375" s="4" t="s">
        <v>244</v>
      </c>
      <c r="Z1375" s="4" t="s">
        <v>282</v>
      </c>
      <c r="AA1375" s="4" t="s">
        <v>241</v>
      </c>
      <c r="AD1375" s="4" t="s">
        <v>241</v>
      </c>
      <c r="AF1375" s="5" t="s">
        <v>241</v>
      </c>
      <c r="AI1375" s="5" t="s">
        <v>249</v>
      </c>
      <c r="AJ1375" s="4" t="s">
        <v>251</v>
      </c>
      <c r="AK1375" s="4" t="s">
        <v>252</v>
      </c>
      <c r="BA1375" s="4" t="s">
        <v>254</v>
      </c>
      <c r="BB1375" s="4" t="s">
        <v>241</v>
      </c>
      <c r="BC1375" s="4" t="s">
        <v>255</v>
      </c>
      <c r="BD1375" s="4" t="s">
        <v>241</v>
      </c>
      <c r="BE1375" s="4" t="s">
        <v>257</v>
      </c>
      <c r="BF1375" s="4" t="s">
        <v>241</v>
      </c>
      <c r="BJ1375" s="4" t="s">
        <v>367</v>
      </c>
      <c r="BK1375" s="5" t="s">
        <v>249</v>
      </c>
      <c r="BL1375" s="4" t="s">
        <v>261</v>
      </c>
      <c r="BM1375" s="4" t="s">
        <v>262</v>
      </c>
      <c r="BN1375" s="4" t="s">
        <v>241</v>
      </c>
      <c r="BO1375" s="6">
        <f>0</f>
        <v>0</v>
      </c>
      <c r="BP1375" s="6">
        <f>0</f>
        <v>0</v>
      </c>
      <c r="BQ1375" s="4" t="s">
        <v>263</v>
      </c>
      <c r="BR1375" s="4" t="s">
        <v>264</v>
      </c>
      <c r="CF1375" s="4" t="s">
        <v>241</v>
      </c>
      <c r="CG1375" s="4" t="s">
        <v>241</v>
      </c>
      <c r="CK1375" s="4" t="s">
        <v>265</v>
      </c>
      <c r="CL1375" s="4" t="s">
        <v>266</v>
      </c>
      <c r="CM1375" s="4" t="s">
        <v>241</v>
      </c>
      <c r="CO1375" s="4" t="s">
        <v>267</v>
      </c>
      <c r="CP1375" s="5" t="s">
        <v>268</v>
      </c>
      <c r="CQ1375" s="4" t="s">
        <v>269</v>
      </c>
      <c r="CR1375" s="4" t="s">
        <v>270</v>
      </c>
      <c r="CS1375" s="4" t="s">
        <v>241</v>
      </c>
      <c r="CT1375" s="4" t="s">
        <v>241</v>
      </c>
      <c r="CU1375" s="4">
        <v>0</v>
      </c>
      <c r="CV1375" s="4" t="s">
        <v>271</v>
      </c>
      <c r="CW1375" s="4" t="s">
        <v>272</v>
      </c>
      <c r="CX1375" s="4" t="s">
        <v>347</v>
      </c>
      <c r="CZ1375" s="6">
        <f>596400</f>
        <v>596400</v>
      </c>
      <c r="DA1375" s="6">
        <f>0</f>
        <v>0</v>
      </c>
      <c r="DC1375" s="4" t="s">
        <v>241</v>
      </c>
      <c r="DD1375" s="4" t="s">
        <v>241</v>
      </c>
      <c r="DF1375" s="4" t="s">
        <v>241</v>
      </c>
      <c r="DI1375" s="4" t="s">
        <v>241</v>
      </c>
      <c r="DJ1375" s="4" t="s">
        <v>241</v>
      </c>
      <c r="DK1375" s="4" t="s">
        <v>241</v>
      </c>
      <c r="DL1375" s="4" t="s">
        <v>241</v>
      </c>
      <c r="DM1375" s="4" t="s">
        <v>277</v>
      </c>
      <c r="DN1375" s="4" t="s">
        <v>278</v>
      </c>
      <c r="DO1375" s="6">
        <f>9.94</f>
        <v>9.94</v>
      </c>
      <c r="DP1375" s="4" t="s">
        <v>241</v>
      </c>
      <c r="DQ1375" s="4" t="s">
        <v>241</v>
      </c>
      <c r="DR1375" s="4" t="s">
        <v>241</v>
      </c>
      <c r="DS1375" s="4" t="s">
        <v>241</v>
      </c>
      <c r="DV1375" s="4" t="s">
        <v>627</v>
      </c>
      <c r="DW1375" s="4" t="s">
        <v>297</v>
      </c>
      <c r="HO1375" s="4" t="s">
        <v>277</v>
      </c>
      <c r="HR1375" s="4" t="s">
        <v>278</v>
      </c>
      <c r="HS1375" s="4" t="s">
        <v>278</v>
      </c>
    </row>
    <row r="1376" spans="1:240" x14ac:dyDescent="0.4">
      <c r="A1376" s="4">
        <v>2</v>
      </c>
      <c r="B1376" s="4" t="s">
        <v>239</v>
      </c>
      <c r="C1376" s="4">
        <v>1691</v>
      </c>
      <c r="D1376" s="4">
        <v>1</v>
      </c>
      <c r="E1376" s="4">
        <v>1</v>
      </c>
      <c r="F1376" s="4" t="s">
        <v>240</v>
      </c>
      <c r="G1376" s="4" t="s">
        <v>241</v>
      </c>
      <c r="H1376" s="4" t="s">
        <v>241</v>
      </c>
      <c r="I1376" s="4" t="s">
        <v>570</v>
      </c>
      <c r="J1376" s="4" t="s">
        <v>424</v>
      </c>
      <c r="K1376" s="4" t="s">
        <v>256</v>
      </c>
      <c r="L1376" s="4" t="s">
        <v>440</v>
      </c>
      <c r="M1376" s="5" t="s">
        <v>572</v>
      </c>
      <c r="N1376" s="4" t="s">
        <v>569</v>
      </c>
      <c r="O1376" s="6">
        <f>195</f>
        <v>195</v>
      </c>
      <c r="P1376" s="4" t="s">
        <v>276</v>
      </c>
      <c r="Q1376" s="6">
        <f>1</f>
        <v>1</v>
      </c>
      <c r="R1376" s="6">
        <f>84240000</f>
        <v>84240000</v>
      </c>
      <c r="S1376" s="5" t="s">
        <v>571</v>
      </c>
      <c r="T1376" s="4" t="s">
        <v>274</v>
      </c>
      <c r="U1376" s="4" t="s">
        <v>274</v>
      </c>
      <c r="W1376" s="6">
        <f>84239999</f>
        <v>84239999</v>
      </c>
      <c r="X1376" s="4" t="s">
        <v>243</v>
      </c>
      <c r="Y1376" s="4" t="s">
        <v>244</v>
      </c>
      <c r="Z1376" s="4" t="s">
        <v>282</v>
      </c>
      <c r="AA1376" s="4" t="s">
        <v>241</v>
      </c>
      <c r="AD1376" s="4" t="s">
        <v>241</v>
      </c>
      <c r="AF1376" s="5" t="s">
        <v>241</v>
      </c>
      <c r="AI1376" s="5" t="s">
        <v>249</v>
      </c>
      <c r="AJ1376" s="4" t="s">
        <v>251</v>
      </c>
      <c r="AK1376" s="4" t="s">
        <v>252</v>
      </c>
      <c r="BA1376" s="4" t="s">
        <v>254</v>
      </c>
      <c r="BB1376" s="4" t="s">
        <v>241</v>
      </c>
      <c r="BC1376" s="4" t="s">
        <v>255</v>
      </c>
      <c r="BD1376" s="4" t="s">
        <v>241</v>
      </c>
      <c r="BE1376" s="4" t="s">
        <v>257</v>
      </c>
      <c r="BF1376" s="4" t="s">
        <v>241</v>
      </c>
      <c r="BJ1376" s="4" t="s">
        <v>367</v>
      </c>
      <c r="BK1376" s="5" t="s">
        <v>249</v>
      </c>
      <c r="BL1376" s="4" t="s">
        <v>261</v>
      </c>
      <c r="BM1376" s="4" t="s">
        <v>290</v>
      </c>
      <c r="BN1376" s="4" t="s">
        <v>241</v>
      </c>
      <c r="BO1376" s="6">
        <f>0</f>
        <v>0</v>
      </c>
      <c r="BP1376" s="6">
        <f>0</f>
        <v>0</v>
      </c>
      <c r="BQ1376" s="4" t="s">
        <v>263</v>
      </c>
      <c r="BR1376" s="4" t="s">
        <v>264</v>
      </c>
      <c r="CF1376" s="4" t="s">
        <v>241</v>
      </c>
      <c r="CG1376" s="4" t="s">
        <v>241</v>
      </c>
      <c r="CK1376" s="4" t="s">
        <v>291</v>
      </c>
      <c r="CL1376" s="4" t="s">
        <v>266</v>
      </c>
      <c r="CM1376" s="4" t="s">
        <v>241</v>
      </c>
      <c r="CO1376" s="4" t="s">
        <v>387</v>
      </c>
      <c r="CP1376" s="5" t="s">
        <v>268</v>
      </c>
      <c r="CQ1376" s="4" t="s">
        <v>269</v>
      </c>
      <c r="CR1376" s="4" t="s">
        <v>270</v>
      </c>
      <c r="CS1376" s="4" t="s">
        <v>241</v>
      </c>
      <c r="CT1376" s="4" t="s">
        <v>241</v>
      </c>
      <c r="CU1376" s="4">
        <v>0</v>
      </c>
      <c r="CV1376" s="4" t="s">
        <v>271</v>
      </c>
      <c r="CW1376" s="4" t="s">
        <v>495</v>
      </c>
      <c r="CX1376" s="4" t="s">
        <v>347</v>
      </c>
      <c r="CZ1376" s="6">
        <f>84240000</f>
        <v>84240000</v>
      </c>
      <c r="DA1376" s="6">
        <f>0</f>
        <v>0</v>
      </c>
      <c r="DC1376" s="4" t="s">
        <v>241</v>
      </c>
      <c r="DD1376" s="4" t="s">
        <v>241</v>
      </c>
      <c r="DF1376" s="4" t="s">
        <v>241</v>
      </c>
      <c r="DI1376" s="4" t="s">
        <v>241</v>
      </c>
      <c r="DJ1376" s="4" t="s">
        <v>241</v>
      </c>
      <c r="DK1376" s="4" t="s">
        <v>241</v>
      </c>
      <c r="DL1376" s="4" t="s">
        <v>241</v>
      </c>
      <c r="DM1376" s="4" t="s">
        <v>277</v>
      </c>
      <c r="DN1376" s="4" t="s">
        <v>278</v>
      </c>
      <c r="DO1376" s="6">
        <f>195</f>
        <v>195</v>
      </c>
      <c r="DP1376" s="4" t="s">
        <v>241</v>
      </c>
      <c r="DQ1376" s="4" t="s">
        <v>241</v>
      </c>
      <c r="DR1376" s="4" t="s">
        <v>241</v>
      </c>
      <c r="DS1376" s="4" t="s">
        <v>241</v>
      </c>
      <c r="DV1376" s="4" t="s">
        <v>573</v>
      </c>
      <c r="DW1376" s="4" t="s">
        <v>277</v>
      </c>
      <c r="HO1376" s="4" t="s">
        <v>351</v>
      </c>
      <c r="HR1376" s="4" t="s">
        <v>278</v>
      </c>
      <c r="HS1376" s="4" t="s">
        <v>278</v>
      </c>
    </row>
    <row r="1377" spans="1:240" x14ac:dyDescent="0.4">
      <c r="A1377" s="4">
        <v>2</v>
      </c>
      <c r="B1377" s="4" t="s">
        <v>239</v>
      </c>
      <c r="C1377" s="4">
        <v>1692</v>
      </c>
      <c r="D1377" s="4">
        <v>1</v>
      </c>
      <c r="E1377" s="4">
        <v>3</v>
      </c>
      <c r="F1377" s="4" t="s">
        <v>240</v>
      </c>
      <c r="G1377" s="4" t="s">
        <v>241</v>
      </c>
      <c r="H1377" s="4" t="s">
        <v>241</v>
      </c>
      <c r="I1377" s="4" t="s">
        <v>570</v>
      </c>
      <c r="J1377" s="4" t="s">
        <v>424</v>
      </c>
      <c r="K1377" s="4" t="s">
        <v>256</v>
      </c>
      <c r="L1377" s="4" t="s">
        <v>440</v>
      </c>
      <c r="M1377" s="5" t="s">
        <v>572</v>
      </c>
      <c r="N1377" s="4" t="s">
        <v>569</v>
      </c>
      <c r="O1377" s="6">
        <f>303</f>
        <v>303</v>
      </c>
      <c r="P1377" s="4" t="s">
        <v>276</v>
      </c>
      <c r="Q1377" s="6">
        <f>33047604</f>
        <v>33047604</v>
      </c>
      <c r="R1377" s="6">
        <f>110898000</f>
        <v>110898000</v>
      </c>
      <c r="S1377" s="5" t="s">
        <v>571</v>
      </c>
      <c r="T1377" s="4" t="s">
        <v>333</v>
      </c>
      <c r="U1377" s="4" t="s">
        <v>404</v>
      </c>
      <c r="V1377" s="6">
        <f>2994246</f>
        <v>2994246</v>
      </c>
      <c r="W1377" s="6">
        <f>77850396</f>
        <v>77850396</v>
      </c>
      <c r="X1377" s="4" t="s">
        <v>243</v>
      </c>
      <c r="Y1377" s="4" t="s">
        <v>244</v>
      </c>
      <c r="Z1377" s="4" t="s">
        <v>282</v>
      </c>
      <c r="AA1377" s="4" t="s">
        <v>241</v>
      </c>
      <c r="AD1377" s="4" t="s">
        <v>241</v>
      </c>
      <c r="AE1377" s="5" t="s">
        <v>241</v>
      </c>
      <c r="AF1377" s="5" t="s">
        <v>241</v>
      </c>
      <c r="AH1377" s="5" t="s">
        <v>241</v>
      </c>
      <c r="AI1377" s="5" t="s">
        <v>249</v>
      </c>
      <c r="AJ1377" s="4" t="s">
        <v>251</v>
      </c>
      <c r="AK1377" s="4" t="s">
        <v>252</v>
      </c>
      <c r="AQ1377" s="4" t="s">
        <v>241</v>
      </c>
      <c r="AR1377" s="4" t="s">
        <v>241</v>
      </c>
      <c r="AS1377" s="4" t="s">
        <v>241</v>
      </c>
      <c r="AT1377" s="5" t="s">
        <v>241</v>
      </c>
      <c r="AU1377" s="5" t="s">
        <v>241</v>
      </c>
      <c r="AV1377" s="5" t="s">
        <v>241</v>
      </c>
      <c r="AY1377" s="4" t="s">
        <v>286</v>
      </c>
      <c r="AZ1377" s="4" t="s">
        <v>286</v>
      </c>
      <c r="BA1377" s="4" t="s">
        <v>254</v>
      </c>
      <c r="BB1377" s="4" t="s">
        <v>287</v>
      </c>
      <c r="BC1377" s="4" t="s">
        <v>255</v>
      </c>
      <c r="BD1377" s="4" t="s">
        <v>241</v>
      </c>
      <c r="BE1377" s="4" t="s">
        <v>257</v>
      </c>
      <c r="BF1377" s="4" t="s">
        <v>241</v>
      </c>
      <c r="BJ1377" s="4" t="s">
        <v>288</v>
      </c>
      <c r="BK1377" s="5" t="s">
        <v>289</v>
      </c>
      <c r="BL1377" s="4" t="s">
        <v>290</v>
      </c>
      <c r="BM1377" s="4" t="s">
        <v>290</v>
      </c>
      <c r="BN1377" s="4" t="s">
        <v>241</v>
      </c>
      <c r="BO1377" s="6">
        <f>0</f>
        <v>0</v>
      </c>
      <c r="BP1377" s="6">
        <f>-2994246</f>
        <v>-2994246</v>
      </c>
      <c r="BQ1377" s="4" t="s">
        <v>263</v>
      </c>
      <c r="BR1377" s="4" t="s">
        <v>264</v>
      </c>
      <c r="BS1377" s="4" t="s">
        <v>241</v>
      </c>
      <c r="BT1377" s="4" t="s">
        <v>241</v>
      </c>
      <c r="BU1377" s="4" t="s">
        <v>241</v>
      </c>
      <c r="BV1377" s="4" t="s">
        <v>241</v>
      </c>
      <c r="CE1377" s="4" t="s">
        <v>264</v>
      </c>
      <c r="CF1377" s="4" t="s">
        <v>241</v>
      </c>
      <c r="CG1377" s="4" t="s">
        <v>241</v>
      </c>
      <c r="CK1377" s="4" t="s">
        <v>291</v>
      </c>
      <c r="CL1377" s="4" t="s">
        <v>266</v>
      </c>
      <c r="CM1377" s="4" t="s">
        <v>241</v>
      </c>
      <c r="CO1377" s="4" t="s">
        <v>387</v>
      </c>
      <c r="CP1377" s="5" t="s">
        <v>268</v>
      </c>
      <c r="CQ1377" s="4" t="s">
        <v>269</v>
      </c>
      <c r="CR1377" s="4" t="s">
        <v>270</v>
      </c>
      <c r="CS1377" s="4" t="s">
        <v>293</v>
      </c>
      <c r="CT1377" s="4" t="s">
        <v>241</v>
      </c>
      <c r="CU1377" s="4">
        <v>2.7E-2</v>
      </c>
      <c r="CV1377" s="4" t="s">
        <v>271</v>
      </c>
      <c r="CW1377" s="4" t="s">
        <v>495</v>
      </c>
      <c r="CX1377" s="4" t="s">
        <v>487</v>
      </c>
      <c r="CY1377" s="6">
        <f>0</f>
        <v>0</v>
      </c>
      <c r="CZ1377" s="6">
        <f>110898000</f>
        <v>110898000</v>
      </c>
      <c r="DA1377" s="6">
        <f>33047604</f>
        <v>33047604</v>
      </c>
      <c r="DC1377" s="4" t="s">
        <v>241</v>
      </c>
      <c r="DD1377" s="4" t="s">
        <v>241</v>
      </c>
      <c r="DF1377" s="4" t="s">
        <v>241</v>
      </c>
      <c r="DG1377" s="6">
        <f>0</f>
        <v>0</v>
      </c>
      <c r="DI1377" s="4" t="s">
        <v>241</v>
      </c>
      <c r="DJ1377" s="4" t="s">
        <v>241</v>
      </c>
      <c r="DK1377" s="4" t="s">
        <v>241</v>
      </c>
      <c r="DL1377" s="4" t="s">
        <v>241</v>
      </c>
      <c r="DM1377" s="4" t="s">
        <v>277</v>
      </c>
      <c r="DN1377" s="4" t="s">
        <v>278</v>
      </c>
      <c r="DO1377" s="6">
        <f>303</f>
        <v>303</v>
      </c>
      <c r="DP1377" s="4" t="s">
        <v>241</v>
      </c>
      <c r="DQ1377" s="4" t="s">
        <v>241</v>
      </c>
      <c r="DR1377" s="4" t="s">
        <v>241</v>
      </c>
      <c r="DS1377" s="4" t="s">
        <v>241</v>
      </c>
      <c r="DV1377" s="4" t="s">
        <v>573</v>
      </c>
      <c r="DW1377" s="4" t="s">
        <v>323</v>
      </c>
      <c r="GN1377" s="4" t="s">
        <v>574</v>
      </c>
      <c r="HO1377" s="4" t="s">
        <v>300</v>
      </c>
      <c r="HR1377" s="4" t="s">
        <v>278</v>
      </c>
      <c r="HS1377" s="4" t="s">
        <v>278</v>
      </c>
      <c r="HT1377" s="4" t="s">
        <v>241</v>
      </c>
      <c r="HU1377" s="4" t="s">
        <v>241</v>
      </c>
      <c r="HV1377" s="4" t="s">
        <v>241</v>
      </c>
      <c r="HW1377" s="4" t="s">
        <v>241</v>
      </c>
      <c r="HX1377" s="4" t="s">
        <v>241</v>
      </c>
      <c r="HY1377" s="4" t="s">
        <v>241</v>
      </c>
      <c r="HZ1377" s="4" t="s">
        <v>241</v>
      </c>
      <c r="IA1377" s="4" t="s">
        <v>241</v>
      </c>
      <c r="IB1377" s="4" t="s">
        <v>241</v>
      </c>
      <c r="IC1377" s="4" t="s">
        <v>241</v>
      </c>
      <c r="ID1377" s="4" t="s">
        <v>241</v>
      </c>
      <c r="IE1377" s="4" t="s">
        <v>241</v>
      </c>
      <c r="IF1377" s="4" t="s">
        <v>241</v>
      </c>
    </row>
    <row r="1378" spans="1:240" x14ac:dyDescent="0.4">
      <c r="A1378" s="4">
        <v>2</v>
      </c>
      <c r="B1378" s="4" t="s">
        <v>239</v>
      </c>
      <c r="C1378" s="4">
        <v>1693</v>
      </c>
      <c r="D1378" s="4">
        <v>1</v>
      </c>
      <c r="E1378" s="4">
        <v>1</v>
      </c>
      <c r="F1378" s="4" t="s">
        <v>240</v>
      </c>
      <c r="G1378" s="4" t="s">
        <v>241</v>
      </c>
      <c r="H1378" s="4" t="s">
        <v>241</v>
      </c>
      <c r="I1378" s="4" t="s">
        <v>1805</v>
      </c>
      <c r="J1378" s="4" t="s">
        <v>424</v>
      </c>
      <c r="K1378" s="4" t="s">
        <v>256</v>
      </c>
      <c r="L1378" s="4" t="s">
        <v>340</v>
      </c>
      <c r="M1378" s="5" t="s">
        <v>1806</v>
      </c>
      <c r="N1378" s="4" t="s">
        <v>340</v>
      </c>
      <c r="O1378" s="6">
        <f>9.9</f>
        <v>9.9</v>
      </c>
      <c r="P1378" s="4" t="s">
        <v>276</v>
      </c>
      <c r="Q1378" s="6">
        <f>1</f>
        <v>1</v>
      </c>
      <c r="R1378" s="6">
        <f>940500</f>
        <v>940500</v>
      </c>
      <c r="S1378" s="5" t="s">
        <v>248</v>
      </c>
      <c r="T1378" s="4" t="s">
        <v>348</v>
      </c>
      <c r="U1378" s="4" t="s">
        <v>275</v>
      </c>
      <c r="W1378" s="6">
        <f>940499</f>
        <v>940499</v>
      </c>
      <c r="X1378" s="4" t="s">
        <v>243</v>
      </c>
      <c r="Y1378" s="4" t="s">
        <v>244</v>
      </c>
      <c r="Z1378" s="4" t="s">
        <v>282</v>
      </c>
      <c r="AA1378" s="4" t="s">
        <v>241</v>
      </c>
      <c r="AD1378" s="4" t="s">
        <v>241</v>
      </c>
      <c r="AF1378" s="5" t="s">
        <v>241</v>
      </c>
      <c r="AI1378" s="5" t="s">
        <v>249</v>
      </c>
      <c r="AJ1378" s="4" t="s">
        <v>251</v>
      </c>
      <c r="AK1378" s="4" t="s">
        <v>252</v>
      </c>
      <c r="BA1378" s="4" t="s">
        <v>254</v>
      </c>
      <c r="BB1378" s="4" t="s">
        <v>241</v>
      </c>
      <c r="BC1378" s="4" t="s">
        <v>255</v>
      </c>
      <c r="BD1378" s="4" t="s">
        <v>241</v>
      </c>
      <c r="BE1378" s="4" t="s">
        <v>257</v>
      </c>
      <c r="BF1378" s="4" t="s">
        <v>241</v>
      </c>
      <c r="BH1378" s="4" t="s">
        <v>500</v>
      </c>
      <c r="BJ1378" s="4" t="s">
        <v>374</v>
      </c>
      <c r="BK1378" s="5" t="s">
        <v>375</v>
      </c>
      <c r="BL1378" s="4" t="s">
        <v>261</v>
      </c>
      <c r="BM1378" s="4" t="s">
        <v>262</v>
      </c>
      <c r="BN1378" s="4" t="s">
        <v>241</v>
      </c>
      <c r="BO1378" s="6">
        <f>0</f>
        <v>0</v>
      </c>
      <c r="BP1378" s="6">
        <f>0</f>
        <v>0</v>
      </c>
      <c r="BQ1378" s="4" t="s">
        <v>263</v>
      </c>
      <c r="BR1378" s="4" t="s">
        <v>264</v>
      </c>
      <c r="CF1378" s="4" t="s">
        <v>241</v>
      </c>
      <c r="CG1378" s="4" t="s">
        <v>241</v>
      </c>
      <c r="CK1378" s="4" t="s">
        <v>265</v>
      </c>
      <c r="CL1378" s="4" t="s">
        <v>266</v>
      </c>
      <c r="CM1378" s="4" t="s">
        <v>241</v>
      </c>
      <c r="CO1378" s="4" t="s">
        <v>267</v>
      </c>
      <c r="CP1378" s="5" t="s">
        <v>268</v>
      </c>
      <c r="CQ1378" s="4" t="s">
        <v>269</v>
      </c>
      <c r="CR1378" s="4" t="s">
        <v>270</v>
      </c>
      <c r="CS1378" s="4" t="s">
        <v>241</v>
      </c>
      <c r="CT1378" s="4" t="s">
        <v>241</v>
      </c>
      <c r="CU1378" s="4">
        <v>0</v>
      </c>
      <c r="CV1378" s="4" t="s">
        <v>271</v>
      </c>
      <c r="CW1378" s="4" t="s">
        <v>332</v>
      </c>
      <c r="CX1378" s="4" t="s">
        <v>347</v>
      </c>
      <c r="CZ1378" s="6">
        <f>940500</f>
        <v>940500</v>
      </c>
      <c r="DA1378" s="6">
        <f>0</f>
        <v>0</v>
      </c>
      <c r="DC1378" s="4" t="s">
        <v>241</v>
      </c>
      <c r="DD1378" s="4" t="s">
        <v>241</v>
      </c>
      <c r="DF1378" s="4" t="s">
        <v>241</v>
      </c>
      <c r="DI1378" s="4" t="s">
        <v>241</v>
      </c>
      <c r="DJ1378" s="4" t="s">
        <v>241</v>
      </c>
      <c r="DK1378" s="4" t="s">
        <v>241</v>
      </c>
      <c r="DL1378" s="4" t="s">
        <v>241</v>
      </c>
      <c r="DM1378" s="4" t="s">
        <v>277</v>
      </c>
      <c r="DN1378" s="4" t="s">
        <v>278</v>
      </c>
      <c r="DO1378" s="6">
        <f>9.9</f>
        <v>9.9</v>
      </c>
      <c r="DP1378" s="4" t="s">
        <v>241</v>
      </c>
      <c r="DQ1378" s="4" t="s">
        <v>241</v>
      </c>
      <c r="DR1378" s="4" t="s">
        <v>241</v>
      </c>
      <c r="DS1378" s="4" t="s">
        <v>241</v>
      </c>
      <c r="DV1378" s="4" t="s">
        <v>1807</v>
      </c>
      <c r="DW1378" s="4" t="s">
        <v>277</v>
      </c>
      <c r="HO1378" s="4" t="s">
        <v>277</v>
      </c>
      <c r="HR1378" s="4" t="s">
        <v>278</v>
      </c>
      <c r="HS1378" s="4" t="s">
        <v>278</v>
      </c>
    </row>
    <row r="1379" spans="1:240" x14ac:dyDescent="0.4">
      <c r="A1379" s="4">
        <v>2</v>
      </c>
      <c r="B1379" s="4" t="s">
        <v>239</v>
      </c>
      <c r="C1379" s="4">
        <v>1694</v>
      </c>
      <c r="D1379" s="4">
        <v>1</v>
      </c>
      <c r="E1379" s="4">
        <v>1</v>
      </c>
      <c r="F1379" s="4" t="s">
        <v>240</v>
      </c>
      <c r="G1379" s="4" t="s">
        <v>241</v>
      </c>
      <c r="H1379" s="4" t="s">
        <v>241</v>
      </c>
      <c r="I1379" s="4" t="s">
        <v>607</v>
      </c>
      <c r="J1379" s="4" t="s">
        <v>424</v>
      </c>
      <c r="K1379" s="4" t="s">
        <v>256</v>
      </c>
      <c r="L1379" s="4" t="s">
        <v>440</v>
      </c>
      <c r="M1379" s="5" t="s">
        <v>608</v>
      </c>
      <c r="N1379" s="4" t="s">
        <v>606</v>
      </c>
      <c r="O1379" s="6">
        <f>57</f>
        <v>57</v>
      </c>
      <c r="P1379" s="4" t="s">
        <v>276</v>
      </c>
      <c r="Q1379" s="6">
        <f>1</f>
        <v>1</v>
      </c>
      <c r="R1379" s="6">
        <f>5415000</f>
        <v>5415000</v>
      </c>
      <c r="S1379" s="5" t="s">
        <v>248</v>
      </c>
      <c r="T1379" s="4" t="s">
        <v>274</v>
      </c>
      <c r="U1379" s="4" t="s">
        <v>275</v>
      </c>
      <c r="W1379" s="6">
        <f>5414999</f>
        <v>5414999</v>
      </c>
      <c r="X1379" s="4" t="s">
        <v>243</v>
      </c>
      <c r="Y1379" s="4" t="s">
        <v>244</v>
      </c>
      <c r="Z1379" s="4" t="s">
        <v>282</v>
      </c>
      <c r="AA1379" s="4" t="s">
        <v>241</v>
      </c>
      <c r="AD1379" s="4" t="s">
        <v>241</v>
      </c>
      <c r="AF1379" s="5" t="s">
        <v>241</v>
      </c>
      <c r="AI1379" s="5" t="s">
        <v>249</v>
      </c>
      <c r="AJ1379" s="4" t="s">
        <v>251</v>
      </c>
      <c r="AK1379" s="4" t="s">
        <v>252</v>
      </c>
      <c r="BA1379" s="4" t="s">
        <v>254</v>
      </c>
      <c r="BB1379" s="4" t="s">
        <v>241</v>
      </c>
      <c r="BC1379" s="4" t="s">
        <v>255</v>
      </c>
      <c r="BD1379" s="4" t="s">
        <v>241</v>
      </c>
      <c r="BE1379" s="4" t="s">
        <v>257</v>
      </c>
      <c r="BF1379" s="4" t="s">
        <v>241</v>
      </c>
      <c r="BH1379" s="4" t="s">
        <v>500</v>
      </c>
      <c r="BJ1379" s="4" t="s">
        <v>377</v>
      </c>
      <c r="BK1379" s="5" t="s">
        <v>378</v>
      </c>
      <c r="BL1379" s="4" t="s">
        <v>261</v>
      </c>
      <c r="BM1379" s="4" t="s">
        <v>262</v>
      </c>
      <c r="BN1379" s="4" t="s">
        <v>241</v>
      </c>
      <c r="BO1379" s="6">
        <f>0</f>
        <v>0</v>
      </c>
      <c r="BP1379" s="6">
        <f>0</f>
        <v>0</v>
      </c>
      <c r="BQ1379" s="4" t="s">
        <v>263</v>
      </c>
      <c r="BR1379" s="4" t="s">
        <v>264</v>
      </c>
      <c r="CF1379" s="4" t="s">
        <v>241</v>
      </c>
      <c r="CG1379" s="4" t="s">
        <v>241</v>
      </c>
      <c r="CK1379" s="4" t="s">
        <v>265</v>
      </c>
      <c r="CL1379" s="4" t="s">
        <v>266</v>
      </c>
      <c r="CM1379" s="4" t="s">
        <v>241</v>
      </c>
      <c r="CO1379" s="4" t="s">
        <v>267</v>
      </c>
      <c r="CP1379" s="5" t="s">
        <v>268</v>
      </c>
      <c r="CQ1379" s="4" t="s">
        <v>269</v>
      </c>
      <c r="CR1379" s="4" t="s">
        <v>270</v>
      </c>
      <c r="CS1379" s="4" t="s">
        <v>241</v>
      </c>
      <c r="CT1379" s="4" t="s">
        <v>241</v>
      </c>
      <c r="CU1379" s="4">
        <v>0</v>
      </c>
      <c r="CV1379" s="4" t="s">
        <v>271</v>
      </c>
      <c r="CW1379" s="4" t="s">
        <v>495</v>
      </c>
      <c r="CX1379" s="4" t="s">
        <v>347</v>
      </c>
      <c r="CZ1379" s="6">
        <f>5415000</f>
        <v>5415000</v>
      </c>
      <c r="DA1379" s="6">
        <f>0</f>
        <v>0</v>
      </c>
      <c r="DC1379" s="4" t="s">
        <v>241</v>
      </c>
      <c r="DD1379" s="4" t="s">
        <v>241</v>
      </c>
      <c r="DF1379" s="4" t="s">
        <v>241</v>
      </c>
      <c r="DI1379" s="4" t="s">
        <v>241</v>
      </c>
      <c r="DJ1379" s="4" t="s">
        <v>241</v>
      </c>
      <c r="DK1379" s="4" t="s">
        <v>241</v>
      </c>
      <c r="DL1379" s="4" t="s">
        <v>241</v>
      </c>
      <c r="DM1379" s="4" t="s">
        <v>277</v>
      </c>
      <c r="DN1379" s="4" t="s">
        <v>278</v>
      </c>
      <c r="DO1379" s="6">
        <f>57</f>
        <v>57</v>
      </c>
      <c r="DP1379" s="4" t="s">
        <v>241</v>
      </c>
      <c r="DQ1379" s="4" t="s">
        <v>241</v>
      </c>
      <c r="DR1379" s="4" t="s">
        <v>241</v>
      </c>
      <c r="DS1379" s="4" t="s">
        <v>241</v>
      </c>
      <c r="DV1379" s="4" t="s">
        <v>609</v>
      </c>
      <c r="DW1379" s="4" t="s">
        <v>277</v>
      </c>
      <c r="HO1379" s="4" t="s">
        <v>277</v>
      </c>
      <c r="HR1379" s="4" t="s">
        <v>278</v>
      </c>
      <c r="HS1379" s="4" t="s">
        <v>278</v>
      </c>
    </row>
    <row r="1380" spans="1:240" x14ac:dyDescent="0.4">
      <c r="A1380" s="4">
        <v>2</v>
      </c>
      <c r="B1380" s="4" t="s">
        <v>239</v>
      </c>
      <c r="C1380" s="4">
        <v>1695</v>
      </c>
      <c r="D1380" s="4">
        <v>1</v>
      </c>
      <c r="E1380" s="4">
        <v>3</v>
      </c>
      <c r="F1380" s="4" t="s">
        <v>240</v>
      </c>
      <c r="G1380" s="4" t="s">
        <v>241</v>
      </c>
      <c r="H1380" s="4" t="s">
        <v>241</v>
      </c>
      <c r="I1380" s="4" t="s">
        <v>1087</v>
      </c>
      <c r="J1380" s="4" t="s">
        <v>424</v>
      </c>
      <c r="K1380" s="4" t="s">
        <v>256</v>
      </c>
      <c r="L1380" s="4" t="s">
        <v>1003</v>
      </c>
      <c r="M1380" s="5" t="s">
        <v>1089</v>
      </c>
      <c r="N1380" s="4" t="s">
        <v>1003</v>
      </c>
      <c r="O1380" s="6">
        <f>1013.6</f>
        <v>1013.6</v>
      </c>
      <c r="P1380" s="4" t="s">
        <v>276</v>
      </c>
      <c r="Q1380" s="6">
        <f>13866048</f>
        <v>13866048</v>
      </c>
      <c r="R1380" s="6">
        <f>182448000</f>
        <v>182448000</v>
      </c>
      <c r="S1380" s="5" t="s">
        <v>1088</v>
      </c>
      <c r="T1380" s="4" t="s">
        <v>668</v>
      </c>
      <c r="U1380" s="4" t="s">
        <v>373</v>
      </c>
      <c r="V1380" s="6">
        <f>4013856</f>
        <v>4013856</v>
      </c>
      <c r="W1380" s="6">
        <f>168581952</f>
        <v>168581952</v>
      </c>
      <c r="X1380" s="4" t="s">
        <v>243</v>
      </c>
      <c r="Y1380" s="4" t="s">
        <v>244</v>
      </c>
      <c r="Z1380" s="4" t="s">
        <v>282</v>
      </c>
      <c r="AA1380" s="4" t="s">
        <v>241</v>
      </c>
      <c r="AD1380" s="4" t="s">
        <v>241</v>
      </c>
      <c r="AE1380" s="5" t="s">
        <v>241</v>
      </c>
      <c r="AF1380" s="5" t="s">
        <v>241</v>
      </c>
      <c r="AH1380" s="5" t="s">
        <v>241</v>
      </c>
      <c r="AI1380" s="5" t="s">
        <v>249</v>
      </c>
      <c r="AJ1380" s="4" t="s">
        <v>251</v>
      </c>
      <c r="AK1380" s="4" t="s">
        <v>252</v>
      </c>
      <c r="AQ1380" s="4" t="s">
        <v>241</v>
      </c>
      <c r="AR1380" s="4" t="s">
        <v>241</v>
      </c>
      <c r="AS1380" s="4" t="s">
        <v>241</v>
      </c>
      <c r="AT1380" s="5" t="s">
        <v>241</v>
      </c>
      <c r="AU1380" s="5" t="s">
        <v>241</v>
      </c>
      <c r="AV1380" s="5" t="s">
        <v>241</v>
      </c>
      <c r="AY1380" s="4" t="s">
        <v>286</v>
      </c>
      <c r="AZ1380" s="4" t="s">
        <v>286</v>
      </c>
      <c r="BA1380" s="4" t="s">
        <v>254</v>
      </c>
      <c r="BB1380" s="4" t="s">
        <v>287</v>
      </c>
      <c r="BC1380" s="4" t="s">
        <v>255</v>
      </c>
      <c r="BD1380" s="4" t="s">
        <v>241</v>
      </c>
      <c r="BE1380" s="4" t="s">
        <v>257</v>
      </c>
      <c r="BF1380" s="4" t="s">
        <v>241</v>
      </c>
      <c r="BH1380" s="4" t="s">
        <v>500</v>
      </c>
      <c r="BJ1380" s="4" t="s">
        <v>288</v>
      </c>
      <c r="BK1380" s="5" t="s">
        <v>289</v>
      </c>
      <c r="BL1380" s="4" t="s">
        <v>290</v>
      </c>
      <c r="BM1380" s="4" t="s">
        <v>290</v>
      </c>
      <c r="BN1380" s="4" t="s">
        <v>241</v>
      </c>
      <c r="BO1380" s="6">
        <f>0</f>
        <v>0</v>
      </c>
      <c r="BP1380" s="6">
        <f>-4013856</f>
        <v>-4013856</v>
      </c>
      <c r="BQ1380" s="4" t="s">
        <v>263</v>
      </c>
      <c r="BR1380" s="4" t="s">
        <v>264</v>
      </c>
      <c r="BS1380" s="4" t="s">
        <v>241</v>
      </c>
      <c r="BT1380" s="4" t="s">
        <v>241</v>
      </c>
      <c r="BU1380" s="4" t="s">
        <v>241</v>
      </c>
      <c r="BV1380" s="4" t="s">
        <v>241</v>
      </c>
      <c r="CE1380" s="4" t="s">
        <v>264</v>
      </c>
      <c r="CF1380" s="4" t="s">
        <v>241</v>
      </c>
      <c r="CG1380" s="4" t="s">
        <v>241</v>
      </c>
      <c r="CK1380" s="4" t="s">
        <v>265</v>
      </c>
      <c r="CL1380" s="4" t="s">
        <v>266</v>
      </c>
      <c r="CM1380" s="4" t="s">
        <v>241</v>
      </c>
      <c r="CO1380" s="4" t="s">
        <v>914</v>
      </c>
      <c r="CP1380" s="5" t="s">
        <v>268</v>
      </c>
      <c r="CQ1380" s="4" t="s">
        <v>269</v>
      </c>
      <c r="CR1380" s="4" t="s">
        <v>270</v>
      </c>
      <c r="CS1380" s="4" t="s">
        <v>293</v>
      </c>
      <c r="CT1380" s="4" t="s">
        <v>241</v>
      </c>
      <c r="CU1380" s="4">
        <v>2.1999999999999999E-2</v>
      </c>
      <c r="CV1380" s="4" t="s">
        <v>271</v>
      </c>
      <c r="CW1380" s="4" t="s">
        <v>1006</v>
      </c>
      <c r="CX1380" s="4" t="s">
        <v>295</v>
      </c>
      <c r="CY1380" s="6">
        <f>0</f>
        <v>0</v>
      </c>
      <c r="CZ1380" s="6">
        <f>182448000</f>
        <v>182448000</v>
      </c>
      <c r="DA1380" s="6">
        <f>13866048</f>
        <v>13866048</v>
      </c>
      <c r="DC1380" s="4" t="s">
        <v>241</v>
      </c>
      <c r="DD1380" s="4" t="s">
        <v>241</v>
      </c>
      <c r="DF1380" s="4" t="s">
        <v>241</v>
      </c>
      <c r="DG1380" s="6">
        <f>0</f>
        <v>0</v>
      </c>
      <c r="DI1380" s="4" t="s">
        <v>241</v>
      </c>
      <c r="DJ1380" s="4" t="s">
        <v>241</v>
      </c>
      <c r="DK1380" s="4" t="s">
        <v>241</v>
      </c>
      <c r="DL1380" s="4" t="s">
        <v>241</v>
      </c>
      <c r="DM1380" s="4" t="s">
        <v>277</v>
      </c>
      <c r="DN1380" s="4" t="s">
        <v>278</v>
      </c>
      <c r="DO1380" s="6">
        <f>1013.6</f>
        <v>1013.6</v>
      </c>
      <c r="DP1380" s="4" t="s">
        <v>241</v>
      </c>
      <c r="DQ1380" s="4" t="s">
        <v>241</v>
      </c>
      <c r="DR1380" s="4" t="s">
        <v>241</v>
      </c>
      <c r="DS1380" s="4" t="s">
        <v>241</v>
      </c>
      <c r="DV1380" s="4" t="s">
        <v>1090</v>
      </c>
      <c r="DW1380" s="4" t="s">
        <v>277</v>
      </c>
      <c r="GN1380" s="4" t="s">
        <v>1091</v>
      </c>
      <c r="HO1380" s="4" t="s">
        <v>300</v>
      </c>
      <c r="HR1380" s="4" t="s">
        <v>278</v>
      </c>
      <c r="HS1380" s="4" t="s">
        <v>278</v>
      </c>
      <c r="HT1380" s="4" t="s">
        <v>241</v>
      </c>
      <c r="HU1380" s="4" t="s">
        <v>241</v>
      </c>
      <c r="HV1380" s="4" t="s">
        <v>241</v>
      </c>
      <c r="HW1380" s="4" t="s">
        <v>241</v>
      </c>
      <c r="HX1380" s="4" t="s">
        <v>241</v>
      </c>
      <c r="HY1380" s="4" t="s">
        <v>241</v>
      </c>
      <c r="HZ1380" s="4" t="s">
        <v>241</v>
      </c>
      <c r="IA1380" s="4" t="s">
        <v>241</v>
      </c>
      <c r="IB1380" s="4" t="s">
        <v>241</v>
      </c>
      <c r="IC1380" s="4" t="s">
        <v>241</v>
      </c>
      <c r="ID1380" s="4" t="s">
        <v>241</v>
      </c>
      <c r="IE1380" s="4" t="s">
        <v>241</v>
      </c>
      <c r="IF1380" s="4" t="s">
        <v>241</v>
      </c>
    </row>
    <row r="1381" spans="1:240" x14ac:dyDescent="0.4">
      <c r="A1381" s="4">
        <v>2</v>
      </c>
      <c r="B1381" s="4" t="s">
        <v>239</v>
      </c>
      <c r="C1381" s="4">
        <v>1696</v>
      </c>
      <c r="D1381" s="4">
        <v>1</v>
      </c>
      <c r="E1381" s="4">
        <v>3</v>
      </c>
      <c r="F1381" s="4" t="s">
        <v>326</v>
      </c>
      <c r="G1381" s="4" t="s">
        <v>241</v>
      </c>
      <c r="H1381" s="4" t="s">
        <v>241</v>
      </c>
      <c r="I1381" s="4" t="s">
        <v>1087</v>
      </c>
      <c r="J1381" s="4" t="s">
        <v>424</v>
      </c>
      <c r="K1381" s="4" t="s">
        <v>256</v>
      </c>
      <c r="L1381" s="4" t="s">
        <v>241</v>
      </c>
      <c r="M1381" s="5" t="s">
        <v>1089</v>
      </c>
      <c r="N1381" s="4" t="s">
        <v>1767</v>
      </c>
      <c r="O1381" s="6">
        <f>0</f>
        <v>0</v>
      </c>
      <c r="P1381" s="4" t="s">
        <v>276</v>
      </c>
      <c r="Q1381" s="6">
        <f>173691</f>
        <v>173691</v>
      </c>
      <c r="R1381" s="6">
        <f>189000</f>
        <v>189000</v>
      </c>
      <c r="S1381" s="5" t="s">
        <v>1768</v>
      </c>
      <c r="T1381" s="4" t="s">
        <v>333</v>
      </c>
      <c r="U1381" s="4" t="s">
        <v>323</v>
      </c>
      <c r="V1381" s="6">
        <f>5103</f>
        <v>5103</v>
      </c>
      <c r="W1381" s="6">
        <f>15309</f>
        <v>15309</v>
      </c>
      <c r="X1381" s="4" t="s">
        <v>243</v>
      </c>
      <c r="Y1381" s="4" t="s">
        <v>244</v>
      </c>
      <c r="Z1381" s="4" t="s">
        <v>241</v>
      </c>
      <c r="AA1381" s="4" t="s">
        <v>241</v>
      </c>
      <c r="AD1381" s="4" t="s">
        <v>241</v>
      </c>
      <c r="AE1381" s="5" t="s">
        <v>241</v>
      </c>
      <c r="AF1381" s="5" t="s">
        <v>241</v>
      </c>
      <c r="AH1381" s="5" t="s">
        <v>241</v>
      </c>
      <c r="AI1381" s="5" t="s">
        <v>249</v>
      </c>
      <c r="AJ1381" s="4" t="s">
        <v>251</v>
      </c>
      <c r="AK1381" s="4" t="s">
        <v>252</v>
      </c>
      <c r="AQ1381" s="4" t="s">
        <v>241</v>
      </c>
      <c r="AR1381" s="4" t="s">
        <v>241</v>
      </c>
      <c r="AS1381" s="4" t="s">
        <v>241</v>
      </c>
      <c r="AT1381" s="5" t="s">
        <v>241</v>
      </c>
      <c r="AU1381" s="5" t="s">
        <v>241</v>
      </c>
      <c r="AV1381" s="5" t="s">
        <v>241</v>
      </c>
      <c r="AY1381" s="4" t="s">
        <v>286</v>
      </c>
      <c r="AZ1381" s="4" t="s">
        <v>286</v>
      </c>
      <c r="BA1381" s="4" t="s">
        <v>254</v>
      </c>
      <c r="BB1381" s="4" t="s">
        <v>287</v>
      </c>
      <c r="BC1381" s="4" t="s">
        <v>255</v>
      </c>
      <c r="BD1381" s="4" t="s">
        <v>241</v>
      </c>
      <c r="BE1381" s="4" t="s">
        <v>257</v>
      </c>
      <c r="BF1381" s="4" t="s">
        <v>241</v>
      </c>
      <c r="BJ1381" s="4" t="s">
        <v>288</v>
      </c>
      <c r="BK1381" s="5" t="s">
        <v>289</v>
      </c>
      <c r="BL1381" s="4" t="s">
        <v>290</v>
      </c>
      <c r="BM1381" s="4" t="s">
        <v>290</v>
      </c>
      <c r="BN1381" s="4" t="s">
        <v>241</v>
      </c>
      <c r="BP1381" s="6">
        <f>-5103</f>
        <v>-5103</v>
      </c>
      <c r="BQ1381" s="4" t="s">
        <v>263</v>
      </c>
      <c r="BR1381" s="4" t="s">
        <v>264</v>
      </c>
      <c r="BS1381" s="4" t="s">
        <v>241</v>
      </c>
      <c r="BT1381" s="4" t="s">
        <v>241</v>
      </c>
      <c r="BU1381" s="4" t="s">
        <v>241</v>
      </c>
      <c r="BV1381" s="4" t="s">
        <v>241</v>
      </c>
      <c r="CE1381" s="4" t="s">
        <v>264</v>
      </c>
      <c r="CF1381" s="4" t="s">
        <v>241</v>
      </c>
      <c r="CG1381" s="4" t="s">
        <v>241</v>
      </c>
      <c r="CK1381" s="4" t="s">
        <v>291</v>
      </c>
      <c r="CL1381" s="4" t="s">
        <v>266</v>
      </c>
      <c r="CM1381" s="4" t="s">
        <v>241</v>
      </c>
      <c r="CO1381" s="4" t="s">
        <v>421</v>
      </c>
      <c r="CP1381" s="5" t="s">
        <v>268</v>
      </c>
      <c r="CQ1381" s="4" t="s">
        <v>269</v>
      </c>
      <c r="CR1381" s="4" t="s">
        <v>270</v>
      </c>
      <c r="CS1381" s="4" t="s">
        <v>293</v>
      </c>
      <c r="CT1381" s="4" t="s">
        <v>241</v>
      </c>
      <c r="CU1381" s="4">
        <v>2.7E-2</v>
      </c>
      <c r="CV1381" s="4" t="s">
        <v>271</v>
      </c>
      <c r="CW1381" s="4" t="s">
        <v>332</v>
      </c>
      <c r="CX1381" s="4" t="s">
        <v>295</v>
      </c>
      <c r="CY1381" s="6">
        <f>0</f>
        <v>0</v>
      </c>
      <c r="CZ1381" s="6">
        <f>189000</f>
        <v>189000</v>
      </c>
      <c r="DA1381" s="6">
        <f>173691</f>
        <v>173691</v>
      </c>
      <c r="DC1381" s="4" t="s">
        <v>241</v>
      </c>
      <c r="DD1381" s="4" t="s">
        <v>241</v>
      </c>
      <c r="DF1381" s="4" t="s">
        <v>241</v>
      </c>
      <c r="DG1381" s="6">
        <f>0</f>
        <v>0</v>
      </c>
      <c r="DI1381" s="4" t="s">
        <v>241</v>
      </c>
      <c r="DJ1381" s="4" t="s">
        <v>241</v>
      </c>
      <c r="DK1381" s="4" t="s">
        <v>241</v>
      </c>
      <c r="DL1381" s="4" t="s">
        <v>241</v>
      </c>
      <c r="DM1381" s="4" t="s">
        <v>278</v>
      </c>
      <c r="DN1381" s="4" t="s">
        <v>278</v>
      </c>
      <c r="DO1381" s="6" t="s">
        <v>241</v>
      </c>
      <c r="DP1381" s="4" t="s">
        <v>241</v>
      </c>
      <c r="DQ1381" s="4" t="s">
        <v>241</v>
      </c>
      <c r="DR1381" s="4" t="s">
        <v>241</v>
      </c>
      <c r="DS1381" s="4" t="s">
        <v>241</v>
      </c>
      <c r="DV1381" s="4" t="s">
        <v>1090</v>
      </c>
      <c r="DW1381" s="4" t="s">
        <v>323</v>
      </c>
      <c r="GN1381" s="4" t="s">
        <v>1769</v>
      </c>
      <c r="HO1381" s="4" t="s">
        <v>336</v>
      </c>
      <c r="HR1381" s="4" t="s">
        <v>278</v>
      </c>
      <c r="HS1381" s="4" t="s">
        <v>278</v>
      </c>
      <c r="HT1381" s="4" t="s">
        <v>241</v>
      </c>
      <c r="HU1381" s="4" t="s">
        <v>241</v>
      </c>
      <c r="HV1381" s="4" t="s">
        <v>241</v>
      </c>
      <c r="HW1381" s="4" t="s">
        <v>241</v>
      </c>
      <c r="HX1381" s="4" t="s">
        <v>241</v>
      </c>
      <c r="HY1381" s="4" t="s">
        <v>241</v>
      </c>
      <c r="HZ1381" s="4" t="s">
        <v>241</v>
      </c>
      <c r="IA1381" s="4" t="s">
        <v>241</v>
      </c>
      <c r="IB1381" s="4" t="s">
        <v>241</v>
      </c>
      <c r="IC1381" s="4" t="s">
        <v>241</v>
      </c>
      <c r="ID1381" s="4" t="s">
        <v>241</v>
      </c>
      <c r="IE1381" s="4" t="s">
        <v>241</v>
      </c>
      <c r="IF1381" s="4" t="s">
        <v>241</v>
      </c>
    </row>
    <row r="1382" spans="1:240" x14ac:dyDescent="0.4">
      <c r="A1382" s="4">
        <v>2</v>
      </c>
      <c r="B1382" s="4" t="s">
        <v>239</v>
      </c>
      <c r="C1382" s="4">
        <v>1697</v>
      </c>
      <c r="D1382" s="4">
        <v>1</v>
      </c>
      <c r="E1382" s="4">
        <v>3</v>
      </c>
      <c r="F1382" s="4" t="s">
        <v>326</v>
      </c>
      <c r="G1382" s="4" t="s">
        <v>241</v>
      </c>
      <c r="H1382" s="4" t="s">
        <v>241</v>
      </c>
      <c r="I1382" s="4" t="s">
        <v>1087</v>
      </c>
      <c r="J1382" s="4" t="s">
        <v>424</v>
      </c>
      <c r="K1382" s="4" t="s">
        <v>256</v>
      </c>
      <c r="L1382" s="4" t="s">
        <v>241</v>
      </c>
      <c r="M1382" s="5" t="s">
        <v>1089</v>
      </c>
      <c r="N1382" s="4" t="s">
        <v>2560</v>
      </c>
      <c r="O1382" s="6">
        <f>0</f>
        <v>0</v>
      </c>
      <c r="P1382" s="4" t="s">
        <v>276</v>
      </c>
      <c r="Q1382" s="6">
        <f>163674</f>
        <v>163674</v>
      </c>
      <c r="R1382" s="6">
        <f>189000</f>
        <v>189000</v>
      </c>
      <c r="S1382" s="5" t="s">
        <v>2561</v>
      </c>
      <c r="T1382" s="4" t="s">
        <v>348</v>
      </c>
      <c r="U1382" s="4" t="s">
        <v>277</v>
      </c>
      <c r="V1382" s="6">
        <f>12663</f>
        <v>12663</v>
      </c>
      <c r="W1382" s="6">
        <f>25326</f>
        <v>25326</v>
      </c>
      <c r="X1382" s="4" t="s">
        <v>243</v>
      </c>
      <c r="Y1382" s="4" t="s">
        <v>244</v>
      </c>
      <c r="Z1382" s="4" t="s">
        <v>241</v>
      </c>
      <c r="AA1382" s="4" t="s">
        <v>241</v>
      </c>
      <c r="AD1382" s="4" t="s">
        <v>241</v>
      </c>
      <c r="AE1382" s="5" t="s">
        <v>241</v>
      </c>
      <c r="AF1382" s="5" t="s">
        <v>241</v>
      </c>
      <c r="AH1382" s="5" t="s">
        <v>241</v>
      </c>
      <c r="AI1382" s="5" t="s">
        <v>249</v>
      </c>
      <c r="AJ1382" s="4" t="s">
        <v>251</v>
      </c>
      <c r="AK1382" s="4" t="s">
        <v>252</v>
      </c>
      <c r="AQ1382" s="4" t="s">
        <v>241</v>
      </c>
      <c r="AR1382" s="4" t="s">
        <v>241</v>
      </c>
      <c r="AS1382" s="4" t="s">
        <v>241</v>
      </c>
      <c r="AT1382" s="5" t="s">
        <v>241</v>
      </c>
      <c r="AU1382" s="5" t="s">
        <v>241</v>
      </c>
      <c r="AV1382" s="5" t="s">
        <v>241</v>
      </c>
      <c r="AY1382" s="4" t="s">
        <v>286</v>
      </c>
      <c r="AZ1382" s="4" t="s">
        <v>286</v>
      </c>
      <c r="BA1382" s="4" t="s">
        <v>254</v>
      </c>
      <c r="BB1382" s="4" t="s">
        <v>287</v>
      </c>
      <c r="BC1382" s="4" t="s">
        <v>255</v>
      </c>
      <c r="BD1382" s="4" t="s">
        <v>241</v>
      </c>
      <c r="BE1382" s="4" t="s">
        <v>257</v>
      </c>
      <c r="BF1382" s="4" t="s">
        <v>241</v>
      </c>
      <c r="BJ1382" s="4" t="s">
        <v>288</v>
      </c>
      <c r="BK1382" s="5" t="s">
        <v>289</v>
      </c>
      <c r="BL1382" s="4" t="s">
        <v>290</v>
      </c>
      <c r="BM1382" s="4" t="s">
        <v>290</v>
      </c>
      <c r="BN1382" s="4" t="s">
        <v>241</v>
      </c>
      <c r="BP1382" s="6">
        <f>-12663</f>
        <v>-12663</v>
      </c>
      <c r="BQ1382" s="4" t="s">
        <v>263</v>
      </c>
      <c r="BR1382" s="4" t="s">
        <v>264</v>
      </c>
      <c r="BS1382" s="4" t="s">
        <v>241</v>
      </c>
      <c r="BT1382" s="4" t="s">
        <v>241</v>
      </c>
      <c r="BU1382" s="4" t="s">
        <v>241</v>
      </c>
      <c r="BV1382" s="4" t="s">
        <v>241</v>
      </c>
      <c r="CE1382" s="4" t="s">
        <v>264</v>
      </c>
      <c r="CF1382" s="4" t="s">
        <v>241</v>
      </c>
      <c r="CG1382" s="4" t="s">
        <v>241</v>
      </c>
      <c r="CK1382" s="4" t="s">
        <v>291</v>
      </c>
      <c r="CL1382" s="4" t="s">
        <v>266</v>
      </c>
      <c r="CM1382" s="4" t="s">
        <v>241</v>
      </c>
      <c r="CO1382" s="4" t="s">
        <v>331</v>
      </c>
      <c r="CP1382" s="5" t="s">
        <v>268</v>
      </c>
      <c r="CQ1382" s="4" t="s">
        <v>269</v>
      </c>
      <c r="CR1382" s="4" t="s">
        <v>270</v>
      </c>
      <c r="CS1382" s="4" t="s">
        <v>293</v>
      </c>
      <c r="CT1382" s="4" t="s">
        <v>241</v>
      </c>
      <c r="CU1382" s="4">
        <v>6.7000000000000004E-2</v>
      </c>
      <c r="CV1382" s="4" t="s">
        <v>271</v>
      </c>
      <c r="CW1382" s="4" t="s">
        <v>415</v>
      </c>
      <c r="CX1382" s="4" t="s">
        <v>416</v>
      </c>
      <c r="CY1382" s="6">
        <f>0</f>
        <v>0</v>
      </c>
      <c r="CZ1382" s="6">
        <f>189000</f>
        <v>189000</v>
      </c>
      <c r="DA1382" s="6">
        <f>163674</f>
        <v>163674</v>
      </c>
      <c r="DC1382" s="4" t="s">
        <v>241</v>
      </c>
      <c r="DD1382" s="4" t="s">
        <v>241</v>
      </c>
      <c r="DF1382" s="4" t="s">
        <v>241</v>
      </c>
      <c r="DG1382" s="6">
        <f>0</f>
        <v>0</v>
      </c>
      <c r="DI1382" s="4" t="s">
        <v>241</v>
      </c>
      <c r="DJ1382" s="4" t="s">
        <v>241</v>
      </c>
      <c r="DK1382" s="4" t="s">
        <v>241</v>
      </c>
      <c r="DL1382" s="4" t="s">
        <v>241</v>
      </c>
      <c r="DM1382" s="4" t="s">
        <v>278</v>
      </c>
      <c r="DN1382" s="4" t="s">
        <v>278</v>
      </c>
      <c r="DO1382" s="6" t="s">
        <v>241</v>
      </c>
      <c r="DP1382" s="4" t="s">
        <v>241</v>
      </c>
      <c r="DQ1382" s="4" t="s">
        <v>241</v>
      </c>
      <c r="DR1382" s="4" t="s">
        <v>241</v>
      </c>
      <c r="DS1382" s="4" t="s">
        <v>241</v>
      </c>
      <c r="DV1382" s="4" t="s">
        <v>1090</v>
      </c>
      <c r="DW1382" s="4" t="s">
        <v>297</v>
      </c>
      <c r="GN1382" s="4" t="s">
        <v>2562</v>
      </c>
      <c r="HO1382" s="4" t="s">
        <v>297</v>
      </c>
      <c r="HR1382" s="4" t="s">
        <v>278</v>
      </c>
      <c r="HS1382" s="4" t="s">
        <v>278</v>
      </c>
      <c r="HT1382" s="4" t="s">
        <v>241</v>
      </c>
      <c r="HU1382" s="4" t="s">
        <v>241</v>
      </c>
      <c r="HV1382" s="4" t="s">
        <v>241</v>
      </c>
      <c r="HW1382" s="4" t="s">
        <v>241</v>
      </c>
      <c r="HX1382" s="4" t="s">
        <v>241</v>
      </c>
      <c r="HY1382" s="4" t="s">
        <v>241</v>
      </c>
      <c r="HZ1382" s="4" t="s">
        <v>241</v>
      </c>
      <c r="IA1382" s="4" t="s">
        <v>241</v>
      </c>
      <c r="IB1382" s="4" t="s">
        <v>241</v>
      </c>
      <c r="IC1382" s="4" t="s">
        <v>241</v>
      </c>
      <c r="ID1382" s="4" t="s">
        <v>241</v>
      </c>
      <c r="IE1382" s="4" t="s">
        <v>241</v>
      </c>
      <c r="IF1382" s="4" t="s">
        <v>241</v>
      </c>
    </row>
    <row r="1383" spans="1:240" x14ac:dyDescent="0.4">
      <c r="A1383" s="4">
        <v>2</v>
      </c>
      <c r="B1383" s="4" t="s">
        <v>239</v>
      </c>
      <c r="C1383" s="4">
        <v>1698</v>
      </c>
      <c r="D1383" s="4">
        <v>1</v>
      </c>
      <c r="E1383" s="4">
        <v>1</v>
      </c>
      <c r="F1383" s="4" t="s">
        <v>240</v>
      </c>
      <c r="G1383" s="4" t="s">
        <v>241</v>
      </c>
      <c r="H1383" s="4" t="s">
        <v>241</v>
      </c>
      <c r="I1383" s="4" t="s">
        <v>1875</v>
      </c>
      <c r="J1383" s="4" t="s">
        <v>424</v>
      </c>
      <c r="K1383" s="4" t="s">
        <v>256</v>
      </c>
      <c r="L1383" s="4" t="s">
        <v>1854</v>
      </c>
      <c r="M1383" s="5" t="s">
        <v>1609</v>
      </c>
      <c r="N1383" s="4" t="s">
        <v>1846</v>
      </c>
      <c r="O1383" s="6">
        <f>178.38</f>
        <v>178.38</v>
      </c>
      <c r="P1383" s="4" t="s">
        <v>276</v>
      </c>
      <c r="Q1383" s="6">
        <f>1</f>
        <v>1</v>
      </c>
      <c r="R1383" s="6">
        <f>10702800</f>
        <v>10702800</v>
      </c>
      <c r="S1383" s="5" t="s">
        <v>710</v>
      </c>
      <c r="T1383" s="4" t="s">
        <v>441</v>
      </c>
      <c r="U1383" s="4" t="s">
        <v>552</v>
      </c>
      <c r="W1383" s="6">
        <f>10702799</f>
        <v>10702799</v>
      </c>
      <c r="X1383" s="4" t="s">
        <v>243</v>
      </c>
      <c r="Y1383" s="4" t="s">
        <v>244</v>
      </c>
      <c r="Z1383" s="4" t="s">
        <v>282</v>
      </c>
      <c r="AA1383" s="4" t="s">
        <v>241</v>
      </c>
      <c r="AD1383" s="4" t="s">
        <v>241</v>
      </c>
      <c r="AF1383" s="5" t="s">
        <v>241</v>
      </c>
      <c r="AI1383" s="5" t="s">
        <v>249</v>
      </c>
      <c r="AJ1383" s="4" t="s">
        <v>251</v>
      </c>
      <c r="AK1383" s="4" t="s">
        <v>252</v>
      </c>
      <c r="BA1383" s="4" t="s">
        <v>254</v>
      </c>
      <c r="BB1383" s="4" t="s">
        <v>241</v>
      </c>
      <c r="BC1383" s="4" t="s">
        <v>255</v>
      </c>
      <c r="BD1383" s="4" t="s">
        <v>241</v>
      </c>
      <c r="BE1383" s="4" t="s">
        <v>257</v>
      </c>
      <c r="BF1383" s="4" t="s">
        <v>241</v>
      </c>
      <c r="BH1383" s="4" t="s">
        <v>500</v>
      </c>
      <c r="BJ1383" s="4" t="s">
        <v>377</v>
      </c>
      <c r="BK1383" s="5" t="s">
        <v>378</v>
      </c>
      <c r="BL1383" s="4" t="s">
        <v>261</v>
      </c>
      <c r="BM1383" s="4" t="s">
        <v>262</v>
      </c>
      <c r="BN1383" s="4" t="s">
        <v>241</v>
      </c>
      <c r="BO1383" s="6">
        <f>0</f>
        <v>0</v>
      </c>
      <c r="BP1383" s="6">
        <f>0</f>
        <v>0</v>
      </c>
      <c r="BQ1383" s="4" t="s">
        <v>263</v>
      </c>
      <c r="BR1383" s="4" t="s">
        <v>264</v>
      </c>
      <c r="CF1383" s="4" t="s">
        <v>241</v>
      </c>
      <c r="CG1383" s="4" t="s">
        <v>241</v>
      </c>
      <c r="CK1383" s="4" t="s">
        <v>265</v>
      </c>
      <c r="CL1383" s="4" t="s">
        <v>266</v>
      </c>
      <c r="CM1383" s="4" t="s">
        <v>241</v>
      </c>
      <c r="CO1383" s="4" t="s">
        <v>662</v>
      </c>
      <c r="CP1383" s="5" t="s">
        <v>268</v>
      </c>
      <c r="CQ1383" s="4" t="s">
        <v>269</v>
      </c>
      <c r="CR1383" s="4" t="s">
        <v>270</v>
      </c>
      <c r="CS1383" s="4" t="s">
        <v>241</v>
      </c>
      <c r="CT1383" s="4" t="s">
        <v>241</v>
      </c>
      <c r="CU1383" s="4">
        <v>0</v>
      </c>
      <c r="CV1383" s="4" t="s">
        <v>271</v>
      </c>
      <c r="CW1383" s="4" t="s">
        <v>1830</v>
      </c>
      <c r="CX1383" s="4" t="s">
        <v>487</v>
      </c>
      <c r="CZ1383" s="6">
        <f>10702800</f>
        <v>10702800</v>
      </c>
      <c r="DA1383" s="6">
        <f>0</f>
        <v>0</v>
      </c>
      <c r="DC1383" s="4" t="s">
        <v>241</v>
      </c>
      <c r="DD1383" s="4" t="s">
        <v>241</v>
      </c>
      <c r="DF1383" s="4" t="s">
        <v>241</v>
      </c>
      <c r="DI1383" s="4" t="s">
        <v>241</v>
      </c>
      <c r="DJ1383" s="4" t="s">
        <v>241</v>
      </c>
      <c r="DK1383" s="4" t="s">
        <v>241</v>
      </c>
      <c r="DL1383" s="4" t="s">
        <v>241</v>
      </c>
      <c r="DM1383" s="4" t="s">
        <v>277</v>
      </c>
      <c r="DN1383" s="4" t="s">
        <v>278</v>
      </c>
      <c r="DO1383" s="6">
        <f>178.38</f>
        <v>178.38</v>
      </c>
      <c r="DP1383" s="4" t="s">
        <v>241</v>
      </c>
      <c r="DQ1383" s="4" t="s">
        <v>241</v>
      </c>
      <c r="DR1383" s="4" t="s">
        <v>241</v>
      </c>
      <c r="DS1383" s="4" t="s">
        <v>241</v>
      </c>
      <c r="DV1383" s="4" t="s">
        <v>1876</v>
      </c>
      <c r="DW1383" s="4" t="s">
        <v>277</v>
      </c>
      <c r="HO1383" s="4" t="s">
        <v>277</v>
      </c>
      <c r="HR1383" s="4" t="s">
        <v>278</v>
      </c>
      <c r="HS1383" s="4" t="s">
        <v>278</v>
      </c>
    </row>
    <row r="1384" spans="1:240" x14ac:dyDescent="0.4">
      <c r="A1384" s="4">
        <v>2</v>
      </c>
      <c r="B1384" s="4" t="s">
        <v>239</v>
      </c>
      <c r="C1384" s="4">
        <v>1700</v>
      </c>
      <c r="D1384" s="4">
        <v>1</v>
      </c>
      <c r="E1384" s="4">
        <v>1</v>
      </c>
      <c r="F1384" s="4" t="s">
        <v>240</v>
      </c>
      <c r="G1384" s="4" t="s">
        <v>241</v>
      </c>
      <c r="H1384" s="4" t="s">
        <v>241</v>
      </c>
      <c r="I1384" s="4" t="s">
        <v>1809</v>
      </c>
      <c r="J1384" s="4" t="s">
        <v>1296</v>
      </c>
      <c r="K1384" s="4" t="s">
        <v>256</v>
      </c>
      <c r="L1384" s="4" t="s">
        <v>440</v>
      </c>
      <c r="M1384" s="5" t="s">
        <v>1810</v>
      </c>
      <c r="N1384" s="4" t="s">
        <v>1808</v>
      </c>
      <c r="O1384" s="6">
        <f>26.5</f>
        <v>26.5</v>
      </c>
      <c r="P1384" s="4" t="s">
        <v>276</v>
      </c>
      <c r="Q1384" s="6">
        <f>1</f>
        <v>1</v>
      </c>
      <c r="R1384" s="6">
        <f>2517500</f>
        <v>2517500</v>
      </c>
      <c r="S1384" s="5" t="s">
        <v>248</v>
      </c>
      <c r="T1384" s="4" t="s">
        <v>348</v>
      </c>
      <c r="U1384" s="4" t="s">
        <v>275</v>
      </c>
      <c r="W1384" s="6">
        <f>2517499</f>
        <v>2517499</v>
      </c>
      <c r="X1384" s="4" t="s">
        <v>243</v>
      </c>
      <c r="Y1384" s="4" t="s">
        <v>244</v>
      </c>
      <c r="Z1384" s="4" t="s">
        <v>282</v>
      </c>
      <c r="AA1384" s="4" t="s">
        <v>241</v>
      </c>
      <c r="AD1384" s="4" t="s">
        <v>241</v>
      </c>
      <c r="AF1384" s="5" t="s">
        <v>241</v>
      </c>
      <c r="AI1384" s="5" t="s">
        <v>249</v>
      </c>
      <c r="AJ1384" s="4" t="s">
        <v>251</v>
      </c>
      <c r="AK1384" s="4" t="s">
        <v>252</v>
      </c>
      <c r="BA1384" s="4" t="s">
        <v>254</v>
      </c>
      <c r="BB1384" s="4" t="s">
        <v>241</v>
      </c>
      <c r="BC1384" s="4" t="s">
        <v>255</v>
      </c>
      <c r="BD1384" s="4" t="s">
        <v>241</v>
      </c>
      <c r="BE1384" s="4" t="s">
        <v>257</v>
      </c>
      <c r="BF1384" s="4" t="s">
        <v>241</v>
      </c>
      <c r="BH1384" s="4" t="s">
        <v>500</v>
      </c>
      <c r="BJ1384" s="4" t="s">
        <v>367</v>
      </c>
      <c r="BK1384" s="5" t="s">
        <v>249</v>
      </c>
      <c r="BL1384" s="4" t="s">
        <v>261</v>
      </c>
      <c r="BM1384" s="4" t="s">
        <v>410</v>
      </c>
      <c r="BN1384" s="4" t="s">
        <v>241</v>
      </c>
      <c r="BO1384" s="6">
        <f>0</f>
        <v>0</v>
      </c>
      <c r="BP1384" s="6">
        <f>0</f>
        <v>0</v>
      </c>
      <c r="BQ1384" s="4" t="s">
        <v>263</v>
      </c>
      <c r="BR1384" s="4" t="s">
        <v>264</v>
      </c>
      <c r="CF1384" s="4" t="s">
        <v>241</v>
      </c>
      <c r="CG1384" s="4" t="s">
        <v>241</v>
      </c>
      <c r="CK1384" s="4" t="s">
        <v>265</v>
      </c>
      <c r="CL1384" s="4" t="s">
        <v>266</v>
      </c>
      <c r="CM1384" s="4" t="s">
        <v>241</v>
      </c>
      <c r="CO1384" s="4" t="s">
        <v>267</v>
      </c>
      <c r="CP1384" s="5" t="s">
        <v>268</v>
      </c>
      <c r="CQ1384" s="4" t="s">
        <v>269</v>
      </c>
      <c r="CR1384" s="4" t="s">
        <v>270</v>
      </c>
      <c r="CS1384" s="4" t="s">
        <v>241</v>
      </c>
      <c r="CT1384" s="4" t="s">
        <v>241</v>
      </c>
      <c r="CU1384" s="4">
        <v>0</v>
      </c>
      <c r="CV1384" s="4" t="s">
        <v>271</v>
      </c>
      <c r="CW1384" s="4" t="s">
        <v>332</v>
      </c>
      <c r="CX1384" s="4" t="s">
        <v>347</v>
      </c>
      <c r="CZ1384" s="6">
        <f>2517500</f>
        <v>2517500</v>
      </c>
      <c r="DA1384" s="6">
        <f>0</f>
        <v>0</v>
      </c>
      <c r="DC1384" s="4" t="s">
        <v>241</v>
      </c>
      <c r="DD1384" s="4" t="s">
        <v>241</v>
      </c>
      <c r="DF1384" s="4" t="s">
        <v>241</v>
      </c>
      <c r="DI1384" s="4" t="s">
        <v>241</v>
      </c>
      <c r="DJ1384" s="4" t="s">
        <v>241</v>
      </c>
      <c r="DK1384" s="4" t="s">
        <v>241</v>
      </c>
      <c r="DL1384" s="4" t="s">
        <v>241</v>
      </c>
      <c r="DM1384" s="4" t="s">
        <v>277</v>
      </c>
      <c r="DN1384" s="4" t="s">
        <v>278</v>
      </c>
      <c r="DO1384" s="6">
        <f>26.5</f>
        <v>26.5</v>
      </c>
      <c r="DP1384" s="4" t="s">
        <v>241</v>
      </c>
      <c r="DQ1384" s="4" t="s">
        <v>241</v>
      </c>
      <c r="DR1384" s="4" t="s">
        <v>241</v>
      </c>
      <c r="DS1384" s="4" t="s">
        <v>241</v>
      </c>
      <c r="DV1384" s="4" t="s">
        <v>1811</v>
      </c>
      <c r="DW1384" s="4" t="s">
        <v>277</v>
      </c>
      <c r="HO1384" s="4" t="s">
        <v>277</v>
      </c>
      <c r="HR1384" s="4" t="s">
        <v>278</v>
      </c>
      <c r="HS1384" s="4" t="s">
        <v>278</v>
      </c>
    </row>
    <row r="1385" spans="1:240" x14ac:dyDescent="0.4">
      <c r="A1385" s="4">
        <v>2</v>
      </c>
      <c r="B1385" s="4" t="s">
        <v>239</v>
      </c>
      <c r="C1385" s="4">
        <v>1701</v>
      </c>
      <c r="D1385" s="4">
        <v>1</v>
      </c>
      <c r="E1385" s="4">
        <v>1</v>
      </c>
      <c r="F1385" s="4" t="s">
        <v>240</v>
      </c>
      <c r="G1385" s="4" t="s">
        <v>241</v>
      </c>
      <c r="H1385" s="4" t="s">
        <v>241</v>
      </c>
      <c r="I1385" s="4" t="s">
        <v>2525</v>
      </c>
      <c r="J1385" s="4" t="s">
        <v>1296</v>
      </c>
      <c r="K1385" s="4" t="s">
        <v>256</v>
      </c>
      <c r="L1385" s="4" t="s">
        <v>440</v>
      </c>
      <c r="M1385" s="5" t="s">
        <v>2527</v>
      </c>
      <c r="N1385" s="4" t="s">
        <v>2519</v>
      </c>
      <c r="O1385" s="6">
        <f>8.15</f>
        <v>8.15</v>
      </c>
      <c r="P1385" s="4" t="s">
        <v>276</v>
      </c>
      <c r="Q1385" s="6">
        <f>1</f>
        <v>1</v>
      </c>
      <c r="R1385" s="6">
        <f>1806000</f>
        <v>1806000</v>
      </c>
      <c r="S1385" s="5" t="s">
        <v>2526</v>
      </c>
      <c r="T1385" s="4" t="s">
        <v>343</v>
      </c>
      <c r="U1385" s="4" t="s">
        <v>343</v>
      </c>
      <c r="W1385" s="6">
        <f>1805999</f>
        <v>1805999</v>
      </c>
      <c r="X1385" s="4" t="s">
        <v>243</v>
      </c>
      <c r="Y1385" s="4" t="s">
        <v>244</v>
      </c>
      <c r="Z1385" s="4" t="s">
        <v>282</v>
      </c>
      <c r="AA1385" s="4" t="s">
        <v>241</v>
      </c>
      <c r="AD1385" s="4" t="s">
        <v>241</v>
      </c>
      <c r="AF1385" s="5" t="s">
        <v>241</v>
      </c>
      <c r="AI1385" s="5" t="s">
        <v>249</v>
      </c>
      <c r="AJ1385" s="4" t="s">
        <v>251</v>
      </c>
      <c r="AK1385" s="4" t="s">
        <v>252</v>
      </c>
      <c r="BA1385" s="4" t="s">
        <v>254</v>
      </c>
      <c r="BB1385" s="4" t="s">
        <v>241</v>
      </c>
      <c r="BC1385" s="4" t="s">
        <v>255</v>
      </c>
      <c r="BD1385" s="4" t="s">
        <v>241</v>
      </c>
      <c r="BE1385" s="4" t="s">
        <v>257</v>
      </c>
      <c r="BF1385" s="4" t="s">
        <v>241</v>
      </c>
      <c r="BH1385" s="4" t="s">
        <v>500</v>
      </c>
      <c r="BJ1385" s="4" t="s">
        <v>367</v>
      </c>
      <c r="BK1385" s="5" t="s">
        <v>249</v>
      </c>
      <c r="BL1385" s="4" t="s">
        <v>261</v>
      </c>
      <c r="BM1385" s="4" t="s">
        <v>290</v>
      </c>
      <c r="BN1385" s="4" t="s">
        <v>241</v>
      </c>
      <c r="BO1385" s="6">
        <f>0</f>
        <v>0</v>
      </c>
      <c r="BP1385" s="6">
        <f>0</f>
        <v>0</v>
      </c>
      <c r="BQ1385" s="4" t="s">
        <v>263</v>
      </c>
      <c r="BR1385" s="4" t="s">
        <v>264</v>
      </c>
      <c r="CF1385" s="4" t="s">
        <v>241</v>
      </c>
      <c r="CG1385" s="4" t="s">
        <v>241</v>
      </c>
      <c r="CK1385" s="4" t="s">
        <v>291</v>
      </c>
      <c r="CL1385" s="4" t="s">
        <v>266</v>
      </c>
      <c r="CM1385" s="4" t="s">
        <v>241</v>
      </c>
      <c r="CO1385" s="4" t="s">
        <v>1497</v>
      </c>
      <c r="CP1385" s="5" t="s">
        <v>268</v>
      </c>
      <c r="CQ1385" s="4" t="s">
        <v>269</v>
      </c>
      <c r="CR1385" s="4" t="s">
        <v>270</v>
      </c>
      <c r="CS1385" s="4" t="s">
        <v>241</v>
      </c>
      <c r="CT1385" s="4" t="s">
        <v>241</v>
      </c>
      <c r="CU1385" s="4">
        <v>0</v>
      </c>
      <c r="CV1385" s="4" t="s">
        <v>271</v>
      </c>
      <c r="CW1385" s="4" t="s">
        <v>415</v>
      </c>
      <c r="CX1385" s="4" t="s">
        <v>2523</v>
      </c>
      <c r="CZ1385" s="6">
        <f>1806000</f>
        <v>1806000</v>
      </c>
      <c r="DA1385" s="6">
        <f>0</f>
        <v>0</v>
      </c>
      <c r="DC1385" s="4" t="s">
        <v>241</v>
      </c>
      <c r="DD1385" s="4" t="s">
        <v>241</v>
      </c>
      <c r="DF1385" s="4" t="s">
        <v>241</v>
      </c>
      <c r="DI1385" s="4" t="s">
        <v>241</v>
      </c>
      <c r="DJ1385" s="4" t="s">
        <v>241</v>
      </c>
      <c r="DK1385" s="4" t="s">
        <v>241</v>
      </c>
      <c r="DL1385" s="4" t="s">
        <v>241</v>
      </c>
      <c r="DM1385" s="4" t="s">
        <v>277</v>
      </c>
      <c r="DN1385" s="4" t="s">
        <v>278</v>
      </c>
      <c r="DO1385" s="6">
        <f>8.15</f>
        <v>8.15</v>
      </c>
      <c r="DP1385" s="4" t="s">
        <v>241</v>
      </c>
      <c r="DQ1385" s="4" t="s">
        <v>241</v>
      </c>
      <c r="DR1385" s="4" t="s">
        <v>241</v>
      </c>
      <c r="DS1385" s="4" t="s">
        <v>241</v>
      </c>
      <c r="DV1385" s="4" t="s">
        <v>2528</v>
      </c>
      <c r="DW1385" s="4" t="s">
        <v>277</v>
      </c>
      <c r="HO1385" s="4" t="s">
        <v>351</v>
      </c>
      <c r="HR1385" s="4" t="s">
        <v>278</v>
      </c>
      <c r="HS1385" s="4" t="s">
        <v>278</v>
      </c>
    </row>
    <row r="1386" spans="1:240" x14ac:dyDescent="0.4">
      <c r="A1386" s="4">
        <v>2</v>
      </c>
      <c r="B1386" s="4" t="s">
        <v>239</v>
      </c>
      <c r="C1386" s="4">
        <v>1702</v>
      </c>
      <c r="D1386" s="4">
        <v>1</v>
      </c>
      <c r="E1386" s="4">
        <v>1</v>
      </c>
      <c r="F1386" s="4" t="s">
        <v>326</v>
      </c>
      <c r="G1386" s="4" t="s">
        <v>241</v>
      </c>
      <c r="H1386" s="4" t="s">
        <v>241</v>
      </c>
      <c r="I1386" s="4" t="s">
        <v>2520</v>
      </c>
      <c r="J1386" s="4" t="s">
        <v>1296</v>
      </c>
      <c r="K1386" s="4" t="s">
        <v>256</v>
      </c>
      <c r="L1386" s="4" t="s">
        <v>440</v>
      </c>
      <c r="M1386" s="5" t="s">
        <v>2522</v>
      </c>
      <c r="N1386" s="4" t="s">
        <v>2519</v>
      </c>
      <c r="O1386" s="6">
        <f>8.15</f>
        <v>8.15</v>
      </c>
      <c r="P1386" s="4" t="s">
        <v>276</v>
      </c>
      <c r="Q1386" s="6">
        <f>1</f>
        <v>1</v>
      </c>
      <c r="R1386" s="6">
        <f>1900500</f>
        <v>1900500</v>
      </c>
      <c r="S1386" s="5" t="s">
        <v>2521</v>
      </c>
      <c r="T1386" s="4" t="s">
        <v>343</v>
      </c>
      <c r="U1386" s="4" t="s">
        <v>343</v>
      </c>
      <c r="W1386" s="6">
        <f>1900499</f>
        <v>1900499</v>
      </c>
      <c r="X1386" s="4" t="s">
        <v>243</v>
      </c>
      <c r="Y1386" s="4" t="s">
        <v>244</v>
      </c>
      <c r="Z1386" s="4" t="s">
        <v>282</v>
      </c>
      <c r="AA1386" s="4" t="s">
        <v>241</v>
      </c>
      <c r="AD1386" s="4" t="s">
        <v>241</v>
      </c>
      <c r="AF1386" s="5" t="s">
        <v>241</v>
      </c>
      <c r="AI1386" s="5" t="s">
        <v>249</v>
      </c>
      <c r="AJ1386" s="4" t="s">
        <v>251</v>
      </c>
      <c r="AK1386" s="4" t="s">
        <v>252</v>
      </c>
      <c r="BA1386" s="4" t="s">
        <v>254</v>
      </c>
      <c r="BB1386" s="4" t="s">
        <v>241</v>
      </c>
      <c r="BC1386" s="4" t="s">
        <v>255</v>
      </c>
      <c r="BD1386" s="4" t="s">
        <v>241</v>
      </c>
      <c r="BE1386" s="4" t="s">
        <v>257</v>
      </c>
      <c r="BF1386" s="4" t="s">
        <v>241</v>
      </c>
      <c r="BH1386" s="4" t="s">
        <v>500</v>
      </c>
      <c r="BJ1386" s="4" t="s">
        <v>367</v>
      </c>
      <c r="BK1386" s="5" t="s">
        <v>249</v>
      </c>
      <c r="BL1386" s="4" t="s">
        <v>261</v>
      </c>
      <c r="BM1386" s="4" t="s">
        <v>290</v>
      </c>
      <c r="BN1386" s="4" t="s">
        <v>241</v>
      </c>
      <c r="BO1386" s="6">
        <f>0</f>
        <v>0</v>
      </c>
      <c r="BP1386" s="6">
        <f>0</f>
        <v>0</v>
      </c>
      <c r="BQ1386" s="4" t="s">
        <v>263</v>
      </c>
      <c r="BR1386" s="4" t="s">
        <v>264</v>
      </c>
      <c r="CF1386" s="4" t="s">
        <v>241</v>
      </c>
      <c r="CG1386" s="4" t="s">
        <v>241</v>
      </c>
      <c r="CK1386" s="4" t="s">
        <v>291</v>
      </c>
      <c r="CL1386" s="4" t="s">
        <v>266</v>
      </c>
      <c r="CM1386" s="4" t="s">
        <v>241</v>
      </c>
      <c r="CO1386" s="4" t="s">
        <v>1497</v>
      </c>
      <c r="CP1386" s="5" t="s">
        <v>268</v>
      </c>
      <c r="CQ1386" s="4" t="s">
        <v>269</v>
      </c>
      <c r="CR1386" s="4" t="s">
        <v>270</v>
      </c>
      <c r="CS1386" s="4" t="s">
        <v>241</v>
      </c>
      <c r="CT1386" s="4" t="s">
        <v>241</v>
      </c>
      <c r="CU1386" s="4">
        <v>0</v>
      </c>
      <c r="CV1386" s="4" t="s">
        <v>271</v>
      </c>
      <c r="CW1386" s="4" t="s">
        <v>415</v>
      </c>
      <c r="CX1386" s="4" t="s">
        <v>2523</v>
      </c>
      <c r="CZ1386" s="6">
        <f>1900500</f>
        <v>1900500</v>
      </c>
      <c r="DA1386" s="6">
        <f>0</f>
        <v>0</v>
      </c>
      <c r="DC1386" s="4" t="s">
        <v>241</v>
      </c>
      <c r="DD1386" s="4" t="s">
        <v>241</v>
      </c>
      <c r="DF1386" s="4" t="s">
        <v>241</v>
      </c>
      <c r="DI1386" s="4" t="s">
        <v>241</v>
      </c>
      <c r="DJ1386" s="4" t="s">
        <v>241</v>
      </c>
      <c r="DK1386" s="4" t="s">
        <v>241</v>
      </c>
      <c r="DL1386" s="4" t="s">
        <v>241</v>
      </c>
      <c r="DM1386" s="4" t="s">
        <v>277</v>
      </c>
      <c r="DN1386" s="4" t="s">
        <v>278</v>
      </c>
      <c r="DO1386" s="6">
        <f>8.15</f>
        <v>8.15</v>
      </c>
      <c r="DP1386" s="4" t="s">
        <v>241</v>
      </c>
      <c r="DQ1386" s="4" t="s">
        <v>241</v>
      </c>
      <c r="DR1386" s="4" t="s">
        <v>241</v>
      </c>
      <c r="DS1386" s="4" t="s">
        <v>241</v>
      </c>
      <c r="DV1386" s="4" t="s">
        <v>2524</v>
      </c>
      <c r="DW1386" s="4" t="s">
        <v>277</v>
      </c>
      <c r="HO1386" s="4" t="s">
        <v>351</v>
      </c>
      <c r="HR1386" s="4" t="s">
        <v>278</v>
      </c>
      <c r="HS1386" s="4" t="s">
        <v>278</v>
      </c>
    </row>
    <row r="1387" spans="1:240" x14ac:dyDescent="0.4">
      <c r="A1387" s="4">
        <v>2</v>
      </c>
      <c r="B1387" s="4" t="s">
        <v>239</v>
      </c>
      <c r="C1387" s="4">
        <v>1703</v>
      </c>
      <c r="D1387" s="4">
        <v>1</v>
      </c>
      <c r="E1387" s="4">
        <v>3</v>
      </c>
      <c r="F1387" s="4" t="s">
        <v>240</v>
      </c>
      <c r="G1387" s="4" t="s">
        <v>241</v>
      </c>
      <c r="H1387" s="4" t="s">
        <v>241</v>
      </c>
      <c r="I1387" s="4" t="s">
        <v>2555</v>
      </c>
      <c r="J1387" s="4" t="s">
        <v>1296</v>
      </c>
      <c r="K1387" s="4" t="s">
        <v>256</v>
      </c>
      <c r="L1387" s="4" t="s">
        <v>440</v>
      </c>
      <c r="M1387" s="5" t="s">
        <v>2557</v>
      </c>
      <c r="N1387" s="4" t="s">
        <v>2519</v>
      </c>
      <c r="O1387" s="6">
        <f>12</f>
        <v>12</v>
      </c>
      <c r="P1387" s="4" t="s">
        <v>276</v>
      </c>
      <c r="Q1387" s="6">
        <f>1534950</f>
        <v>1534950</v>
      </c>
      <c r="R1387" s="6">
        <f>4093200</f>
        <v>4093200</v>
      </c>
      <c r="S1387" s="5" t="s">
        <v>2556</v>
      </c>
      <c r="T1387" s="4" t="s">
        <v>343</v>
      </c>
      <c r="U1387" s="4" t="s">
        <v>336</v>
      </c>
      <c r="V1387" s="6">
        <f>511650</f>
        <v>511650</v>
      </c>
      <c r="W1387" s="6">
        <f>2558250</f>
        <v>2558250</v>
      </c>
      <c r="X1387" s="4" t="s">
        <v>243</v>
      </c>
      <c r="Y1387" s="4" t="s">
        <v>244</v>
      </c>
      <c r="Z1387" s="4" t="s">
        <v>282</v>
      </c>
      <c r="AA1387" s="4" t="s">
        <v>241</v>
      </c>
      <c r="AD1387" s="4" t="s">
        <v>241</v>
      </c>
      <c r="AE1387" s="5" t="s">
        <v>241</v>
      </c>
      <c r="AF1387" s="5" t="s">
        <v>241</v>
      </c>
      <c r="AH1387" s="5" t="s">
        <v>241</v>
      </c>
      <c r="AI1387" s="5" t="s">
        <v>249</v>
      </c>
      <c r="AJ1387" s="4" t="s">
        <v>251</v>
      </c>
      <c r="AK1387" s="4" t="s">
        <v>252</v>
      </c>
      <c r="AQ1387" s="4" t="s">
        <v>241</v>
      </c>
      <c r="AR1387" s="4" t="s">
        <v>241</v>
      </c>
      <c r="AS1387" s="4" t="s">
        <v>241</v>
      </c>
      <c r="AT1387" s="5" t="s">
        <v>241</v>
      </c>
      <c r="AU1387" s="5" t="s">
        <v>241</v>
      </c>
      <c r="AV1387" s="5" t="s">
        <v>241</v>
      </c>
      <c r="AY1387" s="4" t="s">
        <v>286</v>
      </c>
      <c r="AZ1387" s="4" t="s">
        <v>286</v>
      </c>
      <c r="BA1387" s="4" t="s">
        <v>254</v>
      </c>
      <c r="BB1387" s="4" t="s">
        <v>287</v>
      </c>
      <c r="BC1387" s="4" t="s">
        <v>255</v>
      </c>
      <c r="BD1387" s="4" t="s">
        <v>241</v>
      </c>
      <c r="BE1387" s="4" t="s">
        <v>257</v>
      </c>
      <c r="BF1387" s="4" t="s">
        <v>241</v>
      </c>
      <c r="BH1387" s="4" t="s">
        <v>500</v>
      </c>
      <c r="BJ1387" s="4" t="s">
        <v>288</v>
      </c>
      <c r="BK1387" s="5" t="s">
        <v>289</v>
      </c>
      <c r="BL1387" s="4" t="s">
        <v>290</v>
      </c>
      <c r="BM1387" s="4" t="s">
        <v>290</v>
      </c>
      <c r="BN1387" s="4" t="s">
        <v>241</v>
      </c>
      <c r="BO1387" s="6">
        <f>0</f>
        <v>0</v>
      </c>
      <c r="BP1387" s="6">
        <f>-511650</f>
        <v>-511650</v>
      </c>
      <c r="BQ1387" s="4" t="s">
        <v>263</v>
      </c>
      <c r="BR1387" s="4" t="s">
        <v>264</v>
      </c>
      <c r="BS1387" s="4" t="s">
        <v>241</v>
      </c>
      <c r="BT1387" s="4" t="s">
        <v>241</v>
      </c>
      <c r="BU1387" s="4" t="s">
        <v>241</v>
      </c>
      <c r="BV1387" s="4" t="s">
        <v>241</v>
      </c>
      <c r="CE1387" s="4" t="s">
        <v>264</v>
      </c>
      <c r="CF1387" s="4" t="s">
        <v>241</v>
      </c>
      <c r="CG1387" s="4" t="s">
        <v>241</v>
      </c>
      <c r="CK1387" s="4" t="s">
        <v>291</v>
      </c>
      <c r="CL1387" s="4" t="s">
        <v>266</v>
      </c>
      <c r="CM1387" s="4" t="s">
        <v>241</v>
      </c>
      <c r="CO1387" s="4" t="s">
        <v>593</v>
      </c>
      <c r="CP1387" s="5" t="s">
        <v>268</v>
      </c>
      <c r="CQ1387" s="4" t="s">
        <v>269</v>
      </c>
      <c r="CR1387" s="4" t="s">
        <v>270</v>
      </c>
      <c r="CS1387" s="4" t="s">
        <v>293</v>
      </c>
      <c r="CT1387" s="4" t="s">
        <v>241</v>
      </c>
      <c r="CU1387" s="4">
        <v>0.125</v>
      </c>
      <c r="CV1387" s="4" t="s">
        <v>271</v>
      </c>
      <c r="CW1387" s="4" t="s">
        <v>415</v>
      </c>
      <c r="CX1387" s="4" t="s">
        <v>2523</v>
      </c>
      <c r="CY1387" s="6">
        <f>0</f>
        <v>0</v>
      </c>
      <c r="CZ1387" s="6">
        <f>4093200</f>
        <v>4093200</v>
      </c>
      <c r="DA1387" s="6">
        <f>1534950</f>
        <v>1534950</v>
      </c>
      <c r="DC1387" s="4" t="s">
        <v>241</v>
      </c>
      <c r="DD1387" s="4" t="s">
        <v>241</v>
      </c>
      <c r="DF1387" s="4" t="s">
        <v>241</v>
      </c>
      <c r="DG1387" s="6">
        <f>0</f>
        <v>0</v>
      </c>
      <c r="DI1387" s="4" t="s">
        <v>241</v>
      </c>
      <c r="DJ1387" s="4" t="s">
        <v>241</v>
      </c>
      <c r="DK1387" s="4" t="s">
        <v>241</v>
      </c>
      <c r="DL1387" s="4" t="s">
        <v>241</v>
      </c>
      <c r="DM1387" s="4" t="s">
        <v>277</v>
      </c>
      <c r="DN1387" s="4" t="s">
        <v>278</v>
      </c>
      <c r="DO1387" s="6">
        <f>12</f>
        <v>12</v>
      </c>
      <c r="DP1387" s="4" t="s">
        <v>241</v>
      </c>
      <c r="DQ1387" s="4" t="s">
        <v>241</v>
      </c>
      <c r="DR1387" s="4" t="s">
        <v>241</v>
      </c>
      <c r="DS1387" s="4" t="s">
        <v>241</v>
      </c>
      <c r="DV1387" s="4" t="s">
        <v>2558</v>
      </c>
      <c r="DW1387" s="4" t="s">
        <v>277</v>
      </c>
      <c r="GN1387" s="4" t="s">
        <v>2559</v>
      </c>
      <c r="HO1387" s="4" t="s">
        <v>300</v>
      </c>
      <c r="HR1387" s="4" t="s">
        <v>278</v>
      </c>
      <c r="HS1387" s="4" t="s">
        <v>278</v>
      </c>
      <c r="HT1387" s="4" t="s">
        <v>241</v>
      </c>
      <c r="HU1387" s="4" t="s">
        <v>241</v>
      </c>
      <c r="HV1387" s="4" t="s">
        <v>241</v>
      </c>
      <c r="HW1387" s="4" t="s">
        <v>241</v>
      </c>
      <c r="HX1387" s="4" t="s">
        <v>241</v>
      </c>
      <c r="HY1387" s="4" t="s">
        <v>241</v>
      </c>
      <c r="HZ1387" s="4" t="s">
        <v>241</v>
      </c>
      <c r="IA1387" s="4" t="s">
        <v>241</v>
      </c>
      <c r="IB1387" s="4" t="s">
        <v>241</v>
      </c>
      <c r="IC1387" s="4" t="s">
        <v>241</v>
      </c>
      <c r="ID1387" s="4" t="s">
        <v>241</v>
      </c>
      <c r="IE1387" s="4" t="s">
        <v>241</v>
      </c>
      <c r="IF1387" s="4" t="s">
        <v>241</v>
      </c>
    </row>
    <row r="1388" spans="1:240" x14ac:dyDescent="0.4">
      <c r="A1388" s="4">
        <v>2</v>
      </c>
      <c r="B1388" s="4" t="s">
        <v>239</v>
      </c>
      <c r="C1388" s="4">
        <v>1704</v>
      </c>
      <c r="D1388" s="4">
        <v>1</v>
      </c>
      <c r="E1388" s="4">
        <v>3</v>
      </c>
      <c r="F1388" s="4" t="s">
        <v>240</v>
      </c>
      <c r="G1388" s="4" t="s">
        <v>241</v>
      </c>
      <c r="H1388" s="4" t="s">
        <v>241</v>
      </c>
      <c r="I1388" s="4" t="s">
        <v>2550</v>
      </c>
      <c r="J1388" s="4" t="s">
        <v>1296</v>
      </c>
      <c r="K1388" s="4" t="s">
        <v>256</v>
      </c>
      <c r="L1388" s="4" t="s">
        <v>440</v>
      </c>
      <c r="M1388" s="5" t="s">
        <v>2552</v>
      </c>
      <c r="N1388" s="4" t="s">
        <v>2519</v>
      </c>
      <c r="O1388" s="6">
        <f>8.26</f>
        <v>8.26</v>
      </c>
      <c r="P1388" s="4" t="s">
        <v>276</v>
      </c>
      <c r="Q1388" s="6">
        <f>1261980</f>
        <v>1261980</v>
      </c>
      <c r="R1388" s="6">
        <f>3365280</f>
        <v>3365280</v>
      </c>
      <c r="S1388" s="5" t="s">
        <v>2551</v>
      </c>
      <c r="T1388" s="4" t="s">
        <v>343</v>
      </c>
      <c r="U1388" s="4" t="s">
        <v>336</v>
      </c>
      <c r="V1388" s="6">
        <f>420660</f>
        <v>420660</v>
      </c>
      <c r="W1388" s="6">
        <f>2103300</f>
        <v>2103300</v>
      </c>
      <c r="X1388" s="4" t="s">
        <v>243</v>
      </c>
      <c r="Y1388" s="4" t="s">
        <v>244</v>
      </c>
      <c r="Z1388" s="4" t="s">
        <v>282</v>
      </c>
      <c r="AA1388" s="4" t="s">
        <v>241</v>
      </c>
      <c r="AD1388" s="4" t="s">
        <v>241</v>
      </c>
      <c r="AE1388" s="5" t="s">
        <v>241</v>
      </c>
      <c r="AF1388" s="5" t="s">
        <v>241</v>
      </c>
      <c r="AH1388" s="5" t="s">
        <v>241</v>
      </c>
      <c r="AI1388" s="5" t="s">
        <v>249</v>
      </c>
      <c r="AJ1388" s="4" t="s">
        <v>251</v>
      </c>
      <c r="AK1388" s="4" t="s">
        <v>252</v>
      </c>
      <c r="AQ1388" s="4" t="s">
        <v>241</v>
      </c>
      <c r="AR1388" s="4" t="s">
        <v>241</v>
      </c>
      <c r="AS1388" s="4" t="s">
        <v>241</v>
      </c>
      <c r="AT1388" s="5" t="s">
        <v>241</v>
      </c>
      <c r="AU1388" s="5" t="s">
        <v>241</v>
      </c>
      <c r="AV1388" s="5" t="s">
        <v>241</v>
      </c>
      <c r="AY1388" s="4" t="s">
        <v>286</v>
      </c>
      <c r="AZ1388" s="4" t="s">
        <v>286</v>
      </c>
      <c r="BA1388" s="4" t="s">
        <v>254</v>
      </c>
      <c r="BB1388" s="4" t="s">
        <v>287</v>
      </c>
      <c r="BC1388" s="4" t="s">
        <v>255</v>
      </c>
      <c r="BD1388" s="4" t="s">
        <v>241</v>
      </c>
      <c r="BE1388" s="4" t="s">
        <v>257</v>
      </c>
      <c r="BF1388" s="4" t="s">
        <v>241</v>
      </c>
      <c r="BH1388" s="4" t="s">
        <v>500</v>
      </c>
      <c r="BJ1388" s="4" t="s">
        <v>288</v>
      </c>
      <c r="BK1388" s="5" t="s">
        <v>289</v>
      </c>
      <c r="BL1388" s="4" t="s">
        <v>290</v>
      </c>
      <c r="BM1388" s="4" t="s">
        <v>290</v>
      </c>
      <c r="BN1388" s="4" t="s">
        <v>241</v>
      </c>
      <c r="BO1388" s="6">
        <f>0</f>
        <v>0</v>
      </c>
      <c r="BP1388" s="6">
        <f>-420660</f>
        <v>-420660</v>
      </c>
      <c r="BQ1388" s="4" t="s">
        <v>263</v>
      </c>
      <c r="BR1388" s="4" t="s">
        <v>264</v>
      </c>
      <c r="BS1388" s="4" t="s">
        <v>241</v>
      </c>
      <c r="BT1388" s="4" t="s">
        <v>241</v>
      </c>
      <c r="BU1388" s="4" t="s">
        <v>241</v>
      </c>
      <c r="BV1388" s="4" t="s">
        <v>241</v>
      </c>
      <c r="CE1388" s="4" t="s">
        <v>264</v>
      </c>
      <c r="CF1388" s="4" t="s">
        <v>241</v>
      </c>
      <c r="CG1388" s="4" t="s">
        <v>241</v>
      </c>
      <c r="CK1388" s="4" t="s">
        <v>291</v>
      </c>
      <c r="CL1388" s="4" t="s">
        <v>266</v>
      </c>
      <c r="CM1388" s="4" t="s">
        <v>241</v>
      </c>
      <c r="CO1388" s="4" t="s">
        <v>593</v>
      </c>
      <c r="CP1388" s="5" t="s">
        <v>268</v>
      </c>
      <c r="CQ1388" s="4" t="s">
        <v>269</v>
      </c>
      <c r="CR1388" s="4" t="s">
        <v>270</v>
      </c>
      <c r="CS1388" s="4" t="s">
        <v>293</v>
      </c>
      <c r="CT1388" s="4" t="s">
        <v>241</v>
      </c>
      <c r="CU1388" s="4">
        <v>0.125</v>
      </c>
      <c r="CV1388" s="4" t="s">
        <v>271</v>
      </c>
      <c r="CW1388" s="4" t="s">
        <v>415</v>
      </c>
      <c r="CX1388" s="4" t="s">
        <v>2523</v>
      </c>
      <c r="CY1388" s="6">
        <f>0</f>
        <v>0</v>
      </c>
      <c r="CZ1388" s="6">
        <f>3365280</f>
        <v>3365280</v>
      </c>
      <c r="DA1388" s="6">
        <f>1261980</f>
        <v>1261980</v>
      </c>
      <c r="DC1388" s="4" t="s">
        <v>241</v>
      </c>
      <c r="DD1388" s="4" t="s">
        <v>241</v>
      </c>
      <c r="DF1388" s="4" t="s">
        <v>241</v>
      </c>
      <c r="DG1388" s="6">
        <f>0</f>
        <v>0</v>
      </c>
      <c r="DI1388" s="4" t="s">
        <v>241</v>
      </c>
      <c r="DJ1388" s="4" t="s">
        <v>241</v>
      </c>
      <c r="DK1388" s="4" t="s">
        <v>241</v>
      </c>
      <c r="DL1388" s="4" t="s">
        <v>241</v>
      </c>
      <c r="DM1388" s="4" t="s">
        <v>277</v>
      </c>
      <c r="DN1388" s="4" t="s">
        <v>278</v>
      </c>
      <c r="DO1388" s="6">
        <f>8.26</f>
        <v>8.26</v>
      </c>
      <c r="DP1388" s="4" t="s">
        <v>241</v>
      </c>
      <c r="DQ1388" s="4" t="s">
        <v>241</v>
      </c>
      <c r="DR1388" s="4" t="s">
        <v>241</v>
      </c>
      <c r="DS1388" s="4" t="s">
        <v>241</v>
      </c>
      <c r="DV1388" s="4" t="s">
        <v>2553</v>
      </c>
      <c r="DW1388" s="4" t="s">
        <v>277</v>
      </c>
      <c r="GN1388" s="4" t="s">
        <v>2554</v>
      </c>
      <c r="HO1388" s="4" t="s">
        <v>300</v>
      </c>
      <c r="HR1388" s="4" t="s">
        <v>278</v>
      </c>
      <c r="HS1388" s="4" t="s">
        <v>278</v>
      </c>
      <c r="HT1388" s="4" t="s">
        <v>241</v>
      </c>
      <c r="HU1388" s="4" t="s">
        <v>241</v>
      </c>
      <c r="HV1388" s="4" t="s">
        <v>241</v>
      </c>
      <c r="HW1388" s="4" t="s">
        <v>241</v>
      </c>
      <c r="HX1388" s="4" t="s">
        <v>241</v>
      </c>
      <c r="HY1388" s="4" t="s">
        <v>241</v>
      </c>
      <c r="HZ1388" s="4" t="s">
        <v>241</v>
      </c>
      <c r="IA1388" s="4" t="s">
        <v>241</v>
      </c>
      <c r="IB1388" s="4" t="s">
        <v>241</v>
      </c>
      <c r="IC1388" s="4" t="s">
        <v>241</v>
      </c>
      <c r="ID1388" s="4" t="s">
        <v>241</v>
      </c>
      <c r="IE1388" s="4" t="s">
        <v>241</v>
      </c>
      <c r="IF1388" s="4" t="s">
        <v>241</v>
      </c>
    </row>
    <row r="1389" spans="1:240" x14ac:dyDescent="0.4">
      <c r="A1389" s="4">
        <v>2</v>
      </c>
      <c r="B1389" s="4" t="s">
        <v>239</v>
      </c>
      <c r="C1389" s="4">
        <v>1705</v>
      </c>
      <c r="D1389" s="4">
        <v>1</v>
      </c>
      <c r="E1389" s="4">
        <v>1</v>
      </c>
      <c r="F1389" s="4" t="s">
        <v>240</v>
      </c>
      <c r="G1389" s="4" t="s">
        <v>241</v>
      </c>
      <c r="H1389" s="4" t="s">
        <v>241</v>
      </c>
      <c r="I1389" s="4" t="s">
        <v>2923</v>
      </c>
      <c r="J1389" s="4" t="s">
        <v>328</v>
      </c>
      <c r="K1389" s="4" t="s">
        <v>256</v>
      </c>
      <c r="L1389" s="4" t="s">
        <v>440</v>
      </c>
      <c r="M1389" s="5" t="s">
        <v>2924</v>
      </c>
      <c r="N1389" s="4" t="s">
        <v>1808</v>
      </c>
      <c r="O1389" s="6">
        <f>16.5</f>
        <v>16.5</v>
      </c>
      <c r="P1389" s="4" t="s">
        <v>276</v>
      </c>
      <c r="Q1389" s="6">
        <f>1</f>
        <v>1</v>
      </c>
      <c r="R1389" s="6">
        <f>1567500</f>
        <v>1567500</v>
      </c>
      <c r="S1389" s="5" t="s">
        <v>248</v>
      </c>
      <c r="T1389" s="4" t="s">
        <v>343</v>
      </c>
      <c r="U1389" s="4" t="s">
        <v>275</v>
      </c>
      <c r="W1389" s="6">
        <f>1567499</f>
        <v>1567499</v>
      </c>
      <c r="X1389" s="4" t="s">
        <v>243</v>
      </c>
      <c r="Y1389" s="4" t="s">
        <v>244</v>
      </c>
      <c r="Z1389" s="4" t="s">
        <v>282</v>
      </c>
      <c r="AA1389" s="4" t="s">
        <v>241</v>
      </c>
      <c r="AD1389" s="4" t="s">
        <v>241</v>
      </c>
      <c r="AF1389" s="5" t="s">
        <v>241</v>
      </c>
      <c r="AI1389" s="5" t="s">
        <v>249</v>
      </c>
      <c r="AJ1389" s="4" t="s">
        <v>251</v>
      </c>
      <c r="AK1389" s="4" t="s">
        <v>252</v>
      </c>
      <c r="BA1389" s="4" t="s">
        <v>254</v>
      </c>
      <c r="BB1389" s="4" t="s">
        <v>241</v>
      </c>
      <c r="BC1389" s="4" t="s">
        <v>255</v>
      </c>
      <c r="BD1389" s="4" t="s">
        <v>241</v>
      </c>
      <c r="BE1389" s="4" t="s">
        <v>257</v>
      </c>
      <c r="BF1389" s="4" t="s">
        <v>241</v>
      </c>
      <c r="BH1389" s="4" t="s">
        <v>500</v>
      </c>
      <c r="BJ1389" s="4" t="s">
        <v>367</v>
      </c>
      <c r="BK1389" s="5" t="s">
        <v>249</v>
      </c>
      <c r="BL1389" s="4" t="s">
        <v>261</v>
      </c>
      <c r="BM1389" s="4" t="s">
        <v>410</v>
      </c>
      <c r="BN1389" s="4" t="s">
        <v>241</v>
      </c>
      <c r="BO1389" s="6">
        <f>0</f>
        <v>0</v>
      </c>
      <c r="BP1389" s="6">
        <f>0</f>
        <v>0</v>
      </c>
      <c r="BQ1389" s="4" t="s">
        <v>263</v>
      </c>
      <c r="BR1389" s="4" t="s">
        <v>264</v>
      </c>
      <c r="CF1389" s="4" t="s">
        <v>241</v>
      </c>
      <c r="CG1389" s="4" t="s">
        <v>241</v>
      </c>
      <c r="CK1389" s="4" t="s">
        <v>265</v>
      </c>
      <c r="CL1389" s="4" t="s">
        <v>266</v>
      </c>
      <c r="CM1389" s="4" t="s">
        <v>241</v>
      </c>
      <c r="CO1389" s="4" t="s">
        <v>267</v>
      </c>
      <c r="CP1389" s="5" t="s">
        <v>268</v>
      </c>
      <c r="CQ1389" s="4" t="s">
        <v>269</v>
      </c>
      <c r="CR1389" s="4" t="s">
        <v>270</v>
      </c>
      <c r="CS1389" s="4" t="s">
        <v>241</v>
      </c>
      <c r="CT1389" s="4" t="s">
        <v>241</v>
      </c>
      <c r="CU1389" s="4">
        <v>0</v>
      </c>
      <c r="CV1389" s="4" t="s">
        <v>271</v>
      </c>
      <c r="CW1389" s="4" t="s">
        <v>415</v>
      </c>
      <c r="CX1389" s="4" t="s">
        <v>2523</v>
      </c>
      <c r="CZ1389" s="6">
        <f>1567500</f>
        <v>1567500</v>
      </c>
      <c r="DA1389" s="6">
        <f>0</f>
        <v>0</v>
      </c>
      <c r="DC1389" s="4" t="s">
        <v>241</v>
      </c>
      <c r="DD1389" s="4" t="s">
        <v>241</v>
      </c>
      <c r="DF1389" s="4" t="s">
        <v>241</v>
      </c>
      <c r="DI1389" s="4" t="s">
        <v>241</v>
      </c>
      <c r="DJ1389" s="4" t="s">
        <v>241</v>
      </c>
      <c r="DK1389" s="4" t="s">
        <v>241</v>
      </c>
      <c r="DL1389" s="4" t="s">
        <v>241</v>
      </c>
      <c r="DM1389" s="4" t="s">
        <v>277</v>
      </c>
      <c r="DN1389" s="4" t="s">
        <v>278</v>
      </c>
      <c r="DO1389" s="6">
        <f>16.5</f>
        <v>16.5</v>
      </c>
      <c r="DP1389" s="4" t="s">
        <v>241</v>
      </c>
      <c r="DQ1389" s="4" t="s">
        <v>241</v>
      </c>
      <c r="DR1389" s="4" t="s">
        <v>241</v>
      </c>
      <c r="DS1389" s="4" t="s">
        <v>241</v>
      </c>
      <c r="DV1389" s="4" t="s">
        <v>2925</v>
      </c>
      <c r="DW1389" s="4" t="s">
        <v>277</v>
      </c>
      <c r="HO1389" s="4" t="s">
        <v>277</v>
      </c>
      <c r="HR1389" s="4" t="s">
        <v>278</v>
      </c>
      <c r="HS1389" s="4" t="s">
        <v>278</v>
      </c>
    </row>
    <row r="1390" spans="1:240" x14ac:dyDescent="0.4">
      <c r="A1390" s="4">
        <v>2</v>
      </c>
      <c r="B1390" s="4" t="s">
        <v>239</v>
      </c>
      <c r="C1390" s="4">
        <v>1706</v>
      </c>
      <c r="D1390" s="4">
        <v>1</v>
      </c>
      <c r="E1390" s="4">
        <v>3</v>
      </c>
      <c r="F1390" s="4" t="s">
        <v>326</v>
      </c>
      <c r="G1390" s="4" t="s">
        <v>241</v>
      </c>
      <c r="H1390" s="4" t="s">
        <v>241</v>
      </c>
      <c r="I1390" s="4" t="s">
        <v>1224</v>
      </c>
      <c r="J1390" s="4" t="s">
        <v>424</v>
      </c>
      <c r="K1390" s="4" t="s">
        <v>256</v>
      </c>
      <c r="L1390" s="4" t="s">
        <v>241</v>
      </c>
      <c r="M1390" s="5" t="s">
        <v>1226</v>
      </c>
      <c r="N1390" s="4" t="s">
        <v>1223</v>
      </c>
      <c r="O1390" s="6">
        <f>898</f>
        <v>898</v>
      </c>
      <c r="P1390" s="4" t="s">
        <v>276</v>
      </c>
      <c r="Q1390" s="6">
        <f>456419796</f>
        <v>456419796</v>
      </c>
      <c r="R1390" s="6">
        <f>529489320</f>
        <v>529489320</v>
      </c>
      <c r="S1390" s="5" t="s">
        <v>1225</v>
      </c>
      <c r="T1390" s="4" t="s">
        <v>314</v>
      </c>
      <c r="U1390" s="4" t="s">
        <v>323</v>
      </c>
      <c r="V1390" s="6">
        <f>24356508</f>
        <v>24356508</v>
      </c>
      <c r="W1390" s="6">
        <f>73069524</f>
        <v>73069524</v>
      </c>
      <c r="X1390" s="4" t="s">
        <v>243</v>
      </c>
      <c r="Y1390" s="4" t="s">
        <v>244</v>
      </c>
      <c r="Z1390" s="4" t="s">
        <v>241</v>
      </c>
      <c r="AA1390" s="4" t="s">
        <v>241</v>
      </c>
      <c r="AD1390" s="4" t="s">
        <v>241</v>
      </c>
      <c r="AE1390" s="5" t="s">
        <v>241</v>
      </c>
      <c r="AF1390" s="5" t="s">
        <v>241</v>
      </c>
      <c r="AH1390" s="5" t="s">
        <v>241</v>
      </c>
      <c r="AI1390" s="5" t="s">
        <v>249</v>
      </c>
      <c r="AJ1390" s="4" t="s">
        <v>251</v>
      </c>
      <c r="AK1390" s="4" t="s">
        <v>252</v>
      </c>
      <c r="AQ1390" s="4" t="s">
        <v>241</v>
      </c>
      <c r="AR1390" s="4" t="s">
        <v>241</v>
      </c>
      <c r="AS1390" s="4" t="s">
        <v>241</v>
      </c>
      <c r="AT1390" s="5" t="s">
        <v>241</v>
      </c>
      <c r="AU1390" s="5" t="s">
        <v>241</v>
      </c>
      <c r="AV1390" s="5" t="s">
        <v>241</v>
      </c>
      <c r="AY1390" s="4" t="s">
        <v>286</v>
      </c>
      <c r="AZ1390" s="4" t="s">
        <v>286</v>
      </c>
      <c r="BA1390" s="4" t="s">
        <v>254</v>
      </c>
      <c r="BB1390" s="4" t="s">
        <v>287</v>
      </c>
      <c r="BC1390" s="4" t="s">
        <v>255</v>
      </c>
      <c r="BD1390" s="4" t="s">
        <v>241</v>
      </c>
      <c r="BE1390" s="4" t="s">
        <v>257</v>
      </c>
      <c r="BF1390" s="4" t="s">
        <v>241</v>
      </c>
      <c r="BJ1390" s="4" t="s">
        <v>288</v>
      </c>
      <c r="BK1390" s="5" t="s">
        <v>289</v>
      </c>
      <c r="BL1390" s="4" t="s">
        <v>290</v>
      </c>
      <c r="BM1390" s="4" t="s">
        <v>290</v>
      </c>
      <c r="BN1390" s="4" t="s">
        <v>241</v>
      </c>
      <c r="BO1390" s="6">
        <f>0</f>
        <v>0</v>
      </c>
      <c r="BP1390" s="6">
        <f>-24356508</f>
        <v>-24356508</v>
      </c>
      <c r="BQ1390" s="4" t="s">
        <v>263</v>
      </c>
      <c r="BR1390" s="4" t="s">
        <v>264</v>
      </c>
      <c r="BS1390" s="4" t="s">
        <v>241</v>
      </c>
      <c r="BT1390" s="4" t="s">
        <v>241</v>
      </c>
      <c r="BU1390" s="4" t="s">
        <v>241</v>
      </c>
      <c r="BV1390" s="4" t="s">
        <v>241</v>
      </c>
      <c r="CE1390" s="4" t="s">
        <v>264</v>
      </c>
      <c r="CF1390" s="4" t="s">
        <v>241</v>
      </c>
      <c r="CG1390" s="4" t="s">
        <v>241</v>
      </c>
      <c r="CK1390" s="4" t="s">
        <v>291</v>
      </c>
      <c r="CL1390" s="4" t="s">
        <v>266</v>
      </c>
      <c r="CM1390" s="4" t="s">
        <v>241</v>
      </c>
      <c r="CO1390" s="4" t="s">
        <v>421</v>
      </c>
      <c r="CP1390" s="5" t="s">
        <v>268</v>
      </c>
      <c r="CQ1390" s="4" t="s">
        <v>269</v>
      </c>
      <c r="CR1390" s="4" t="s">
        <v>270</v>
      </c>
      <c r="CS1390" s="4" t="s">
        <v>293</v>
      </c>
      <c r="CT1390" s="4" t="s">
        <v>241</v>
      </c>
      <c r="CU1390" s="4">
        <v>4.5999999999999999E-2</v>
      </c>
      <c r="CV1390" s="4" t="s">
        <v>271</v>
      </c>
      <c r="CW1390" s="4" t="s">
        <v>1176</v>
      </c>
      <c r="CX1390" s="4" t="s">
        <v>347</v>
      </c>
      <c r="CY1390" s="6">
        <f>0</f>
        <v>0</v>
      </c>
      <c r="CZ1390" s="6">
        <f>529489320</f>
        <v>529489320</v>
      </c>
      <c r="DA1390" s="6">
        <f>456419796</f>
        <v>456419796</v>
      </c>
      <c r="DC1390" s="4" t="s">
        <v>241</v>
      </c>
      <c r="DD1390" s="4" t="s">
        <v>241</v>
      </c>
      <c r="DF1390" s="4" t="s">
        <v>241</v>
      </c>
      <c r="DG1390" s="6">
        <f>0</f>
        <v>0</v>
      </c>
      <c r="DI1390" s="4" t="s">
        <v>241</v>
      </c>
      <c r="DJ1390" s="4" t="s">
        <v>241</v>
      </c>
      <c r="DK1390" s="4" t="s">
        <v>241</v>
      </c>
      <c r="DL1390" s="4" t="s">
        <v>241</v>
      </c>
      <c r="DM1390" s="4" t="s">
        <v>323</v>
      </c>
      <c r="DN1390" s="4" t="s">
        <v>278</v>
      </c>
      <c r="DO1390" s="6">
        <f>898</f>
        <v>898</v>
      </c>
      <c r="DP1390" s="4" t="s">
        <v>241</v>
      </c>
      <c r="DQ1390" s="4" t="s">
        <v>241</v>
      </c>
      <c r="DR1390" s="4" t="s">
        <v>241</v>
      </c>
      <c r="DS1390" s="4" t="s">
        <v>241</v>
      </c>
      <c r="DV1390" s="4" t="s">
        <v>1227</v>
      </c>
      <c r="DW1390" s="4" t="s">
        <v>277</v>
      </c>
      <c r="GN1390" s="4" t="s">
        <v>1228</v>
      </c>
      <c r="HO1390" s="4" t="s">
        <v>336</v>
      </c>
      <c r="HR1390" s="4" t="s">
        <v>278</v>
      </c>
      <c r="HS1390" s="4" t="s">
        <v>278</v>
      </c>
      <c r="HT1390" s="4" t="s">
        <v>241</v>
      </c>
      <c r="HU1390" s="4" t="s">
        <v>241</v>
      </c>
      <c r="HV1390" s="4" t="s">
        <v>241</v>
      </c>
      <c r="HW1390" s="4" t="s">
        <v>241</v>
      </c>
      <c r="HX1390" s="4" t="s">
        <v>241</v>
      </c>
      <c r="HY1390" s="4" t="s">
        <v>241</v>
      </c>
      <c r="HZ1390" s="4" t="s">
        <v>241</v>
      </c>
      <c r="IA1390" s="4" t="s">
        <v>241</v>
      </c>
      <c r="IB1390" s="4" t="s">
        <v>241</v>
      </c>
      <c r="IC1390" s="4" t="s">
        <v>241</v>
      </c>
      <c r="ID1390" s="4" t="s">
        <v>241</v>
      </c>
      <c r="IE1390" s="4" t="s">
        <v>241</v>
      </c>
      <c r="IF1390" s="4" t="s">
        <v>241</v>
      </c>
    </row>
    <row r="1391" spans="1:240" x14ac:dyDescent="0.4">
      <c r="A1391" s="4">
        <v>2</v>
      </c>
      <c r="B1391" s="4" t="s">
        <v>239</v>
      </c>
      <c r="C1391" s="4">
        <v>1707</v>
      </c>
      <c r="D1391" s="4">
        <v>1</v>
      </c>
      <c r="E1391" s="4">
        <v>3</v>
      </c>
      <c r="F1391" s="4" t="s">
        <v>326</v>
      </c>
      <c r="G1391" s="4" t="s">
        <v>241</v>
      </c>
      <c r="H1391" s="4" t="s">
        <v>241</v>
      </c>
      <c r="I1391" s="4" t="s">
        <v>1716</v>
      </c>
      <c r="J1391" s="4" t="s">
        <v>944</v>
      </c>
      <c r="K1391" s="4" t="s">
        <v>256</v>
      </c>
      <c r="L1391" s="4" t="s">
        <v>241</v>
      </c>
      <c r="M1391" s="5" t="s">
        <v>1718</v>
      </c>
      <c r="N1391" s="4" t="s">
        <v>1715</v>
      </c>
      <c r="O1391" s="6">
        <f>1656.18</f>
        <v>1656.18</v>
      </c>
      <c r="P1391" s="4" t="s">
        <v>276</v>
      </c>
      <c r="Q1391" s="6">
        <f>462490887</f>
        <v>462490887</v>
      </c>
      <c r="R1391" s="6">
        <f>484791286</f>
        <v>484791286</v>
      </c>
      <c r="S1391" s="5" t="s">
        <v>1717</v>
      </c>
      <c r="T1391" s="4" t="s">
        <v>314</v>
      </c>
      <c r="U1391" s="4" t="s">
        <v>278</v>
      </c>
      <c r="V1391" s="6">
        <f>484791285</f>
        <v>484791285</v>
      </c>
      <c r="W1391" s="6">
        <f>22300399</f>
        <v>22300399</v>
      </c>
      <c r="X1391" s="4" t="s">
        <v>243</v>
      </c>
      <c r="Y1391" s="4" t="s">
        <v>244</v>
      </c>
      <c r="Z1391" s="4" t="s">
        <v>241</v>
      </c>
      <c r="AA1391" s="4" t="s">
        <v>241</v>
      </c>
      <c r="AD1391" s="4" t="s">
        <v>241</v>
      </c>
      <c r="AE1391" s="5" t="s">
        <v>241</v>
      </c>
      <c r="AF1391" s="5" t="s">
        <v>241</v>
      </c>
      <c r="AH1391" s="5" t="s">
        <v>241</v>
      </c>
      <c r="AI1391" s="5" t="s">
        <v>249</v>
      </c>
      <c r="AJ1391" s="4" t="s">
        <v>251</v>
      </c>
      <c r="AK1391" s="4" t="s">
        <v>252</v>
      </c>
      <c r="AQ1391" s="4" t="s">
        <v>241</v>
      </c>
      <c r="AR1391" s="4" t="s">
        <v>241</v>
      </c>
      <c r="AS1391" s="4" t="s">
        <v>241</v>
      </c>
      <c r="AT1391" s="5" t="s">
        <v>241</v>
      </c>
      <c r="AU1391" s="5" t="s">
        <v>241</v>
      </c>
      <c r="AV1391" s="5" t="s">
        <v>241</v>
      </c>
      <c r="AY1391" s="4" t="s">
        <v>286</v>
      </c>
      <c r="AZ1391" s="4" t="s">
        <v>286</v>
      </c>
      <c r="BA1391" s="4" t="s">
        <v>254</v>
      </c>
      <c r="BB1391" s="4" t="s">
        <v>287</v>
      </c>
      <c r="BC1391" s="4" t="s">
        <v>255</v>
      </c>
      <c r="BD1391" s="4" t="s">
        <v>241</v>
      </c>
      <c r="BE1391" s="4" t="s">
        <v>257</v>
      </c>
      <c r="BF1391" s="4" t="s">
        <v>241</v>
      </c>
      <c r="BJ1391" s="4" t="s">
        <v>288</v>
      </c>
      <c r="BK1391" s="5" t="s">
        <v>289</v>
      </c>
      <c r="BL1391" s="4" t="s">
        <v>290</v>
      </c>
      <c r="BM1391" s="4" t="s">
        <v>290</v>
      </c>
      <c r="BN1391" s="4" t="s">
        <v>241</v>
      </c>
      <c r="BO1391" s="6">
        <f>0</f>
        <v>0</v>
      </c>
      <c r="BP1391" s="6">
        <f>-22300399</f>
        <v>-22300399</v>
      </c>
      <c r="BQ1391" s="4" t="s">
        <v>263</v>
      </c>
      <c r="BR1391" s="4" t="s">
        <v>264</v>
      </c>
      <c r="BS1391" s="4" t="s">
        <v>241</v>
      </c>
      <c r="BT1391" s="4" t="s">
        <v>241</v>
      </c>
      <c r="BU1391" s="4" t="s">
        <v>241</v>
      </c>
      <c r="BV1391" s="4" t="s">
        <v>241</v>
      </c>
      <c r="CE1391" s="4" t="s">
        <v>264</v>
      </c>
      <c r="CF1391" s="4" t="s">
        <v>241</v>
      </c>
      <c r="CG1391" s="4" t="s">
        <v>241</v>
      </c>
      <c r="CK1391" s="4" t="s">
        <v>291</v>
      </c>
      <c r="CL1391" s="4" t="s">
        <v>266</v>
      </c>
      <c r="CM1391" s="4" t="s">
        <v>241</v>
      </c>
      <c r="CO1391" s="4" t="s">
        <v>426</v>
      </c>
      <c r="CP1391" s="5" t="s">
        <v>268</v>
      </c>
      <c r="CQ1391" s="4" t="s">
        <v>269</v>
      </c>
      <c r="CR1391" s="4" t="s">
        <v>270</v>
      </c>
      <c r="CS1391" s="4" t="s">
        <v>293</v>
      </c>
      <c r="CT1391" s="4" t="s">
        <v>241</v>
      </c>
      <c r="CU1391" s="4">
        <v>4.5999999999999999E-2</v>
      </c>
      <c r="CV1391" s="4" t="s">
        <v>271</v>
      </c>
      <c r="CW1391" s="4" t="s">
        <v>1671</v>
      </c>
      <c r="CX1391" s="4" t="s">
        <v>347</v>
      </c>
      <c r="CY1391" s="6">
        <f>0</f>
        <v>0</v>
      </c>
      <c r="CZ1391" s="6">
        <f>484791286</f>
        <v>484791286</v>
      </c>
      <c r="DA1391" s="6">
        <f>1</f>
        <v>1</v>
      </c>
      <c r="DC1391" s="4" t="s">
        <v>241</v>
      </c>
      <c r="DD1391" s="4" t="s">
        <v>241</v>
      </c>
      <c r="DF1391" s="4" t="s">
        <v>241</v>
      </c>
      <c r="DG1391" s="6">
        <f>0</f>
        <v>0</v>
      </c>
      <c r="DI1391" s="4" t="s">
        <v>241</v>
      </c>
      <c r="DJ1391" s="4" t="s">
        <v>241</v>
      </c>
      <c r="DK1391" s="4" t="s">
        <v>241</v>
      </c>
      <c r="DL1391" s="4" t="s">
        <v>241</v>
      </c>
      <c r="DM1391" s="4" t="s">
        <v>278</v>
      </c>
      <c r="DN1391" s="4" t="s">
        <v>278</v>
      </c>
      <c r="DO1391" s="6">
        <f>1656.18</f>
        <v>1656.18</v>
      </c>
      <c r="DP1391" s="4" t="s">
        <v>241</v>
      </c>
      <c r="DQ1391" s="4" t="s">
        <v>241</v>
      </c>
      <c r="DR1391" s="4" t="s">
        <v>241</v>
      </c>
      <c r="DS1391" s="4" t="s">
        <v>241</v>
      </c>
      <c r="DV1391" s="4" t="s">
        <v>1719</v>
      </c>
      <c r="DW1391" s="4" t="s">
        <v>277</v>
      </c>
      <c r="GN1391" s="4" t="s">
        <v>1720</v>
      </c>
      <c r="HO1391" s="4" t="s">
        <v>323</v>
      </c>
      <c r="HR1391" s="4" t="s">
        <v>278</v>
      </c>
      <c r="HS1391" s="4" t="s">
        <v>278</v>
      </c>
      <c r="HT1391" s="4" t="s">
        <v>241</v>
      </c>
      <c r="HU1391" s="4" t="s">
        <v>241</v>
      </c>
      <c r="HV1391" s="4" t="s">
        <v>241</v>
      </c>
      <c r="HW1391" s="4" t="s">
        <v>241</v>
      </c>
      <c r="HX1391" s="4" t="s">
        <v>241</v>
      </c>
      <c r="HY1391" s="4" t="s">
        <v>241</v>
      </c>
      <c r="HZ1391" s="4" t="s">
        <v>241</v>
      </c>
      <c r="IA1391" s="4" t="s">
        <v>241</v>
      </c>
      <c r="IB1391" s="4" t="s">
        <v>241</v>
      </c>
      <c r="IC1391" s="4" t="s">
        <v>241</v>
      </c>
      <c r="ID1391" s="4" t="s">
        <v>241</v>
      </c>
      <c r="IE1391" s="4" t="s">
        <v>241</v>
      </c>
      <c r="IF1391" s="4" t="s">
        <v>241</v>
      </c>
    </row>
    <row r="1392" spans="1:240" x14ac:dyDescent="0.4">
      <c r="A1392" s="4">
        <v>2</v>
      </c>
      <c r="B1392" s="4" t="s">
        <v>239</v>
      </c>
      <c r="C1392" s="4">
        <v>1708</v>
      </c>
      <c r="D1392" s="4">
        <v>1</v>
      </c>
      <c r="E1392" s="4">
        <v>3</v>
      </c>
      <c r="F1392" s="4" t="s">
        <v>326</v>
      </c>
      <c r="G1392" s="4" t="s">
        <v>241</v>
      </c>
      <c r="H1392" s="4" t="s">
        <v>241</v>
      </c>
      <c r="I1392" s="4" t="s">
        <v>1716</v>
      </c>
      <c r="J1392" s="4" t="s">
        <v>944</v>
      </c>
      <c r="K1392" s="4" t="s">
        <v>256</v>
      </c>
      <c r="L1392" s="4" t="s">
        <v>241</v>
      </c>
      <c r="M1392" s="5" t="s">
        <v>1718</v>
      </c>
      <c r="N1392" s="4" t="s">
        <v>2548</v>
      </c>
      <c r="O1392" s="6">
        <f>0</f>
        <v>0</v>
      </c>
      <c r="P1392" s="4" t="s">
        <v>276</v>
      </c>
      <c r="Q1392" s="6">
        <f>79722984</f>
        <v>79722984</v>
      </c>
      <c r="R1392" s="6">
        <f>85448000</f>
        <v>85448000</v>
      </c>
      <c r="S1392" s="5" t="s">
        <v>1717</v>
      </c>
      <c r="T1392" s="4" t="s">
        <v>348</v>
      </c>
      <c r="U1392" s="4" t="s">
        <v>278</v>
      </c>
      <c r="V1392" s="6">
        <f>85447999</f>
        <v>85447999</v>
      </c>
      <c r="W1392" s="6">
        <f>5725016</f>
        <v>5725016</v>
      </c>
      <c r="X1392" s="4" t="s">
        <v>243</v>
      </c>
      <c r="Y1392" s="4" t="s">
        <v>244</v>
      </c>
      <c r="Z1392" s="4" t="s">
        <v>241</v>
      </c>
      <c r="AA1392" s="4" t="s">
        <v>241</v>
      </c>
      <c r="AD1392" s="4" t="s">
        <v>241</v>
      </c>
      <c r="AE1392" s="5" t="s">
        <v>241</v>
      </c>
      <c r="AF1392" s="5" t="s">
        <v>241</v>
      </c>
      <c r="AH1392" s="5" t="s">
        <v>241</v>
      </c>
      <c r="AI1392" s="5" t="s">
        <v>249</v>
      </c>
      <c r="AJ1392" s="4" t="s">
        <v>251</v>
      </c>
      <c r="AK1392" s="4" t="s">
        <v>252</v>
      </c>
      <c r="AQ1392" s="4" t="s">
        <v>241</v>
      </c>
      <c r="AR1392" s="4" t="s">
        <v>241</v>
      </c>
      <c r="AS1392" s="4" t="s">
        <v>241</v>
      </c>
      <c r="AT1392" s="5" t="s">
        <v>241</v>
      </c>
      <c r="AU1392" s="5" t="s">
        <v>241</v>
      </c>
      <c r="AV1392" s="5" t="s">
        <v>241</v>
      </c>
      <c r="AY1392" s="4" t="s">
        <v>286</v>
      </c>
      <c r="AZ1392" s="4" t="s">
        <v>286</v>
      </c>
      <c r="BA1392" s="4" t="s">
        <v>254</v>
      </c>
      <c r="BB1392" s="4" t="s">
        <v>287</v>
      </c>
      <c r="BC1392" s="4" t="s">
        <v>255</v>
      </c>
      <c r="BD1392" s="4" t="s">
        <v>241</v>
      </c>
      <c r="BE1392" s="4" t="s">
        <v>257</v>
      </c>
      <c r="BF1392" s="4" t="s">
        <v>241</v>
      </c>
      <c r="BJ1392" s="4" t="s">
        <v>288</v>
      </c>
      <c r="BK1392" s="5" t="s">
        <v>289</v>
      </c>
      <c r="BL1392" s="4" t="s">
        <v>290</v>
      </c>
      <c r="BM1392" s="4" t="s">
        <v>290</v>
      </c>
      <c r="BN1392" s="4" t="s">
        <v>241</v>
      </c>
      <c r="BP1392" s="6">
        <f>-5725016</f>
        <v>-5725016</v>
      </c>
      <c r="BQ1392" s="4" t="s">
        <v>263</v>
      </c>
      <c r="BR1392" s="4" t="s">
        <v>264</v>
      </c>
      <c r="BS1392" s="4" t="s">
        <v>241</v>
      </c>
      <c r="BT1392" s="4" t="s">
        <v>241</v>
      </c>
      <c r="BU1392" s="4" t="s">
        <v>241</v>
      </c>
      <c r="BV1392" s="4" t="s">
        <v>241</v>
      </c>
      <c r="CE1392" s="4" t="s">
        <v>264</v>
      </c>
      <c r="CF1392" s="4" t="s">
        <v>241</v>
      </c>
      <c r="CG1392" s="4" t="s">
        <v>241</v>
      </c>
      <c r="CK1392" s="4" t="s">
        <v>291</v>
      </c>
      <c r="CL1392" s="4" t="s">
        <v>266</v>
      </c>
      <c r="CM1392" s="4" t="s">
        <v>241</v>
      </c>
      <c r="CO1392" s="4" t="s">
        <v>426</v>
      </c>
      <c r="CP1392" s="5" t="s">
        <v>268</v>
      </c>
      <c r="CQ1392" s="4" t="s">
        <v>269</v>
      </c>
      <c r="CR1392" s="4" t="s">
        <v>270</v>
      </c>
      <c r="CS1392" s="4" t="s">
        <v>293</v>
      </c>
      <c r="CT1392" s="4" t="s">
        <v>241</v>
      </c>
      <c r="CU1392" s="4">
        <v>6.7000000000000004E-2</v>
      </c>
      <c r="CV1392" s="4" t="s">
        <v>271</v>
      </c>
      <c r="CW1392" s="4" t="s">
        <v>415</v>
      </c>
      <c r="CX1392" s="4" t="s">
        <v>422</v>
      </c>
      <c r="CY1392" s="6">
        <f>0</f>
        <v>0</v>
      </c>
      <c r="CZ1392" s="6">
        <f>85448000</f>
        <v>85448000</v>
      </c>
      <c r="DA1392" s="6">
        <f>1</f>
        <v>1</v>
      </c>
      <c r="DC1392" s="4" t="s">
        <v>241</v>
      </c>
      <c r="DD1392" s="4" t="s">
        <v>241</v>
      </c>
      <c r="DF1392" s="4" t="s">
        <v>241</v>
      </c>
      <c r="DG1392" s="6">
        <f>0</f>
        <v>0</v>
      </c>
      <c r="DI1392" s="4" t="s">
        <v>241</v>
      </c>
      <c r="DJ1392" s="4" t="s">
        <v>241</v>
      </c>
      <c r="DK1392" s="4" t="s">
        <v>241</v>
      </c>
      <c r="DL1392" s="4" t="s">
        <v>241</v>
      </c>
      <c r="DM1392" s="4" t="s">
        <v>278</v>
      </c>
      <c r="DN1392" s="4" t="s">
        <v>278</v>
      </c>
      <c r="DO1392" s="6" t="s">
        <v>241</v>
      </c>
      <c r="DP1392" s="4" t="s">
        <v>241</v>
      </c>
      <c r="DQ1392" s="4" t="s">
        <v>241</v>
      </c>
      <c r="DR1392" s="4" t="s">
        <v>241</v>
      </c>
      <c r="DS1392" s="4" t="s">
        <v>241</v>
      </c>
      <c r="DV1392" s="4" t="s">
        <v>1719</v>
      </c>
      <c r="DW1392" s="4" t="s">
        <v>323</v>
      </c>
      <c r="GN1392" s="4" t="s">
        <v>2549</v>
      </c>
      <c r="HO1392" s="4" t="s">
        <v>323</v>
      </c>
      <c r="HR1392" s="4" t="s">
        <v>278</v>
      </c>
      <c r="HS1392" s="4" t="s">
        <v>278</v>
      </c>
      <c r="HT1392" s="4" t="s">
        <v>241</v>
      </c>
      <c r="HU1392" s="4" t="s">
        <v>241</v>
      </c>
      <c r="HV1392" s="4" t="s">
        <v>241</v>
      </c>
      <c r="HW1392" s="4" t="s">
        <v>241</v>
      </c>
      <c r="HX1392" s="4" t="s">
        <v>241</v>
      </c>
      <c r="HY1392" s="4" t="s">
        <v>241</v>
      </c>
      <c r="HZ1392" s="4" t="s">
        <v>241</v>
      </c>
      <c r="IA1392" s="4" t="s">
        <v>241</v>
      </c>
      <c r="IB1392" s="4" t="s">
        <v>241</v>
      </c>
      <c r="IC1392" s="4" t="s">
        <v>241</v>
      </c>
      <c r="ID1392" s="4" t="s">
        <v>241</v>
      </c>
      <c r="IE1392" s="4" t="s">
        <v>241</v>
      </c>
      <c r="IF1392" s="4" t="s">
        <v>241</v>
      </c>
    </row>
    <row r="1393" spans="1:240" x14ac:dyDescent="0.4">
      <c r="A1393" s="4">
        <v>2</v>
      </c>
      <c r="B1393" s="4" t="s">
        <v>239</v>
      </c>
      <c r="C1393" s="4">
        <v>1709</v>
      </c>
      <c r="D1393" s="4">
        <v>1</v>
      </c>
      <c r="E1393" s="4">
        <v>3</v>
      </c>
      <c r="F1393" s="4" t="s">
        <v>326</v>
      </c>
      <c r="G1393" s="4" t="s">
        <v>241</v>
      </c>
      <c r="H1393" s="4" t="s">
        <v>241</v>
      </c>
      <c r="I1393" s="4" t="s">
        <v>1716</v>
      </c>
      <c r="J1393" s="4" t="s">
        <v>944</v>
      </c>
      <c r="K1393" s="4" t="s">
        <v>256</v>
      </c>
      <c r="L1393" s="4" t="s">
        <v>241</v>
      </c>
      <c r="M1393" s="5" t="s">
        <v>1718</v>
      </c>
      <c r="N1393" s="4" t="s">
        <v>2546</v>
      </c>
      <c r="O1393" s="6">
        <f>0</f>
        <v>0</v>
      </c>
      <c r="P1393" s="4" t="s">
        <v>276</v>
      </c>
      <c r="Q1393" s="6">
        <f>81833180</f>
        <v>81833180</v>
      </c>
      <c r="R1393" s="6">
        <f>88660000</f>
        <v>88660000</v>
      </c>
      <c r="S1393" s="5" t="s">
        <v>1717</v>
      </c>
      <c r="T1393" s="4" t="s">
        <v>322</v>
      </c>
      <c r="U1393" s="4" t="s">
        <v>278</v>
      </c>
      <c r="V1393" s="6">
        <f>88659999</f>
        <v>88659999</v>
      </c>
      <c r="W1393" s="6">
        <f>6826820</f>
        <v>6826820</v>
      </c>
      <c r="X1393" s="4" t="s">
        <v>243</v>
      </c>
      <c r="Y1393" s="4" t="s">
        <v>244</v>
      </c>
      <c r="Z1393" s="4" t="s">
        <v>241</v>
      </c>
      <c r="AA1393" s="4" t="s">
        <v>241</v>
      </c>
      <c r="AD1393" s="4" t="s">
        <v>241</v>
      </c>
      <c r="AE1393" s="5" t="s">
        <v>241</v>
      </c>
      <c r="AF1393" s="5" t="s">
        <v>241</v>
      </c>
      <c r="AH1393" s="5" t="s">
        <v>241</v>
      </c>
      <c r="AI1393" s="5" t="s">
        <v>249</v>
      </c>
      <c r="AJ1393" s="4" t="s">
        <v>251</v>
      </c>
      <c r="AK1393" s="4" t="s">
        <v>252</v>
      </c>
      <c r="AQ1393" s="4" t="s">
        <v>241</v>
      </c>
      <c r="AR1393" s="4" t="s">
        <v>241</v>
      </c>
      <c r="AS1393" s="4" t="s">
        <v>241</v>
      </c>
      <c r="AT1393" s="5" t="s">
        <v>241</v>
      </c>
      <c r="AU1393" s="5" t="s">
        <v>241</v>
      </c>
      <c r="AV1393" s="5" t="s">
        <v>241</v>
      </c>
      <c r="AY1393" s="4" t="s">
        <v>286</v>
      </c>
      <c r="AZ1393" s="4" t="s">
        <v>286</v>
      </c>
      <c r="BA1393" s="4" t="s">
        <v>254</v>
      </c>
      <c r="BB1393" s="4" t="s">
        <v>287</v>
      </c>
      <c r="BC1393" s="4" t="s">
        <v>255</v>
      </c>
      <c r="BD1393" s="4" t="s">
        <v>241</v>
      </c>
      <c r="BE1393" s="4" t="s">
        <v>257</v>
      </c>
      <c r="BF1393" s="4" t="s">
        <v>241</v>
      </c>
      <c r="BJ1393" s="4" t="s">
        <v>288</v>
      </c>
      <c r="BK1393" s="5" t="s">
        <v>289</v>
      </c>
      <c r="BL1393" s="4" t="s">
        <v>290</v>
      </c>
      <c r="BM1393" s="4" t="s">
        <v>290</v>
      </c>
      <c r="BN1393" s="4" t="s">
        <v>241</v>
      </c>
      <c r="BP1393" s="6">
        <f>-6826820</f>
        <v>-6826820</v>
      </c>
      <c r="BQ1393" s="4" t="s">
        <v>263</v>
      </c>
      <c r="BR1393" s="4" t="s">
        <v>264</v>
      </c>
      <c r="BS1393" s="4" t="s">
        <v>241</v>
      </c>
      <c r="BT1393" s="4" t="s">
        <v>241</v>
      </c>
      <c r="BU1393" s="4" t="s">
        <v>241</v>
      </c>
      <c r="BV1393" s="4" t="s">
        <v>241</v>
      </c>
      <c r="CE1393" s="4" t="s">
        <v>264</v>
      </c>
      <c r="CF1393" s="4" t="s">
        <v>241</v>
      </c>
      <c r="CG1393" s="4" t="s">
        <v>241</v>
      </c>
      <c r="CK1393" s="4" t="s">
        <v>291</v>
      </c>
      <c r="CL1393" s="4" t="s">
        <v>266</v>
      </c>
      <c r="CM1393" s="4" t="s">
        <v>241</v>
      </c>
      <c r="CO1393" s="4" t="s">
        <v>426</v>
      </c>
      <c r="CP1393" s="5" t="s">
        <v>268</v>
      </c>
      <c r="CQ1393" s="4" t="s">
        <v>269</v>
      </c>
      <c r="CR1393" s="4" t="s">
        <v>270</v>
      </c>
      <c r="CS1393" s="4" t="s">
        <v>293</v>
      </c>
      <c r="CT1393" s="4" t="s">
        <v>241</v>
      </c>
      <c r="CU1393" s="4">
        <v>7.6999999999999999E-2</v>
      </c>
      <c r="CV1393" s="4" t="s">
        <v>271</v>
      </c>
      <c r="CW1393" s="4" t="s">
        <v>415</v>
      </c>
      <c r="CX1393" s="4" t="s">
        <v>428</v>
      </c>
      <c r="CY1393" s="6">
        <f>0</f>
        <v>0</v>
      </c>
      <c r="CZ1393" s="6">
        <f>88660000</f>
        <v>88660000</v>
      </c>
      <c r="DA1393" s="6">
        <f>1</f>
        <v>1</v>
      </c>
      <c r="DC1393" s="4" t="s">
        <v>241</v>
      </c>
      <c r="DD1393" s="4" t="s">
        <v>241</v>
      </c>
      <c r="DF1393" s="4" t="s">
        <v>241</v>
      </c>
      <c r="DG1393" s="6">
        <f>0</f>
        <v>0</v>
      </c>
      <c r="DI1393" s="4" t="s">
        <v>241</v>
      </c>
      <c r="DJ1393" s="4" t="s">
        <v>241</v>
      </c>
      <c r="DK1393" s="4" t="s">
        <v>241</v>
      </c>
      <c r="DL1393" s="4" t="s">
        <v>241</v>
      </c>
      <c r="DM1393" s="4" t="s">
        <v>278</v>
      </c>
      <c r="DN1393" s="4" t="s">
        <v>278</v>
      </c>
      <c r="DO1393" s="6" t="s">
        <v>241</v>
      </c>
      <c r="DP1393" s="4" t="s">
        <v>241</v>
      </c>
      <c r="DQ1393" s="4" t="s">
        <v>241</v>
      </c>
      <c r="DR1393" s="4" t="s">
        <v>241</v>
      </c>
      <c r="DS1393" s="4" t="s">
        <v>241</v>
      </c>
      <c r="DV1393" s="4" t="s">
        <v>1719</v>
      </c>
      <c r="DW1393" s="4" t="s">
        <v>297</v>
      </c>
      <c r="GN1393" s="4" t="s">
        <v>2547</v>
      </c>
      <c r="HO1393" s="4" t="s">
        <v>323</v>
      </c>
      <c r="HR1393" s="4" t="s">
        <v>278</v>
      </c>
      <c r="HS1393" s="4" t="s">
        <v>278</v>
      </c>
      <c r="HT1393" s="4" t="s">
        <v>241</v>
      </c>
      <c r="HU1393" s="4" t="s">
        <v>241</v>
      </c>
      <c r="HV1393" s="4" t="s">
        <v>241</v>
      </c>
      <c r="HW1393" s="4" t="s">
        <v>241</v>
      </c>
      <c r="HX1393" s="4" t="s">
        <v>241</v>
      </c>
      <c r="HY1393" s="4" t="s">
        <v>241</v>
      </c>
      <c r="HZ1393" s="4" t="s">
        <v>241</v>
      </c>
      <c r="IA1393" s="4" t="s">
        <v>241</v>
      </c>
      <c r="IB1393" s="4" t="s">
        <v>241</v>
      </c>
      <c r="IC1393" s="4" t="s">
        <v>241</v>
      </c>
      <c r="ID1393" s="4" t="s">
        <v>241</v>
      </c>
      <c r="IE1393" s="4" t="s">
        <v>241</v>
      </c>
      <c r="IF1393" s="4" t="s">
        <v>241</v>
      </c>
    </row>
    <row r="1394" spans="1:240" x14ac:dyDescent="0.4">
      <c r="A1394" s="4">
        <v>2</v>
      </c>
      <c r="B1394" s="4" t="s">
        <v>239</v>
      </c>
      <c r="C1394" s="4">
        <v>1710</v>
      </c>
      <c r="D1394" s="4">
        <v>1</v>
      </c>
      <c r="E1394" s="4">
        <v>3</v>
      </c>
      <c r="F1394" s="4" t="s">
        <v>326</v>
      </c>
      <c r="G1394" s="4" t="s">
        <v>241</v>
      </c>
      <c r="H1394" s="4" t="s">
        <v>241</v>
      </c>
      <c r="I1394" s="4" t="s">
        <v>2542</v>
      </c>
      <c r="J1394" s="4" t="s">
        <v>944</v>
      </c>
      <c r="K1394" s="4" t="s">
        <v>256</v>
      </c>
      <c r="L1394" s="4" t="s">
        <v>241</v>
      </c>
      <c r="M1394" s="5" t="s">
        <v>955</v>
      </c>
      <c r="N1394" s="4" t="s">
        <v>2541</v>
      </c>
      <c r="O1394" s="6">
        <f>0</f>
        <v>0</v>
      </c>
      <c r="P1394" s="4" t="s">
        <v>276</v>
      </c>
      <c r="Q1394" s="6">
        <f>1488960</f>
        <v>1488960</v>
      </c>
      <c r="R1394" s="6">
        <f>1760000</f>
        <v>1760000</v>
      </c>
      <c r="S1394" s="5" t="s">
        <v>2543</v>
      </c>
      <c r="T1394" s="4" t="s">
        <v>322</v>
      </c>
      <c r="U1394" s="4" t="s">
        <v>277</v>
      </c>
      <c r="V1394" s="6">
        <f>135520</f>
        <v>135520</v>
      </c>
      <c r="W1394" s="6">
        <f>271040</f>
        <v>271040</v>
      </c>
      <c r="X1394" s="4" t="s">
        <v>243</v>
      </c>
      <c r="Y1394" s="4" t="s">
        <v>244</v>
      </c>
      <c r="Z1394" s="4" t="s">
        <v>241</v>
      </c>
      <c r="AA1394" s="4" t="s">
        <v>241</v>
      </c>
      <c r="AD1394" s="4" t="s">
        <v>241</v>
      </c>
      <c r="AE1394" s="5" t="s">
        <v>241</v>
      </c>
      <c r="AF1394" s="5" t="s">
        <v>241</v>
      </c>
      <c r="AH1394" s="5" t="s">
        <v>241</v>
      </c>
      <c r="AI1394" s="5" t="s">
        <v>249</v>
      </c>
      <c r="AJ1394" s="4" t="s">
        <v>251</v>
      </c>
      <c r="AK1394" s="4" t="s">
        <v>252</v>
      </c>
      <c r="AQ1394" s="4" t="s">
        <v>241</v>
      </c>
      <c r="AR1394" s="4" t="s">
        <v>241</v>
      </c>
      <c r="AS1394" s="4" t="s">
        <v>241</v>
      </c>
      <c r="AT1394" s="5" t="s">
        <v>241</v>
      </c>
      <c r="AU1394" s="5" t="s">
        <v>241</v>
      </c>
      <c r="AV1394" s="5" t="s">
        <v>241</v>
      </c>
      <c r="AY1394" s="4" t="s">
        <v>286</v>
      </c>
      <c r="AZ1394" s="4" t="s">
        <v>286</v>
      </c>
      <c r="BA1394" s="4" t="s">
        <v>254</v>
      </c>
      <c r="BB1394" s="4" t="s">
        <v>287</v>
      </c>
      <c r="BC1394" s="4" t="s">
        <v>255</v>
      </c>
      <c r="BD1394" s="4" t="s">
        <v>241</v>
      </c>
      <c r="BE1394" s="4" t="s">
        <v>257</v>
      </c>
      <c r="BF1394" s="4" t="s">
        <v>241</v>
      </c>
      <c r="BH1394" s="4" t="s">
        <v>500</v>
      </c>
      <c r="BJ1394" s="4" t="s">
        <v>288</v>
      </c>
      <c r="BK1394" s="5" t="s">
        <v>289</v>
      </c>
      <c r="BL1394" s="4" t="s">
        <v>290</v>
      </c>
      <c r="BM1394" s="4" t="s">
        <v>290</v>
      </c>
      <c r="BN1394" s="4" t="s">
        <v>241</v>
      </c>
      <c r="BP1394" s="6">
        <f>-135520</f>
        <v>-135520</v>
      </c>
      <c r="BQ1394" s="4" t="s">
        <v>263</v>
      </c>
      <c r="BR1394" s="4" t="s">
        <v>264</v>
      </c>
      <c r="BS1394" s="4" t="s">
        <v>241</v>
      </c>
      <c r="BT1394" s="4" t="s">
        <v>241</v>
      </c>
      <c r="BU1394" s="4" t="s">
        <v>241</v>
      </c>
      <c r="BV1394" s="4" t="s">
        <v>241</v>
      </c>
      <c r="CE1394" s="4" t="s">
        <v>264</v>
      </c>
      <c r="CF1394" s="4" t="s">
        <v>241</v>
      </c>
      <c r="CG1394" s="4" t="s">
        <v>241</v>
      </c>
      <c r="CK1394" s="4" t="s">
        <v>291</v>
      </c>
      <c r="CL1394" s="4" t="s">
        <v>266</v>
      </c>
      <c r="CM1394" s="4" t="s">
        <v>241</v>
      </c>
      <c r="CO1394" s="4" t="s">
        <v>331</v>
      </c>
      <c r="CP1394" s="5" t="s">
        <v>268</v>
      </c>
      <c r="CQ1394" s="4" t="s">
        <v>269</v>
      </c>
      <c r="CR1394" s="4" t="s">
        <v>270</v>
      </c>
      <c r="CS1394" s="4" t="s">
        <v>293</v>
      </c>
      <c r="CT1394" s="4" t="s">
        <v>241</v>
      </c>
      <c r="CU1394" s="4">
        <v>7.6999999999999999E-2</v>
      </c>
      <c r="CV1394" s="4" t="s">
        <v>271</v>
      </c>
      <c r="CW1394" s="4" t="s">
        <v>415</v>
      </c>
      <c r="CX1394" s="4" t="s">
        <v>428</v>
      </c>
      <c r="CY1394" s="6">
        <f>0</f>
        <v>0</v>
      </c>
      <c r="CZ1394" s="6">
        <f>1760000</f>
        <v>1760000</v>
      </c>
      <c r="DA1394" s="6">
        <f>1488960</f>
        <v>1488960</v>
      </c>
      <c r="DC1394" s="4" t="s">
        <v>241</v>
      </c>
      <c r="DD1394" s="4" t="s">
        <v>241</v>
      </c>
      <c r="DF1394" s="4" t="s">
        <v>241</v>
      </c>
      <c r="DG1394" s="6">
        <f>0</f>
        <v>0</v>
      </c>
      <c r="DI1394" s="4" t="s">
        <v>241</v>
      </c>
      <c r="DJ1394" s="4" t="s">
        <v>241</v>
      </c>
      <c r="DK1394" s="4" t="s">
        <v>241</v>
      </c>
      <c r="DL1394" s="4" t="s">
        <v>241</v>
      </c>
      <c r="DM1394" s="4" t="s">
        <v>278</v>
      </c>
      <c r="DN1394" s="4" t="s">
        <v>278</v>
      </c>
      <c r="DO1394" s="6" t="s">
        <v>241</v>
      </c>
      <c r="DP1394" s="4" t="s">
        <v>241</v>
      </c>
      <c r="DQ1394" s="4" t="s">
        <v>241</v>
      </c>
      <c r="DR1394" s="4" t="s">
        <v>241</v>
      </c>
      <c r="DS1394" s="4" t="s">
        <v>241</v>
      </c>
      <c r="DV1394" s="4" t="s">
        <v>2544</v>
      </c>
      <c r="DW1394" s="4" t="s">
        <v>277</v>
      </c>
      <c r="GN1394" s="4" t="s">
        <v>2545</v>
      </c>
      <c r="HO1394" s="4" t="s">
        <v>297</v>
      </c>
      <c r="HR1394" s="4" t="s">
        <v>278</v>
      </c>
      <c r="HS1394" s="4" t="s">
        <v>278</v>
      </c>
      <c r="HT1394" s="4" t="s">
        <v>241</v>
      </c>
      <c r="HU1394" s="4" t="s">
        <v>241</v>
      </c>
      <c r="HV1394" s="4" t="s">
        <v>241</v>
      </c>
      <c r="HW1394" s="4" t="s">
        <v>241</v>
      </c>
      <c r="HX1394" s="4" t="s">
        <v>241</v>
      </c>
      <c r="HY1394" s="4" t="s">
        <v>241</v>
      </c>
      <c r="HZ1394" s="4" t="s">
        <v>241</v>
      </c>
      <c r="IA1394" s="4" t="s">
        <v>241</v>
      </c>
      <c r="IB1394" s="4" t="s">
        <v>241</v>
      </c>
      <c r="IC1394" s="4" t="s">
        <v>241</v>
      </c>
      <c r="ID1394" s="4" t="s">
        <v>241</v>
      </c>
      <c r="IE1394" s="4" t="s">
        <v>241</v>
      </c>
      <c r="IF1394" s="4" t="s">
        <v>241</v>
      </c>
    </row>
    <row r="1395" spans="1:240" x14ac:dyDescent="0.4">
      <c r="A1395" s="4">
        <v>2</v>
      </c>
      <c r="B1395" s="4" t="s">
        <v>239</v>
      </c>
      <c r="C1395" s="4">
        <v>1711</v>
      </c>
      <c r="D1395" s="4">
        <v>1</v>
      </c>
      <c r="E1395" s="4">
        <v>3</v>
      </c>
      <c r="F1395" s="4" t="s">
        <v>240</v>
      </c>
      <c r="G1395" s="4" t="s">
        <v>241</v>
      </c>
      <c r="H1395" s="4" t="s">
        <v>241</v>
      </c>
      <c r="I1395" s="4" t="s">
        <v>1458</v>
      </c>
      <c r="J1395" s="4" t="s">
        <v>1184</v>
      </c>
      <c r="K1395" s="4" t="s">
        <v>578</v>
      </c>
      <c r="L1395" s="4" t="s">
        <v>1457</v>
      </c>
      <c r="M1395" s="5" t="s">
        <v>1459</v>
      </c>
      <c r="N1395" s="4" t="s">
        <v>1457</v>
      </c>
      <c r="O1395" s="6">
        <f>446.04</f>
        <v>446.04</v>
      </c>
      <c r="P1395" s="4" t="s">
        <v>276</v>
      </c>
      <c r="Q1395" s="6">
        <f>59965644</f>
        <v>59965644</v>
      </c>
      <c r="R1395" s="6">
        <f>149914044</f>
        <v>149914044</v>
      </c>
      <c r="S1395" s="5" t="s">
        <v>438</v>
      </c>
      <c r="T1395" s="4" t="s">
        <v>296</v>
      </c>
      <c r="U1395" s="4" t="s">
        <v>399</v>
      </c>
      <c r="V1395" s="6">
        <f>2998280</f>
        <v>2998280</v>
      </c>
      <c r="W1395" s="6">
        <f>89948400</f>
        <v>89948400</v>
      </c>
      <c r="X1395" s="4" t="s">
        <v>243</v>
      </c>
      <c r="Y1395" s="4" t="s">
        <v>244</v>
      </c>
      <c r="Z1395" s="4" t="s">
        <v>282</v>
      </c>
      <c r="AA1395" s="4" t="s">
        <v>241</v>
      </c>
      <c r="AD1395" s="4" t="s">
        <v>241</v>
      </c>
      <c r="AE1395" s="5" t="s">
        <v>241</v>
      </c>
      <c r="AF1395" s="5" t="s">
        <v>241</v>
      </c>
      <c r="AH1395" s="5" t="s">
        <v>241</v>
      </c>
      <c r="AI1395" s="5" t="s">
        <v>249</v>
      </c>
      <c r="AJ1395" s="4" t="s">
        <v>251</v>
      </c>
      <c r="AK1395" s="4" t="s">
        <v>252</v>
      </c>
      <c r="AQ1395" s="4" t="s">
        <v>241</v>
      </c>
      <c r="AR1395" s="4" t="s">
        <v>241</v>
      </c>
      <c r="AS1395" s="4" t="s">
        <v>241</v>
      </c>
      <c r="AT1395" s="5" t="s">
        <v>241</v>
      </c>
      <c r="AU1395" s="5" t="s">
        <v>241</v>
      </c>
      <c r="AV1395" s="5" t="s">
        <v>241</v>
      </c>
      <c r="AY1395" s="4" t="s">
        <v>286</v>
      </c>
      <c r="AZ1395" s="4" t="s">
        <v>286</v>
      </c>
      <c r="BA1395" s="4" t="s">
        <v>254</v>
      </c>
      <c r="BB1395" s="4" t="s">
        <v>287</v>
      </c>
      <c r="BC1395" s="4" t="s">
        <v>255</v>
      </c>
      <c r="BD1395" s="4" t="s">
        <v>241</v>
      </c>
      <c r="BE1395" s="4" t="s">
        <v>257</v>
      </c>
      <c r="BF1395" s="4" t="s">
        <v>241</v>
      </c>
      <c r="BJ1395" s="4" t="s">
        <v>288</v>
      </c>
      <c r="BK1395" s="5" t="s">
        <v>289</v>
      </c>
      <c r="BL1395" s="4" t="s">
        <v>290</v>
      </c>
      <c r="BM1395" s="4" t="s">
        <v>290</v>
      </c>
      <c r="BN1395" s="4" t="s">
        <v>241</v>
      </c>
      <c r="BO1395" s="6">
        <f>0</f>
        <v>0</v>
      </c>
      <c r="BP1395" s="6">
        <f>-2998280</f>
        <v>-2998280</v>
      </c>
      <c r="BQ1395" s="4" t="s">
        <v>263</v>
      </c>
      <c r="BR1395" s="4" t="s">
        <v>264</v>
      </c>
      <c r="BS1395" s="4" t="s">
        <v>241</v>
      </c>
      <c r="BT1395" s="4" t="s">
        <v>241</v>
      </c>
      <c r="BU1395" s="4" t="s">
        <v>241</v>
      </c>
      <c r="BV1395" s="4" t="s">
        <v>241</v>
      </c>
      <c r="CE1395" s="4" t="s">
        <v>264</v>
      </c>
      <c r="CF1395" s="4" t="s">
        <v>241</v>
      </c>
      <c r="CG1395" s="4" t="s">
        <v>241</v>
      </c>
      <c r="CK1395" s="4" t="s">
        <v>291</v>
      </c>
      <c r="CL1395" s="4" t="s">
        <v>266</v>
      </c>
      <c r="CM1395" s="4" t="s">
        <v>241</v>
      </c>
      <c r="CO1395" s="4" t="s">
        <v>439</v>
      </c>
      <c r="CP1395" s="5" t="s">
        <v>268</v>
      </c>
      <c r="CQ1395" s="4" t="s">
        <v>269</v>
      </c>
      <c r="CR1395" s="4" t="s">
        <v>270</v>
      </c>
      <c r="CS1395" s="4" t="s">
        <v>293</v>
      </c>
      <c r="CT1395" s="4" t="s">
        <v>241</v>
      </c>
      <c r="CU1395" s="4">
        <v>0.02</v>
      </c>
      <c r="CV1395" s="4" t="s">
        <v>271</v>
      </c>
      <c r="CW1395" s="4" t="s">
        <v>1329</v>
      </c>
      <c r="CX1395" s="4" t="s">
        <v>295</v>
      </c>
      <c r="CY1395" s="6">
        <f>0</f>
        <v>0</v>
      </c>
      <c r="CZ1395" s="6">
        <f>149914044</f>
        <v>149914044</v>
      </c>
      <c r="DA1395" s="6">
        <f>59965644</f>
        <v>59965644</v>
      </c>
      <c r="DC1395" s="4" t="s">
        <v>241</v>
      </c>
      <c r="DD1395" s="4" t="s">
        <v>241</v>
      </c>
      <c r="DF1395" s="4" t="s">
        <v>241</v>
      </c>
      <c r="DG1395" s="6">
        <f>0</f>
        <v>0</v>
      </c>
      <c r="DI1395" s="4" t="s">
        <v>241</v>
      </c>
      <c r="DJ1395" s="4" t="s">
        <v>241</v>
      </c>
      <c r="DK1395" s="4" t="s">
        <v>241</v>
      </c>
      <c r="DL1395" s="4" t="s">
        <v>241</v>
      </c>
      <c r="DM1395" s="4" t="s">
        <v>277</v>
      </c>
      <c r="DN1395" s="4" t="s">
        <v>278</v>
      </c>
      <c r="DO1395" s="6">
        <f>446.04</f>
        <v>446.04</v>
      </c>
      <c r="DP1395" s="4" t="s">
        <v>241</v>
      </c>
      <c r="DQ1395" s="4" t="s">
        <v>241</v>
      </c>
      <c r="DR1395" s="4" t="s">
        <v>241</v>
      </c>
      <c r="DS1395" s="4" t="s">
        <v>241</v>
      </c>
      <c r="DV1395" s="4" t="s">
        <v>1460</v>
      </c>
      <c r="DW1395" s="4" t="s">
        <v>277</v>
      </c>
      <c r="GN1395" s="4" t="s">
        <v>1461</v>
      </c>
      <c r="HO1395" s="4" t="s">
        <v>343</v>
      </c>
      <c r="HR1395" s="4" t="s">
        <v>278</v>
      </c>
      <c r="HS1395" s="4" t="s">
        <v>278</v>
      </c>
      <c r="HT1395" s="4" t="s">
        <v>241</v>
      </c>
      <c r="HU1395" s="4" t="s">
        <v>241</v>
      </c>
      <c r="HV1395" s="4" t="s">
        <v>241</v>
      </c>
      <c r="HW1395" s="4" t="s">
        <v>241</v>
      </c>
      <c r="HX1395" s="4" t="s">
        <v>241</v>
      </c>
      <c r="HY1395" s="4" t="s">
        <v>241</v>
      </c>
      <c r="HZ1395" s="4" t="s">
        <v>241</v>
      </c>
      <c r="IA1395" s="4" t="s">
        <v>241</v>
      </c>
      <c r="IB1395" s="4" t="s">
        <v>241</v>
      </c>
      <c r="IC1395" s="4" t="s">
        <v>241</v>
      </c>
      <c r="ID1395" s="4" t="s">
        <v>241</v>
      </c>
      <c r="IE1395" s="4" t="s">
        <v>241</v>
      </c>
      <c r="IF1395" s="4" t="s">
        <v>241</v>
      </c>
    </row>
    <row r="1396" spans="1:240" x14ac:dyDescent="0.4">
      <c r="A1396" s="4">
        <v>2</v>
      </c>
      <c r="B1396" s="4" t="s">
        <v>239</v>
      </c>
      <c r="C1396" s="4">
        <v>1713</v>
      </c>
      <c r="D1396" s="4">
        <v>1</v>
      </c>
      <c r="E1396" s="4">
        <v>3</v>
      </c>
      <c r="F1396" s="4" t="s">
        <v>240</v>
      </c>
      <c r="G1396" s="4" t="s">
        <v>241</v>
      </c>
      <c r="H1396" s="4" t="s">
        <v>241</v>
      </c>
      <c r="I1396" s="4" t="s">
        <v>1467</v>
      </c>
      <c r="J1396" s="4" t="s">
        <v>1184</v>
      </c>
      <c r="K1396" s="4" t="s">
        <v>578</v>
      </c>
      <c r="L1396" s="4" t="s">
        <v>1468</v>
      </c>
      <c r="M1396" s="5" t="s">
        <v>1469</v>
      </c>
      <c r="N1396" s="4" t="s">
        <v>1457</v>
      </c>
      <c r="O1396" s="6">
        <f>558.9</f>
        <v>558.9</v>
      </c>
      <c r="P1396" s="4" t="s">
        <v>276</v>
      </c>
      <c r="Q1396" s="6">
        <f>111187566</f>
        <v>111187566</v>
      </c>
      <c r="R1396" s="6">
        <f>191702700</f>
        <v>191702700</v>
      </c>
      <c r="S1396" s="5" t="s">
        <v>447</v>
      </c>
      <c r="T1396" s="4" t="s">
        <v>296</v>
      </c>
      <c r="U1396" s="4" t="s">
        <v>335</v>
      </c>
      <c r="V1396" s="6">
        <f>3834054</f>
        <v>3834054</v>
      </c>
      <c r="W1396" s="6">
        <f>80515134</f>
        <v>80515134</v>
      </c>
      <c r="X1396" s="4" t="s">
        <v>243</v>
      </c>
      <c r="Y1396" s="4" t="s">
        <v>244</v>
      </c>
      <c r="Z1396" s="4" t="s">
        <v>282</v>
      </c>
      <c r="AA1396" s="4" t="s">
        <v>241</v>
      </c>
      <c r="AD1396" s="4" t="s">
        <v>241</v>
      </c>
      <c r="AE1396" s="5" t="s">
        <v>241</v>
      </c>
      <c r="AF1396" s="5" t="s">
        <v>241</v>
      </c>
      <c r="AH1396" s="5" t="s">
        <v>241</v>
      </c>
      <c r="AI1396" s="5" t="s">
        <v>249</v>
      </c>
      <c r="AJ1396" s="4" t="s">
        <v>251</v>
      </c>
      <c r="AK1396" s="4" t="s">
        <v>252</v>
      </c>
      <c r="AQ1396" s="4" t="s">
        <v>241</v>
      </c>
      <c r="AR1396" s="4" t="s">
        <v>241</v>
      </c>
      <c r="AS1396" s="4" t="s">
        <v>241</v>
      </c>
      <c r="AT1396" s="5" t="s">
        <v>241</v>
      </c>
      <c r="AU1396" s="5" t="s">
        <v>241</v>
      </c>
      <c r="AV1396" s="5" t="s">
        <v>241</v>
      </c>
      <c r="AY1396" s="4" t="s">
        <v>286</v>
      </c>
      <c r="AZ1396" s="4" t="s">
        <v>286</v>
      </c>
      <c r="BA1396" s="4" t="s">
        <v>254</v>
      </c>
      <c r="BB1396" s="4" t="s">
        <v>287</v>
      </c>
      <c r="BC1396" s="4" t="s">
        <v>255</v>
      </c>
      <c r="BD1396" s="4" t="s">
        <v>241</v>
      </c>
      <c r="BE1396" s="4" t="s">
        <v>257</v>
      </c>
      <c r="BF1396" s="4" t="s">
        <v>241</v>
      </c>
      <c r="BJ1396" s="4" t="s">
        <v>288</v>
      </c>
      <c r="BK1396" s="5" t="s">
        <v>289</v>
      </c>
      <c r="BL1396" s="4" t="s">
        <v>290</v>
      </c>
      <c r="BM1396" s="4" t="s">
        <v>290</v>
      </c>
      <c r="BN1396" s="4" t="s">
        <v>241</v>
      </c>
      <c r="BO1396" s="6">
        <f>0</f>
        <v>0</v>
      </c>
      <c r="BP1396" s="6">
        <f>-3834054</f>
        <v>-3834054</v>
      </c>
      <c r="BQ1396" s="4" t="s">
        <v>263</v>
      </c>
      <c r="BR1396" s="4" t="s">
        <v>264</v>
      </c>
      <c r="BS1396" s="4" t="s">
        <v>241</v>
      </c>
      <c r="BT1396" s="4" t="s">
        <v>241</v>
      </c>
      <c r="BU1396" s="4" t="s">
        <v>241</v>
      </c>
      <c r="BV1396" s="4" t="s">
        <v>241</v>
      </c>
      <c r="CE1396" s="4" t="s">
        <v>264</v>
      </c>
      <c r="CF1396" s="4" t="s">
        <v>241</v>
      </c>
      <c r="CG1396" s="4" t="s">
        <v>241</v>
      </c>
      <c r="CK1396" s="4" t="s">
        <v>291</v>
      </c>
      <c r="CL1396" s="4" t="s">
        <v>266</v>
      </c>
      <c r="CM1396" s="4" t="s">
        <v>241</v>
      </c>
      <c r="CO1396" s="4" t="s">
        <v>449</v>
      </c>
      <c r="CP1396" s="5" t="s">
        <v>268</v>
      </c>
      <c r="CQ1396" s="4" t="s">
        <v>269</v>
      </c>
      <c r="CR1396" s="4" t="s">
        <v>270</v>
      </c>
      <c r="CS1396" s="4" t="s">
        <v>293</v>
      </c>
      <c r="CT1396" s="4" t="s">
        <v>241</v>
      </c>
      <c r="CU1396" s="4">
        <v>0.02</v>
      </c>
      <c r="CV1396" s="4" t="s">
        <v>271</v>
      </c>
      <c r="CW1396" s="4" t="s">
        <v>1329</v>
      </c>
      <c r="CX1396" s="4" t="s">
        <v>295</v>
      </c>
      <c r="CY1396" s="6">
        <f>0</f>
        <v>0</v>
      </c>
      <c r="CZ1396" s="6">
        <f>191702700</f>
        <v>191702700</v>
      </c>
      <c r="DA1396" s="6">
        <f>111187566</f>
        <v>111187566</v>
      </c>
      <c r="DC1396" s="4" t="s">
        <v>241</v>
      </c>
      <c r="DD1396" s="4" t="s">
        <v>241</v>
      </c>
      <c r="DF1396" s="4" t="s">
        <v>241</v>
      </c>
      <c r="DG1396" s="6">
        <f>0</f>
        <v>0</v>
      </c>
      <c r="DI1396" s="4" t="s">
        <v>241</v>
      </c>
      <c r="DJ1396" s="4" t="s">
        <v>241</v>
      </c>
      <c r="DK1396" s="4" t="s">
        <v>241</v>
      </c>
      <c r="DL1396" s="4" t="s">
        <v>241</v>
      </c>
      <c r="DM1396" s="4" t="s">
        <v>277</v>
      </c>
      <c r="DN1396" s="4" t="s">
        <v>278</v>
      </c>
      <c r="DO1396" s="6">
        <f>558.9</f>
        <v>558.9</v>
      </c>
      <c r="DP1396" s="4" t="s">
        <v>241</v>
      </c>
      <c r="DQ1396" s="4" t="s">
        <v>241</v>
      </c>
      <c r="DR1396" s="4" t="s">
        <v>241</v>
      </c>
      <c r="DS1396" s="4" t="s">
        <v>241</v>
      </c>
      <c r="DV1396" s="4" t="s">
        <v>1470</v>
      </c>
      <c r="DW1396" s="4" t="s">
        <v>277</v>
      </c>
      <c r="GN1396" s="4" t="s">
        <v>1471</v>
      </c>
      <c r="HO1396" s="4" t="s">
        <v>417</v>
      </c>
      <c r="HR1396" s="4" t="s">
        <v>278</v>
      </c>
      <c r="HS1396" s="4" t="s">
        <v>278</v>
      </c>
      <c r="HT1396" s="4" t="s">
        <v>241</v>
      </c>
      <c r="HU1396" s="4" t="s">
        <v>241</v>
      </c>
      <c r="HV1396" s="4" t="s">
        <v>241</v>
      </c>
      <c r="HW1396" s="4" t="s">
        <v>241</v>
      </c>
      <c r="HX1396" s="4" t="s">
        <v>241</v>
      </c>
      <c r="HY1396" s="4" t="s">
        <v>241</v>
      </c>
      <c r="HZ1396" s="4" t="s">
        <v>241</v>
      </c>
      <c r="IA1396" s="4" t="s">
        <v>241</v>
      </c>
      <c r="IB1396" s="4" t="s">
        <v>241</v>
      </c>
      <c r="IC1396" s="4" t="s">
        <v>241</v>
      </c>
      <c r="ID1396" s="4" t="s">
        <v>241</v>
      </c>
      <c r="IE1396" s="4" t="s">
        <v>241</v>
      </c>
      <c r="IF1396" s="4" t="s">
        <v>241</v>
      </c>
    </row>
    <row r="1397" spans="1:240" x14ac:dyDescent="0.4">
      <c r="A1397" s="4">
        <v>2</v>
      </c>
      <c r="B1397" s="4" t="s">
        <v>239</v>
      </c>
      <c r="C1397" s="4">
        <v>1714</v>
      </c>
      <c r="D1397" s="4">
        <v>1</v>
      </c>
      <c r="E1397" s="4">
        <v>7</v>
      </c>
      <c r="F1397" s="4" t="s">
        <v>240</v>
      </c>
      <c r="G1397" s="4" t="s">
        <v>241</v>
      </c>
      <c r="H1397" s="4" t="s">
        <v>241</v>
      </c>
      <c r="I1397" s="4" t="s">
        <v>1472</v>
      </c>
      <c r="J1397" s="4" t="s">
        <v>458</v>
      </c>
      <c r="K1397" s="4" t="s">
        <v>578</v>
      </c>
      <c r="L1397" s="4" t="s">
        <v>784</v>
      </c>
      <c r="M1397" s="5" t="s">
        <v>1474</v>
      </c>
      <c r="N1397" s="4" t="s">
        <v>1325</v>
      </c>
      <c r="O1397" s="6">
        <f>478.44</f>
        <v>478.44</v>
      </c>
      <c r="P1397" s="4" t="s">
        <v>276</v>
      </c>
      <c r="Q1397" s="6">
        <f>14295800</f>
        <v>14295800</v>
      </c>
      <c r="R1397" s="6">
        <f>39710520</f>
        <v>39710520</v>
      </c>
      <c r="S1397" s="5" t="s">
        <v>1473</v>
      </c>
      <c r="T1397" s="4" t="s">
        <v>296</v>
      </c>
      <c r="U1397" s="4" t="s">
        <v>441</v>
      </c>
      <c r="V1397" s="6">
        <f>794210</f>
        <v>794210</v>
      </c>
      <c r="W1397" s="6">
        <f>25414720</f>
        <v>25414720</v>
      </c>
      <c r="X1397" s="4" t="s">
        <v>243</v>
      </c>
      <c r="Y1397" s="4" t="s">
        <v>244</v>
      </c>
      <c r="Z1397" s="4" t="s">
        <v>282</v>
      </c>
      <c r="AA1397" s="4" t="s">
        <v>241</v>
      </c>
      <c r="AD1397" s="4" t="s">
        <v>241</v>
      </c>
      <c r="AE1397" s="5" t="s">
        <v>241</v>
      </c>
      <c r="AF1397" s="5" t="s">
        <v>241</v>
      </c>
      <c r="AH1397" s="5" t="s">
        <v>241</v>
      </c>
      <c r="AI1397" s="5" t="s">
        <v>249</v>
      </c>
      <c r="AJ1397" s="4" t="s">
        <v>251</v>
      </c>
      <c r="AK1397" s="4" t="s">
        <v>252</v>
      </c>
      <c r="AQ1397" s="4" t="s">
        <v>241</v>
      </c>
      <c r="AR1397" s="4" t="s">
        <v>241</v>
      </c>
      <c r="AS1397" s="4" t="s">
        <v>241</v>
      </c>
      <c r="AT1397" s="5" t="s">
        <v>241</v>
      </c>
      <c r="AU1397" s="5" t="s">
        <v>241</v>
      </c>
      <c r="AV1397" s="5" t="s">
        <v>241</v>
      </c>
      <c r="AY1397" s="4" t="s">
        <v>286</v>
      </c>
      <c r="AZ1397" s="4" t="s">
        <v>286</v>
      </c>
      <c r="BA1397" s="4" t="s">
        <v>254</v>
      </c>
      <c r="BB1397" s="4" t="s">
        <v>287</v>
      </c>
      <c r="BC1397" s="4" t="s">
        <v>255</v>
      </c>
      <c r="BD1397" s="4" t="s">
        <v>241</v>
      </c>
      <c r="BE1397" s="4" t="s">
        <v>257</v>
      </c>
      <c r="BF1397" s="4" t="s">
        <v>241</v>
      </c>
      <c r="BJ1397" s="4" t="s">
        <v>288</v>
      </c>
      <c r="BK1397" s="5" t="s">
        <v>289</v>
      </c>
      <c r="BL1397" s="4" t="s">
        <v>290</v>
      </c>
      <c r="BM1397" s="4" t="s">
        <v>290</v>
      </c>
      <c r="BN1397" s="4" t="s">
        <v>241</v>
      </c>
      <c r="BO1397" s="6">
        <f>0</f>
        <v>0</v>
      </c>
      <c r="BP1397" s="6">
        <f>-794210</f>
        <v>-794210</v>
      </c>
      <c r="BQ1397" s="4" t="s">
        <v>263</v>
      </c>
      <c r="BR1397" s="4" t="s">
        <v>264</v>
      </c>
      <c r="BS1397" s="4" t="s">
        <v>241</v>
      </c>
      <c r="BT1397" s="4" t="s">
        <v>241</v>
      </c>
      <c r="BU1397" s="4" t="s">
        <v>241</v>
      </c>
      <c r="BV1397" s="4" t="s">
        <v>241</v>
      </c>
      <c r="CE1397" s="4" t="s">
        <v>264</v>
      </c>
      <c r="CF1397" s="4" t="s">
        <v>241</v>
      </c>
      <c r="CG1397" s="4" t="s">
        <v>241</v>
      </c>
      <c r="CK1397" s="4" t="s">
        <v>291</v>
      </c>
      <c r="CL1397" s="4" t="s">
        <v>266</v>
      </c>
      <c r="CM1397" s="4" t="s">
        <v>241</v>
      </c>
      <c r="CO1397" s="4" t="s">
        <v>383</v>
      </c>
      <c r="CP1397" s="5" t="s">
        <v>268</v>
      </c>
      <c r="CQ1397" s="4" t="s">
        <v>269</v>
      </c>
      <c r="CR1397" s="4" t="s">
        <v>270</v>
      </c>
      <c r="CS1397" s="4" t="s">
        <v>293</v>
      </c>
      <c r="CT1397" s="4" t="s">
        <v>241</v>
      </c>
      <c r="CU1397" s="4">
        <v>0.02</v>
      </c>
      <c r="CV1397" s="4" t="s">
        <v>271</v>
      </c>
      <c r="CW1397" s="4" t="s">
        <v>1329</v>
      </c>
      <c r="CX1397" s="4" t="s">
        <v>295</v>
      </c>
      <c r="CY1397" s="6">
        <f>0</f>
        <v>0</v>
      </c>
      <c r="CZ1397" s="6">
        <f>39710520</f>
        <v>39710520</v>
      </c>
      <c r="DA1397" s="6">
        <f>11118960</f>
        <v>11118960</v>
      </c>
      <c r="DC1397" s="4" t="s">
        <v>241</v>
      </c>
      <c r="DD1397" s="4" t="s">
        <v>241</v>
      </c>
      <c r="DF1397" s="4" t="s">
        <v>241</v>
      </c>
      <c r="DG1397" s="6">
        <f>0</f>
        <v>0</v>
      </c>
      <c r="DI1397" s="4" t="s">
        <v>241</v>
      </c>
      <c r="DJ1397" s="4" t="s">
        <v>241</v>
      </c>
      <c r="DK1397" s="4" t="s">
        <v>241</v>
      </c>
      <c r="DL1397" s="4" t="s">
        <v>241</v>
      </c>
      <c r="DM1397" s="4" t="s">
        <v>277</v>
      </c>
      <c r="DN1397" s="4" t="s">
        <v>278</v>
      </c>
      <c r="DO1397" s="6">
        <f>478.44</f>
        <v>478.44</v>
      </c>
      <c r="DP1397" s="4" t="s">
        <v>241</v>
      </c>
      <c r="DQ1397" s="4" t="s">
        <v>241</v>
      </c>
      <c r="DR1397" s="4" t="s">
        <v>241</v>
      </c>
      <c r="DS1397" s="4" t="s">
        <v>241</v>
      </c>
      <c r="DV1397" s="4" t="s">
        <v>1475</v>
      </c>
      <c r="DW1397" s="4" t="s">
        <v>277</v>
      </c>
      <c r="GN1397" s="4" t="s">
        <v>1476</v>
      </c>
      <c r="HO1397" s="4" t="s">
        <v>300</v>
      </c>
      <c r="HR1397" s="4" t="s">
        <v>278</v>
      </c>
      <c r="HS1397" s="4" t="s">
        <v>278</v>
      </c>
      <c r="HT1397" s="4" t="s">
        <v>241</v>
      </c>
      <c r="HU1397" s="4" t="s">
        <v>241</v>
      </c>
      <c r="HV1397" s="4" t="s">
        <v>241</v>
      </c>
      <c r="HW1397" s="4" t="s">
        <v>241</v>
      </c>
      <c r="HX1397" s="4" t="s">
        <v>241</v>
      </c>
      <c r="HY1397" s="4" t="s">
        <v>241</v>
      </c>
      <c r="HZ1397" s="4" t="s">
        <v>241</v>
      </c>
      <c r="IA1397" s="4" t="s">
        <v>241</v>
      </c>
      <c r="IB1397" s="4" t="s">
        <v>241</v>
      </c>
      <c r="IC1397" s="4" t="s">
        <v>241</v>
      </c>
      <c r="ID1397" s="4" t="s">
        <v>241</v>
      </c>
      <c r="IE1397" s="4" t="s">
        <v>241</v>
      </c>
      <c r="IF1397" s="4" t="s">
        <v>241</v>
      </c>
    </row>
    <row r="1398" spans="1:240" x14ac:dyDescent="0.4">
      <c r="A1398" s="4">
        <v>2</v>
      </c>
      <c r="B1398" s="4" t="s">
        <v>239</v>
      </c>
      <c r="C1398" s="4">
        <v>1715</v>
      </c>
      <c r="D1398" s="4">
        <v>1</v>
      </c>
      <c r="E1398" s="4">
        <v>1</v>
      </c>
      <c r="F1398" s="4" t="s">
        <v>240</v>
      </c>
      <c r="G1398" s="4" t="s">
        <v>241</v>
      </c>
      <c r="H1398" s="4" t="s">
        <v>241</v>
      </c>
      <c r="I1398" s="4" t="s">
        <v>1197</v>
      </c>
      <c r="J1398" s="4" t="s">
        <v>458</v>
      </c>
      <c r="K1398" s="4" t="s">
        <v>578</v>
      </c>
      <c r="L1398" s="4" t="s">
        <v>784</v>
      </c>
      <c r="M1398" s="5" t="s">
        <v>1199</v>
      </c>
      <c r="N1398" s="4" t="s">
        <v>1196</v>
      </c>
      <c r="O1398" s="6">
        <f>166</f>
        <v>166</v>
      </c>
      <c r="P1398" s="4" t="s">
        <v>276</v>
      </c>
      <c r="Q1398" s="6">
        <f>1</f>
        <v>1</v>
      </c>
      <c r="R1398" s="6">
        <f>14940000</f>
        <v>14940000</v>
      </c>
      <c r="S1398" s="5" t="s">
        <v>1198</v>
      </c>
      <c r="T1398" s="4" t="s">
        <v>314</v>
      </c>
      <c r="U1398" s="4" t="s">
        <v>668</v>
      </c>
      <c r="W1398" s="6">
        <f>14939999</f>
        <v>14939999</v>
      </c>
      <c r="X1398" s="4" t="s">
        <v>243</v>
      </c>
      <c r="Y1398" s="4" t="s">
        <v>244</v>
      </c>
      <c r="Z1398" s="4" t="s">
        <v>282</v>
      </c>
      <c r="AA1398" s="4" t="s">
        <v>241</v>
      </c>
      <c r="AD1398" s="4" t="s">
        <v>241</v>
      </c>
      <c r="AF1398" s="5" t="s">
        <v>241</v>
      </c>
      <c r="AI1398" s="5" t="s">
        <v>249</v>
      </c>
      <c r="AJ1398" s="4" t="s">
        <v>251</v>
      </c>
      <c r="AK1398" s="4" t="s">
        <v>252</v>
      </c>
      <c r="BA1398" s="4" t="s">
        <v>254</v>
      </c>
      <c r="BB1398" s="4" t="s">
        <v>241</v>
      </c>
      <c r="BC1398" s="4" t="s">
        <v>255</v>
      </c>
      <c r="BD1398" s="4" t="s">
        <v>241</v>
      </c>
      <c r="BE1398" s="4" t="s">
        <v>257</v>
      </c>
      <c r="BF1398" s="4" t="s">
        <v>241</v>
      </c>
      <c r="BJ1398" s="4" t="s">
        <v>367</v>
      </c>
      <c r="BK1398" s="5" t="s">
        <v>249</v>
      </c>
      <c r="BL1398" s="4" t="s">
        <v>261</v>
      </c>
      <c r="BM1398" s="4" t="s">
        <v>262</v>
      </c>
      <c r="BN1398" s="4" t="s">
        <v>241</v>
      </c>
      <c r="BO1398" s="6">
        <f>0</f>
        <v>0</v>
      </c>
      <c r="BP1398" s="6">
        <f>0</f>
        <v>0</v>
      </c>
      <c r="BQ1398" s="4" t="s">
        <v>263</v>
      </c>
      <c r="BR1398" s="4" t="s">
        <v>264</v>
      </c>
      <c r="CF1398" s="4" t="s">
        <v>241</v>
      </c>
      <c r="CG1398" s="4" t="s">
        <v>241</v>
      </c>
      <c r="CK1398" s="4" t="s">
        <v>265</v>
      </c>
      <c r="CL1398" s="4" t="s">
        <v>266</v>
      </c>
      <c r="CM1398" s="4" t="s">
        <v>241</v>
      </c>
      <c r="CO1398" s="4" t="s">
        <v>1021</v>
      </c>
      <c r="CP1398" s="5" t="s">
        <v>268</v>
      </c>
      <c r="CQ1398" s="4" t="s">
        <v>269</v>
      </c>
      <c r="CR1398" s="4" t="s">
        <v>270</v>
      </c>
      <c r="CS1398" s="4" t="s">
        <v>241</v>
      </c>
      <c r="CT1398" s="4" t="s">
        <v>241</v>
      </c>
      <c r="CU1398" s="4">
        <v>0</v>
      </c>
      <c r="CV1398" s="4" t="s">
        <v>271</v>
      </c>
      <c r="CW1398" s="4" t="s">
        <v>1176</v>
      </c>
      <c r="CX1398" s="4" t="s">
        <v>347</v>
      </c>
      <c r="CZ1398" s="6">
        <f>14940000</f>
        <v>14940000</v>
      </c>
      <c r="DA1398" s="6">
        <f>0</f>
        <v>0</v>
      </c>
      <c r="DC1398" s="4" t="s">
        <v>241</v>
      </c>
      <c r="DD1398" s="4" t="s">
        <v>241</v>
      </c>
      <c r="DF1398" s="4" t="s">
        <v>241</v>
      </c>
      <c r="DI1398" s="4" t="s">
        <v>241</v>
      </c>
      <c r="DJ1398" s="4" t="s">
        <v>241</v>
      </c>
      <c r="DK1398" s="4" t="s">
        <v>241</v>
      </c>
      <c r="DL1398" s="4" t="s">
        <v>241</v>
      </c>
      <c r="DM1398" s="4" t="s">
        <v>277</v>
      </c>
      <c r="DN1398" s="4" t="s">
        <v>278</v>
      </c>
      <c r="DO1398" s="6">
        <f>166</f>
        <v>166</v>
      </c>
      <c r="DP1398" s="4" t="s">
        <v>241</v>
      </c>
      <c r="DQ1398" s="4" t="s">
        <v>241</v>
      </c>
      <c r="DR1398" s="4" t="s">
        <v>241</v>
      </c>
      <c r="DS1398" s="4" t="s">
        <v>241</v>
      </c>
      <c r="DV1398" s="4" t="s">
        <v>1200</v>
      </c>
      <c r="DW1398" s="4" t="s">
        <v>277</v>
      </c>
      <c r="HO1398" s="4" t="s">
        <v>277</v>
      </c>
      <c r="HR1398" s="4" t="s">
        <v>278</v>
      </c>
      <c r="HS1398" s="4" t="s">
        <v>278</v>
      </c>
    </row>
    <row r="1399" spans="1:240" x14ac:dyDescent="0.4">
      <c r="A1399" s="4">
        <v>2</v>
      </c>
      <c r="B1399" s="4" t="s">
        <v>239</v>
      </c>
      <c r="C1399" s="4">
        <v>1716</v>
      </c>
      <c r="D1399" s="4">
        <v>1</v>
      </c>
      <c r="E1399" s="4">
        <v>1</v>
      </c>
      <c r="F1399" s="4" t="s">
        <v>240</v>
      </c>
      <c r="G1399" s="4" t="s">
        <v>241</v>
      </c>
      <c r="H1399" s="4" t="s">
        <v>241</v>
      </c>
      <c r="I1399" s="4" t="s">
        <v>1320</v>
      </c>
      <c r="J1399" s="4" t="s">
        <v>458</v>
      </c>
      <c r="K1399" s="4" t="s">
        <v>578</v>
      </c>
      <c r="L1399" s="4" t="s">
        <v>1174</v>
      </c>
      <c r="M1399" s="5" t="s">
        <v>1322</v>
      </c>
      <c r="N1399" s="4" t="s">
        <v>1174</v>
      </c>
      <c r="O1399" s="6">
        <f>71.07</f>
        <v>71.069999999999993</v>
      </c>
      <c r="P1399" s="4" t="s">
        <v>276</v>
      </c>
      <c r="Q1399" s="6">
        <f>1</f>
        <v>1</v>
      </c>
      <c r="R1399" s="6">
        <f>6390000</f>
        <v>6390000</v>
      </c>
      <c r="S1399" s="5" t="s">
        <v>1321</v>
      </c>
      <c r="T1399" s="4" t="s">
        <v>314</v>
      </c>
      <c r="U1399" s="4" t="s">
        <v>1191</v>
      </c>
      <c r="W1399" s="6">
        <f>6389999</f>
        <v>6389999</v>
      </c>
      <c r="X1399" s="4" t="s">
        <v>243</v>
      </c>
      <c r="Y1399" s="4" t="s">
        <v>244</v>
      </c>
      <c r="Z1399" s="4" t="s">
        <v>282</v>
      </c>
      <c r="AA1399" s="4" t="s">
        <v>241</v>
      </c>
      <c r="AD1399" s="4" t="s">
        <v>241</v>
      </c>
      <c r="AF1399" s="5" t="s">
        <v>241</v>
      </c>
      <c r="AI1399" s="5" t="s">
        <v>249</v>
      </c>
      <c r="AJ1399" s="4" t="s">
        <v>251</v>
      </c>
      <c r="AK1399" s="4" t="s">
        <v>252</v>
      </c>
      <c r="BA1399" s="4" t="s">
        <v>254</v>
      </c>
      <c r="BB1399" s="4" t="s">
        <v>241</v>
      </c>
      <c r="BC1399" s="4" t="s">
        <v>255</v>
      </c>
      <c r="BD1399" s="4" t="s">
        <v>241</v>
      </c>
      <c r="BE1399" s="4" t="s">
        <v>257</v>
      </c>
      <c r="BF1399" s="4" t="s">
        <v>241</v>
      </c>
      <c r="BJ1399" s="4" t="s">
        <v>367</v>
      </c>
      <c r="BK1399" s="5" t="s">
        <v>249</v>
      </c>
      <c r="BL1399" s="4" t="s">
        <v>261</v>
      </c>
      <c r="BM1399" s="4" t="s">
        <v>1323</v>
      </c>
      <c r="BN1399" s="4" t="s">
        <v>241</v>
      </c>
      <c r="BO1399" s="6">
        <f>0</f>
        <v>0</v>
      </c>
      <c r="BP1399" s="6">
        <f>0</f>
        <v>0</v>
      </c>
      <c r="BQ1399" s="4" t="s">
        <v>263</v>
      </c>
      <c r="BR1399" s="4" t="s">
        <v>264</v>
      </c>
      <c r="CF1399" s="4" t="s">
        <v>241</v>
      </c>
      <c r="CG1399" s="4" t="s">
        <v>241</v>
      </c>
      <c r="CK1399" s="4" t="s">
        <v>265</v>
      </c>
      <c r="CL1399" s="4" t="s">
        <v>266</v>
      </c>
      <c r="CM1399" s="4" t="s">
        <v>241</v>
      </c>
      <c r="CO1399" s="4" t="s">
        <v>795</v>
      </c>
      <c r="CP1399" s="5" t="s">
        <v>268</v>
      </c>
      <c r="CQ1399" s="4" t="s">
        <v>269</v>
      </c>
      <c r="CR1399" s="4" t="s">
        <v>270</v>
      </c>
      <c r="CS1399" s="4" t="s">
        <v>241</v>
      </c>
      <c r="CT1399" s="4" t="s">
        <v>241</v>
      </c>
      <c r="CU1399" s="4">
        <v>0</v>
      </c>
      <c r="CV1399" s="4" t="s">
        <v>271</v>
      </c>
      <c r="CW1399" s="4" t="s">
        <v>1176</v>
      </c>
      <c r="CX1399" s="4" t="s">
        <v>347</v>
      </c>
      <c r="CZ1399" s="6">
        <f>6390000</f>
        <v>6390000</v>
      </c>
      <c r="DA1399" s="6">
        <f>0</f>
        <v>0</v>
      </c>
      <c r="DC1399" s="4" t="s">
        <v>241</v>
      </c>
      <c r="DD1399" s="4" t="s">
        <v>241</v>
      </c>
      <c r="DF1399" s="4" t="s">
        <v>241</v>
      </c>
      <c r="DI1399" s="4" t="s">
        <v>241</v>
      </c>
      <c r="DJ1399" s="4" t="s">
        <v>241</v>
      </c>
      <c r="DK1399" s="4" t="s">
        <v>241</v>
      </c>
      <c r="DL1399" s="4" t="s">
        <v>241</v>
      </c>
      <c r="DM1399" s="4" t="s">
        <v>277</v>
      </c>
      <c r="DN1399" s="4" t="s">
        <v>278</v>
      </c>
      <c r="DO1399" s="6">
        <f>71.07</f>
        <v>71.069999999999993</v>
      </c>
      <c r="DP1399" s="4" t="s">
        <v>241</v>
      </c>
      <c r="DQ1399" s="4" t="s">
        <v>241</v>
      </c>
      <c r="DR1399" s="4" t="s">
        <v>241</v>
      </c>
      <c r="DS1399" s="4" t="s">
        <v>241</v>
      </c>
      <c r="DV1399" s="4" t="s">
        <v>1324</v>
      </c>
      <c r="DW1399" s="4" t="s">
        <v>277</v>
      </c>
      <c r="HO1399" s="4" t="s">
        <v>323</v>
      </c>
      <c r="HR1399" s="4" t="s">
        <v>278</v>
      </c>
      <c r="HS1399" s="4" t="s">
        <v>278</v>
      </c>
    </row>
    <row r="1400" spans="1:240" x14ac:dyDescent="0.4">
      <c r="A1400" s="4">
        <v>2</v>
      </c>
      <c r="B1400" s="4" t="s">
        <v>239</v>
      </c>
      <c r="C1400" s="4">
        <v>1717</v>
      </c>
      <c r="D1400" s="4">
        <v>1</v>
      </c>
      <c r="E1400" s="4">
        <v>1</v>
      </c>
      <c r="F1400" s="4" t="s">
        <v>240</v>
      </c>
      <c r="G1400" s="4" t="s">
        <v>241</v>
      </c>
      <c r="H1400" s="4" t="s">
        <v>241</v>
      </c>
      <c r="I1400" s="4" t="s">
        <v>1366</v>
      </c>
      <c r="J1400" s="4" t="s">
        <v>458</v>
      </c>
      <c r="K1400" s="4" t="s">
        <v>578</v>
      </c>
      <c r="L1400" s="4" t="s">
        <v>440</v>
      </c>
      <c r="M1400" s="5" t="s">
        <v>1368</v>
      </c>
      <c r="N1400" s="4" t="s">
        <v>1365</v>
      </c>
      <c r="O1400" s="6">
        <f>76.73</f>
        <v>76.73</v>
      </c>
      <c r="P1400" s="4" t="s">
        <v>276</v>
      </c>
      <c r="Q1400" s="6">
        <f>1</f>
        <v>1</v>
      </c>
      <c r="R1400" s="6">
        <f>6905700</f>
        <v>6905700</v>
      </c>
      <c r="S1400" s="5" t="s">
        <v>1367</v>
      </c>
      <c r="T1400" s="4" t="s">
        <v>333</v>
      </c>
      <c r="U1400" s="4" t="s">
        <v>373</v>
      </c>
      <c r="W1400" s="6">
        <f>6905699</f>
        <v>6905699</v>
      </c>
      <c r="X1400" s="4" t="s">
        <v>243</v>
      </c>
      <c r="Y1400" s="4" t="s">
        <v>244</v>
      </c>
      <c r="Z1400" s="4" t="s">
        <v>282</v>
      </c>
      <c r="AA1400" s="4" t="s">
        <v>241</v>
      </c>
      <c r="AD1400" s="4" t="s">
        <v>241</v>
      </c>
      <c r="AF1400" s="5" t="s">
        <v>241</v>
      </c>
      <c r="AI1400" s="5" t="s">
        <v>249</v>
      </c>
      <c r="AJ1400" s="4" t="s">
        <v>251</v>
      </c>
      <c r="AK1400" s="4" t="s">
        <v>252</v>
      </c>
      <c r="BA1400" s="4" t="s">
        <v>254</v>
      </c>
      <c r="BB1400" s="4" t="s">
        <v>241</v>
      </c>
      <c r="BC1400" s="4" t="s">
        <v>255</v>
      </c>
      <c r="BD1400" s="4" t="s">
        <v>241</v>
      </c>
      <c r="BE1400" s="4" t="s">
        <v>257</v>
      </c>
      <c r="BF1400" s="4" t="s">
        <v>241</v>
      </c>
      <c r="BH1400" s="4" t="s">
        <v>787</v>
      </c>
      <c r="BJ1400" s="4" t="s">
        <v>367</v>
      </c>
      <c r="BK1400" s="5" t="s">
        <v>249</v>
      </c>
      <c r="BL1400" s="4" t="s">
        <v>261</v>
      </c>
      <c r="BM1400" s="4" t="s">
        <v>262</v>
      </c>
      <c r="BN1400" s="4" t="s">
        <v>241</v>
      </c>
      <c r="BO1400" s="6">
        <f>0</f>
        <v>0</v>
      </c>
      <c r="BP1400" s="6">
        <f>0</f>
        <v>0</v>
      </c>
      <c r="BQ1400" s="4" t="s">
        <v>263</v>
      </c>
      <c r="BR1400" s="4" t="s">
        <v>264</v>
      </c>
      <c r="CF1400" s="4" t="s">
        <v>241</v>
      </c>
      <c r="CG1400" s="4" t="s">
        <v>241</v>
      </c>
      <c r="CK1400" s="4" t="s">
        <v>265</v>
      </c>
      <c r="CL1400" s="4" t="s">
        <v>266</v>
      </c>
      <c r="CM1400" s="4" t="s">
        <v>241</v>
      </c>
      <c r="CO1400" s="4" t="s">
        <v>305</v>
      </c>
      <c r="CP1400" s="5" t="s">
        <v>268</v>
      </c>
      <c r="CQ1400" s="4" t="s">
        <v>269</v>
      </c>
      <c r="CR1400" s="4" t="s">
        <v>270</v>
      </c>
      <c r="CS1400" s="4" t="s">
        <v>241</v>
      </c>
      <c r="CT1400" s="4" t="s">
        <v>241</v>
      </c>
      <c r="CU1400" s="4">
        <v>0</v>
      </c>
      <c r="CV1400" s="4" t="s">
        <v>271</v>
      </c>
      <c r="CW1400" s="4" t="s">
        <v>1329</v>
      </c>
      <c r="CX1400" s="4" t="s">
        <v>487</v>
      </c>
      <c r="CZ1400" s="6">
        <f>6905700</f>
        <v>6905700</v>
      </c>
      <c r="DA1400" s="6">
        <f>0</f>
        <v>0</v>
      </c>
      <c r="DC1400" s="4" t="s">
        <v>241</v>
      </c>
      <c r="DD1400" s="4" t="s">
        <v>241</v>
      </c>
      <c r="DF1400" s="4" t="s">
        <v>241</v>
      </c>
      <c r="DI1400" s="4" t="s">
        <v>241</v>
      </c>
      <c r="DJ1400" s="4" t="s">
        <v>241</v>
      </c>
      <c r="DK1400" s="4" t="s">
        <v>241</v>
      </c>
      <c r="DL1400" s="4" t="s">
        <v>241</v>
      </c>
      <c r="DM1400" s="4" t="s">
        <v>277</v>
      </c>
      <c r="DN1400" s="4" t="s">
        <v>278</v>
      </c>
      <c r="DO1400" s="6">
        <f>76.73</f>
        <v>76.73</v>
      </c>
      <c r="DP1400" s="4" t="s">
        <v>241</v>
      </c>
      <c r="DQ1400" s="4" t="s">
        <v>241</v>
      </c>
      <c r="DR1400" s="4" t="s">
        <v>241</v>
      </c>
      <c r="DS1400" s="4" t="s">
        <v>241</v>
      </c>
      <c r="DV1400" s="4" t="s">
        <v>1369</v>
      </c>
      <c r="DW1400" s="4" t="s">
        <v>277</v>
      </c>
      <c r="HO1400" s="4" t="s">
        <v>277</v>
      </c>
      <c r="HR1400" s="4" t="s">
        <v>278</v>
      </c>
      <c r="HS1400" s="4" t="s">
        <v>278</v>
      </c>
    </row>
    <row r="1401" spans="1:240" x14ac:dyDescent="0.4">
      <c r="A1401" s="4">
        <v>2</v>
      </c>
      <c r="B1401" s="4" t="s">
        <v>239</v>
      </c>
      <c r="C1401" s="4">
        <v>1718</v>
      </c>
      <c r="D1401" s="4">
        <v>1</v>
      </c>
      <c r="E1401" s="4">
        <v>1</v>
      </c>
      <c r="F1401" s="4" t="s">
        <v>240</v>
      </c>
      <c r="G1401" s="4" t="s">
        <v>241</v>
      </c>
      <c r="H1401" s="4" t="s">
        <v>241</v>
      </c>
      <c r="I1401" s="4" t="s">
        <v>3157</v>
      </c>
      <c r="J1401" s="4" t="s">
        <v>458</v>
      </c>
      <c r="K1401" s="4" t="s">
        <v>578</v>
      </c>
      <c r="L1401" s="4" t="s">
        <v>784</v>
      </c>
      <c r="M1401" s="5" t="s">
        <v>3159</v>
      </c>
      <c r="N1401" s="4" t="s">
        <v>3156</v>
      </c>
      <c r="O1401" s="6">
        <f>58.28</f>
        <v>58.28</v>
      </c>
      <c r="P1401" s="4" t="s">
        <v>276</v>
      </c>
      <c r="Q1401" s="6">
        <f>1</f>
        <v>1</v>
      </c>
      <c r="R1401" s="6">
        <f>3496800</f>
        <v>3496800</v>
      </c>
      <c r="S1401" s="5" t="s">
        <v>3158</v>
      </c>
      <c r="T1401" s="4" t="s">
        <v>348</v>
      </c>
      <c r="U1401" s="4" t="s">
        <v>1071</v>
      </c>
      <c r="W1401" s="6">
        <f>3496799</f>
        <v>3496799</v>
      </c>
      <c r="X1401" s="4" t="s">
        <v>243</v>
      </c>
      <c r="Y1401" s="4" t="s">
        <v>244</v>
      </c>
      <c r="Z1401" s="4" t="s">
        <v>282</v>
      </c>
      <c r="AA1401" s="4" t="s">
        <v>241</v>
      </c>
      <c r="AD1401" s="4" t="s">
        <v>241</v>
      </c>
      <c r="AF1401" s="5" t="s">
        <v>241</v>
      </c>
      <c r="AI1401" s="5" t="s">
        <v>249</v>
      </c>
      <c r="AJ1401" s="4" t="s">
        <v>251</v>
      </c>
      <c r="AK1401" s="4" t="s">
        <v>252</v>
      </c>
      <c r="BA1401" s="4" t="s">
        <v>254</v>
      </c>
      <c r="BB1401" s="4" t="s">
        <v>241</v>
      </c>
      <c r="BC1401" s="4" t="s">
        <v>255</v>
      </c>
      <c r="BD1401" s="4" t="s">
        <v>241</v>
      </c>
      <c r="BE1401" s="4" t="s">
        <v>257</v>
      </c>
      <c r="BF1401" s="4" t="s">
        <v>241</v>
      </c>
      <c r="BH1401" s="4" t="s">
        <v>787</v>
      </c>
      <c r="BJ1401" s="4" t="s">
        <v>367</v>
      </c>
      <c r="BK1401" s="5" t="s">
        <v>249</v>
      </c>
      <c r="BL1401" s="4" t="s">
        <v>261</v>
      </c>
      <c r="BM1401" s="4" t="s">
        <v>262</v>
      </c>
      <c r="BN1401" s="4" t="s">
        <v>241</v>
      </c>
      <c r="BO1401" s="6">
        <f>0</f>
        <v>0</v>
      </c>
      <c r="BP1401" s="6">
        <f>0</f>
        <v>0</v>
      </c>
      <c r="BQ1401" s="4" t="s">
        <v>263</v>
      </c>
      <c r="BR1401" s="4" t="s">
        <v>264</v>
      </c>
      <c r="CF1401" s="4" t="s">
        <v>241</v>
      </c>
      <c r="CG1401" s="4" t="s">
        <v>241</v>
      </c>
      <c r="CK1401" s="4" t="s">
        <v>265</v>
      </c>
      <c r="CL1401" s="4" t="s">
        <v>266</v>
      </c>
      <c r="CM1401" s="4" t="s">
        <v>241</v>
      </c>
      <c r="CO1401" s="4" t="s">
        <v>741</v>
      </c>
      <c r="CP1401" s="5" t="s">
        <v>268</v>
      </c>
      <c r="CQ1401" s="4" t="s">
        <v>269</v>
      </c>
      <c r="CR1401" s="4" t="s">
        <v>270</v>
      </c>
      <c r="CS1401" s="4" t="s">
        <v>241</v>
      </c>
      <c r="CT1401" s="4" t="s">
        <v>241</v>
      </c>
      <c r="CU1401" s="4">
        <v>0</v>
      </c>
      <c r="CV1401" s="4" t="s">
        <v>271</v>
      </c>
      <c r="CW1401" s="4" t="s">
        <v>272</v>
      </c>
      <c r="CX1401" s="4" t="s">
        <v>347</v>
      </c>
      <c r="CZ1401" s="6">
        <f>3496800</f>
        <v>3496800</v>
      </c>
      <c r="DA1401" s="6">
        <f>0</f>
        <v>0</v>
      </c>
      <c r="DC1401" s="4" t="s">
        <v>241</v>
      </c>
      <c r="DD1401" s="4" t="s">
        <v>241</v>
      </c>
      <c r="DF1401" s="4" t="s">
        <v>241</v>
      </c>
      <c r="DI1401" s="4" t="s">
        <v>241</v>
      </c>
      <c r="DJ1401" s="4" t="s">
        <v>241</v>
      </c>
      <c r="DK1401" s="4" t="s">
        <v>241</v>
      </c>
      <c r="DL1401" s="4" t="s">
        <v>241</v>
      </c>
      <c r="DM1401" s="4" t="s">
        <v>277</v>
      </c>
      <c r="DN1401" s="4" t="s">
        <v>278</v>
      </c>
      <c r="DO1401" s="6">
        <f>58.28</f>
        <v>58.28</v>
      </c>
      <c r="DP1401" s="4" t="s">
        <v>241</v>
      </c>
      <c r="DQ1401" s="4" t="s">
        <v>241</v>
      </c>
      <c r="DR1401" s="4" t="s">
        <v>241</v>
      </c>
      <c r="DS1401" s="4" t="s">
        <v>241</v>
      </c>
      <c r="DV1401" s="4" t="s">
        <v>3160</v>
      </c>
      <c r="DW1401" s="4" t="s">
        <v>277</v>
      </c>
      <c r="HO1401" s="4" t="s">
        <v>277</v>
      </c>
      <c r="HR1401" s="4" t="s">
        <v>278</v>
      </c>
      <c r="HS1401" s="4" t="s">
        <v>278</v>
      </c>
    </row>
    <row r="1402" spans="1:240" x14ac:dyDescent="0.4">
      <c r="A1402" s="4">
        <v>2</v>
      </c>
      <c r="B1402" s="4" t="s">
        <v>239</v>
      </c>
      <c r="C1402" s="4">
        <v>1719</v>
      </c>
      <c r="D1402" s="4">
        <v>1</v>
      </c>
      <c r="E1402" s="4">
        <v>1</v>
      </c>
      <c r="F1402" s="4" t="s">
        <v>240</v>
      </c>
      <c r="G1402" s="4" t="s">
        <v>241</v>
      </c>
      <c r="H1402" s="4" t="s">
        <v>241</v>
      </c>
      <c r="I1402" s="4" t="s">
        <v>1631</v>
      </c>
      <c r="J1402" s="4" t="s">
        <v>458</v>
      </c>
      <c r="K1402" s="4" t="s">
        <v>578</v>
      </c>
      <c r="L1402" s="4" t="s">
        <v>1626</v>
      </c>
      <c r="M1402" s="5" t="s">
        <v>1633</v>
      </c>
      <c r="N1402" s="4" t="s">
        <v>1626</v>
      </c>
      <c r="O1402" s="6">
        <f>250.41</f>
        <v>250.41</v>
      </c>
      <c r="P1402" s="4" t="s">
        <v>276</v>
      </c>
      <c r="Q1402" s="6">
        <f>1</f>
        <v>1</v>
      </c>
      <c r="R1402" s="6">
        <f>23788950</f>
        <v>23788950</v>
      </c>
      <c r="S1402" s="5" t="s">
        <v>1632</v>
      </c>
      <c r="T1402" s="4" t="s">
        <v>274</v>
      </c>
      <c r="U1402" s="4" t="s">
        <v>441</v>
      </c>
      <c r="W1402" s="6">
        <f>23788949</f>
        <v>23788949</v>
      </c>
      <c r="X1402" s="4" t="s">
        <v>243</v>
      </c>
      <c r="Y1402" s="4" t="s">
        <v>244</v>
      </c>
      <c r="Z1402" s="4" t="s">
        <v>282</v>
      </c>
      <c r="AA1402" s="4" t="s">
        <v>241</v>
      </c>
      <c r="AD1402" s="4" t="s">
        <v>241</v>
      </c>
      <c r="AF1402" s="5" t="s">
        <v>241</v>
      </c>
      <c r="AI1402" s="5" t="s">
        <v>249</v>
      </c>
      <c r="AJ1402" s="4" t="s">
        <v>251</v>
      </c>
      <c r="AK1402" s="4" t="s">
        <v>252</v>
      </c>
      <c r="BA1402" s="4" t="s">
        <v>254</v>
      </c>
      <c r="BB1402" s="4" t="s">
        <v>241</v>
      </c>
      <c r="BC1402" s="4" t="s">
        <v>255</v>
      </c>
      <c r="BD1402" s="4" t="s">
        <v>241</v>
      </c>
      <c r="BE1402" s="4" t="s">
        <v>257</v>
      </c>
      <c r="BF1402" s="4" t="s">
        <v>241</v>
      </c>
      <c r="BH1402" s="4" t="s">
        <v>787</v>
      </c>
      <c r="BJ1402" s="4" t="s">
        <v>367</v>
      </c>
      <c r="BK1402" s="5" t="s">
        <v>249</v>
      </c>
      <c r="BL1402" s="4" t="s">
        <v>261</v>
      </c>
      <c r="BM1402" s="4" t="s">
        <v>262</v>
      </c>
      <c r="BN1402" s="4" t="s">
        <v>241</v>
      </c>
      <c r="BO1402" s="6">
        <f>0</f>
        <v>0</v>
      </c>
      <c r="BP1402" s="6">
        <f>0</f>
        <v>0</v>
      </c>
      <c r="BQ1402" s="4" t="s">
        <v>263</v>
      </c>
      <c r="BR1402" s="4" t="s">
        <v>264</v>
      </c>
      <c r="CF1402" s="4" t="s">
        <v>241</v>
      </c>
      <c r="CG1402" s="4" t="s">
        <v>241</v>
      </c>
      <c r="CK1402" s="4" t="s">
        <v>265</v>
      </c>
      <c r="CL1402" s="4" t="s">
        <v>266</v>
      </c>
      <c r="CM1402" s="4" t="s">
        <v>241</v>
      </c>
      <c r="CO1402" s="4" t="s">
        <v>724</v>
      </c>
      <c r="CP1402" s="5" t="s">
        <v>268</v>
      </c>
      <c r="CQ1402" s="4" t="s">
        <v>269</v>
      </c>
      <c r="CR1402" s="4" t="s">
        <v>270</v>
      </c>
      <c r="CS1402" s="4" t="s">
        <v>241</v>
      </c>
      <c r="CT1402" s="4" t="s">
        <v>241</v>
      </c>
      <c r="CU1402" s="4">
        <v>0</v>
      </c>
      <c r="CV1402" s="4" t="s">
        <v>271</v>
      </c>
      <c r="CW1402" s="4" t="s">
        <v>1618</v>
      </c>
      <c r="CX1402" s="4" t="s">
        <v>347</v>
      </c>
      <c r="CZ1402" s="6">
        <f>23788950</f>
        <v>23788950</v>
      </c>
      <c r="DA1402" s="6">
        <f>0</f>
        <v>0</v>
      </c>
      <c r="DC1402" s="4" t="s">
        <v>241</v>
      </c>
      <c r="DD1402" s="4" t="s">
        <v>241</v>
      </c>
      <c r="DF1402" s="4" t="s">
        <v>241</v>
      </c>
      <c r="DI1402" s="4" t="s">
        <v>241</v>
      </c>
      <c r="DJ1402" s="4" t="s">
        <v>241</v>
      </c>
      <c r="DK1402" s="4" t="s">
        <v>241</v>
      </c>
      <c r="DL1402" s="4" t="s">
        <v>241</v>
      </c>
      <c r="DM1402" s="4" t="s">
        <v>277</v>
      </c>
      <c r="DN1402" s="4" t="s">
        <v>278</v>
      </c>
      <c r="DO1402" s="6">
        <f>250.41</f>
        <v>250.41</v>
      </c>
      <c r="DP1402" s="4" t="s">
        <v>241</v>
      </c>
      <c r="DQ1402" s="4" t="s">
        <v>241</v>
      </c>
      <c r="DR1402" s="4" t="s">
        <v>241</v>
      </c>
      <c r="DS1402" s="4" t="s">
        <v>241</v>
      </c>
      <c r="DV1402" s="4" t="s">
        <v>1634</v>
      </c>
      <c r="DW1402" s="4" t="s">
        <v>277</v>
      </c>
      <c r="HO1402" s="4" t="s">
        <v>277</v>
      </c>
      <c r="HR1402" s="4" t="s">
        <v>278</v>
      </c>
      <c r="HS1402" s="4" t="s">
        <v>278</v>
      </c>
    </row>
    <row r="1403" spans="1:240" x14ac:dyDescent="0.4">
      <c r="A1403" s="4">
        <v>2</v>
      </c>
      <c r="B1403" s="4" t="s">
        <v>239</v>
      </c>
      <c r="C1403" s="4">
        <v>1720</v>
      </c>
      <c r="D1403" s="4">
        <v>1</v>
      </c>
      <c r="E1403" s="4">
        <v>3</v>
      </c>
      <c r="F1403" s="4" t="s">
        <v>240</v>
      </c>
      <c r="G1403" s="4" t="s">
        <v>241</v>
      </c>
      <c r="H1403" s="4" t="s">
        <v>241</v>
      </c>
      <c r="I1403" s="4" t="s">
        <v>1481</v>
      </c>
      <c r="J1403" s="4" t="s">
        <v>1203</v>
      </c>
      <c r="K1403" s="4" t="s">
        <v>578</v>
      </c>
      <c r="L1403" s="4" t="s">
        <v>784</v>
      </c>
      <c r="M1403" s="5" t="s">
        <v>1482</v>
      </c>
      <c r="N1403" s="4" t="s">
        <v>784</v>
      </c>
      <c r="O1403" s="6">
        <f>300.3</f>
        <v>300.3</v>
      </c>
      <c r="P1403" s="4" t="s">
        <v>276</v>
      </c>
      <c r="Q1403" s="6">
        <f>1081080</f>
        <v>1081080</v>
      </c>
      <c r="R1403" s="6">
        <f>54054000</f>
        <v>54054000</v>
      </c>
      <c r="S1403" s="5" t="s">
        <v>511</v>
      </c>
      <c r="T1403" s="4" t="s">
        <v>296</v>
      </c>
      <c r="U1403" s="4" t="s">
        <v>514</v>
      </c>
      <c r="V1403" s="6">
        <f>1081080</f>
        <v>1081080</v>
      </c>
      <c r="W1403" s="6">
        <f>52972920</f>
        <v>52972920</v>
      </c>
      <c r="X1403" s="4" t="s">
        <v>243</v>
      </c>
      <c r="Y1403" s="4" t="s">
        <v>244</v>
      </c>
      <c r="Z1403" s="4" t="s">
        <v>282</v>
      </c>
      <c r="AA1403" s="4" t="s">
        <v>241</v>
      </c>
      <c r="AD1403" s="4" t="s">
        <v>241</v>
      </c>
      <c r="AE1403" s="5" t="s">
        <v>241</v>
      </c>
      <c r="AF1403" s="5" t="s">
        <v>241</v>
      </c>
      <c r="AH1403" s="5" t="s">
        <v>241</v>
      </c>
      <c r="AI1403" s="5" t="s">
        <v>249</v>
      </c>
      <c r="AJ1403" s="4" t="s">
        <v>251</v>
      </c>
      <c r="AK1403" s="4" t="s">
        <v>252</v>
      </c>
      <c r="AQ1403" s="4" t="s">
        <v>241</v>
      </c>
      <c r="AR1403" s="4" t="s">
        <v>241</v>
      </c>
      <c r="AS1403" s="4" t="s">
        <v>241</v>
      </c>
      <c r="AT1403" s="5" t="s">
        <v>241</v>
      </c>
      <c r="AU1403" s="5" t="s">
        <v>241</v>
      </c>
      <c r="AV1403" s="5" t="s">
        <v>241</v>
      </c>
      <c r="AY1403" s="4" t="s">
        <v>286</v>
      </c>
      <c r="AZ1403" s="4" t="s">
        <v>286</v>
      </c>
      <c r="BA1403" s="4" t="s">
        <v>254</v>
      </c>
      <c r="BB1403" s="4" t="s">
        <v>287</v>
      </c>
      <c r="BC1403" s="4" t="s">
        <v>255</v>
      </c>
      <c r="BD1403" s="4" t="s">
        <v>241</v>
      </c>
      <c r="BE1403" s="4" t="s">
        <v>257</v>
      </c>
      <c r="BF1403" s="4" t="s">
        <v>241</v>
      </c>
      <c r="BH1403" s="4" t="s">
        <v>787</v>
      </c>
      <c r="BJ1403" s="4" t="s">
        <v>288</v>
      </c>
      <c r="BK1403" s="5" t="s">
        <v>289</v>
      </c>
      <c r="BL1403" s="4" t="s">
        <v>290</v>
      </c>
      <c r="BM1403" s="4" t="s">
        <v>290</v>
      </c>
      <c r="BN1403" s="4" t="s">
        <v>241</v>
      </c>
      <c r="BO1403" s="6">
        <f>0</f>
        <v>0</v>
      </c>
      <c r="BP1403" s="6">
        <f>-1081080</f>
        <v>-1081080</v>
      </c>
      <c r="BQ1403" s="4" t="s">
        <v>263</v>
      </c>
      <c r="BR1403" s="4" t="s">
        <v>264</v>
      </c>
      <c r="BS1403" s="4" t="s">
        <v>241</v>
      </c>
      <c r="BT1403" s="4" t="s">
        <v>241</v>
      </c>
      <c r="BU1403" s="4" t="s">
        <v>241</v>
      </c>
      <c r="BV1403" s="4" t="s">
        <v>241</v>
      </c>
      <c r="CE1403" s="4" t="s">
        <v>264</v>
      </c>
      <c r="CF1403" s="4" t="s">
        <v>241</v>
      </c>
      <c r="CG1403" s="4" t="s">
        <v>241</v>
      </c>
      <c r="CK1403" s="4" t="s">
        <v>265</v>
      </c>
      <c r="CL1403" s="4" t="s">
        <v>266</v>
      </c>
      <c r="CM1403" s="4" t="s">
        <v>241</v>
      </c>
      <c r="CO1403" s="4" t="s">
        <v>513</v>
      </c>
      <c r="CP1403" s="5" t="s">
        <v>268</v>
      </c>
      <c r="CQ1403" s="4" t="s">
        <v>269</v>
      </c>
      <c r="CR1403" s="4" t="s">
        <v>270</v>
      </c>
      <c r="CS1403" s="4" t="s">
        <v>293</v>
      </c>
      <c r="CT1403" s="4" t="s">
        <v>241</v>
      </c>
      <c r="CU1403" s="4">
        <v>0.02</v>
      </c>
      <c r="CV1403" s="4" t="s">
        <v>271</v>
      </c>
      <c r="CW1403" s="4" t="s">
        <v>1329</v>
      </c>
      <c r="CX1403" s="4" t="s">
        <v>295</v>
      </c>
      <c r="CY1403" s="6">
        <f>0</f>
        <v>0</v>
      </c>
      <c r="CZ1403" s="6">
        <f>54054000</f>
        <v>54054000</v>
      </c>
      <c r="DA1403" s="6">
        <f>1081080</f>
        <v>1081080</v>
      </c>
      <c r="DC1403" s="4" t="s">
        <v>241</v>
      </c>
      <c r="DD1403" s="4" t="s">
        <v>241</v>
      </c>
      <c r="DF1403" s="4" t="s">
        <v>241</v>
      </c>
      <c r="DG1403" s="6">
        <f>0</f>
        <v>0</v>
      </c>
      <c r="DI1403" s="4" t="s">
        <v>241</v>
      </c>
      <c r="DJ1403" s="4" t="s">
        <v>241</v>
      </c>
      <c r="DK1403" s="4" t="s">
        <v>241</v>
      </c>
      <c r="DL1403" s="4" t="s">
        <v>241</v>
      </c>
      <c r="DM1403" s="4" t="s">
        <v>323</v>
      </c>
      <c r="DN1403" s="4" t="s">
        <v>278</v>
      </c>
      <c r="DO1403" s="6">
        <f>300.3</f>
        <v>300.3</v>
      </c>
      <c r="DP1403" s="4" t="s">
        <v>241</v>
      </c>
      <c r="DQ1403" s="4" t="s">
        <v>241</v>
      </c>
      <c r="DR1403" s="4" t="s">
        <v>241</v>
      </c>
      <c r="DS1403" s="4" t="s">
        <v>241</v>
      </c>
      <c r="DV1403" s="4" t="s">
        <v>1483</v>
      </c>
      <c r="DW1403" s="4" t="s">
        <v>277</v>
      </c>
      <c r="GN1403" s="4" t="s">
        <v>1484</v>
      </c>
      <c r="HO1403" s="4" t="s">
        <v>300</v>
      </c>
      <c r="HR1403" s="4" t="s">
        <v>278</v>
      </c>
      <c r="HS1403" s="4" t="s">
        <v>278</v>
      </c>
      <c r="HT1403" s="4" t="s">
        <v>241</v>
      </c>
      <c r="HU1403" s="4" t="s">
        <v>241</v>
      </c>
      <c r="HV1403" s="4" t="s">
        <v>241</v>
      </c>
      <c r="HW1403" s="4" t="s">
        <v>241</v>
      </c>
      <c r="HX1403" s="4" t="s">
        <v>241</v>
      </c>
      <c r="HY1403" s="4" t="s">
        <v>241</v>
      </c>
      <c r="HZ1403" s="4" t="s">
        <v>241</v>
      </c>
      <c r="IA1403" s="4" t="s">
        <v>241</v>
      </c>
      <c r="IB1403" s="4" t="s">
        <v>241</v>
      </c>
      <c r="IC1403" s="4" t="s">
        <v>241</v>
      </c>
      <c r="ID1403" s="4" t="s">
        <v>241</v>
      </c>
      <c r="IE1403" s="4" t="s">
        <v>241</v>
      </c>
      <c r="IF1403" s="4" t="s">
        <v>241</v>
      </c>
    </row>
    <row r="1404" spans="1:240" x14ac:dyDescent="0.4">
      <c r="A1404" s="4">
        <v>2</v>
      </c>
      <c r="B1404" s="4" t="s">
        <v>239</v>
      </c>
      <c r="C1404" s="4">
        <v>1721</v>
      </c>
      <c r="D1404" s="4">
        <v>1</v>
      </c>
      <c r="E1404" s="4">
        <v>1</v>
      </c>
      <c r="F1404" s="4" t="s">
        <v>240</v>
      </c>
      <c r="G1404" s="4" t="s">
        <v>241</v>
      </c>
      <c r="H1404" s="4" t="s">
        <v>241</v>
      </c>
      <c r="I1404" s="4" t="s">
        <v>1202</v>
      </c>
      <c r="J1404" s="4" t="s">
        <v>1203</v>
      </c>
      <c r="K1404" s="4" t="s">
        <v>578</v>
      </c>
      <c r="L1404" s="4" t="s">
        <v>440</v>
      </c>
      <c r="M1404" s="5" t="s">
        <v>633</v>
      </c>
      <c r="N1404" s="4" t="s">
        <v>1201</v>
      </c>
      <c r="O1404" s="6">
        <f>142.56</f>
        <v>142.56</v>
      </c>
      <c r="P1404" s="4" t="s">
        <v>276</v>
      </c>
      <c r="Q1404" s="6">
        <f>1</f>
        <v>1</v>
      </c>
      <c r="R1404" s="6">
        <f>18817920</f>
        <v>18817920</v>
      </c>
      <c r="S1404" s="5" t="s">
        <v>1204</v>
      </c>
      <c r="T1404" s="4" t="s">
        <v>314</v>
      </c>
      <c r="U1404" s="4" t="s">
        <v>391</v>
      </c>
      <c r="W1404" s="6">
        <f>18817919</f>
        <v>18817919</v>
      </c>
      <c r="X1404" s="4" t="s">
        <v>243</v>
      </c>
      <c r="Y1404" s="4" t="s">
        <v>244</v>
      </c>
      <c r="Z1404" s="4" t="s">
        <v>282</v>
      </c>
      <c r="AA1404" s="4" t="s">
        <v>241</v>
      </c>
      <c r="AD1404" s="4" t="s">
        <v>241</v>
      </c>
      <c r="AF1404" s="5" t="s">
        <v>241</v>
      </c>
      <c r="AI1404" s="5" t="s">
        <v>249</v>
      </c>
      <c r="AJ1404" s="4" t="s">
        <v>251</v>
      </c>
      <c r="AK1404" s="4" t="s">
        <v>252</v>
      </c>
      <c r="BA1404" s="4" t="s">
        <v>254</v>
      </c>
      <c r="BB1404" s="4" t="s">
        <v>241</v>
      </c>
      <c r="BC1404" s="4" t="s">
        <v>255</v>
      </c>
      <c r="BD1404" s="4" t="s">
        <v>241</v>
      </c>
      <c r="BE1404" s="4" t="s">
        <v>257</v>
      </c>
      <c r="BF1404" s="4" t="s">
        <v>241</v>
      </c>
      <c r="BH1404" s="4" t="s">
        <v>787</v>
      </c>
      <c r="BJ1404" s="4" t="s">
        <v>367</v>
      </c>
      <c r="BK1404" s="5" t="s">
        <v>249</v>
      </c>
      <c r="BL1404" s="4" t="s">
        <v>261</v>
      </c>
      <c r="BM1404" s="4" t="s">
        <v>262</v>
      </c>
      <c r="BN1404" s="4" t="s">
        <v>241</v>
      </c>
      <c r="BO1404" s="6">
        <f>0</f>
        <v>0</v>
      </c>
      <c r="BP1404" s="6">
        <f>0</f>
        <v>0</v>
      </c>
      <c r="BQ1404" s="4" t="s">
        <v>263</v>
      </c>
      <c r="BR1404" s="4" t="s">
        <v>264</v>
      </c>
      <c r="CF1404" s="4" t="s">
        <v>241</v>
      </c>
      <c r="CG1404" s="4" t="s">
        <v>241</v>
      </c>
      <c r="CK1404" s="4" t="s">
        <v>291</v>
      </c>
      <c r="CL1404" s="4" t="s">
        <v>266</v>
      </c>
      <c r="CM1404" s="4" t="s">
        <v>241</v>
      </c>
      <c r="CO1404" s="4" t="s">
        <v>390</v>
      </c>
      <c r="CP1404" s="5" t="s">
        <v>268</v>
      </c>
      <c r="CQ1404" s="4" t="s">
        <v>269</v>
      </c>
      <c r="CR1404" s="4" t="s">
        <v>270</v>
      </c>
      <c r="CS1404" s="4" t="s">
        <v>241</v>
      </c>
      <c r="CT1404" s="4" t="s">
        <v>241</v>
      </c>
      <c r="CU1404" s="4">
        <v>0</v>
      </c>
      <c r="CV1404" s="4" t="s">
        <v>271</v>
      </c>
      <c r="CW1404" s="4" t="s">
        <v>1176</v>
      </c>
      <c r="CX1404" s="4" t="s">
        <v>347</v>
      </c>
      <c r="CZ1404" s="6">
        <f>18817920</f>
        <v>18817920</v>
      </c>
      <c r="DA1404" s="6">
        <f>0</f>
        <v>0</v>
      </c>
      <c r="DC1404" s="4" t="s">
        <v>241</v>
      </c>
      <c r="DD1404" s="4" t="s">
        <v>241</v>
      </c>
      <c r="DF1404" s="4" t="s">
        <v>241</v>
      </c>
      <c r="DI1404" s="4" t="s">
        <v>241</v>
      </c>
      <c r="DJ1404" s="4" t="s">
        <v>241</v>
      </c>
      <c r="DK1404" s="4" t="s">
        <v>241</v>
      </c>
      <c r="DL1404" s="4" t="s">
        <v>241</v>
      </c>
      <c r="DM1404" s="4" t="s">
        <v>323</v>
      </c>
      <c r="DN1404" s="4" t="s">
        <v>278</v>
      </c>
      <c r="DO1404" s="6">
        <f>142.56</f>
        <v>142.56</v>
      </c>
      <c r="DP1404" s="4" t="s">
        <v>241</v>
      </c>
      <c r="DQ1404" s="4" t="s">
        <v>241</v>
      </c>
      <c r="DR1404" s="4" t="s">
        <v>241</v>
      </c>
      <c r="DS1404" s="4" t="s">
        <v>241</v>
      </c>
      <c r="DV1404" s="4" t="s">
        <v>1205</v>
      </c>
      <c r="DW1404" s="4" t="s">
        <v>277</v>
      </c>
      <c r="HO1404" s="4" t="s">
        <v>277</v>
      </c>
      <c r="HR1404" s="4" t="s">
        <v>278</v>
      </c>
      <c r="HS1404" s="4" t="s">
        <v>278</v>
      </c>
    </row>
    <row r="1405" spans="1:240" x14ac:dyDescent="0.4">
      <c r="A1405" s="4">
        <v>2</v>
      </c>
      <c r="B1405" s="4" t="s">
        <v>239</v>
      </c>
      <c r="C1405" s="4">
        <v>1722</v>
      </c>
      <c r="D1405" s="4">
        <v>1</v>
      </c>
      <c r="E1405" s="4">
        <v>1</v>
      </c>
      <c r="F1405" s="4" t="s">
        <v>240</v>
      </c>
      <c r="G1405" s="4" t="s">
        <v>241</v>
      </c>
      <c r="H1405" s="4" t="s">
        <v>241</v>
      </c>
      <c r="I1405" s="4" t="s">
        <v>3149</v>
      </c>
      <c r="J1405" s="4" t="s">
        <v>283</v>
      </c>
      <c r="K1405" s="4" t="s">
        <v>578</v>
      </c>
      <c r="L1405" s="4" t="s">
        <v>784</v>
      </c>
      <c r="M1405" s="5" t="s">
        <v>3150</v>
      </c>
      <c r="N1405" s="4" t="s">
        <v>784</v>
      </c>
      <c r="O1405" s="6">
        <f>254</f>
        <v>254</v>
      </c>
      <c r="P1405" s="4" t="s">
        <v>276</v>
      </c>
      <c r="Q1405" s="6">
        <f>1</f>
        <v>1</v>
      </c>
      <c r="R1405" s="6">
        <f>15240000</f>
        <v>15240000</v>
      </c>
      <c r="S1405" s="5" t="s">
        <v>2133</v>
      </c>
      <c r="T1405" s="4" t="s">
        <v>441</v>
      </c>
      <c r="U1405" s="4" t="s">
        <v>412</v>
      </c>
      <c r="W1405" s="6">
        <f>15239999</f>
        <v>15239999</v>
      </c>
      <c r="X1405" s="4" t="s">
        <v>243</v>
      </c>
      <c r="Y1405" s="4" t="s">
        <v>244</v>
      </c>
      <c r="Z1405" s="4" t="s">
        <v>282</v>
      </c>
      <c r="AA1405" s="4" t="s">
        <v>241</v>
      </c>
      <c r="AD1405" s="4" t="s">
        <v>241</v>
      </c>
      <c r="AF1405" s="5" t="s">
        <v>241</v>
      </c>
      <c r="AI1405" s="5" t="s">
        <v>249</v>
      </c>
      <c r="AJ1405" s="4" t="s">
        <v>251</v>
      </c>
      <c r="AK1405" s="4" t="s">
        <v>252</v>
      </c>
      <c r="BA1405" s="4" t="s">
        <v>254</v>
      </c>
      <c r="BB1405" s="4" t="s">
        <v>241</v>
      </c>
      <c r="BC1405" s="4" t="s">
        <v>255</v>
      </c>
      <c r="BD1405" s="4" t="s">
        <v>241</v>
      </c>
      <c r="BE1405" s="4" t="s">
        <v>257</v>
      </c>
      <c r="BF1405" s="4" t="s">
        <v>241</v>
      </c>
      <c r="BJ1405" s="4" t="s">
        <v>367</v>
      </c>
      <c r="BK1405" s="5" t="s">
        <v>249</v>
      </c>
      <c r="BL1405" s="4" t="s">
        <v>261</v>
      </c>
      <c r="BM1405" s="4" t="s">
        <v>262</v>
      </c>
      <c r="BN1405" s="4" t="s">
        <v>241</v>
      </c>
      <c r="BO1405" s="6">
        <f>0</f>
        <v>0</v>
      </c>
      <c r="BP1405" s="6">
        <f>0</f>
        <v>0</v>
      </c>
      <c r="BQ1405" s="4" t="s">
        <v>263</v>
      </c>
      <c r="BR1405" s="4" t="s">
        <v>264</v>
      </c>
      <c r="CF1405" s="4" t="s">
        <v>241</v>
      </c>
      <c r="CG1405" s="4" t="s">
        <v>241</v>
      </c>
      <c r="CK1405" s="4" t="s">
        <v>265</v>
      </c>
      <c r="CL1405" s="4" t="s">
        <v>266</v>
      </c>
      <c r="CM1405" s="4" t="s">
        <v>241</v>
      </c>
      <c r="CO1405" s="4" t="s">
        <v>1670</v>
      </c>
      <c r="CP1405" s="5" t="s">
        <v>268</v>
      </c>
      <c r="CQ1405" s="4" t="s">
        <v>269</v>
      </c>
      <c r="CR1405" s="4" t="s">
        <v>270</v>
      </c>
      <c r="CS1405" s="4" t="s">
        <v>241</v>
      </c>
      <c r="CT1405" s="4" t="s">
        <v>241</v>
      </c>
      <c r="CU1405" s="4">
        <v>0</v>
      </c>
      <c r="CV1405" s="4" t="s">
        <v>271</v>
      </c>
      <c r="CW1405" s="4" t="s">
        <v>272</v>
      </c>
      <c r="CX1405" s="4" t="s">
        <v>487</v>
      </c>
      <c r="CZ1405" s="6">
        <f>15240000</f>
        <v>15240000</v>
      </c>
      <c r="DA1405" s="6">
        <f>0</f>
        <v>0</v>
      </c>
      <c r="DC1405" s="4" t="s">
        <v>241</v>
      </c>
      <c r="DD1405" s="4" t="s">
        <v>241</v>
      </c>
      <c r="DF1405" s="4" t="s">
        <v>241</v>
      </c>
      <c r="DI1405" s="4" t="s">
        <v>241</v>
      </c>
      <c r="DJ1405" s="4" t="s">
        <v>241</v>
      </c>
      <c r="DK1405" s="4" t="s">
        <v>241</v>
      </c>
      <c r="DL1405" s="4" t="s">
        <v>241</v>
      </c>
      <c r="DM1405" s="4" t="s">
        <v>277</v>
      </c>
      <c r="DN1405" s="4" t="s">
        <v>278</v>
      </c>
      <c r="DO1405" s="6">
        <f>254</f>
        <v>254</v>
      </c>
      <c r="DP1405" s="4" t="s">
        <v>241</v>
      </c>
      <c r="DQ1405" s="4" t="s">
        <v>241</v>
      </c>
      <c r="DR1405" s="4" t="s">
        <v>241</v>
      </c>
      <c r="DS1405" s="4" t="s">
        <v>241</v>
      </c>
      <c r="DV1405" s="4" t="s">
        <v>3151</v>
      </c>
      <c r="DW1405" s="4" t="s">
        <v>277</v>
      </c>
      <c r="HO1405" s="4" t="s">
        <v>277</v>
      </c>
      <c r="HR1405" s="4" t="s">
        <v>278</v>
      </c>
      <c r="HS1405" s="4" t="s">
        <v>278</v>
      </c>
    </row>
    <row r="1406" spans="1:240" x14ac:dyDescent="0.4">
      <c r="A1406" s="4">
        <v>2</v>
      </c>
      <c r="B1406" s="4" t="s">
        <v>239</v>
      </c>
      <c r="C1406" s="4">
        <v>1723</v>
      </c>
      <c r="D1406" s="4">
        <v>1</v>
      </c>
      <c r="E1406" s="4">
        <v>3</v>
      </c>
      <c r="F1406" s="4" t="s">
        <v>240</v>
      </c>
      <c r="G1406" s="4" t="s">
        <v>241</v>
      </c>
      <c r="H1406" s="4" t="s">
        <v>241</v>
      </c>
      <c r="I1406" s="4" t="s">
        <v>1627</v>
      </c>
      <c r="J1406" s="4" t="s">
        <v>283</v>
      </c>
      <c r="K1406" s="4" t="s">
        <v>578</v>
      </c>
      <c r="L1406" s="4" t="s">
        <v>1626</v>
      </c>
      <c r="M1406" s="5" t="s">
        <v>1628</v>
      </c>
      <c r="N1406" s="4" t="s">
        <v>1626</v>
      </c>
      <c r="O1406" s="6">
        <f>340.88</f>
        <v>340.88</v>
      </c>
      <c r="P1406" s="4" t="s">
        <v>276</v>
      </c>
      <c r="Q1406" s="6">
        <f>15953184</f>
        <v>15953184</v>
      </c>
      <c r="R1406" s="6">
        <f>61358400</f>
        <v>61358400</v>
      </c>
      <c r="S1406" s="5" t="s">
        <v>662</v>
      </c>
      <c r="T1406" s="4" t="s">
        <v>296</v>
      </c>
      <c r="U1406" s="4" t="s">
        <v>1042</v>
      </c>
      <c r="V1406" s="6">
        <f>1227168</f>
        <v>1227168</v>
      </c>
      <c r="W1406" s="6">
        <f>45405216</f>
        <v>45405216</v>
      </c>
      <c r="X1406" s="4" t="s">
        <v>243</v>
      </c>
      <c r="Y1406" s="4" t="s">
        <v>244</v>
      </c>
      <c r="Z1406" s="4" t="s">
        <v>282</v>
      </c>
      <c r="AA1406" s="4" t="s">
        <v>241</v>
      </c>
      <c r="AD1406" s="4" t="s">
        <v>241</v>
      </c>
      <c r="AE1406" s="5" t="s">
        <v>241</v>
      </c>
      <c r="AF1406" s="5" t="s">
        <v>241</v>
      </c>
      <c r="AH1406" s="5" t="s">
        <v>241</v>
      </c>
      <c r="AI1406" s="5" t="s">
        <v>249</v>
      </c>
      <c r="AJ1406" s="4" t="s">
        <v>251</v>
      </c>
      <c r="AK1406" s="4" t="s">
        <v>252</v>
      </c>
      <c r="AQ1406" s="4" t="s">
        <v>241</v>
      </c>
      <c r="AR1406" s="4" t="s">
        <v>241</v>
      </c>
      <c r="AS1406" s="4" t="s">
        <v>241</v>
      </c>
      <c r="AT1406" s="5" t="s">
        <v>241</v>
      </c>
      <c r="AU1406" s="5" t="s">
        <v>241</v>
      </c>
      <c r="AV1406" s="5" t="s">
        <v>241</v>
      </c>
      <c r="AY1406" s="4" t="s">
        <v>286</v>
      </c>
      <c r="AZ1406" s="4" t="s">
        <v>286</v>
      </c>
      <c r="BA1406" s="4" t="s">
        <v>254</v>
      </c>
      <c r="BB1406" s="4" t="s">
        <v>287</v>
      </c>
      <c r="BC1406" s="4" t="s">
        <v>255</v>
      </c>
      <c r="BD1406" s="4" t="s">
        <v>241</v>
      </c>
      <c r="BE1406" s="4" t="s">
        <v>257</v>
      </c>
      <c r="BF1406" s="4" t="s">
        <v>241</v>
      </c>
      <c r="BJ1406" s="4" t="s">
        <v>288</v>
      </c>
      <c r="BK1406" s="5" t="s">
        <v>289</v>
      </c>
      <c r="BL1406" s="4" t="s">
        <v>290</v>
      </c>
      <c r="BM1406" s="4" t="s">
        <v>290</v>
      </c>
      <c r="BN1406" s="4" t="s">
        <v>241</v>
      </c>
      <c r="BO1406" s="6">
        <f>0</f>
        <v>0</v>
      </c>
      <c r="BP1406" s="6">
        <f>-1227168</f>
        <v>-1227168</v>
      </c>
      <c r="BQ1406" s="4" t="s">
        <v>263</v>
      </c>
      <c r="BR1406" s="4" t="s">
        <v>264</v>
      </c>
      <c r="BS1406" s="4" t="s">
        <v>241</v>
      </c>
      <c r="BT1406" s="4" t="s">
        <v>241</v>
      </c>
      <c r="BU1406" s="4" t="s">
        <v>241</v>
      </c>
      <c r="BV1406" s="4" t="s">
        <v>241</v>
      </c>
      <c r="CE1406" s="4" t="s">
        <v>264</v>
      </c>
      <c r="CF1406" s="4" t="s">
        <v>241</v>
      </c>
      <c r="CG1406" s="4" t="s">
        <v>241</v>
      </c>
      <c r="CK1406" s="4" t="s">
        <v>265</v>
      </c>
      <c r="CL1406" s="4" t="s">
        <v>266</v>
      </c>
      <c r="CM1406" s="4" t="s">
        <v>241</v>
      </c>
      <c r="CO1406" s="4" t="s">
        <v>724</v>
      </c>
      <c r="CP1406" s="5" t="s">
        <v>268</v>
      </c>
      <c r="CQ1406" s="4" t="s">
        <v>269</v>
      </c>
      <c r="CR1406" s="4" t="s">
        <v>270</v>
      </c>
      <c r="CS1406" s="4" t="s">
        <v>293</v>
      </c>
      <c r="CT1406" s="4" t="s">
        <v>241</v>
      </c>
      <c r="CU1406" s="4">
        <v>0.02</v>
      </c>
      <c r="CV1406" s="4" t="s">
        <v>271</v>
      </c>
      <c r="CW1406" s="4" t="s">
        <v>1618</v>
      </c>
      <c r="CX1406" s="4" t="s">
        <v>295</v>
      </c>
      <c r="CY1406" s="6">
        <f>0</f>
        <v>0</v>
      </c>
      <c r="CZ1406" s="6">
        <f>61358400</f>
        <v>61358400</v>
      </c>
      <c r="DA1406" s="6">
        <f>15953184</f>
        <v>15953184</v>
      </c>
      <c r="DC1406" s="4" t="s">
        <v>241</v>
      </c>
      <c r="DD1406" s="4" t="s">
        <v>241</v>
      </c>
      <c r="DF1406" s="4" t="s">
        <v>241</v>
      </c>
      <c r="DG1406" s="6">
        <f>0</f>
        <v>0</v>
      </c>
      <c r="DI1406" s="4" t="s">
        <v>241</v>
      </c>
      <c r="DJ1406" s="4" t="s">
        <v>241</v>
      </c>
      <c r="DK1406" s="4" t="s">
        <v>241</v>
      </c>
      <c r="DL1406" s="4" t="s">
        <v>241</v>
      </c>
      <c r="DM1406" s="4" t="s">
        <v>277</v>
      </c>
      <c r="DN1406" s="4" t="s">
        <v>278</v>
      </c>
      <c r="DO1406" s="6">
        <f>340.88</f>
        <v>340.88</v>
      </c>
      <c r="DP1406" s="4" t="s">
        <v>241</v>
      </c>
      <c r="DQ1406" s="4" t="s">
        <v>241</v>
      </c>
      <c r="DR1406" s="4" t="s">
        <v>241</v>
      </c>
      <c r="DS1406" s="4" t="s">
        <v>241</v>
      </c>
      <c r="DV1406" s="4" t="s">
        <v>1629</v>
      </c>
      <c r="DW1406" s="4" t="s">
        <v>277</v>
      </c>
      <c r="GN1406" s="4" t="s">
        <v>1630</v>
      </c>
      <c r="HO1406" s="4" t="s">
        <v>300</v>
      </c>
      <c r="HR1406" s="4" t="s">
        <v>278</v>
      </c>
      <c r="HS1406" s="4" t="s">
        <v>278</v>
      </c>
      <c r="HT1406" s="4" t="s">
        <v>241</v>
      </c>
      <c r="HU1406" s="4" t="s">
        <v>241</v>
      </c>
      <c r="HV1406" s="4" t="s">
        <v>241</v>
      </c>
      <c r="HW1406" s="4" t="s">
        <v>241</v>
      </c>
      <c r="HX1406" s="4" t="s">
        <v>241</v>
      </c>
      <c r="HY1406" s="4" t="s">
        <v>241</v>
      </c>
      <c r="HZ1406" s="4" t="s">
        <v>241</v>
      </c>
      <c r="IA1406" s="4" t="s">
        <v>241</v>
      </c>
      <c r="IB1406" s="4" t="s">
        <v>241</v>
      </c>
      <c r="IC1406" s="4" t="s">
        <v>241</v>
      </c>
      <c r="ID1406" s="4" t="s">
        <v>241</v>
      </c>
      <c r="IE1406" s="4" t="s">
        <v>241</v>
      </c>
      <c r="IF1406" s="4" t="s">
        <v>241</v>
      </c>
    </row>
    <row r="1407" spans="1:240" x14ac:dyDescent="0.4">
      <c r="A1407" s="4">
        <v>2</v>
      </c>
      <c r="B1407" s="4" t="s">
        <v>239</v>
      </c>
      <c r="C1407" s="4">
        <v>1724</v>
      </c>
      <c r="D1407" s="4">
        <v>1</v>
      </c>
      <c r="E1407" s="4">
        <v>3</v>
      </c>
      <c r="F1407" s="4" t="s">
        <v>240</v>
      </c>
      <c r="G1407" s="4" t="s">
        <v>241</v>
      </c>
      <c r="H1407" s="4" t="s">
        <v>241</v>
      </c>
      <c r="I1407" s="4" t="s">
        <v>1627</v>
      </c>
      <c r="J1407" s="4" t="s">
        <v>283</v>
      </c>
      <c r="K1407" s="4" t="s">
        <v>578</v>
      </c>
      <c r="L1407" s="4" t="s">
        <v>429</v>
      </c>
      <c r="M1407" s="5" t="s">
        <v>1628</v>
      </c>
      <c r="N1407" s="4" t="s">
        <v>429</v>
      </c>
      <c r="O1407" s="6">
        <f>9.9</f>
        <v>9.9</v>
      </c>
      <c r="P1407" s="4" t="s">
        <v>276</v>
      </c>
      <c r="Q1407" s="6">
        <f>268983</f>
        <v>268983</v>
      </c>
      <c r="R1407" s="6">
        <f>940500</f>
        <v>940500</v>
      </c>
      <c r="S1407" s="5" t="s">
        <v>3772</v>
      </c>
      <c r="T1407" s="4" t="s">
        <v>274</v>
      </c>
      <c r="U1407" s="4" t="s">
        <v>371</v>
      </c>
      <c r="V1407" s="6">
        <f>39501</f>
        <v>39501</v>
      </c>
      <c r="W1407" s="6">
        <f>671517</f>
        <v>671517</v>
      </c>
      <c r="X1407" s="4" t="s">
        <v>243</v>
      </c>
      <c r="Y1407" s="4" t="s">
        <v>244</v>
      </c>
      <c r="Z1407" s="4" t="s">
        <v>282</v>
      </c>
      <c r="AA1407" s="4" t="s">
        <v>241</v>
      </c>
      <c r="AD1407" s="4" t="s">
        <v>241</v>
      </c>
      <c r="AE1407" s="5" t="s">
        <v>241</v>
      </c>
      <c r="AF1407" s="5" t="s">
        <v>241</v>
      </c>
      <c r="AH1407" s="5" t="s">
        <v>241</v>
      </c>
      <c r="AI1407" s="5" t="s">
        <v>249</v>
      </c>
      <c r="AJ1407" s="4" t="s">
        <v>251</v>
      </c>
      <c r="AK1407" s="4" t="s">
        <v>252</v>
      </c>
      <c r="AQ1407" s="4" t="s">
        <v>241</v>
      </c>
      <c r="AR1407" s="4" t="s">
        <v>241</v>
      </c>
      <c r="AS1407" s="4" t="s">
        <v>241</v>
      </c>
      <c r="AT1407" s="5" t="s">
        <v>241</v>
      </c>
      <c r="AU1407" s="5" t="s">
        <v>241</v>
      </c>
      <c r="AV1407" s="5" t="s">
        <v>241</v>
      </c>
      <c r="AY1407" s="4" t="s">
        <v>286</v>
      </c>
      <c r="AZ1407" s="4" t="s">
        <v>286</v>
      </c>
      <c r="BA1407" s="4" t="s">
        <v>254</v>
      </c>
      <c r="BB1407" s="4" t="s">
        <v>287</v>
      </c>
      <c r="BC1407" s="4" t="s">
        <v>255</v>
      </c>
      <c r="BD1407" s="4" t="s">
        <v>241</v>
      </c>
      <c r="BE1407" s="4" t="s">
        <v>257</v>
      </c>
      <c r="BF1407" s="4" t="s">
        <v>241</v>
      </c>
      <c r="BJ1407" s="4" t="s">
        <v>288</v>
      </c>
      <c r="BK1407" s="5" t="s">
        <v>289</v>
      </c>
      <c r="BL1407" s="4" t="s">
        <v>290</v>
      </c>
      <c r="BM1407" s="4" t="s">
        <v>290</v>
      </c>
      <c r="BN1407" s="4" t="s">
        <v>241</v>
      </c>
      <c r="BO1407" s="6">
        <f>0</f>
        <v>0</v>
      </c>
      <c r="BP1407" s="6">
        <f>-39501</f>
        <v>-39501</v>
      </c>
      <c r="BQ1407" s="4" t="s">
        <v>263</v>
      </c>
      <c r="BR1407" s="4" t="s">
        <v>264</v>
      </c>
      <c r="BS1407" s="4" t="s">
        <v>241</v>
      </c>
      <c r="BT1407" s="4" t="s">
        <v>241</v>
      </c>
      <c r="BU1407" s="4" t="s">
        <v>241</v>
      </c>
      <c r="BV1407" s="4" t="s">
        <v>241</v>
      </c>
      <c r="CE1407" s="4" t="s">
        <v>264</v>
      </c>
      <c r="CF1407" s="4" t="s">
        <v>241</v>
      </c>
      <c r="CG1407" s="4" t="s">
        <v>241</v>
      </c>
      <c r="CK1407" s="4" t="s">
        <v>291</v>
      </c>
      <c r="CL1407" s="4" t="s">
        <v>266</v>
      </c>
      <c r="CM1407" s="4" t="s">
        <v>241</v>
      </c>
      <c r="CO1407" s="4" t="s">
        <v>407</v>
      </c>
      <c r="CP1407" s="5" t="s">
        <v>268</v>
      </c>
      <c r="CQ1407" s="4" t="s">
        <v>269</v>
      </c>
      <c r="CR1407" s="4" t="s">
        <v>270</v>
      </c>
      <c r="CS1407" s="4" t="s">
        <v>293</v>
      </c>
      <c r="CT1407" s="4" t="s">
        <v>241</v>
      </c>
      <c r="CU1407" s="4">
        <v>4.2000000000000003E-2</v>
      </c>
      <c r="CV1407" s="4" t="s">
        <v>271</v>
      </c>
      <c r="CW1407" s="4" t="s">
        <v>272</v>
      </c>
      <c r="CX1407" s="4" t="s">
        <v>273</v>
      </c>
      <c r="CY1407" s="6">
        <f>0</f>
        <v>0</v>
      </c>
      <c r="CZ1407" s="6">
        <f>940500</f>
        <v>940500</v>
      </c>
      <c r="DA1407" s="6">
        <f>268983</f>
        <v>268983</v>
      </c>
      <c r="DC1407" s="4" t="s">
        <v>241</v>
      </c>
      <c r="DD1407" s="4" t="s">
        <v>241</v>
      </c>
      <c r="DF1407" s="4" t="s">
        <v>241</v>
      </c>
      <c r="DG1407" s="6">
        <f>0</f>
        <v>0</v>
      </c>
      <c r="DI1407" s="4" t="s">
        <v>241</v>
      </c>
      <c r="DJ1407" s="4" t="s">
        <v>241</v>
      </c>
      <c r="DK1407" s="4" t="s">
        <v>241</v>
      </c>
      <c r="DL1407" s="4" t="s">
        <v>241</v>
      </c>
      <c r="DM1407" s="4" t="s">
        <v>277</v>
      </c>
      <c r="DN1407" s="4" t="s">
        <v>278</v>
      </c>
      <c r="DO1407" s="6">
        <f>9.9</f>
        <v>9.9</v>
      </c>
      <c r="DP1407" s="4" t="s">
        <v>241</v>
      </c>
      <c r="DQ1407" s="4" t="s">
        <v>241</v>
      </c>
      <c r="DR1407" s="4" t="s">
        <v>241</v>
      </c>
      <c r="DS1407" s="4" t="s">
        <v>241</v>
      </c>
      <c r="DV1407" s="4" t="s">
        <v>1629</v>
      </c>
      <c r="DW1407" s="4" t="s">
        <v>323</v>
      </c>
      <c r="GN1407" s="4" t="s">
        <v>3773</v>
      </c>
      <c r="HO1407" s="4" t="s">
        <v>300</v>
      </c>
      <c r="HR1407" s="4" t="s">
        <v>278</v>
      </c>
      <c r="HS1407" s="4" t="s">
        <v>278</v>
      </c>
      <c r="HT1407" s="4" t="s">
        <v>241</v>
      </c>
      <c r="HU1407" s="4" t="s">
        <v>241</v>
      </c>
      <c r="HV1407" s="4" t="s">
        <v>241</v>
      </c>
      <c r="HW1407" s="4" t="s">
        <v>241</v>
      </c>
      <c r="HX1407" s="4" t="s">
        <v>241</v>
      </c>
      <c r="HY1407" s="4" t="s">
        <v>241</v>
      </c>
      <c r="HZ1407" s="4" t="s">
        <v>241</v>
      </c>
      <c r="IA1407" s="4" t="s">
        <v>241</v>
      </c>
      <c r="IB1407" s="4" t="s">
        <v>241</v>
      </c>
      <c r="IC1407" s="4" t="s">
        <v>241</v>
      </c>
      <c r="ID1407" s="4" t="s">
        <v>241</v>
      </c>
      <c r="IE1407" s="4" t="s">
        <v>241</v>
      </c>
      <c r="IF1407" s="4" t="s">
        <v>241</v>
      </c>
    </row>
    <row r="1408" spans="1:240" x14ac:dyDescent="0.4">
      <c r="A1408" s="4">
        <v>2</v>
      </c>
      <c r="B1408" s="4" t="s">
        <v>239</v>
      </c>
      <c r="C1408" s="4">
        <v>1725</v>
      </c>
      <c r="D1408" s="4">
        <v>1</v>
      </c>
      <c r="E1408" s="4">
        <v>1</v>
      </c>
      <c r="F1408" s="4" t="s">
        <v>240</v>
      </c>
      <c r="G1408" s="4" t="s">
        <v>241</v>
      </c>
      <c r="H1408" s="4" t="s">
        <v>241</v>
      </c>
      <c r="I1408" s="4" t="s">
        <v>1627</v>
      </c>
      <c r="J1408" s="4" t="s">
        <v>283</v>
      </c>
      <c r="K1408" s="4" t="s">
        <v>578</v>
      </c>
      <c r="L1408" s="4" t="s">
        <v>2114</v>
      </c>
      <c r="M1408" s="5" t="s">
        <v>1628</v>
      </c>
      <c r="N1408" s="4" t="s">
        <v>2114</v>
      </c>
      <c r="O1408" s="6">
        <f>337</f>
        <v>337</v>
      </c>
      <c r="P1408" s="4" t="s">
        <v>276</v>
      </c>
      <c r="Q1408" s="6">
        <f>1</f>
        <v>1</v>
      </c>
      <c r="R1408" s="6">
        <f>33700000</f>
        <v>33700000</v>
      </c>
      <c r="S1408" s="5" t="s">
        <v>774</v>
      </c>
      <c r="T1408" s="4" t="s">
        <v>314</v>
      </c>
      <c r="U1408" s="4" t="s">
        <v>552</v>
      </c>
      <c r="W1408" s="6">
        <f>33699999</f>
        <v>33699999</v>
      </c>
      <c r="X1408" s="4" t="s">
        <v>243</v>
      </c>
      <c r="Y1408" s="4" t="s">
        <v>244</v>
      </c>
      <c r="Z1408" s="4" t="s">
        <v>282</v>
      </c>
      <c r="AA1408" s="4" t="s">
        <v>241</v>
      </c>
      <c r="AD1408" s="4" t="s">
        <v>241</v>
      </c>
      <c r="AF1408" s="5" t="s">
        <v>241</v>
      </c>
      <c r="AI1408" s="5" t="s">
        <v>249</v>
      </c>
      <c r="AJ1408" s="4" t="s">
        <v>251</v>
      </c>
      <c r="AK1408" s="4" t="s">
        <v>252</v>
      </c>
      <c r="BA1408" s="4" t="s">
        <v>254</v>
      </c>
      <c r="BB1408" s="4" t="s">
        <v>241</v>
      </c>
      <c r="BC1408" s="4" t="s">
        <v>255</v>
      </c>
      <c r="BD1408" s="4" t="s">
        <v>241</v>
      </c>
      <c r="BE1408" s="4" t="s">
        <v>257</v>
      </c>
      <c r="BF1408" s="4" t="s">
        <v>241</v>
      </c>
      <c r="BJ1408" s="4" t="s">
        <v>374</v>
      </c>
      <c r="BK1408" s="5" t="s">
        <v>375</v>
      </c>
      <c r="BL1408" s="4" t="s">
        <v>261</v>
      </c>
      <c r="BM1408" s="4" t="s">
        <v>262</v>
      </c>
      <c r="BN1408" s="4" t="s">
        <v>241</v>
      </c>
      <c r="BO1408" s="6">
        <f>0</f>
        <v>0</v>
      </c>
      <c r="BP1408" s="6">
        <f>0</f>
        <v>0</v>
      </c>
      <c r="BQ1408" s="4" t="s">
        <v>263</v>
      </c>
      <c r="BR1408" s="4" t="s">
        <v>264</v>
      </c>
      <c r="CF1408" s="4" t="s">
        <v>241</v>
      </c>
      <c r="CG1408" s="4" t="s">
        <v>241</v>
      </c>
      <c r="CK1408" s="4" t="s">
        <v>265</v>
      </c>
      <c r="CL1408" s="4" t="s">
        <v>266</v>
      </c>
      <c r="CM1408" s="4" t="s">
        <v>241</v>
      </c>
      <c r="CO1408" s="4" t="s">
        <v>662</v>
      </c>
      <c r="CP1408" s="5" t="s">
        <v>268</v>
      </c>
      <c r="CQ1408" s="4" t="s">
        <v>269</v>
      </c>
      <c r="CR1408" s="4" t="s">
        <v>270</v>
      </c>
      <c r="CS1408" s="4" t="s">
        <v>241</v>
      </c>
      <c r="CT1408" s="4" t="s">
        <v>241</v>
      </c>
      <c r="CU1408" s="4">
        <v>0</v>
      </c>
      <c r="CV1408" s="4" t="s">
        <v>271</v>
      </c>
      <c r="CW1408" s="4" t="s">
        <v>411</v>
      </c>
      <c r="CX1408" s="4" t="s">
        <v>347</v>
      </c>
      <c r="CZ1408" s="6">
        <f>33700000</f>
        <v>33700000</v>
      </c>
      <c r="DA1408" s="6">
        <f>0</f>
        <v>0</v>
      </c>
      <c r="DC1408" s="4" t="s">
        <v>241</v>
      </c>
      <c r="DD1408" s="4" t="s">
        <v>241</v>
      </c>
      <c r="DF1408" s="4" t="s">
        <v>241</v>
      </c>
      <c r="DI1408" s="4" t="s">
        <v>241</v>
      </c>
      <c r="DJ1408" s="4" t="s">
        <v>241</v>
      </c>
      <c r="DK1408" s="4" t="s">
        <v>241</v>
      </c>
      <c r="DL1408" s="4" t="s">
        <v>241</v>
      </c>
      <c r="DM1408" s="4" t="s">
        <v>323</v>
      </c>
      <c r="DN1408" s="4" t="s">
        <v>278</v>
      </c>
      <c r="DO1408" s="6">
        <f>337</f>
        <v>337</v>
      </c>
      <c r="DP1408" s="4" t="s">
        <v>241</v>
      </c>
      <c r="DQ1408" s="4" t="s">
        <v>241</v>
      </c>
      <c r="DR1408" s="4" t="s">
        <v>241</v>
      </c>
      <c r="DS1408" s="4" t="s">
        <v>241</v>
      </c>
      <c r="DV1408" s="4" t="s">
        <v>1629</v>
      </c>
      <c r="DW1408" s="4" t="s">
        <v>297</v>
      </c>
      <c r="HO1408" s="4" t="s">
        <v>277</v>
      </c>
      <c r="HR1408" s="4" t="s">
        <v>278</v>
      </c>
      <c r="HS1408" s="4" t="s">
        <v>278</v>
      </c>
    </row>
    <row r="1409" spans="1:240" x14ac:dyDescent="0.4">
      <c r="A1409" s="4">
        <v>2</v>
      </c>
      <c r="B1409" s="4" t="s">
        <v>239</v>
      </c>
      <c r="C1409" s="4">
        <v>1726</v>
      </c>
      <c r="D1409" s="4">
        <v>1</v>
      </c>
      <c r="E1409" s="4">
        <v>1</v>
      </c>
      <c r="F1409" s="4" t="s">
        <v>240</v>
      </c>
      <c r="G1409" s="4" t="s">
        <v>241</v>
      </c>
      <c r="H1409" s="4" t="s">
        <v>241</v>
      </c>
      <c r="I1409" s="4" t="s">
        <v>1627</v>
      </c>
      <c r="J1409" s="4" t="s">
        <v>283</v>
      </c>
      <c r="K1409" s="4" t="s">
        <v>578</v>
      </c>
      <c r="L1409" s="4" t="s">
        <v>454</v>
      </c>
      <c r="M1409" s="5" t="s">
        <v>1628</v>
      </c>
      <c r="N1409" s="4" t="s">
        <v>454</v>
      </c>
      <c r="O1409" s="6">
        <f>56.12</f>
        <v>56.12</v>
      </c>
      <c r="P1409" s="4" t="s">
        <v>276</v>
      </c>
      <c r="Q1409" s="6">
        <f>1</f>
        <v>1</v>
      </c>
      <c r="R1409" s="6">
        <f>5387520</f>
        <v>5387520</v>
      </c>
      <c r="S1409" s="5" t="s">
        <v>3872</v>
      </c>
      <c r="T1409" s="4" t="s">
        <v>404</v>
      </c>
      <c r="U1409" s="4" t="s">
        <v>404</v>
      </c>
      <c r="W1409" s="6">
        <f>5387519</f>
        <v>5387519</v>
      </c>
      <c r="X1409" s="4" t="s">
        <v>243</v>
      </c>
      <c r="Y1409" s="4" t="s">
        <v>244</v>
      </c>
      <c r="Z1409" s="4" t="s">
        <v>282</v>
      </c>
      <c r="AA1409" s="4" t="s">
        <v>241</v>
      </c>
      <c r="AD1409" s="4" t="s">
        <v>241</v>
      </c>
      <c r="AF1409" s="5" t="s">
        <v>241</v>
      </c>
      <c r="AI1409" s="5" t="s">
        <v>249</v>
      </c>
      <c r="AJ1409" s="4" t="s">
        <v>251</v>
      </c>
      <c r="AK1409" s="4" t="s">
        <v>252</v>
      </c>
      <c r="BA1409" s="4" t="s">
        <v>254</v>
      </c>
      <c r="BB1409" s="4" t="s">
        <v>241</v>
      </c>
      <c r="BC1409" s="4" t="s">
        <v>255</v>
      </c>
      <c r="BD1409" s="4" t="s">
        <v>241</v>
      </c>
      <c r="BE1409" s="4" t="s">
        <v>257</v>
      </c>
      <c r="BF1409" s="4" t="s">
        <v>241</v>
      </c>
      <c r="BJ1409" s="4" t="s">
        <v>377</v>
      </c>
      <c r="BK1409" s="5" t="s">
        <v>378</v>
      </c>
      <c r="BL1409" s="4" t="s">
        <v>261</v>
      </c>
      <c r="BM1409" s="4" t="s">
        <v>290</v>
      </c>
      <c r="BN1409" s="4" t="s">
        <v>241</v>
      </c>
      <c r="BO1409" s="6">
        <f>0</f>
        <v>0</v>
      </c>
      <c r="BP1409" s="6">
        <f>0</f>
        <v>0</v>
      </c>
      <c r="BQ1409" s="4" t="s">
        <v>263</v>
      </c>
      <c r="BR1409" s="4" t="s">
        <v>264</v>
      </c>
      <c r="CF1409" s="4" t="s">
        <v>241</v>
      </c>
      <c r="CG1409" s="4" t="s">
        <v>241</v>
      </c>
      <c r="CK1409" s="4" t="s">
        <v>291</v>
      </c>
      <c r="CL1409" s="4" t="s">
        <v>266</v>
      </c>
      <c r="CM1409" s="4" t="s">
        <v>241</v>
      </c>
      <c r="CO1409" s="4" t="s">
        <v>355</v>
      </c>
      <c r="CP1409" s="5" t="s">
        <v>268</v>
      </c>
      <c r="CQ1409" s="4" t="s">
        <v>269</v>
      </c>
      <c r="CR1409" s="4" t="s">
        <v>270</v>
      </c>
      <c r="CS1409" s="4" t="s">
        <v>241</v>
      </c>
      <c r="CT1409" s="4" t="s">
        <v>241</v>
      </c>
      <c r="CU1409" s="4">
        <v>0</v>
      </c>
      <c r="CV1409" s="4" t="s">
        <v>271</v>
      </c>
      <c r="CW1409" s="4" t="s">
        <v>455</v>
      </c>
      <c r="CX1409" s="4" t="s">
        <v>273</v>
      </c>
      <c r="CZ1409" s="6">
        <f>5387520</f>
        <v>5387520</v>
      </c>
      <c r="DA1409" s="6">
        <f>0</f>
        <v>0</v>
      </c>
      <c r="DC1409" s="4" t="s">
        <v>241</v>
      </c>
      <c r="DD1409" s="4" t="s">
        <v>241</v>
      </c>
      <c r="DF1409" s="4" t="s">
        <v>241</v>
      </c>
      <c r="DI1409" s="4" t="s">
        <v>241</v>
      </c>
      <c r="DJ1409" s="4" t="s">
        <v>241</v>
      </c>
      <c r="DK1409" s="4" t="s">
        <v>241</v>
      </c>
      <c r="DL1409" s="4" t="s">
        <v>241</v>
      </c>
      <c r="DM1409" s="4" t="s">
        <v>323</v>
      </c>
      <c r="DN1409" s="4" t="s">
        <v>278</v>
      </c>
      <c r="DO1409" s="6">
        <f>56.12</f>
        <v>56.12</v>
      </c>
      <c r="DP1409" s="4" t="s">
        <v>241</v>
      </c>
      <c r="DQ1409" s="4" t="s">
        <v>241</v>
      </c>
      <c r="DR1409" s="4" t="s">
        <v>241</v>
      </c>
      <c r="DS1409" s="4" t="s">
        <v>241</v>
      </c>
      <c r="DV1409" s="4" t="s">
        <v>1629</v>
      </c>
      <c r="DW1409" s="4" t="s">
        <v>336</v>
      </c>
      <c r="HO1409" s="4" t="s">
        <v>336</v>
      </c>
      <c r="HR1409" s="4" t="s">
        <v>278</v>
      </c>
      <c r="HS1409" s="4" t="s">
        <v>278</v>
      </c>
    </row>
    <row r="1410" spans="1:240" x14ac:dyDescent="0.4">
      <c r="A1410" s="4">
        <v>2</v>
      </c>
      <c r="B1410" s="4" t="s">
        <v>239</v>
      </c>
      <c r="C1410" s="4">
        <v>1727</v>
      </c>
      <c r="D1410" s="4">
        <v>1</v>
      </c>
      <c r="E1410" s="4">
        <v>1</v>
      </c>
      <c r="F1410" s="4" t="s">
        <v>240</v>
      </c>
      <c r="G1410" s="4" t="s">
        <v>241</v>
      </c>
      <c r="H1410" s="4" t="s">
        <v>241</v>
      </c>
      <c r="I1410" s="4" t="s">
        <v>1600</v>
      </c>
      <c r="J1410" s="4" t="s">
        <v>283</v>
      </c>
      <c r="K1410" s="4" t="s">
        <v>578</v>
      </c>
      <c r="L1410" s="4" t="s">
        <v>440</v>
      </c>
      <c r="M1410" s="5" t="s">
        <v>1602</v>
      </c>
      <c r="N1410" s="4" t="s">
        <v>1196</v>
      </c>
      <c r="O1410" s="6">
        <f>776.66</f>
        <v>776.66</v>
      </c>
      <c r="P1410" s="4" t="s">
        <v>276</v>
      </c>
      <c r="Q1410" s="6">
        <f>1</f>
        <v>1</v>
      </c>
      <c r="R1410" s="6">
        <f>69899400</f>
        <v>69899400</v>
      </c>
      <c r="S1410" s="5" t="s">
        <v>1601</v>
      </c>
      <c r="T1410" s="4" t="s">
        <v>274</v>
      </c>
      <c r="U1410" s="4" t="s">
        <v>306</v>
      </c>
      <c r="W1410" s="6">
        <f>69899399</f>
        <v>69899399</v>
      </c>
      <c r="X1410" s="4" t="s">
        <v>243</v>
      </c>
      <c r="Y1410" s="4" t="s">
        <v>244</v>
      </c>
      <c r="Z1410" s="4" t="s">
        <v>282</v>
      </c>
      <c r="AA1410" s="4" t="s">
        <v>241</v>
      </c>
      <c r="AD1410" s="4" t="s">
        <v>241</v>
      </c>
      <c r="AF1410" s="5" t="s">
        <v>241</v>
      </c>
      <c r="AI1410" s="5" t="s">
        <v>249</v>
      </c>
      <c r="AJ1410" s="4" t="s">
        <v>251</v>
      </c>
      <c r="AK1410" s="4" t="s">
        <v>252</v>
      </c>
      <c r="BA1410" s="4" t="s">
        <v>254</v>
      </c>
      <c r="BB1410" s="4" t="s">
        <v>241</v>
      </c>
      <c r="BC1410" s="4" t="s">
        <v>255</v>
      </c>
      <c r="BD1410" s="4" t="s">
        <v>241</v>
      </c>
      <c r="BE1410" s="4" t="s">
        <v>257</v>
      </c>
      <c r="BF1410" s="4" t="s">
        <v>241</v>
      </c>
      <c r="BJ1410" s="4" t="s">
        <v>259</v>
      </c>
      <c r="BK1410" s="5" t="s">
        <v>260</v>
      </c>
      <c r="BL1410" s="4" t="s">
        <v>261</v>
      </c>
      <c r="BM1410" s="4" t="s">
        <v>262</v>
      </c>
      <c r="BN1410" s="4" t="s">
        <v>241</v>
      </c>
      <c r="BO1410" s="6">
        <f>0</f>
        <v>0</v>
      </c>
      <c r="BP1410" s="6">
        <f>0</f>
        <v>0</v>
      </c>
      <c r="BQ1410" s="4" t="s">
        <v>263</v>
      </c>
      <c r="BR1410" s="4" t="s">
        <v>264</v>
      </c>
      <c r="CF1410" s="4" t="s">
        <v>241</v>
      </c>
      <c r="CG1410" s="4" t="s">
        <v>241</v>
      </c>
      <c r="CK1410" s="4" t="s">
        <v>265</v>
      </c>
      <c r="CL1410" s="4" t="s">
        <v>266</v>
      </c>
      <c r="CM1410" s="4" t="s">
        <v>241</v>
      </c>
      <c r="CO1410" s="4" t="s">
        <v>1603</v>
      </c>
      <c r="CP1410" s="5" t="s">
        <v>268</v>
      </c>
      <c r="CQ1410" s="4" t="s">
        <v>269</v>
      </c>
      <c r="CR1410" s="4" t="s">
        <v>270</v>
      </c>
      <c r="CS1410" s="4" t="s">
        <v>241</v>
      </c>
      <c r="CT1410" s="4" t="s">
        <v>241</v>
      </c>
      <c r="CU1410" s="4">
        <v>0</v>
      </c>
      <c r="CV1410" s="4" t="s">
        <v>271</v>
      </c>
      <c r="CW1410" s="4" t="s">
        <v>1546</v>
      </c>
      <c r="CX1410" s="4" t="s">
        <v>347</v>
      </c>
      <c r="CZ1410" s="6">
        <f>69899400</f>
        <v>69899400</v>
      </c>
      <c r="DA1410" s="6">
        <f>0</f>
        <v>0</v>
      </c>
      <c r="DC1410" s="4" t="s">
        <v>241</v>
      </c>
      <c r="DD1410" s="4" t="s">
        <v>241</v>
      </c>
      <c r="DF1410" s="4" t="s">
        <v>241</v>
      </c>
      <c r="DI1410" s="4" t="s">
        <v>241</v>
      </c>
      <c r="DJ1410" s="4" t="s">
        <v>241</v>
      </c>
      <c r="DK1410" s="4" t="s">
        <v>241</v>
      </c>
      <c r="DL1410" s="4" t="s">
        <v>241</v>
      </c>
      <c r="DM1410" s="4" t="s">
        <v>277</v>
      </c>
      <c r="DN1410" s="4" t="s">
        <v>278</v>
      </c>
      <c r="DO1410" s="6">
        <f>776.66</f>
        <v>776.66</v>
      </c>
      <c r="DP1410" s="4" t="s">
        <v>241</v>
      </c>
      <c r="DQ1410" s="4" t="s">
        <v>241</v>
      </c>
      <c r="DR1410" s="4" t="s">
        <v>241</v>
      </c>
      <c r="DS1410" s="4" t="s">
        <v>241</v>
      </c>
      <c r="DV1410" s="4" t="s">
        <v>1604</v>
      </c>
      <c r="DW1410" s="4" t="s">
        <v>277</v>
      </c>
      <c r="HO1410" s="4" t="s">
        <v>277</v>
      </c>
      <c r="HR1410" s="4" t="s">
        <v>278</v>
      </c>
      <c r="HS1410" s="4" t="s">
        <v>278</v>
      </c>
    </row>
    <row r="1411" spans="1:240" x14ac:dyDescent="0.4">
      <c r="A1411" s="4">
        <v>2</v>
      </c>
      <c r="B1411" s="4" t="s">
        <v>239</v>
      </c>
      <c r="C1411" s="4">
        <v>1728</v>
      </c>
      <c r="D1411" s="4">
        <v>1</v>
      </c>
      <c r="E1411" s="4">
        <v>1</v>
      </c>
      <c r="F1411" s="4" t="s">
        <v>240</v>
      </c>
      <c r="G1411" s="4" t="s">
        <v>241</v>
      </c>
      <c r="H1411" s="4" t="s">
        <v>241</v>
      </c>
      <c r="I1411" s="4" t="s">
        <v>1600</v>
      </c>
      <c r="J1411" s="4" t="s">
        <v>283</v>
      </c>
      <c r="K1411" s="4" t="s">
        <v>578</v>
      </c>
      <c r="L1411" s="4" t="s">
        <v>429</v>
      </c>
      <c r="M1411" s="5" t="s">
        <v>1602</v>
      </c>
      <c r="N1411" s="4" t="s">
        <v>429</v>
      </c>
      <c r="O1411" s="6">
        <f>10</f>
        <v>10</v>
      </c>
      <c r="P1411" s="4" t="s">
        <v>276</v>
      </c>
      <c r="Q1411" s="6">
        <f>1</f>
        <v>1</v>
      </c>
      <c r="R1411" s="6">
        <f>910000</f>
        <v>910000</v>
      </c>
      <c r="S1411" s="5" t="s">
        <v>3140</v>
      </c>
      <c r="T1411" s="4" t="s">
        <v>348</v>
      </c>
      <c r="U1411" s="4" t="s">
        <v>371</v>
      </c>
      <c r="W1411" s="6">
        <f>909999</f>
        <v>909999</v>
      </c>
      <c r="X1411" s="4" t="s">
        <v>243</v>
      </c>
      <c r="Y1411" s="4" t="s">
        <v>244</v>
      </c>
      <c r="Z1411" s="4" t="s">
        <v>282</v>
      </c>
      <c r="AA1411" s="4" t="s">
        <v>241</v>
      </c>
      <c r="AD1411" s="4" t="s">
        <v>241</v>
      </c>
      <c r="AF1411" s="5" t="s">
        <v>241</v>
      </c>
      <c r="AI1411" s="5" t="s">
        <v>249</v>
      </c>
      <c r="AJ1411" s="4" t="s">
        <v>251</v>
      </c>
      <c r="AK1411" s="4" t="s">
        <v>252</v>
      </c>
      <c r="BA1411" s="4" t="s">
        <v>254</v>
      </c>
      <c r="BB1411" s="4" t="s">
        <v>241</v>
      </c>
      <c r="BC1411" s="4" t="s">
        <v>255</v>
      </c>
      <c r="BD1411" s="4" t="s">
        <v>241</v>
      </c>
      <c r="BE1411" s="4" t="s">
        <v>257</v>
      </c>
      <c r="BF1411" s="4" t="s">
        <v>241</v>
      </c>
      <c r="BJ1411" s="4" t="s">
        <v>367</v>
      </c>
      <c r="BK1411" s="5" t="s">
        <v>249</v>
      </c>
      <c r="BL1411" s="4" t="s">
        <v>261</v>
      </c>
      <c r="BM1411" s="4" t="s">
        <v>262</v>
      </c>
      <c r="BN1411" s="4" t="s">
        <v>241</v>
      </c>
      <c r="BO1411" s="6">
        <f>0</f>
        <v>0</v>
      </c>
      <c r="BP1411" s="6">
        <f>0</f>
        <v>0</v>
      </c>
      <c r="BQ1411" s="4" t="s">
        <v>263</v>
      </c>
      <c r="BR1411" s="4" t="s">
        <v>264</v>
      </c>
      <c r="CF1411" s="4" t="s">
        <v>241</v>
      </c>
      <c r="CG1411" s="4" t="s">
        <v>241</v>
      </c>
      <c r="CK1411" s="4" t="s">
        <v>291</v>
      </c>
      <c r="CL1411" s="4" t="s">
        <v>266</v>
      </c>
      <c r="CM1411" s="4" t="s">
        <v>241</v>
      </c>
      <c r="CO1411" s="4" t="s">
        <v>360</v>
      </c>
      <c r="CP1411" s="5" t="s">
        <v>268</v>
      </c>
      <c r="CQ1411" s="4" t="s">
        <v>269</v>
      </c>
      <c r="CR1411" s="4" t="s">
        <v>270</v>
      </c>
      <c r="CS1411" s="4" t="s">
        <v>241</v>
      </c>
      <c r="CT1411" s="4" t="s">
        <v>241</v>
      </c>
      <c r="CU1411" s="4">
        <v>0</v>
      </c>
      <c r="CV1411" s="4" t="s">
        <v>271</v>
      </c>
      <c r="CW1411" s="4" t="s">
        <v>272</v>
      </c>
      <c r="CX1411" s="4" t="s">
        <v>347</v>
      </c>
      <c r="CZ1411" s="6">
        <f>910000</f>
        <v>910000</v>
      </c>
      <c r="DA1411" s="6">
        <f>0</f>
        <v>0</v>
      </c>
      <c r="DC1411" s="4" t="s">
        <v>241</v>
      </c>
      <c r="DD1411" s="4" t="s">
        <v>241</v>
      </c>
      <c r="DF1411" s="4" t="s">
        <v>241</v>
      </c>
      <c r="DI1411" s="4" t="s">
        <v>241</v>
      </c>
      <c r="DJ1411" s="4" t="s">
        <v>241</v>
      </c>
      <c r="DK1411" s="4" t="s">
        <v>241</v>
      </c>
      <c r="DL1411" s="4" t="s">
        <v>241</v>
      </c>
      <c r="DM1411" s="4" t="s">
        <v>277</v>
      </c>
      <c r="DN1411" s="4" t="s">
        <v>278</v>
      </c>
      <c r="DO1411" s="6">
        <f>10</f>
        <v>10</v>
      </c>
      <c r="DP1411" s="4" t="s">
        <v>241</v>
      </c>
      <c r="DQ1411" s="4" t="s">
        <v>241</v>
      </c>
      <c r="DR1411" s="4" t="s">
        <v>241</v>
      </c>
      <c r="DS1411" s="4" t="s">
        <v>241</v>
      </c>
      <c r="DV1411" s="4" t="s">
        <v>1604</v>
      </c>
      <c r="DW1411" s="4" t="s">
        <v>323</v>
      </c>
      <c r="HO1411" s="4" t="s">
        <v>277</v>
      </c>
      <c r="HR1411" s="4" t="s">
        <v>278</v>
      </c>
      <c r="HS1411" s="4" t="s">
        <v>278</v>
      </c>
    </row>
    <row r="1412" spans="1:240" x14ac:dyDescent="0.4">
      <c r="A1412" s="4">
        <v>2</v>
      </c>
      <c r="B1412" s="4" t="s">
        <v>239</v>
      </c>
      <c r="C1412" s="4">
        <v>1729</v>
      </c>
      <c r="D1412" s="4">
        <v>1</v>
      </c>
      <c r="E1412" s="4">
        <v>1</v>
      </c>
      <c r="F1412" s="4" t="s">
        <v>240</v>
      </c>
      <c r="G1412" s="4" t="s">
        <v>241</v>
      </c>
      <c r="H1412" s="4" t="s">
        <v>241</v>
      </c>
      <c r="I1412" s="4" t="s">
        <v>3136</v>
      </c>
      <c r="J1412" s="4" t="s">
        <v>283</v>
      </c>
      <c r="K1412" s="4" t="s">
        <v>578</v>
      </c>
      <c r="L1412" s="4" t="s">
        <v>429</v>
      </c>
      <c r="M1412" s="5" t="s">
        <v>3138</v>
      </c>
      <c r="N1412" s="4" t="s">
        <v>429</v>
      </c>
      <c r="O1412" s="6">
        <f>119.25</f>
        <v>119.25</v>
      </c>
      <c r="P1412" s="4" t="s">
        <v>276</v>
      </c>
      <c r="Q1412" s="6">
        <f>1</f>
        <v>1</v>
      </c>
      <c r="R1412" s="6">
        <f>7155000</f>
        <v>7155000</v>
      </c>
      <c r="S1412" s="5" t="s">
        <v>3137</v>
      </c>
      <c r="T1412" s="4" t="s">
        <v>348</v>
      </c>
      <c r="U1412" s="4" t="s">
        <v>441</v>
      </c>
      <c r="W1412" s="6">
        <f>7154999</f>
        <v>7154999</v>
      </c>
      <c r="X1412" s="4" t="s">
        <v>243</v>
      </c>
      <c r="Y1412" s="4" t="s">
        <v>244</v>
      </c>
      <c r="Z1412" s="4" t="s">
        <v>282</v>
      </c>
      <c r="AA1412" s="4" t="s">
        <v>241</v>
      </c>
      <c r="AD1412" s="4" t="s">
        <v>241</v>
      </c>
      <c r="AF1412" s="5" t="s">
        <v>241</v>
      </c>
      <c r="AI1412" s="5" t="s">
        <v>249</v>
      </c>
      <c r="AJ1412" s="4" t="s">
        <v>251</v>
      </c>
      <c r="AK1412" s="4" t="s">
        <v>252</v>
      </c>
      <c r="BA1412" s="4" t="s">
        <v>254</v>
      </c>
      <c r="BB1412" s="4" t="s">
        <v>241</v>
      </c>
      <c r="BC1412" s="4" t="s">
        <v>255</v>
      </c>
      <c r="BD1412" s="4" t="s">
        <v>241</v>
      </c>
      <c r="BE1412" s="4" t="s">
        <v>257</v>
      </c>
      <c r="BF1412" s="4" t="s">
        <v>241</v>
      </c>
      <c r="BH1412" s="4" t="s">
        <v>787</v>
      </c>
      <c r="BJ1412" s="4" t="s">
        <v>374</v>
      </c>
      <c r="BK1412" s="5" t="s">
        <v>375</v>
      </c>
      <c r="BL1412" s="4" t="s">
        <v>261</v>
      </c>
      <c r="BM1412" s="4" t="s">
        <v>262</v>
      </c>
      <c r="BN1412" s="4" t="s">
        <v>241</v>
      </c>
      <c r="BO1412" s="6">
        <f>0</f>
        <v>0</v>
      </c>
      <c r="BP1412" s="6">
        <f>0</f>
        <v>0</v>
      </c>
      <c r="BQ1412" s="4" t="s">
        <v>263</v>
      </c>
      <c r="BR1412" s="4" t="s">
        <v>264</v>
      </c>
      <c r="CF1412" s="4" t="s">
        <v>241</v>
      </c>
      <c r="CG1412" s="4" t="s">
        <v>241</v>
      </c>
      <c r="CK1412" s="4" t="s">
        <v>265</v>
      </c>
      <c r="CL1412" s="4" t="s">
        <v>266</v>
      </c>
      <c r="CM1412" s="4" t="s">
        <v>241</v>
      </c>
      <c r="CO1412" s="4" t="s">
        <v>724</v>
      </c>
      <c r="CP1412" s="5" t="s">
        <v>268</v>
      </c>
      <c r="CQ1412" s="4" t="s">
        <v>269</v>
      </c>
      <c r="CR1412" s="4" t="s">
        <v>270</v>
      </c>
      <c r="CS1412" s="4" t="s">
        <v>241</v>
      </c>
      <c r="CT1412" s="4" t="s">
        <v>241</v>
      </c>
      <c r="CU1412" s="4">
        <v>0</v>
      </c>
      <c r="CV1412" s="4" t="s">
        <v>271</v>
      </c>
      <c r="CW1412" s="4" t="s">
        <v>272</v>
      </c>
      <c r="CX1412" s="4" t="s">
        <v>347</v>
      </c>
      <c r="CZ1412" s="6">
        <f>7155000</f>
        <v>7155000</v>
      </c>
      <c r="DA1412" s="6">
        <f>0</f>
        <v>0</v>
      </c>
      <c r="DC1412" s="4" t="s">
        <v>241</v>
      </c>
      <c r="DD1412" s="4" t="s">
        <v>241</v>
      </c>
      <c r="DF1412" s="4" t="s">
        <v>241</v>
      </c>
      <c r="DI1412" s="4" t="s">
        <v>241</v>
      </c>
      <c r="DJ1412" s="4" t="s">
        <v>241</v>
      </c>
      <c r="DK1412" s="4" t="s">
        <v>241</v>
      </c>
      <c r="DL1412" s="4" t="s">
        <v>241</v>
      </c>
      <c r="DM1412" s="4" t="s">
        <v>277</v>
      </c>
      <c r="DN1412" s="4" t="s">
        <v>278</v>
      </c>
      <c r="DO1412" s="6">
        <f>119.25</f>
        <v>119.25</v>
      </c>
      <c r="DP1412" s="4" t="s">
        <v>241</v>
      </c>
      <c r="DQ1412" s="4" t="s">
        <v>241</v>
      </c>
      <c r="DR1412" s="4" t="s">
        <v>241</v>
      </c>
      <c r="DS1412" s="4" t="s">
        <v>241</v>
      </c>
      <c r="DV1412" s="4" t="s">
        <v>3139</v>
      </c>
      <c r="DW1412" s="4" t="s">
        <v>277</v>
      </c>
      <c r="HO1412" s="4" t="s">
        <v>277</v>
      </c>
      <c r="HR1412" s="4" t="s">
        <v>278</v>
      </c>
      <c r="HS1412" s="4" t="s">
        <v>278</v>
      </c>
    </row>
    <row r="1413" spans="1:240" x14ac:dyDescent="0.4">
      <c r="A1413" s="4">
        <v>2</v>
      </c>
      <c r="B1413" s="4" t="s">
        <v>239</v>
      </c>
      <c r="C1413" s="4">
        <v>1730</v>
      </c>
      <c r="D1413" s="4">
        <v>1</v>
      </c>
      <c r="E1413" s="4">
        <v>1</v>
      </c>
      <c r="F1413" s="4" t="s">
        <v>240</v>
      </c>
      <c r="G1413" s="4" t="s">
        <v>241</v>
      </c>
      <c r="H1413" s="4" t="s">
        <v>241</v>
      </c>
      <c r="I1413" s="4" t="s">
        <v>3136</v>
      </c>
      <c r="J1413" s="4" t="s">
        <v>283</v>
      </c>
      <c r="K1413" s="4" t="s">
        <v>578</v>
      </c>
      <c r="L1413" s="4" t="s">
        <v>429</v>
      </c>
      <c r="M1413" s="5" t="s">
        <v>3138</v>
      </c>
      <c r="N1413" s="4" t="s">
        <v>429</v>
      </c>
      <c r="O1413" s="6">
        <f>69.56</f>
        <v>69.56</v>
      </c>
      <c r="P1413" s="4" t="s">
        <v>276</v>
      </c>
      <c r="Q1413" s="6">
        <f>1</f>
        <v>1</v>
      </c>
      <c r="R1413" s="6">
        <f>4173600</f>
        <v>4173600</v>
      </c>
      <c r="S1413" s="5" t="s">
        <v>3137</v>
      </c>
      <c r="T1413" s="4" t="s">
        <v>348</v>
      </c>
      <c r="U1413" s="4" t="s">
        <v>441</v>
      </c>
      <c r="W1413" s="6">
        <f>4173599</f>
        <v>4173599</v>
      </c>
      <c r="X1413" s="4" t="s">
        <v>243</v>
      </c>
      <c r="Y1413" s="4" t="s">
        <v>244</v>
      </c>
      <c r="Z1413" s="4" t="s">
        <v>282</v>
      </c>
      <c r="AA1413" s="4" t="s">
        <v>241</v>
      </c>
      <c r="AD1413" s="4" t="s">
        <v>241</v>
      </c>
      <c r="AF1413" s="5" t="s">
        <v>241</v>
      </c>
      <c r="AI1413" s="5" t="s">
        <v>249</v>
      </c>
      <c r="AJ1413" s="4" t="s">
        <v>251</v>
      </c>
      <c r="AK1413" s="4" t="s">
        <v>252</v>
      </c>
      <c r="BA1413" s="4" t="s">
        <v>254</v>
      </c>
      <c r="BB1413" s="4" t="s">
        <v>241</v>
      </c>
      <c r="BC1413" s="4" t="s">
        <v>255</v>
      </c>
      <c r="BD1413" s="4" t="s">
        <v>241</v>
      </c>
      <c r="BE1413" s="4" t="s">
        <v>257</v>
      </c>
      <c r="BF1413" s="4" t="s">
        <v>241</v>
      </c>
      <c r="BJ1413" s="4" t="s">
        <v>377</v>
      </c>
      <c r="BK1413" s="5" t="s">
        <v>378</v>
      </c>
      <c r="BL1413" s="4" t="s">
        <v>261</v>
      </c>
      <c r="BM1413" s="4" t="s">
        <v>262</v>
      </c>
      <c r="BN1413" s="4" t="s">
        <v>241</v>
      </c>
      <c r="BO1413" s="6">
        <f>0</f>
        <v>0</v>
      </c>
      <c r="BP1413" s="6">
        <f>0</f>
        <v>0</v>
      </c>
      <c r="BQ1413" s="4" t="s">
        <v>263</v>
      </c>
      <c r="BR1413" s="4" t="s">
        <v>264</v>
      </c>
      <c r="CF1413" s="4" t="s">
        <v>241</v>
      </c>
      <c r="CG1413" s="4" t="s">
        <v>241</v>
      </c>
      <c r="CK1413" s="4" t="s">
        <v>265</v>
      </c>
      <c r="CL1413" s="4" t="s">
        <v>266</v>
      </c>
      <c r="CM1413" s="4" t="s">
        <v>241</v>
      </c>
      <c r="CO1413" s="4" t="s">
        <v>724</v>
      </c>
      <c r="CP1413" s="5" t="s">
        <v>268</v>
      </c>
      <c r="CQ1413" s="4" t="s">
        <v>269</v>
      </c>
      <c r="CR1413" s="4" t="s">
        <v>270</v>
      </c>
      <c r="CS1413" s="4" t="s">
        <v>241</v>
      </c>
      <c r="CT1413" s="4" t="s">
        <v>241</v>
      </c>
      <c r="CU1413" s="4">
        <v>0</v>
      </c>
      <c r="CV1413" s="4" t="s">
        <v>271</v>
      </c>
      <c r="CW1413" s="4" t="s">
        <v>272</v>
      </c>
      <c r="CX1413" s="4" t="s">
        <v>347</v>
      </c>
      <c r="CZ1413" s="6">
        <f>4173600</f>
        <v>4173600</v>
      </c>
      <c r="DA1413" s="6">
        <f>0</f>
        <v>0</v>
      </c>
      <c r="DC1413" s="4" t="s">
        <v>241</v>
      </c>
      <c r="DD1413" s="4" t="s">
        <v>241</v>
      </c>
      <c r="DF1413" s="4" t="s">
        <v>241</v>
      </c>
      <c r="DI1413" s="4" t="s">
        <v>241</v>
      </c>
      <c r="DJ1413" s="4" t="s">
        <v>241</v>
      </c>
      <c r="DK1413" s="4" t="s">
        <v>241</v>
      </c>
      <c r="DL1413" s="4" t="s">
        <v>241</v>
      </c>
      <c r="DM1413" s="4" t="s">
        <v>277</v>
      </c>
      <c r="DN1413" s="4" t="s">
        <v>278</v>
      </c>
      <c r="DO1413" s="6">
        <f>69.56</f>
        <v>69.56</v>
      </c>
      <c r="DP1413" s="4" t="s">
        <v>241</v>
      </c>
      <c r="DQ1413" s="4" t="s">
        <v>241</v>
      </c>
      <c r="DR1413" s="4" t="s">
        <v>241</v>
      </c>
      <c r="DS1413" s="4" t="s">
        <v>241</v>
      </c>
      <c r="DV1413" s="4" t="s">
        <v>3139</v>
      </c>
      <c r="DW1413" s="4" t="s">
        <v>323</v>
      </c>
      <c r="HO1413" s="4" t="s">
        <v>277</v>
      </c>
      <c r="HR1413" s="4" t="s">
        <v>278</v>
      </c>
      <c r="HS1413" s="4" t="s">
        <v>278</v>
      </c>
    </row>
    <row r="1414" spans="1:240" x14ac:dyDescent="0.4">
      <c r="A1414" s="4">
        <v>2</v>
      </c>
      <c r="B1414" s="4" t="s">
        <v>239</v>
      </c>
      <c r="C1414" s="4">
        <v>1731</v>
      </c>
      <c r="D1414" s="4">
        <v>1</v>
      </c>
      <c r="E1414" s="4">
        <v>1</v>
      </c>
      <c r="F1414" s="4" t="s">
        <v>240</v>
      </c>
      <c r="G1414" s="4" t="s">
        <v>241</v>
      </c>
      <c r="H1414" s="4" t="s">
        <v>241</v>
      </c>
      <c r="I1414" s="4" t="s">
        <v>3136</v>
      </c>
      <c r="J1414" s="4" t="s">
        <v>283</v>
      </c>
      <c r="K1414" s="4" t="s">
        <v>578</v>
      </c>
      <c r="L1414" s="4" t="s">
        <v>429</v>
      </c>
      <c r="M1414" s="5" t="s">
        <v>3138</v>
      </c>
      <c r="N1414" s="4" t="s">
        <v>429</v>
      </c>
      <c r="O1414" s="6">
        <f>313.88</f>
        <v>313.88</v>
      </c>
      <c r="P1414" s="4" t="s">
        <v>276</v>
      </c>
      <c r="Q1414" s="6">
        <f>1</f>
        <v>1</v>
      </c>
      <c r="R1414" s="6">
        <f>18832800</f>
        <v>18832800</v>
      </c>
      <c r="S1414" s="5" t="s">
        <v>3137</v>
      </c>
      <c r="T1414" s="4" t="s">
        <v>441</v>
      </c>
      <c r="U1414" s="4" t="s">
        <v>441</v>
      </c>
      <c r="W1414" s="6">
        <f>18832799</f>
        <v>18832799</v>
      </c>
      <c r="X1414" s="4" t="s">
        <v>243</v>
      </c>
      <c r="Y1414" s="4" t="s">
        <v>244</v>
      </c>
      <c r="Z1414" s="4" t="s">
        <v>282</v>
      </c>
      <c r="AA1414" s="4" t="s">
        <v>241</v>
      </c>
      <c r="AD1414" s="4" t="s">
        <v>241</v>
      </c>
      <c r="AF1414" s="5" t="s">
        <v>241</v>
      </c>
      <c r="AI1414" s="5" t="s">
        <v>249</v>
      </c>
      <c r="AJ1414" s="4" t="s">
        <v>251</v>
      </c>
      <c r="AK1414" s="4" t="s">
        <v>252</v>
      </c>
      <c r="BA1414" s="4" t="s">
        <v>254</v>
      </c>
      <c r="BB1414" s="4" t="s">
        <v>241</v>
      </c>
      <c r="BC1414" s="4" t="s">
        <v>255</v>
      </c>
      <c r="BD1414" s="4" t="s">
        <v>241</v>
      </c>
      <c r="BE1414" s="4" t="s">
        <v>257</v>
      </c>
      <c r="BF1414" s="4" t="s">
        <v>241</v>
      </c>
      <c r="BJ1414" s="4" t="s">
        <v>259</v>
      </c>
      <c r="BK1414" s="5" t="s">
        <v>260</v>
      </c>
      <c r="BL1414" s="4" t="s">
        <v>261</v>
      </c>
      <c r="BM1414" s="4" t="s">
        <v>262</v>
      </c>
      <c r="BN1414" s="4" t="s">
        <v>241</v>
      </c>
      <c r="BO1414" s="6">
        <f>0</f>
        <v>0</v>
      </c>
      <c r="BP1414" s="6">
        <f>0</f>
        <v>0</v>
      </c>
      <c r="BQ1414" s="4" t="s">
        <v>263</v>
      </c>
      <c r="BR1414" s="4" t="s">
        <v>264</v>
      </c>
      <c r="CF1414" s="4" t="s">
        <v>241</v>
      </c>
      <c r="CG1414" s="4" t="s">
        <v>241</v>
      </c>
      <c r="CK1414" s="4" t="s">
        <v>265</v>
      </c>
      <c r="CL1414" s="4" t="s">
        <v>266</v>
      </c>
      <c r="CM1414" s="4" t="s">
        <v>241</v>
      </c>
      <c r="CO1414" s="4" t="s">
        <v>724</v>
      </c>
      <c r="CP1414" s="5" t="s">
        <v>268</v>
      </c>
      <c r="CQ1414" s="4" t="s">
        <v>269</v>
      </c>
      <c r="CR1414" s="4" t="s">
        <v>270</v>
      </c>
      <c r="CS1414" s="4" t="s">
        <v>241</v>
      </c>
      <c r="CT1414" s="4" t="s">
        <v>241</v>
      </c>
      <c r="CU1414" s="4">
        <v>0</v>
      </c>
      <c r="CV1414" s="4" t="s">
        <v>271</v>
      </c>
      <c r="CW1414" s="4" t="s">
        <v>272</v>
      </c>
      <c r="CX1414" s="4" t="s">
        <v>487</v>
      </c>
      <c r="CZ1414" s="6">
        <f>18832800</f>
        <v>18832800</v>
      </c>
      <c r="DA1414" s="6">
        <f>0</f>
        <v>0</v>
      </c>
      <c r="DC1414" s="4" t="s">
        <v>241</v>
      </c>
      <c r="DD1414" s="4" t="s">
        <v>241</v>
      </c>
      <c r="DF1414" s="4" t="s">
        <v>241</v>
      </c>
      <c r="DI1414" s="4" t="s">
        <v>241</v>
      </c>
      <c r="DJ1414" s="4" t="s">
        <v>241</v>
      </c>
      <c r="DK1414" s="4" t="s">
        <v>241</v>
      </c>
      <c r="DL1414" s="4" t="s">
        <v>241</v>
      </c>
      <c r="DM1414" s="4" t="s">
        <v>277</v>
      </c>
      <c r="DN1414" s="4" t="s">
        <v>278</v>
      </c>
      <c r="DO1414" s="6">
        <f>313.88</f>
        <v>313.88</v>
      </c>
      <c r="DP1414" s="4" t="s">
        <v>241</v>
      </c>
      <c r="DQ1414" s="4" t="s">
        <v>241</v>
      </c>
      <c r="DR1414" s="4" t="s">
        <v>241</v>
      </c>
      <c r="DS1414" s="4" t="s">
        <v>241</v>
      </c>
      <c r="DV1414" s="4" t="s">
        <v>3139</v>
      </c>
      <c r="DW1414" s="4" t="s">
        <v>297</v>
      </c>
      <c r="HO1414" s="4" t="s">
        <v>277</v>
      </c>
      <c r="HR1414" s="4" t="s">
        <v>278</v>
      </c>
      <c r="HS1414" s="4" t="s">
        <v>278</v>
      </c>
    </row>
    <row r="1415" spans="1:240" x14ac:dyDescent="0.4">
      <c r="A1415" s="4">
        <v>2</v>
      </c>
      <c r="B1415" s="4" t="s">
        <v>239</v>
      </c>
      <c r="C1415" s="4">
        <v>1732</v>
      </c>
      <c r="D1415" s="4">
        <v>1</v>
      </c>
      <c r="E1415" s="4">
        <v>1</v>
      </c>
      <c r="F1415" s="4" t="s">
        <v>240</v>
      </c>
      <c r="G1415" s="4" t="s">
        <v>241</v>
      </c>
      <c r="H1415" s="4" t="s">
        <v>241</v>
      </c>
      <c r="I1415" s="4" t="s">
        <v>3136</v>
      </c>
      <c r="J1415" s="4" t="s">
        <v>283</v>
      </c>
      <c r="K1415" s="4" t="s">
        <v>578</v>
      </c>
      <c r="L1415" s="4" t="s">
        <v>429</v>
      </c>
      <c r="M1415" s="5" t="s">
        <v>3138</v>
      </c>
      <c r="N1415" s="4" t="s">
        <v>429</v>
      </c>
      <c r="O1415" s="6">
        <f>28.98</f>
        <v>28.98</v>
      </c>
      <c r="P1415" s="4" t="s">
        <v>276</v>
      </c>
      <c r="Q1415" s="6">
        <f>1</f>
        <v>1</v>
      </c>
      <c r="R1415" s="6">
        <f>1738800</f>
        <v>1738800</v>
      </c>
      <c r="S1415" s="5" t="s">
        <v>3137</v>
      </c>
      <c r="T1415" s="4" t="s">
        <v>348</v>
      </c>
      <c r="U1415" s="4" t="s">
        <v>441</v>
      </c>
      <c r="W1415" s="6">
        <f>1738799</f>
        <v>1738799</v>
      </c>
      <c r="X1415" s="4" t="s">
        <v>243</v>
      </c>
      <c r="Y1415" s="4" t="s">
        <v>244</v>
      </c>
      <c r="Z1415" s="4" t="s">
        <v>282</v>
      </c>
      <c r="AA1415" s="4" t="s">
        <v>241</v>
      </c>
      <c r="AD1415" s="4" t="s">
        <v>241</v>
      </c>
      <c r="AF1415" s="5" t="s">
        <v>241</v>
      </c>
      <c r="AI1415" s="5" t="s">
        <v>249</v>
      </c>
      <c r="AJ1415" s="4" t="s">
        <v>251</v>
      </c>
      <c r="AK1415" s="4" t="s">
        <v>252</v>
      </c>
      <c r="BA1415" s="4" t="s">
        <v>254</v>
      </c>
      <c r="BB1415" s="4" t="s">
        <v>241</v>
      </c>
      <c r="BC1415" s="4" t="s">
        <v>255</v>
      </c>
      <c r="BD1415" s="4" t="s">
        <v>241</v>
      </c>
      <c r="BE1415" s="4" t="s">
        <v>257</v>
      </c>
      <c r="BF1415" s="4" t="s">
        <v>241</v>
      </c>
      <c r="BJ1415" s="4" t="s">
        <v>367</v>
      </c>
      <c r="BK1415" s="5" t="s">
        <v>249</v>
      </c>
      <c r="BL1415" s="4" t="s">
        <v>261</v>
      </c>
      <c r="BM1415" s="4" t="s">
        <v>262</v>
      </c>
      <c r="BN1415" s="4" t="s">
        <v>241</v>
      </c>
      <c r="BO1415" s="6">
        <f>0</f>
        <v>0</v>
      </c>
      <c r="BP1415" s="6">
        <f>0</f>
        <v>0</v>
      </c>
      <c r="BQ1415" s="4" t="s">
        <v>263</v>
      </c>
      <c r="BR1415" s="4" t="s">
        <v>264</v>
      </c>
      <c r="CF1415" s="4" t="s">
        <v>241</v>
      </c>
      <c r="CG1415" s="4" t="s">
        <v>241</v>
      </c>
      <c r="CK1415" s="4" t="s">
        <v>265</v>
      </c>
      <c r="CL1415" s="4" t="s">
        <v>266</v>
      </c>
      <c r="CM1415" s="4" t="s">
        <v>241</v>
      </c>
      <c r="CO1415" s="4" t="s">
        <v>724</v>
      </c>
      <c r="CP1415" s="5" t="s">
        <v>268</v>
      </c>
      <c r="CQ1415" s="4" t="s">
        <v>269</v>
      </c>
      <c r="CR1415" s="4" t="s">
        <v>270</v>
      </c>
      <c r="CS1415" s="4" t="s">
        <v>241</v>
      </c>
      <c r="CT1415" s="4" t="s">
        <v>241</v>
      </c>
      <c r="CU1415" s="4">
        <v>0</v>
      </c>
      <c r="CV1415" s="4" t="s">
        <v>271</v>
      </c>
      <c r="CW1415" s="4" t="s">
        <v>272</v>
      </c>
      <c r="CX1415" s="4" t="s">
        <v>347</v>
      </c>
      <c r="CZ1415" s="6">
        <f>1738800</f>
        <v>1738800</v>
      </c>
      <c r="DA1415" s="6">
        <f>0</f>
        <v>0</v>
      </c>
      <c r="DC1415" s="4" t="s">
        <v>241</v>
      </c>
      <c r="DD1415" s="4" t="s">
        <v>241</v>
      </c>
      <c r="DF1415" s="4" t="s">
        <v>241</v>
      </c>
      <c r="DI1415" s="4" t="s">
        <v>241</v>
      </c>
      <c r="DJ1415" s="4" t="s">
        <v>241</v>
      </c>
      <c r="DK1415" s="4" t="s">
        <v>241</v>
      </c>
      <c r="DL1415" s="4" t="s">
        <v>241</v>
      </c>
      <c r="DM1415" s="4" t="s">
        <v>277</v>
      </c>
      <c r="DN1415" s="4" t="s">
        <v>278</v>
      </c>
      <c r="DO1415" s="6">
        <f>28.98</f>
        <v>28.98</v>
      </c>
      <c r="DP1415" s="4" t="s">
        <v>241</v>
      </c>
      <c r="DQ1415" s="4" t="s">
        <v>241</v>
      </c>
      <c r="DR1415" s="4" t="s">
        <v>241</v>
      </c>
      <c r="DS1415" s="4" t="s">
        <v>241</v>
      </c>
      <c r="DV1415" s="4" t="s">
        <v>3139</v>
      </c>
      <c r="DW1415" s="4" t="s">
        <v>336</v>
      </c>
      <c r="HO1415" s="4" t="s">
        <v>277</v>
      </c>
      <c r="HR1415" s="4" t="s">
        <v>278</v>
      </c>
      <c r="HS1415" s="4" t="s">
        <v>278</v>
      </c>
    </row>
    <row r="1416" spans="1:240" x14ac:dyDescent="0.4">
      <c r="A1416" s="4">
        <v>2</v>
      </c>
      <c r="B1416" s="4" t="s">
        <v>239</v>
      </c>
      <c r="C1416" s="4">
        <v>1733</v>
      </c>
      <c r="D1416" s="4">
        <v>1</v>
      </c>
      <c r="E1416" s="4">
        <v>1</v>
      </c>
      <c r="F1416" s="4" t="s">
        <v>240</v>
      </c>
      <c r="G1416" s="4" t="s">
        <v>241</v>
      </c>
      <c r="H1416" s="4" t="s">
        <v>241</v>
      </c>
      <c r="I1416" s="4" t="s">
        <v>785</v>
      </c>
      <c r="J1416" s="4" t="s">
        <v>283</v>
      </c>
      <c r="K1416" s="4" t="s">
        <v>578</v>
      </c>
      <c r="L1416" s="4" t="s">
        <v>784</v>
      </c>
      <c r="M1416" s="5" t="s">
        <v>786</v>
      </c>
      <c r="N1416" s="4" t="s">
        <v>784</v>
      </c>
      <c r="O1416" s="6">
        <f>153</f>
        <v>153</v>
      </c>
      <c r="P1416" s="4" t="s">
        <v>276</v>
      </c>
      <c r="Q1416" s="6">
        <f>1</f>
        <v>1</v>
      </c>
      <c r="R1416" s="6">
        <f>17289000</f>
        <v>17289000</v>
      </c>
      <c r="S1416" s="5" t="s">
        <v>667</v>
      </c>
      <c r="T1416" s="4" t="s">
        <v>314</v>
      </c>
      <c r="U1416" s="4" t="s">
        <v>399</v>
      </c>
      <c r="W1416" s="6">
        <f>17288999</f>
        <v>17288999</v>
      </c>
      <c r="X1416" s="4" t="s">
        <v>243</v>
      </c>
      <c r="Y1416" s="4" t="s">
        <v>244</v>
      </c>
      <c r="Z1416" s="4" t="s">
        <v>282</v>
      </c>
      <c r="AA1416" s="4" t="s">
        <v>241</v>
      </c>
      <c r="AD1416" s="4" t="s">
        <v>241</v>
      </c>
      <c r="AF1416" s="5" t="s">
        <v>241</v>
      </c>
      <c r="AI1416" s="5" t="s">
        <v>249</v>
      </c>
      <c r="AJ1416" s="4" t="s">
        <v>251</v>
      </c>
      <c r="AK1416" s="4" t="s">
        <v>252</v>
      </c>
      <c r="BA1416" s="4" t="s">
        <v>254</v>
      </c>
      <c r="BB1416" s="4" t="s">
        <v>241</v>
      </c>
      <c r="BC1416" s="4" t="s">
        <v>255</v>
      </c>
      <c r="BD1416" s="4" t="s">
        <v>241</v>
      </c>
      <c r="BE1416" s="4" t="s">
        <v>257</v>
      </c>
      <c r="BF1416" s="4" t="s">
        <v>241</v>
      </c>
      <c r="BH1416" s="4" t="s">
        <v>787</v>
      </c>
      <c r="BJ1416" s="4" t="s">
        <v>374</v>
      </c>
      <c r="BK1416" s="5" t="s">
        <v>375</v>
      </c>
      <c r="BL1416" s="4" t="s">
        <v>261</v>
      </c>
      <c r="BM1416" s="4" t="s">
        <v>262</v>
      </c>
      <c r="BN1416" s="4" t="s">
        <v>241</v>
      </c>
      <c r="BO1416" s="6">
        <f>0</f>
        <v>0</v>
      </c>
      <c r="BP1416" s="6">
        <f>0</f>
        <v>0</v>
      </c>
      <c r="BQ1416" s="4" t="s">
        <v>263</v>
      </c>
      <c r="BR1416" s="4" t="s">
        <v>264</v>
      </c>
      <c r="CF1416" s="4" t="s">
        <v>241</v>
      </c>
      <c r="CG1416" s="4" t="s">
        <v>241</v>
      </c>
      <c r="CK1416" s="4" t="s">
        <v>291</v>
      </c>
      <c r="CL1416" s="4" t="s">
        <v>266</v>
      </c>
      <c r="CM1416" s="4" t="s">
        <v>241</v>
      </c>
      <c r="CO1416" s="4" t="s">
        <v>398</v>
      </c>
      <c r="CP1416" s="5" t="s">
        <v>268</v>
      </c>
      <c r="CQ1416" s="4" t="s">
        <v>269</v>
      </c>
      <c r="CR1416" s="4" t="s">
        <v>270</v>
      </c>
      <c r="CS1416" s="4" t="s">
        <v>241</v>
      </c>
      <c r="CT1416" s="4" t="s">
        <v>241</v>
      </c>
      <c r="CU1416" s="4">
        <v>0</v>
      </c>
      <c r="CV1416" s="4" t="s">
        <v>271</v>
      </c>
      <c r="CW1416" s="4" t="s">
        <v>655</v>
      </c>
      <c r="CX1416" s="4" t="s">
        <v>347</v>
      </c>
      <c r="CZ1416" s="6">
        <f>17289000</f>
        <v>17289000</v>
      </c>
      <c r="DA1416" s="6">
        <f>0</f>
        <v>0</v>
      </c>
      <c r="DC1416" s="4" t="s">
        <v>241</v>
      </c>
      <c r="DD1416" s="4" t="s">
        <v>241</v>
      </c>
      <c r="DF1416" s="4" t="s">
        <v>241</v>
      </c>
      <c r="DI1416" s="4" t="s">
        <v>241</v>
      </c>
      <c r="DJ1416" s="4" t="s">
        <v>241</v>
      </c>
      <c r="DK1416" s="4" t="s">
        <v>241</v>
      </c>
      <c r="DL1416" s="4" t="s">
        <v>241</v>
      </c>
      <c r="DM1416" s="4" t="s">
        <v>277</v>
      </c>
      <c r="DN1416" s="4" t="s">
        <v>278</v>
      </c>
      <c r="DO1416" s="6">
        <f>153</f>
        <v>153</v>
      </c>
      <c r="DP1416" s="4" t="s">
        <v>241</v>
      </c>
      <c r="DQ1416" s="4" t="s">
        <v>241</v>
      </c>
      <c r="DR1416" s="4" t="s">
        <v>241</v>
      </c>
      <c r="DS1416" s="4" t="s">
        <v>241</v>
      </c>
      <c r="DV1416" s="4" t="s">
        <v>788</v>
      </c>
      <c r="DW1416" s="4" t="s">
        <v>277</v>
      </c>
      <c r="HO1416" s="4" t="s">
        <v>277</v>
      </c>
      <c r="HR1416" s="4" t="s">
        <v>278</v>
      </c>
      <c r="HS1416" s="4" t="s">
        <v>278</v>
      </c>
    </row>
    <row r="1417" spans="1:240" x14ac:dyDescent="0.4">
      <c r="A1417" s="4">
        <v>2</v>
      </c>
      <c r="B1417" s="4" t="s">
        <v>239</v>
      </c>
      <c r="C1417" s="4">
        <v>1734</v>
      </c>
      <c r="D1417" s="4">
        <v>1</v>
      </c>
      <c r="E1417" s="4">
        <v>1</v>
      </c>
      <c r="F1417" s="4" t="s">
        <v>240</v>
      </c>
      <c r="G1417" s="4" t="s">
        <v>241</v>
      </c>
      <c r="H1417" s="4" t="s">
        <v>241</v>
      </c>
      <c r="I1417" s="4" t="s">
        <v>785</v>
      </c>
      <c r="J1417" s="4" t="s">
        <v>283</v>
      </c>
      <c r="K1417" s="4" t="s">
        <v>578</v>
      </c>
      <c r="L1417" s="4" t="s">
        <v>784</v>
      </c>
      <c r="M1417" s="5" t="s">
        <v>786</v>
      </c>
      <c r="N1417" s="4" t="s">
        <v>784</v>
      </c>
      <c r="O1417" s="6">
        <f>137</f>
        <v>137</v>
      </c>
      <c r="P1417" s="4" t="s">
        <v>276</v>
      </c>
      <c r="Q1417" s="6">
        <f>1</f>
        <v>1</v>
      </c>
      <c r="R1417" s="6">
        <f>12330000</f>
        <v>12330000</v>
      </c>
      <c r="S1417" s="5" t="s">
        <v>789</v>
      </c>
      <c r="T1417" s="4" t="s">
        <v>314</v>
      </c>
      <c r="U1417" s="4" t="s">
        <v>791</v>
      </c>
      <c r="W1417" s="6">
        <f>12329999</f>
        <v>12329999</v>
      </c>
      <c r="X1417" s="4" t="s">
        <v>243</v>
      </c>
      <c r="Y1417" s="4" t="s">
        <v>244</v>
      </c>
      <c r="Z1417" s="4" t="s">
        <v>282</v>
      </c>
      <c r="AA1417" s="4" t="s">
        <v>241</v>
      </c>
      <c r="AD1417" s="4" t="s">
        <v>241</v>
      </c>
      <c r="AF1417" s="5" t="s">
        <v>241</v>
      </c>
      <c r="AI1417" s="5" t="s">
        <v>249</v>
      </c>
      <c r="AJ1417" s="4" t="s">
        <v>251</v>
      </c>
      <c r="AK1417" s="4" t="s">
        <v>252</v>
      </c>
      <c r="BA1417" s="4" t="s">
        <v>254</v>
      </c>
      <c r="BB1417" s="4" t="s">
        <v>241</v>
      </c>
      <c r="BC1417" s="4" t="s">
        <v>255</v>
      </c>
      <c r="BD1417" s="4" t="s">
        <v>241</v>
      </c>
      <c r="BE1417" s="4" t="s">
        <v>257</v>
      </c>
      <c r="BF1417" s="4" t="s">
        <v>241</v>
      </c>
      <c r="BJ1417" s="4" t="s">
        <v>377</v>
      </c>
      <c r="BK1417" s="5" t="s">
        <v>378</v>
      </c>
      <c r="BL1417" s="4" t="s">
        <v>261</v>
      </c>
      <c r="BM1417" s="4" t="s">
        <v>262</v>
      </c>
      <c r="BN1417" s="4" t="s">
        <v>241</v>
      </c>
      <c r="BO1417" s="6">
        <f>0</f>
        <v>0</v>
      </c>
      <c r="BP1417" s="6">
        <f>0</f>
        <v>0</v>
      </c>
      <c r="BQ1417" s="4" t="s">
        <v>263</v>
      </c>
      <c r="BR1417" s="4" t="s">
        <v>264</v>
      </c>
      <c r="CF1417" s="4" t="s">
        <v>241</v>
      </c>
      <c r="CG1417" s="4" t="s">
        <v>241</v>
      </c>
      <c r="CK1417" s="4" t="s">
        <v>265</v>
      </c>
      <c r="CL1417" s="4" t="s">
        <v>266</v>
      </c>
      <c r="CM1417" s="4" t="s">
        <v>241</v>
      </c>
      <c r="CO1417" s="4" t="s">
        <v>790</v>
      </c>
      <c r="CP1417" s="5" t="s">
        <v>268</v>
      </c>
      <c r="CQ1417" s="4" t="s">
        <v>269</v>
      </c>
      <c r="CR1417" s="4" t="s">
        <v>270</v>
      </c>
      <c r="CS1417" s="4" t="s">
        <v>241</v>
      </c>
      <c r="CT1417" s="4" t="s">
        <v>241</v>
      </c>
      <c r="CU1417" s="4">
        <v>0</v>
      </c>
      <c r="CV1417" s="4" t="s">
        <v>271</v>
      </c>
      <c r="CW1417" s="4" t="s">
        <v>655</v>
      </c>
      <c r="CX1417" s="4" t="s">
        <v>347</v>
      </c>
      <c r="CZ1417" s="6">
        <f>12330000</f>
        <v>12330000</v>
      </c>
      <c r="DA1417" s="6">
        <f>0</f>
        <v>0</v>
      </c>
      <c r="DC1417" s="4" t="s">
        <v>241</v>
      </c>
      <c r="DD1417" s="4" t="s">
        <v>241</v>
      </c>
      <c r="DF1417" s="4" t="s">
        <v>241</v>
      </c>
      <c r="DI1417" s="4" t="s">
        <v>241</v>
      </c>
      <c r="DJ1417" s="4" t="s">
        <v>241</v>
      </c>
      <c r="DK1417" s="4" t="s">
        <v>241</v>
      </c>
      <c r="DL1417" s="4" t="s">
        <v>241</v>
      </c>
      <c r="DM1417" s="4" t="s">
        <v>277</v>
      </c>
      <c r="DN1417" s="4" t="s">
        <v>278</v>
      </c>
      <c r="DO1417" s="6">
        <f>137</f>
        <v>137</v>
      </c>
      <c r="DP1417" s="4" t="s">
        <v>241</v>
      </c>
      <c r="DQ1417" s="4" t="s">
        <v>241</v>
      </c>
      <c r="DR1417" s="4" t="s">
        <v>241</v>
      </c>
      <c r="DS1417" s="4" t="s">
        <v>241</v>
      </c>
      <c r="DV1417" s="4" t="s">
        <v>788</v>
      </c>
      <c r="DW1417" s="4" t="s">
        <v>323</v>
      </c>
      <c r="HO1417" s="4" t="s">
        <v>277</v>
      </c>
      <c r="HR1417" s="4" t="s">
        <v>278</v>
      </c>
      <c r="HS1417" s="4" t="s">
        <v>278</v>
      </c>
    </row>
    <row r="1418" spans="1:240" x14ac:dyDescent="0.4">
      <c r="A1418" s="4">
        <v>2</v>
      </c>
      <c r="B1418" s="4" t="s">
        <v>239</v>
      </c>
      <c r="C1418" s="4">
        <v>1735</v>
      </c>
      <c r="D1418" s="4">
        <v>1</v>
      </c>
      <c r="E1418" s="4">
        <v>1</v>
      </c>
      <c r="F1418" s="4" t="s">
        <v>240</v>
      </c>
      <c r="G1418" s="4" t="s">
        <v>241</v>
      </c>
      <c r="H1418" s="4" t="s">
        <v>241</v>
      </c>
      <c r="I1418" s="4" t="s">
        <v>785</v>
      </c>
      <c r="J1418" s="4" t="s">
        <v>283</v>
      </c>
      <c r="K1418" s="4" t="s">
        <v>578</v>
      </c>
      <c r="L1418" s="4" t="s">
        <v>784</v>
      </c>
      <c r="M1418" s="5" t="s">
        <v>786</v>
      </c>
      <c r="N1418" s="4" t="s">
        <v>784</v>
      </c>
      <c r="O1418" s="6">
        <f>7</f>
        <v>7</v>
      </c>
      <c r="P1418" s="4" t="s">
        <v>276</v>
      </c>
      <c r="Q1418" s="6">
        <f>1</f>
        <v>1</v>
      </c>
      <c r="R1418" s="6">
        <f>420000</f>
        <v>420000</v>
      </c>
      <c r="S1418" s="5" t="s">
        <v>3127</v>
      </c>
      <c r="T1418" s="4" t="s">
        <v>348</v>
      </c>
      <c r="U1418" s="4" t="s">
        <v>2201</v>
      </c>
      <c r="W1418" s="6">
        <f>419999</f>
        <v>419999</v>
      </c>
      <c r="X1418" s="4" t="s">
        <v>243</v>
      </c>
      <c r="Y1418" s="4" t="s">
        <v>244</v>
      </c>
      <c r="Z1418" s="4" t="s">
        <v>282</v>
      </c>
      <c r="AA1418" s="4" t="s">
        <v>241</v>
      </c>
      <c r="AD1418" s="4" t="s">
        <v>241</v>
      </c>
      <c r="AF1418" s="5" t="s">
        <v>241</v>
      </c>
      <c r="AI1418" s="5" t="s">
        <v>249</v>
      </c>
      <c r="AJ1418" s="4" t="s">
        <v>251</v>
      </c>
      <c r="AK1418" s="4" t="s">
        <v>252</v>
      </c>
      <c r="BA1418" s="4" t="s">
        <v>254</v>
      </c>
      <c r="BB1418" s="4" t="s">
        <v>241</v>
      </c>
      <c r="BC1418" s="4" t="s">
        <v>255</v>
      </c>
      <c r="BD1418" s="4" t="s">
        <v>241</v>
      </c>
      <c r="BE1418" s="4" t="s">
        <v>257</v>
      </c>
      <c r="BF1418" s="4" t="s">
        <v>241</v>
      </c>
      <c r="BJ1418" s="4" t="s">
        <v>259</v>
      </c>
      <c r="BK1418" s="5" t="s">
        <v>260</v>
      </c>
      <c r="BL1418" s="4" t="s">
        <v>261</v>
      </c>
      <c r="BM1418" s="4" t="s">
        <v>262</v>
      </c>
      <c r="BN1418" s="4" t="s">
        <v>241</v>
      </c>
      <c r="BO1418" s="6">
        <f>0</f>
        <v>0</v>
      </c>
      <c r="BP1418" s="6">
        <f>0</f>
        <v>0</v>
      </c>
      <c r="BQ1418" s="4" t="s">
        <v>263</v>
      </c>
      <c r="BR1418" s="4" t="s">
        <v>264</v>
      </c>
      <c r="CF1418" s="4" t="s">
        <v>241</v>
      </c>
      <c r="CG1418" s="4" t="s">
        <v>241</v>
      </c>
      <c r="CK1418" s="4" t="s">
        <v>265</v>
      </c>
      <c r="CL1418" s="4" t="s">
        <v>266</v>
      </c>
      <c r="CM1418" s="4" t="s">
        <v>241</v>
      </c>
      <c r="CO1418" s="4" t="s">
        <v>2200</v>
      </c>
      <c r="CP1418" s="5" t="s">
        <v>268</v>
      </c>
      <c r="CQ1418" s="4" t="s">
        <v>269</v>
      </c>
      <c r="CR1418" s="4" t="s">
        <v>270</v>
      </c>
      <c r="CS1418" s="4" t="s">
        <v>241</v>
      </c>
      <c r="CT1418" s="4" t="s">
        <v>241</v>
      </c>
      <c r="CU1418" s="4">
        <v>0</v>
      </c>
      <c r="CV1418" s="4" t="s">
        <v>271</v>
      </c>
      <c r="CW1418" s="4" t="s">
        <v>272</v>
      </c>
      <c r="CX1418" s="4" t="s">
        <v>347</v>
      </c>
      <c r="CZ1418" s="6">
        <f>420000</f>
        <v>420000</v>
      </c>
      <c r="DA1418" s="6">
        <f>0</f>
        <v>0</v>
      </c>
      <c r="DC1418" s="4" t="s">
        <v>241</v>
      </c>
      <c r="DD1418" s="4" t="s">
        <v>241</v>
      </c>
      <c r="DF1418" s="4" t="s">
        <v>241</v>
      </c>
      <c r="DI1418" s="4" t="s">
        <v>241</v>
      </c>
      <c r="DJ1418" s="4" t="s">
        <v>241</v>
      </c>
      <c r="DK1418" s="4" t="s">
        <v>241</v>
      </c>
      <c r="DL1418" s="4" t="s">
        <v>241</v>
      </c>
      <c r="DM1418" s="4" t="s">
        <v>277</v>
      </c>
      <c r="DN1418" s="4" t="s">
        <v>278</v>
      </c>
      <c r="DO1418" s="6">
        <f>7</f>
        <v>7</v>
      </c>
      <c r="DP1418" s="4" t="s">
        <v>241</v>
      </c>
      <c r="DQ1418" s="4" t="s">
        <v>241</v>
      </c>
      <c r="DR1418" s="4" t="s">
        <v>241</v>
      </c>
      <c r="DS1418" s="4" t="s">
        <v>241</v>
      </c>
      <c r="DV1418" s="4" t="s">
        <v>788</v>
      </c>
      <c r="DW1418" s="4" t="s">
        <v>297</v>
      </c>
      <c r="HO1418" s="4" t="s">
        <v>277</v>
      </c>
      <c r="HR1418" s="4" t="s">
        <v>278</v>
      </c>
      <c r="HS1418" s="4" t="s">
        <v>278</v>
      </c>
    </row>
    <row r="1419" spans="1:240" x14ac:dyDescent="0.4">
      <c r="A1419" s="4">
        <v>2</v>
      </c>
      <c r="B1419" s="4" t="s">
        <v>239</v>
      </c>
      <c r="C1419" s="4">
        <v>1736</v>
      </c>
      <c r="D1419" s="4">
        <v>1</v>
      </c>
      <c r="E1419" s="4">
        <v>1</v>
      </c>
      <c r="F1419" s="4" t="s">
        <v>240</v>
      </c>
      <c r="G1419" s="4" t="s">
        <v>241</v>
      </c>
      <c r="H1419" s="4" t="s">
        <v>241</v>
      </c>
      <c r="I1419" s="4" t="s">
        <v>785</v>
      </c>
      <c r="J1419" s="4" t="s">
        <v>283</v>
      </c>
      <c r="K1419" s="4" t="s">
        <v>578</v>
      </c>
      <c r="L1419" s="4" t="s">
        <v>784</v>
      </c>
      <c r="M1419" s="5" t="s">
        <v>786</v>
      </c>
      <c r="N1419" s="4" t="s">
        <v>784</v>
      </c>
      <c r="O1419" s="6">
        <f>10</f>
        <v>10</v>
      </c>
      <c r="P1419" s="4" t="s">
        <v>276</v>
      </c>
      <c r="Q1419" s="6">
        <f>1</f>
        <v>1</v>
      </c>
      <c r="R1419" s="6">
        <f>900000</f>
        <v>900000</v>
      </c>
      <c r="S1419" s="5" t="s">
        <v>667</v>
      </c>
      <c r="T1419" s="4" t="s">
        <v>348</v>
      </c>
      <c r="U1419" s="4" t="s">
        <v>399</v>
      </c>
      <c r="W1419" s="6">
        <f>899999</f>
        <v>899999</v>
      </c>
      <c r="X1419" s="4" t="s">
        <v>243</v>
      </c>
      <c r="Y1419" s="4" t="s">
        <v>244</v>
      </c>
      <c r="Z1419" s="4" t="s">
        <v>282</v>
      </c>
      <c r="AA1419" s="4" t="s">
        <v>241</v>
      </c>
      <c r="AD1419" s="4" t="s">
        <v>241</v>
      </c>
      <c r="AF1419" s="5" t="s">
        <v>241</v>
      </c>
      <c r="AI1419" s="5" t="s">
        <v>249</v>
      </c>
      <c r="AJ1419" s="4" t="s">
        <v>251</v>
      </c>
      <c r="AK1419" s="4" t="s">
        <v>252</v>
      </c>
      <c r="BA1419" s="4" t="s">
        <v>254</v>
      </c>
      <c r="BB1419" s="4" t="s">
        <v>241</v>
      </c>
      <c r="BC1419" s="4" t="s">
        <v>255</v>
      </c>
      <c r="BD1419" s="4" t="s">
        <v>241</v>
      </c>
      <c r="BE1419" s="4" t="s">
        <v>257</v>
      </c>
      <c r="BF1419" s="4" t="s">
        <v>241</v>
      </c>
      <c r="BJ1419" s="4" t="s">
        <v>367</v>
      </c>
      <c r="BK1419" s="5" t="s">
        <v>249</v>
      </c>
      <c r="BL1419" s="4" t="s">
        <v>261</v>
      </c>
      <c r="BM1419" s="4" t="s">
        <v>262</v>
      </c>
      <c r="BN1419" s="4" t="s">
        <v>241</v>
      </c>
      <c r="BO1419" s="6">
        <f>0</f>
        <v>0</v>
      </c>
      <c r="BP1419" s="6">
        <f>0</f>
        <v>0</v>
      </c>
      <c r="BQ1419" s="4" t="s">
        <v>263</v>
      </c>
      <c r="BR1419" s="4" t="s">
        <v>264</v>
      </c>
      <c r="CF1419" s="4" t="s">
        <v>241</v>
      </c>
      <c r="CG1419" s="4" t="s">
        <v>241</v>
      </c>
      <c r="CK1419" s="4" t="s">
        <v>291</v>
      </c>
      <c r="CL1419" s="4" t="s">
        <v>266</v>
      </c>
      <c r="CM1419" s="4" t="s">
        <v>241</v>
      </c>
      <c r="CO1419" s="4" t="s">
        <v>398</v>
      </c>
      <c r="CP1419" s="5" t="s">
        <v>268</v>
      </c>
      <c r="CQ1419" s="4" t="s">
        <v>269</v>
      </c>
      <c r="CR1419" s="4" t="s">
        <v>270</v>
      </c>
      <c r="CS1419" s="4" t="s">
        <v>241</v>
      </c>
      <c r="CT1419" s="4" t="s">
        <v>241</v>
      </c>
      <c r="CU1419" s="4">
        <v>0</v>
      </c>
      <c r="CV1419" s="4" t="s">
        <v>271</v>
      </c>
      <c r="CW1419" s="4" t="s">
        <v>272</v>
      </c>
      <c r="CX1419" s="4" t="s">
        <v>347</v>
      </c>
      <c r="CZ1419" s="6">
        <f>900000</f>
        <v>900000</v>
      </c>
      <c r="DA1419" s="6">
        <f>0</f>
        <v>0</v>
      </c>
      <c r="DC1419" s="4" t="s">
        <v>241</v>
      </c>
      <c r="DD1419" s="4" t="s">
        <v>241</v>
      </c>
      <c r="DF1419" s="4" t="s">
        <v>241</v>
      </c>
      <c r="DI1419" s="4" t="s">
        <v>241</v>
      </c>
      <c r="DJ1419" s="4" t="s">
        <v>241</v>
      </c>
      <c r="DK1419" s="4" t="s">
        <v>241</v>
      </c>
      <c r="DL1419" s="4" t="s">
        <v>241</v>
      </c>
      <c r="DM1419" s="4" t="s">
        <v>277</v>
      </c>
      <c r="DN1419" s="4" t="s">
        <v>278</v>
      </c>
      <c r="DO1419" s="6">
        <f>10</f>
        <v>10</v>
      </c>
      <c r="DP1419" s="4" t="s">
        <v>241</v>
      </c>
      <c r="DQ1419" s="4" t="s">
        <v>241</v>
      </c>
      <c r="DR1419" s="4" t="s">
        <v>241</v>
      </c>
      <c r="DS1419" s="4" t="s">
        <v>241</v>
      </c>
      <c r="DV1419" s="4" t="s">
        <v>788</v>
      </c>
      <c r="DW1419" s="4" t="s">
        <v>336</v>
      </c>
      <c r="HO1419" s="4" t="s">
        <v>277</v>
      </c>
      <c r="HR1419" s="4" t="s">
        <v>278</v>
      </c>
      <c r="HS1419" s="4" t="s">
        <v>278</v>
      </c>
    </row>
    <row r="1420" spans="1:240" x14ac:dyDescent="0.4">
      <c r="A1420" s="4">
        <v>2</v>
      </c>
      <c r="B1420" s="4" t="s">
        <v>239</v>
      </c>
      <c r="C1420" s="4">
        <v>1737</v>
      </c>
      <c r="D1420" s="4">
        <v>1</v>
      </c>
      <c r="E1420" s="4">
        <v>1</v>
      </c>
      <c r="F1420" s="4" t="s">
        <v>240</v>
      </c>
      <c r="G1420" s="4" t="s">
        <v>241</v>
      </c>
      <c r="H1420" s="4" t="s">
        <v>241</v>
      </c>
      <c r="I1420" s="4" t="s">
        <v>792</v>
      </c>
      <c r="J1420" s="4" t="s">
        <v>418</v>
      </c>
      <c r="K1420" s="4" t="s">
        <v>578</v>
      </c>
      <c r="L1420" s="4" t="s">
        <v>784</v>
      </c>
      <c r="M1420" s="5" t="s">
        <v>794</v>
      </c>
      <c r="N1420" s="4" t="s">
        <v>784</v>
      </c>
      <c r="O1420" s="6">
        <f>432.83</f>
        <v>432.83</v>
      </c>
      <c r="P1420" s="4" t="s">
        <v>276</v>
      </c>
      <c r="Q1420" s="6">
        <f>1</f>
        <v>1</v>
      </c>
      <c r="R1420" s="6">
        <f>25969800</f>
        <v>25969800</v>
      </c>
      <c r="S1420" s="5" t="s">
        <v>793</v>
      </c>
      <c r="T1420" s="4" t="s">
        <v>314</v>
      </c>
      <c r="U1420" s="4" t="s">
        <v>796</v>
      </c>
      <c r="W1420" s="6">
        <f>25969799</f>
        <v>25969799</v>
      </c>
      <c r="X1420" s="4" t="s">
        <v>243</v>
      </c>
      <c r="Y1420" s="4" t="s">
        <v>244</v>
      </c>
      <c r="Z1420" s="4" t="s">
        <v>282</v>
      </c>
      <c r="AA1420" s="4" t="s">
        <v>241</v>
      </c>
      <c r="AD1420" s="4" t="s">
        <v>241</v>
      </c>
      <c r="AF1420" s="5" t="s">
        <v>241</v>
      </c>
      <c r="AI1420" s="5" t="s">
        <v>249</v>
      </c>
      <c r="AJ1420" s="4" t="s">
        <v>251</v>
      </c>
      <c r="AK1420" s="4" t="s">
        <v>252</v>
      </c>
      <c r="BA1420" s="4" t="s">
        <v>254</v>
      </c>
      <c r="BB1420" s="4" t="s">
        <v>241</v>
      </c>
      <c r="BC1420" s="4" t="s">
        <v>255</v>
      </c>
      <c r="BD1420" s="4" t="s">
        <v>241</v>
      </c>
      <c r="BE1420" s="4" t="s">
        <v>257</v>
      </c>
      <c r="BF1420" s="4" t="s">
        <v>241</v>
      </c>
      <c r="BH1420" s="4" t="s">
        <v>787</v>
      </c>
      <c r="BJ1420" s="4" t="s">
        <v>374</v>
      </c>
      <c r="BK1420" s="5" t="s">
        <v>375</v>
      </c>
      <c r="BL1420" s="4" t="s">
        <v>261</v>
      </c>
      <c r="BM1420" s="4" t="s">
        <v>262</v>
      </c>
      <c r="BN1420" s="4" t="s">
        <v>241</v>
      </c>
      <c r="BO1420" s="6">
        <f>0</f>
        <v>0</v>
      </c>
      <c r="BP1420" s="6">
        <f>0</f>
        <v>0</v>
      </c>
      <c r="BQ1420" s="4" t="s">
        <v>263</v>
      </c>
      <c r="BR1420" s="4" t="s">
        <v>264</v>
      </c>
      <c r="CF1420" s="4" t="s">
        <v>241</v>
      </c>
      <c r="CG1420" s="4" t="s">
        <v>241</v>
      </c>
      <c r="CK1420" s="4" t="s">
        <v>265</v>
      </c>
      <c r="CL1420" s="4" t="s">
        <v>266</v>
      </c>
      <c r="CM1420" s="4" t="s">
        <v>241</v>
      </c>
      <c r="CO1420" s="4" t="s">
        <v>795</v>
      </c>
      <c r="CP1420" s="5" t="s">
        <v>268</v>
      </c>
      <c r="CQ1420" s="4" t="s">
        <v>269</v>
      </c>
      <c r="CR1420" s="4" t="s">
        <v>270</v>
      </c>
      <c r="CS1420" s="4" t="s">
        <v>241</v>
      </c>
      <c r="CT1420" s="4" t="s">
        <v>241</v>
      </c>
      <c r="CU1420" s="4">
        <v>0</v>
      </c>
      <c r="CV1420" s="4" t="s">
        <v>271</v>
      </c>
      <c r="CW1420" s="4" t="s">
        <v>655</v>
      </c>
      <c r="CX1420" s="4" t="s">
        <v>347</v>
      </c>
      <c r="CZ1420" s="6">
        <f>25969800</f>
        <v>25969800</v>
      </c>
      <c r="DA1420" s="6">
        <f>0</f>
        <v>0</v>
      </c>
      <c r="DC1420" s="4" t="s">
        <v>241</v>
      </c>
      <c r="DD1420" s="4" t="s">
        <v>241</v>
      </c>
      <c r="DF1420" s="4" t="s">
        <v>241</v>
      </c>
      <c r="DI1420" s="4" t="s">
        <v>241</v>
      </c>
      <c r="DJ1420" s="4" t="s">
        <v>241</v>
      </c>
      <c r="DK1420" s="4" t="s">
        <v>241</v>
      </c>
      <c r="DL1420" s="4" t="s">
        <v>241</v>
      </c>
      <c r="DM1420" s="4" t="s">
        <v>277</v>
      </c>
      <c r="DN1420" s="4" t="s">
        <v>278</v>
      </c>
      <c r="DO1420" s="6">
        <f>432.83</f>
        <v>432.83</v>
      </c>
      <c r="DP1420" s="4" t="s">
        <v>241</v>
      </c>
      <c r="DQ1420" s="4" t="s">
        <v>241</v>
      </c>
      <c r="DR1420" s="4" t="s">
        <v>241</v>
      </c>
      <c r="DS1420" s="4" t="s">
        <v>241</v>
      </c>
      <c r="DV1420" s="4" t="s">
        <v>797</v>
      </c>
      <c r="DW1420" s="4" t="s">
        <v>277</v>
      </c>
      <c r="HO1420" s="4" t="s">
        <v>277</v>
      </c>
      <c r="HR1420" s="4" t="s">
        <v>278</v>
      </c>
      <c r="HS1420" s="4" t="s">
        <v>278</v>
      </c>
    </row>
    <row r="1421" spans="1:240" x14ac:dyDescent="0.4">
      <c r="A1421" s="4">
        <v>2</v>
      </c>
      <c r="B1421" s="4" t="s">
        <v>239</v>
      </c>
      <c r="C1421" s="4">
        <v>1738</v>
      </c>
      <c r="D1421" s="4">
        <v>1</v>
      </c>
      <c r="E1421" s="4">
        <v>1</v>
      </c>
      <c r="F1421" s="4" t="s">
        <v>240</v>
      </c>
      <c r="G1421" s="4" t="s">
        <v>241</v>
      </c>
      <c r="H1421" s="4" t="s">
        <v>241</v>
      </c>
      <c r="I1421" s="4" t="s">
        <v>1622</v>
      </c>
      <c r="J1421" s="4" t="s">
        <v>418</v>
      </c>
      <c r="K1421" s="4" t="s">
        <v>578</v>
      </c>
      <c r="L1421" s="4" t="s">
        <v>784</v>
      </c>
      <c r="M1421" s="5" t="s">
        <v>1624</v>
      </c>
      <c r="N1421" s="4" t="s">
        <v>1621</v>
      </c>
      <c r="O1421" s="6">
        <f>50.92</f>
        <v>50.92</v>
      </c>
      <c r="P1421" s="4" t="s">
        <v>276</v>
      </c>
      <c r="Q1421" s="6">
        <f>1</f>
        <v>1</v>
      </c>
      <c r="R1421" s="6">
        <f>5855800</f>
        <v>5855800</v>
      </c>
      <c r="S1421" s="5" t="s">
        <v>1623</v>
      </c>
      <c r="T1421" s="4" t="s">
        <v>373</v>
      </c>
      <c r="U1421" s="4" t="s">
        <v>437</v>
      </c>
      <c r="W1421" s="6">
        <f>5855799</f>
        <v>5855799</v>
      </c>
      <c r="X1421" s="4" t="s">
        <v>243</v>
      </c>
      <c r="Y1421" s="4" t="s">
        <v>244</v>
      </c>
      <c r="Z1421" s="4" t="s">
        <v>282</v>
      </c>
      <c r="AA1421" s="4" t="s">
        <v>241</v>
      </c>
      <c r="AD1421" s="4" t="s">
        <v>241</v>
      </c>
      <c r="AF1421" s="5" t="s">
        <v>241</v>
      </c>
      <c r="AI1421" s="5" t="s">
        <v>249</v>
      </c>
      <c r="AJ1421" s="4" t="s">
        <v>251</v>
      </c>
      <c r="AK1421" s="4" t="s">
        <v>252</v>
      </c>
      <c r="BA1421" s="4" t="s">
        <v>254</v>
      </c>
      <c r="BB1421" s="4" t="s">
        <v>241</v>
      </c>
      <c r="BC1421" s="4" t="s">
        <v>255</v>
      </c>
      <c r="BD1421" s="4" t="s">
        <v>241</v>
      </c>
      <c r="BE1421" s="4" t="s">
        <v>257</v>
      </c>
      <c r="BF1421" s="4" t="s">
        <v>241</v>
      </c>
      <c r="BH1421" s="4" t="s">
        <v>787</v>
      </c>
      <c r="BJ1421" s="4" t="s">
        <v>377</v>
      </c>
      <c r="BK1421" s="5" t="s">
        <v>378</v>
      </c>
      <c r="BL1421" s="4" t="s">
        <v>261</v>
      </c>
      <c r="BM1421" s="4" t="s">
        <v>262</v>
      </c>
      <c r="BN1421" s="4" t="s">
        <v>241</v>
      </c>
      <c r="BO1421" s="6">
        <f>0</f>
        <v>0</v>
      </c>
      <c r="BP1421" s="6">
        <f>0</f>
        <v>0</v>
      </c>
      <c r="BQ1421" s="4" t="s">
        <v>263</v>
      </c>
      <c r="BR1421" s="4" t="s">
        <v>264</v>
      </c>
      <c r="CF1421" s="4" t="s">
        <v>241</v>
      </c>
      <c r="CG1421" s="4" t="s">
        <v>241</v>
      </c>
      <c r="CK1421" s="4" t="s">
        <v>265</v>
      </c>
      <c r="CL1421" s="4" t="s">
        <v>266</v>
      </c>
      <c r="CM1421" s="4" t="s">
        <v>241</v>
      </c>
      <c r="CO1421" s="4" t="s">
        <v>436</v>
      </c>
      <c r="CP1421" s="5" t="s">
        <v>268</v>
      </c>
      <c r="CQ1421" s="4" t="s">
        <v>269</v>
      </c>
      <c r="CR1421" s="4" t="s">
        <v>270</v>
      </c>
      <c r="CS1421" s="4" t="s">
        <v>241</v>
      </c>
      <c r="CT1421" s="4" t="s">
        <v>241</v>
      </c>
      <c r="CU1421" s="4">
        <v>0</v>
      </c>
      <c r="CV1421" s="4" t="s">
        <v>271</v>
      </c>
      <c r="CW1421" s="4" t="s">
        <v>1618</v>
      </c>
      <c r="CX1421" s="4" t="s">
        <v>356</v>
      </c>
      <c r="CZ1421" s="6">
        <f>5855800</f>
        <v>5855800</v>
      </c>
      <c r="DA1421" s="6">
        <f>0</f>
        <v>0</v>
      </c>
      <c r="DC1421" s="4" t="s">
        <v>241</v>
      </c>
      <c r="DD1421" s="4" t="s">
        <v>241</v>
      </c>
      <c r="DF1421" s="4" t="s">
        <v>241</v>
      </c>
      <c r="DI1421" s="4" t="s">
        <v>241</v>
      </c>
      <c r="DJ1421" s="4" t="s">
        <v>241</v>
      </c>
      <c r="DK1421" s="4" t="s">
        <v>241</v>
      </c>
      <c r="DL1421" s="4" t="s">
        <v>241</v>
      </c>
      <c r="DM1421" s="4" t="s">
        <v>277</v>
      </c>
      <c r="DN1421" s="4" t="s">
        <v>278</v>
      </c>
      <c r="DO1421" s="6">
        <f>50.92</f>
        <v>50.92</v>
      </c>
      <c r="DP1421" s="4" t="s">
        <v>241</v>
      </c>
      <c r="DQ1421" s="4" t="s">
        <v>241</v>
      </c>
      <c r="DR1421" s="4" t="s">
        <v>241</v>
      </c>
      <c r="DS1421" s="4" t="s">
        <v>241</v>
      </c>
      <c r="DV1421" s="4" t="s">
        <v>1625</v>
      </c>
      <c r="DW1421" s="4" t="s">
        <v>277</v>
      </c>
      <c r="HO1421" s="4" t="s">
        <v>277</v>
      </c>
      <c r="HR1421" s="4" t="s">
        <v>278</v>
      </c>
      <c r="HS1421" s="4" t="s">
        <v>278</v>
      </c>
    </row>
    <row r="1422" spans="1:240" x14ac:dyDescent="0.4">
      <c r="A1422" s="4">
        <v>2</v>
      </c>
      <c r="B1422" s="4" t="s">
        <v>239</v>
      </c>
      <c r="C1422" s="4">
        <v>1739</v>
      </c>
      <c r="D1422" s="4">
        <v>1</v>
      </c>
      <c r="E1422" s="4">
        <v>1</v>
      </c>
      <c r="F1422" s="4" t="s">
        <v>240</v>
      </c>
      <c r="G1422" s="4" t="s">
        <v>241</v>
      </c>
      <c r="H1422" s="4" t="s">
        <v>241</v>
      </c>
      <c r="I1422" s="4" t="s">
        <v>1370</v>
      </c>
      <c r="J1422" s="4" t="s">
        <v>302</v>
      </c>
      <c r="K1422" s="4" t="s">
        <v>578</v>
      </c>
      <c r="L1422" s="4" t="s">
        <v>784</v>
      </c>
      <c r="M1422" s="5" t="s">
        <v>1371</v>
      </c>
      <c r="N1422" s="4" t="s">
        <v>1325</v>
      </c>
      <c r="O1422" s="6">
        <f>29.16</f>
        <v>29.16</v>
      </c>
      <c r="P1422" s="4" t="s">
        <v>276</v>
      </c>
      <c r="Q1422" s="6">
        <f>1</f>
        <v>1</v>
      </c>
      <c r="R1422" s="6">
        <f>4519800</f>
        <v>4519800</v>
      </c>
      <c r="S1422" s="5" t="s">
        <v>451</v>
      </c>
      <c r="T1422" s="4" t="s">
        <v>274</v>
      </c>
      <c r="U1422" s="4" t="s">
        <v>274</v>
      </c>
      <c r="W1422" s="6">
        <f>4519799</f>
        <v>4519799</v>
      </c>
      <c r="X1422" s="4" t="s">
        <v>243</v>
      </c>
      <c r="Y1422" s="4" t="s">
        <v>244</v>
      </c>
      <c r="Z1422" s="4" t="s">
        <v>282</v>
      </c>
      <c r="AA1422" s="4" t="s">
        <v>241</v>
      </c>
      <c r="AD1422" s="4" t="s">
        <v>241</v>
      </c>
      <c r="AF1422" s="5" t="s">
        <v>241</v>
      </c>
      <c r="AI1422" s="5" t="s">
        <v>249</v>
      </c>
      <c r="AJ1422" s="4" t="s">
        <v>251</v>
      </c>
      <c r="AK1422" s="4" t="s">
        <v>252</v>
      </c>
      <c r="BA1422" s="4" t="s">
        <v>254</v>
      </c>
      <c r="BB1422" s="4" t="s">
        <v>241</v>
      </c>
      <c r="BC1422" s="4" t="s">
        <v>255</v>
      </c>
      <c r="BD1422" s="4" t="s">
        <v>241</v>
      </c>
      <c r="BE1422" s="4" t="s">
        <v>257</v>
      </c>
      <c r="BF1422" s="4" t="s">
        <v>241</v>
      </c>
      <c r="BH1422" s="4" t="s">
        <v>787</v>
      </c>
      <c r="BJ1422" s="4" t="s">
        <v>259</v>
      </c>
      <c r="BK1422" s="5" t="s">
        <v>260</v>
      </c>
      <c r="BL1422" s="4" t="s">
        <v>261</v>
      </c>
      <c r="BM1422" s="4" t="s">
        <v>290</v>
      </c>
      <c r="BN1422" s="4" t="s">
        <v>241</v>
      </c>
      <c r="BO1422" s="6">
        <f>0</f>
        <v>0</v>
      </c>
      <c r="BP1422" s="6">
        <f>0</f>
        <v>0</v>
      </c>
      <c r="BQ1422" s="4" t="s">
        <v>263</v>
      </c>
      <c r="BR1422" s="4" t="s">
        <v>264</v>
      </c>
      <c r="CF1422" s="4" t="s">
        <v>241</v>
      </c>
      <c r="CG1422" s="4" t="s">
        <v>241</v>
      </c>
      <c r="CK1422" s="4" t="s">
        <v>291</v>
      </c>
      <c r="CL1422" s="4" t="s">
        <v>266</v>
      </c>
      <c r="CM1422" s="4" t="s">
        <v>241</v>
      </c>
      <c r="CO1422" s="4" t="s">
        <v>452</v>
      </c>
      <c r="CP1422" s="5" t="s">
        <v>268</v>
      </c>
      <c r="CQ1422" s="4" t="s">
        <v>269</v>
      </c>
      <c r="CR1422" s="4" t="s">
        <v>270</v>
      </c>
      <c r="CS1422" s="4" t="s">
        <v>241</v>
      </c>
      <c r="CT1422" s="4" t="s">
        <v>241</v>
      </c>
      <c r="CU1422" s="4">
        <v>0</v>
      </c>
      <c r="CV1422" s="4" t="s">
        <v>271</v>
      </c>
      <c r="CW1422" s="4" t="s">
        <v>1329</v>
      </c>
      <c r="CX1422" s="4" t="s">
        <v>347</v>
      </c>
      <c r="CZ1422" s="6">
        <f>4519800</f>
        <v>4519800</v>
      </c>
      <c r="DA1422" s="6">
        <f>0</f>
        <v>0</v>
      </c>
      <c r="DC1422" s="4" t="s">
        <v>241</v>
      </c>
      <c r="DD1422" s="4" t="s">
        <v>241</v>
      </c>
      <c r="DF1422" s="4" t="s">
        <v>241</v>
      </c>
      <c r="DI1422" s="4" t="s">
        <v>241</v>
      </c>
      <c r="DJ1422" s="4" t="s">
        <v>241</v>
      </c>
      <c r="DK1422" s="4" t="s">
        <v>241</v>
      </c>
      <c r="DL1422" s="4" t="s">
        <v>241</v>
      </c>
      <c r="DM1422" s="4" t="s">
        <v>277</v>
      </c>
      <c r="DN1422" s="4" t="s">
        <v>278</v>
      </c>
      <c r="DO1422" s="6">
        <f>29.16</f>
        <v>29.16</v>
      </c>
      <c r="DP1422" s="4" t="s">
        <v>241</v>
      </c>
      <c r="DQ1422" s="4" t="s">
        <v>241</v>
      </c>
      <c r="DR1422" s="4" t="s">
        <v>241</v>
      </c>
      <c r="DS1422" s="4" t="s">
        <v>241</v>
      </c>
      <c r="DV1422" s="4" t="s">
        <v>1372</v>
      </c>
      <c r="DW1422" s="4" t="s">
        <v>277</v>
      </c>
      <c r="HO1422" s="4" t="s">
        <v>323</v>
      </c>
      <c r="HR1422" s="4" t="s">
        <v>278</v>
      </c>
      <c r="HS1422" s="4" t="s">
        <v>278</v>
      </c>
    </row>
    <row r="1423" spans="1:240" x14ac:dyDescent="0.4">
      <c r="A1423" s="4">
        <v>2</v>
      </c>
      <c r="B1423" s="4" t="s">
        <v>239</v>
      </c>
      <c r="C1423" s="4">
        <v>1740</v>
      </c>
      <c r="D1423" s="4">
        <v>1</v>
      </c>
      <c r="E1423" s="4">
        <v>3</v>
      </c>
      <c r="F1423" s="4" t="s">
        <v>240</v>
      </c>
      <c r="G1423" s="4" t="s">
        <v>241</v>
      </c>
      <c r="H1423" s="4" t="s">
        <v>241</v>
      </c>
      <c r="I1423" s="4" t="s">
        <v>1500</v>
      </c>
      <c r="J1423" s="4" t="s">
        <v>302</v>
      </c>
      <c r="K1423" s="4" t="s">
        <v>578</v>
      </c>
      <c r="L1423" s="4" t="s">
        <v>784</v>
      </c>
      <c r="M1423" s="5" t="s">
        <v>1268</v>
      </c>
      <c r="N1423" s="4" t="s">
        <v>784</v>
      </c>
      <c r="O1423" s="6">
        <f>181.33</f>
        <v>181.33</v>
      </c>
      <c r="P1423" s="4" t="s">
        <v>276</v>
      </c>
      <c r="Q1423" s="6">
        <f>5875092</f>
        <v>5875092</v>
      </c>
      <c r="R1423" s="6">
        <f>32639400</f>
        <v>32639400</v>
      </c>
      <c r="S1423" s="5" t="s">
        <v>1501</v>
      </c>
      <c r="T1423" s="4" t="s">
        <v>296</v>
      </c>
      <c r="U1423" s="4" t="s">
        <v>412</v>
      </c>
      <c r="V1423" s="6">
        <f>652788</f>
        <v>652788</v>
      </c>
      <c r="W1423" s="6">
        <f>26764308</f>
        <v>26764308</v>
      </c>
      <c r="X1423" s="4" t="s">
        <v>243</v>
      </c>
      <c r="Y1423" s="4" t="s">
        <v>244</v>
      </c>
      <c r="Z1423" s="4" t="s">
        <v>282</v>
      </c>
      <c r="AA1423" s="4" t="s">
        <v>241</v>
      </c>
      <c r="AD1423" s="4" t="s">
        <v>241</v>
      </c>
      <c r="AE1423" s="5" t="s">
        <v>241</v>
      </c>
      <c r="AF1423" s="5" t="s">
        <v>241</v>
      </c>
      <c r="AH1423" s="5" t="s">
        <v>241</v>
      </c>
      <c r="AI1423" s="5" t="s">
        <v>249</v>
      </c>
      <c r="AJ1423" s="4" t="s">
        <v>251</v>
      </c>
      <c r="AK1423" s="4" t="s">
        <v>252</v>
      </c>
      <c r="AQ1423" s="4" t="s">
        <v>241</v>
      </c>
      <c r="AR1423" s="4" t="s">
        <v>241</v>
      </c>
      <c r="AS1423" s="4" t="s">
        <v>241</v>
      </c>
      <c r="AT1423" s="5" t="s">
        <v>241</v>
      </c>
      <c r="AU1423" s="5" t="s">
        <v>241</v>
      </c>
      <c r="AV1423" s="5" t="s">
        <v>241</v>
      </c>
      <c r="AY1423" s="4" t="s">
        <v>286</v>
      </c>
      <c r="AZ1423" s="4" t="s">
        <v>286</v>
      </c>
      <c r="BA1423" s="4" t="s">
        <v>254</v>
      </c>
      <c r="BB1423" s="4" t="s">
        <v>287</v>
      </c>
      <c r="BC1423" s="4" t="s">
        <v>255</v>
      </c>
      <c r="BD1423" s="4" t="s">
        <v>241</v>
      </c>
      <c r="BE1423" s="4" t="s">
        <v>257</v>
      </c>
      <c r="BF1423" s="4" t="s">
        <v>241</v>
      </c>
      <c r="BH1423" s="4" t="s">
        <v>787</v>
      </c>
      <c r="BJ1423" s="4" t="s">
        <v>288</v>
      </c>
      <c r="BK1423" s="5" t="s">
        <v>289</v>
      </c>
      <c r="BL1423" s="4" t="s">
        <v>290</v>
      </c>
      <c r="BM1423" s="4" t="s">
        <v>290</v>
      </c>
      <c r="BN1423" s="4" t="s">
        <v>241</v>
      </c>
      <c r="BO1423" s="6">
        <f>0</f>
        <v>0</v>
      </c>
      <c r="BP1423" s="6">
        <f>-652788</f>
        <v>-652788</v>
      </c>
      <c r="BQ1423" s="4" t="s">
        <v>263</v>
      </c>
      <c r="BR1423" s="4" t="s">
        <v>264</v>
      </c>
      <c r="BS1423" s="4" t="s">
        <v>241</v>
      </c>
      <c r="BT1423" s="4" t="s">
        <v>241</v>
      </c>
      <c r="BU1423" s="4" t="s">
        <v>241</v>
      </c>
      <c r="BV1423" s="4" t="s">
        <v>241</v>
      </c>
      <c r="CE1423" s="4" t="s">
        <v>264</v>
      </c>
      <c r="CF1423" s="4" t="s">
        <v>241</v>
      </c>
      <c r="CG1423" s="4" t="s">
        <v>241</v>
      </c>
      <c r="CK1423" s="4" t="s">
        <v>265</v>
      </c>
      <c r="CL1423" s="4" t="s">
        <v>266</v>
      </c>
      <c r="CM1423" s="4" t="s">
        <v>241</v>
      </c>
      <c r="CO1423" s="4" t="s">
        <v>841</v>
      </c>
      <c r="CP1423" s="5" t="s">
        <v>268</v>
      </c>
      <c r="CQ1423" s="4" t="s">
        <v>269</v>
      </c>
      <c r="CR1423" s="4" t="s">
        <v>270</v>
      </c>
      <c r="CS1423" s="4" t="s">
        <v>293</v>
      </c>
      <c r="CT1423" s="4" t="s">
        <v>241</v>
      </c>
      <c r="CU1423" s="4">
        <v>0.02</v>
      </c>
      <c r="CV1423" s="4" t="s">
        <v>271</v>
      </c>
      <c r="CW1423" s="4" t="s">
        <v>1329</v>
      </c>
      <c r="CX1423" s="4" t="s">
        <v>295</v>
      </c>
      <c r="CY1423" s="6">
        <f>0</f>
        <v>0</v>
      </c>
      <c r="CZ1423" s="6">
        <f>32639400</f>
        <v>32639400</v>
      </c>
      <c r="DA1423" s="6">
        <f>5875092</f>
        <v>5875092</v>
      </c>
      <c r="DC1423" s="4" t="s">
        <v>241</v>
      </c>
      <c r="DD1423" s="4" t="s">
        <v>241</v>
      </c>
      <c r="DF1423" s="4" t="s">
        <v>241</v>
      </c>
      <c r="DG1423" s="6">
        <f>0</f>
        <v>0</v>
      </c>
      <c r="DI1423" s="4" t="s">
        <v>241</v>
      </c>
      <c r="DJ1423" s="4" t="s">
        <v>241</v>
      </c>
      <c r="DK1423" s="4" t="s">
        <v>241</v>
      </c>
      <c r="DL1423" s="4" t="s">
        <v>241</v>
      </c>
      <c r="DM1423" s="4" t="s">
        <v>323</v>
      </c>
      <c r="DN1423" s="4" t="s">
        <v>278</v>
      </c>
      <c r="DO1423" s="6">
        <f>181.33</f>
        <v>181.33</v>
      </c>
      <c r="DP1423" s="4" t="s">
        <v>241</v>
      </c>
      <c r="DQ1423" s="4" t="s">
        <v>241</v>
      </c>
      <c r="DR1423" s="4" t="s">
        <v>241</v>
      </c>
      <c r="DS1423" s="4" t="s">
        <v>241</v>
      </c>
      <c r="DV1423" s="4" t="s">
        <v>1502</v>
      </c>
      <c r="DW1423" s="4" t="s">
        <v>277</v>
      </c>
      <c r="GN1423" s="4" t="s">
        <v>1503</v>
      </c>
      <c r="HO1423" s="4" t="s">
        <v>300</v>
      </c>
      <c r="HR1423" s="4" t="s">
        <v>278</v>
      </c>
      <c r="HS1423" s="4" t="s">
        <v>278</v>
      </c>
      <c r="HT1423" s="4" t="s">
        <v>241</v>
      </c>
      <c r="HU1423" s="4" t="s">
        <v>241</v>
      </c>
      <c r="HV1423" s="4" t="s">
        <v>241</v>
      </c>
      <c r="HW1423" s="4" t="s">
        <v>241</v>
      </c>
      <c r="HX1423" s="4" t="s">
        <v>241</v>
      </c>
      <c r="HY1423" s="4" t="s">
        <v>241</v>
      </c>
      <c r="HZ1423" s="4" t="s">
        <v>241</v>
      </c>
      <c r="IA1423" s="4" t="s">
        <v>241</v>
      </c>
      <c r="IB1423" s="4" t="s">
        <v>241</v>
      </c>
      <c r="IC1423" s="4" t="s">
        <v>241</v>
      </c>
      <c r="ID1423" s="4" t="s">
        <v>241</v>
      </c>
      <c r="IE1423" s="4" t="s">
        <v>241</v>
      </c>
      <c r="IF1423" s="4" t="s">
        <v>241</v>
      </c>
    </row>
    <row r="1424" spans="1:240" x14ac:dyDescent="0.4">
      <c r="A1424" s="4">
        <v>2</v>
      </c>
      <c r="B1424" s="4" t="s">
        <v>239</v>
      </c>
      <c r="C1424" s="4">
        <v>1741</v>
      </c>
      <c r="D1424" s="4">
        <v>1</v>
      </c>
      <c r="E1424" s="4">
        <v>1</v>
      </c>
      <c r="F1424" s="4" t="s">
        <v>240</v>
      </c>
      <c r="G1424" s="4" t="s">
        <v>241</v>
      </c>
      <c r="H1424" s="4" t="s">
        <v>241</v>
      </c>
      <c r="I1424" s="4" t="s">
        <v>2056</v>
      </c>
      <c r="J1424" s="4" t="s">
        <v>302</v>
      </c>
      <c r="K1424" s="4" t="s">
        <v>578</v>
      </c>
      <c r="L1424" s="4" t="s">
        <v>440</v>
      </c>
      <c r="M1424" s="5" t="s">
        <v>2057</v>
      </c>
      <c r="N1424" s="4" t="s">
        <v>2055</v>
      </c>
      <c r="O1424" s="6">
        <f>106.11</f>
        <v>106.11</v>
      </c>
      <c r="P1424" s="4" t="s">
        <v>276</v>
      </c>
      <c r="Q1424" s="6">
        <f>1</f>
        <v>1</v>
      </c>
      <c r="R1424" s="6">
        <f>6366600</f>
        <v>6366600</v>
      </c>
      <c r="S1424" s="5" t="s">
        <v>841</v>
      </c>
      <c r="T1424" s="4" t="s">
        <v>348</v>
      </c>
      <c r="U1424" s="4" t="s">
        <v>357</v>
      </c>
      <c r="W1424" s="6">
        <f>6366599</f>
        <v>6366599</v>
      </c>
      <c r="X1424" s="4" t="s">
        <v>243</v>
      </c>
      <c r="Y1424" s="4" t="s">
        <v>244</v>
      </c>
      <c r="Z1424" s="4" t="s">
        <v>282</v>
      </c>
      <c r="AA1424" s="4" t="s">
        <v>241</v>
      </c>
      <c r="AD1424" s="4" t="s">
        <v>241</v>
      </c>
      <c r="AF1424" s="5" t="s">
        <v>241</v>
      </c>
      <c r="AI1424" s="5" t="s">
        <v>249</v>
      </c>
      <c r="AJ1424" s="4" t="s">
        <v>251</v>
      </c>
      <c r="AK1424" s="4" t="s">
        <v>252</v>
      </c>
      <c r="BA1424" s="4" t="s">
        <v>254</v>
      </c>
      <c r="BB1424" s="4" t="s">
        <v>241</v>
      </c>
      <c r="BC1424" s="4" t="s">
        <v>255</v>
      </c>
      <c r="BD1424" s="4" t="s">
        <v>241</v>
      </c>
      <c r="BE1424" s="4" t="s">
        <v>257</v>
      </c>
      <c r="BF1424" s="4" t="s">
        <v>241</v>
      </c>
      <c r="BH1424" s="4" t="s">
        <v>787</v>
      </c>
      <c r="BJ1424" s="4" t="s">
        <v>374</v>
      </c>
      <c r="BK1424" s="5" t="s">
        <v>375</v>
      </c>
      <c r="BL1424" s="4" t="s">
        <v>261</v>
      </c>
      <c r="BM1424" s="4" t="s">
        <v>262</v>
      </c>
      <c r="BN1424" s="4" t="s">
        <v>241</v>
      </c>
      <c r="BO1424" s="6">
        <f>0</f>
        <v>0</v>
      </c>
      <c r="BP1424" s="6">
        <f>0</f>
        <v>0</v>
      </c>
      <c r="BQ1424" s="4" t="s">
        <v>263</v>
      </c>
      <c r="BR1424" s="4" t="s">
        <v>264</v>
      </c>
      <c r="CF1424" s="4" t="s">
        <v>241</v>
      </c>
      <c r="CG1424" s="4" t="s">
        <v>241</v>
      </c>
      <c r="CK1424" s="4" t="s">
        <v>265</v>
      </c>
      <c r="CL1424" s="4" t="s">
        <v>266</v>
      </c>
      <c r="CM1424" s="4" t="s">
        <v>241</v>
      </c>
      <c r="CO1424" s="4" t="s">
        <v>382</v>
      </c>
      <c r="CP1424" s="5" t="s">
        <v>268</v>
      </c>
      <c r="CQ1424" s="4" t="s">
        <v>269</v>
      </c>
      <c r="CR1424" s="4" t="s">
        <v>270</v>
      </c>
      <c r="CS1424" s="4" t="s">
        <v>241</v>
      </c>
      <c r="CT1424" s="4" t="s">
        <v>241</v>
      </c>
      <c r="CU1424" s="4">
        <v>0</v>
      </c>
      <c r="CV1424" s="4" t="s">
        <v>271</v>
      </c>
      <c r="CW1424" s="4" t="s">
        <v>1986</v>
      </c>
      <c r="CX1424" s="4" t="s">
        <v>347</v>
      </c>
      <c r="CZ1424" s="6">
        <f>6366600</f>
        <v>6366600</v>
      </c>
      <c r="DA1424" s="6">
        <f>0</f>
        <v>0</v>
      </c>
      <c r="DC1424" s="4" t="s">
        <v>241</v>
      </c>
      <c r="DD1424" s="4" t="s">
        <v>241</v>
      </c>
      <c r="DF1424" s="4" t="s">
        <v>241</v>
      </c>
      <c r="DI1424" s="4" t="s">
        <v>241</v>
      </c>
      <c r="DJ1424" s="4" t="s">
        <v>241</v>
      </c>
      <c r="DK1424" s="4" t="s">
        <v>241</v>
      </c>
      <c r="DL1424" s="4" t="s">
        <v>241</v>
      </c>
      <c r="DM1424" s="4" t="s">
        <v>277</v>
      </c>
      <c r="DN1424" s="4" t="s">
        <v>278</v>
      </c>
      <c r="DO1424" s="6">
        <f>106.11</f>
        <v>106.11</v>
      </c>
      <c r="DP1424" s="4" t="s">
        <v>241</v>
      </c>
      <c r="DQ1424" s="4" t="s">
        <v>241</v>
      </c>
      <c r="DR1424" s="4" t="s">
        <v>241</v>
      </c>
      <c r="DS1424" s="4" t="s">
        <v>241</v>
      </c>
      <c r="DV1424" s="4" t="s">
        <v>2058</v>
      </c>
      <c r="DW1424" s="4" t="s">
        <v>277</v>
      </c>
      <c r="HO1424" s="4" t="s">
        <v>277</v>
      </c>
      <c r="HR1424" s="4" t="s">
        <v>278</v>
      </c>
      <c r="HS1424" s="4" t="s">
        <v>278</v>
      </c>
    </row>
    <row r="1425" spans="1:240" x14ac:dyDescent="0.4">
      <c r="A1425" s="4">
        <v>2</v>
      </c>
      <c r="B1425" s="4" t="s">
        <v>239</v>
      </c>
      <c r="C1425" s="4">
        <v>1743</v>
      </c>
      <c r="D1425" s="4">
        <v>1</v>
      </c>
      <c r="E1425" s="4">
        <v>1</v>
      </c>
      <c r="F1425" s="4" t="s">
        <v>240</v>
      </c>
      <c r="G1425" s="4" t="s">
        <v>241</v>
      </c>
      <c r="H1425" s="4" t="s">
        <v>241</v>
      </c>
      <c r="I1425" s="4" t="s">
        <v>2132</v>
      </c>
      <c r="J1425" s="4" t="s">
        <v>483</v>
      </c>
      <c r="K1425" s="4" t="s">
        <v>578</v>
      </c>
      <c r="L1425" s="4" t="s">
        <v>784</v>
      </c>
      <c r="M1425" s="5" t="s">
        <v>2134</v>
      </c>
      <c r="N1425" s="4" t="s">
        <v>2114</v>
      </c>
      <c r="O1425" s="6">
        <f>61.68</f>
        <v>61.68</v>
      </c>
      <c r="P1425" s="4" t="s">
        <v>276</v>
      </c>
      <c r="Q1425" s="6">
        <f>1</f>
        <v>1</v>
      </c>
      <c r="R1425" s="6">
        <f>6168000</f>
        <v>6168000</v>
      </c>
      <c r="S1425" s="5" t="s">
        <v>2133</v>
      </c>
      <c r="T1425" s="4" t="s">
        <v>314</v>
      </c>
      <c r="U1425" s="4" t="s">
        <v>412</v>
      </c>
      <c r="W1425" s="6">
        <f>6167999</f>
        <v>6167999</v>
      </c>
      <c r="X1425" s="4" t="s">
        <v>243</v>
      </c>
      <c r="Y1425" s="4" t="s">
        <v>244</v>
      </c>
      <c r="Z1425" s="4" t="s">
        <v>282</v>
      </c>
      <c r="AA1425" s="4" t="s">
        <v>241</v>
      </c>
      <c r="AD1425" s="4" t="s">
        <v>241</v>
      </c>
      <c r="AF1425" s="5" t="s">
        <v>241</v>
      </c>
      <c r="AI1425" s="5" t="s">
        <v>249</v>
      </c>
      <c r="AJ1425" s="4" t="s">
        <v>251</v>
      </c>
      <c r="AK1425" s="4" t="s">
        <v>252</v>
      </c>
      <c r="BA1425" s="4" t="s">
        <v>254</v>
      </c>
      <c r="BB1425" s="4" t="s">
        <v>241</v>
      </c>
      <c r="BC1425" s="4" t="s">
        <v>255</v>
      </c>
      <c r="BD1425" s="4" t="s">
        <v>241</v>
      </c>
      <c r="BE1425" s="4" t="s">
        <v>257</v>
      </c>
      <c r="BF1425" s="4" t="s">
        <v>241</v>
      </c>
      <c r="BH1425" s="4" t="s">
        <v>787</v>
      </c>
      <c r="BJ1425" s="4" t="s">
        <v>259</v>
      </c>
      <c r="BK1425" s="5" t="s">
        <v>260</v>
      </c>
      <c r="BL1425" s="4" t="s">
        <v>261</v>
      </c>
      <c r="BM1425" s="4" t="s">
        <v>262</v>
      </c>
      <c r="BN1425" s="4" t="s">
        <v>241</v>
      </c>
      <c r="BO1425" s="6">
        <f>0</f>
        <v>0</v>
      </c>
      <c r="BP1425" s="6">
        <f>0</f>
        <v>0</v>
      </c>
      <c r="BQ1425" s="4" t="s">
        <v>263</v>
      </c>
      <c r="BR1425" s="4" t="s">
        <v>264</v>
      </c>
      <c r="CF1425" s="4" t="s">
        <v>241</v>
      </c>
      <c r="CG1425" s="4" t="s">
        <v>241</v>
      </c>
      <c r="CK1425" s="4" t="s">
        <v>265</v>
      </c>
      <c r="CL1425" s="4" t="s">
        <v>266</v>
      </c>
      <c r="CM1425" s="4" t="s">
        <v>241</v>
      </c>
      <c r="CO1425" s="4" t="s">
        <v>1670</v>
      </c>
      <c r="CP1425" s="5" t="s">
        <v>268</v>
      </c>
      <c r="CQ1425" s="4" t="s">
        <v>269</v>
      </c>
      <c r="CR1425" s="4" t="s">
        <v>270</v>
      </c>
      <c r="CS1425" s="4" t="s">
        <v>241</v>
      </c>
      <c r="CT1425" s="4" t="s">
        <v>241</v>
      </c>
      <c r="CU1425" s="4">
        <v>0</v>
      </c>
      <c r="CV1425" s="4" t="s">
        <v>271</v>
      </c>
      <c r="CW1425" s="4" t="s">
        <v>411</v>
      </c>
      <c r="CX1425" s="4" t="s">
        <v>347</v>
      </c>
      <c r="CZ1425" s="6">
        <f>6168000</f>
        <v>6168000</v>
      </c>
      <c r="DA1425" s="6">
        <f>0</f>
        <v>0</v>
      </c>
      <c r="DC1425" s="4" t="s">
        <v>241</v>
      </c>
      <c r="DD1425" s="4" t="s">
        <v>241</v>
      </c>
      <c r="DF1425" s="4" t="s">
        <v>241</v>
      </c>
      <c r="DI1425" s="4" t="s">
        <v>241</v>
      </c>
      <c r="DJ1425" s="4" t="s">
        <v>241</v>
      </c>
      <c r="DK1425" s="4" t="s">
        <v>241</v>
      </c>
      <c r="DL1425" s="4" t="s">
        <v>241</v>
      </c>
      <c r="DM1425" s="4" t="s">
        <v>277</v>
      </c>
      <c r="DN1425" s="4" t="s">
        <v>278</v>
      </c>
      <c r="DO1425" s="6">
        <f>61.68</f>
        <v>61.68</v>
      </c>
      <c r="DP1425" s="4" t="s">
        <v>241</v>
      </c>
      <c r="DQ1425" s="4" t="s">
        <v>241</v>
      </c>
      <c r="DR1425" s="4" t="s">
        <v>241</v>
      </c>
      <c r="DS1425" s="4" t="s">
        <v>241</v>
      </c>
      <c r="DV1425" s="4" t="s">
        <v>2135</v>
      </c>
      <c r="DW1425" s="4" t="s">
        <v>277</v>
      </c>
      <c r="HO1425" s="4" t="s">
        <v>277</v>
      </c>
      <c r="HR1425" s="4" t="s">
        <v>278</v>
      </c>
      <c r="HS1425" s="4" t="s">
        <v>278</v>
      </c>
    </row>
    <row r="1426" spans="1:240" x14ac:dyDescent="0.4">
      <c r="A1426" s="4">
        <v>2</v>
      </c>
      <c r="B1426" s="4" t="s">
        <v>239</v>
      </c>
      <c r="C1426" s="4">
        <v>1744</v>
      </c>
      <c r="D1426" s="4">
        <v>1</v>
      </c>
      <c r="E1426" s="4">
        <v>1</v>
      </c>
      <c r="F1426" s="4" t="s">
        <v>240</v>
      </c>
      <c r="G1426" s="4" t="s">
        <v>241</v>
      </c>
      <c r="H1426" s="4" t="s">
        <v>241</v>
      </c>
      <c r="I1426" s="4" t="s">
        <v>1326</v>
      </c>
      <c r="J1426" s="4" t="s">
        <v>318</v>
      </c>
      <c r="K1426" s="4" t="s">
        <v>578</v>
      </c>
      <c r="L1426" s="4" t="s">
        <v>784</v>
      </c>
      <c r="M1426" s="5" t="s">
        <v>1328</v>
      </c>
      <c r="N1426" s="4" t="s">
        <v>1325</v>
      </c>
      <c r="O1426" s="6">
        <f>79.8</f>
        <v>79.8</v>
      </c>
      <c r="P1426" s="4" t="s">
        <v>276</v>
      </c>
      <c r="Q1426" s="6">
        <f>1</f>
        <v>1</v>
      </c>
      <c r="R1426" s="6">
        <f>6384000</f>
        <v>6384000</v>
      </c>
      <c r="S1426" s="5" t="s">
        <v>1327</v>
      </c>
      <c r="T1426" s="4" t="s">
        <v>333</v>
      </c>
      <c r="U1426" s="4" t="s">
        <v>437</v>
      </c>
      <c r="W1426" s="6">
        <f>6383999</f>
        <v>6383999</v>
      </c>
      <c r="X1426" s="4" t="s">
        <v>243</v>
      </c>
      <c r="Y1426" s="4" t="s">
        <v>244</v>
      </c>
      <c r="Z1426" s="4" t="s">
        <v>282</v>
      </c>
      <c r="AA1426" s="4" t="s">
        <v>241</v>
      </c>
      <c r="AD1426" s="4" t="s">
        <v>241</v>
      </c>
      <c r="AF1426" s="5" t="s">
        <v>241</v>
      </c>
      <c r="AI1426" s="5" t="s">
        <v>249</v>
      </c>
      <c r="AJ1426" s="4" t="s">
        <v>251</v>
      </c>
      <c r="AK1426" s="4" t="s">
        <v>252</v>
      </c>
      <c r="BA1426" s="4" t="s">
        <v>254</v>
      </c>
      <c r="BB1426" s="4" t="s">
        <v>241</v>
      </c>
      <c r="BC1426" s="4" t="s">
        <v>255</v>
      </c>
      <c r="BD1426" s="4" t="s">
        <v>241</v>
      </c>
      <c r="BE1426" s="4" t="s">
        <v>257</v>
      </c>
      <c r="BF1426" s="4" t="s">
        <v>241</v>
      </c>
      <c r="BH1426" s="4" t="s">
        <v>787</v>
      </c>
      <c r="BJ1426" s="4" t="s">
        <v>367</v>
      </c>
      <c r="BK1426" s="5" t="s">
        <v>249</v>
      </c>
      <c r="BL1426" s="4" t="s">
        <v>261</v>
      </c>
      <c r="BM1426" s="4" t="s">
        <v>262</v>
      </c>
      <c r="BN1426" s="4" t="s">
        <v>241</v>
      </c>
      <c r="BO1426" s="6">
        <f>0</f>
        <v>0</v>
      </c>
      <c r="BP1426" s="6">
        <f>0</f>
        <v>0</v>
      </c>
      <c r="BQ1426" s="4" t="s">
        <v>263</v>
      </c>
      <c r="BR1426" s="4" t="s">
        <v>264</v>
      </c>
      <c r="CF1426" s="4" t="s">
        <v>241</v>
      </c>
      <c r="CG1426" s="4" t="s">
        <v>241</v>
      </c>
      <c r="CK1426" s="4" t="s">
        <v>265</v>
      </c>
      <c r="CL1426" s="4" t="s">
        <v>266</v>
      </c>
      <c r="CM1426" s="4" t="s">
        <v>241</v>
      </c>
      <c r="CO1426" s="4" t="s">
        <v>436</v>
      </c>
      <c r="CP1426" s="5" t="s">
        <v>268</v>
      </c>
      <c r="CQ1426" s="4" t="s">
        <v>269</v>
      </c>
      <c r="CR1426" s="4" t="s">
        <v>270</v>
      </c>
      <c r="CS1426" s="4" t="s">
        <v>241</v>
      </c>
      <c r="CT1426" s="4" t="s">
        <v>241</v>
      </c>
      <c r="CU1426" s="4">
        <v>0</v>
      </c>
      <c r="CV1426" s="4" t="s">
        <v>271</v>
      </c>
      <c r="CW1426" s="4" t="s">
        <v>1329</v>
      </c>
      <c r="CX1426" s="4" t="s">
        <v>487</v>
      </c>
      <c r="CZ1426" s="6">
        <f>6384000</f>
        <v>6384000</v>
      </c>
      <c r="DA1426" s="6">
        <f>0</f>
        <v>0</v>
      </c>
      <c r="DC1426" s="4" t="s">
        <v>241</v>
      </c>
      <c r="DD1426" s="4" t="s">
        <v>241</v>
      </c>
      <c r="DF1426" s="4" t="s">
        <v>241</v>
      </c>
      <c r="DI1426" s="4" t="s">
        <v>241</v>
      </c>
      <c r="DJ1426" s="4" t="s">
        <v>241</v>
      </c>
      <c r="DK1426" s="4" t="s">
        <v>241</v>
      </c>
      <c r="DL1426" s="4" t="s">
        <v>241</v>
      </c>
      <c r="DM1426" s="4" t="s">
        <v>277</v>
      </c>
      <c r="DN1426" s="4" t="s">
        <v>278</v>
      </c>
      <c r="DO1426" s="6">
        <f>79.8</f>
        <v>79.8</v>
      </c>
      <c r="DP1426" s="4" t="s">
        <v>241</v>
      </c>
      <c r="DQ1426" s="4" t="s">
        <v>241</v>
      </c>
      <c r="DR1426" s="4" t="s">
        <v>241</v>
      </c>
      <c r="DS1426" s="4" t="s">
        <v>241</v>
      </c>
      <c r="DV1426" s="4" t="s">
        <v>1330</v>
      </c>
      <c r="DW1426" s="4" t="s">
        <v>277</v>
      </c>
      <c r="HO1426" s="4" t="s">
        <v>277</v>
      </c>
      <c r="HR1426" s="4" t="s">
        <v>278</v>
      </c>
      <c r="HS1426" s="4" t="s">
        <v>278</v>
      </c>
    </row>
    <row r="1427" spans="1:240" x14ac:dyDescent="0.4">
      <c r="A1427" s="4">
        <v>2</v>
      </c>
      <c r="B1427" s="4" t="s">
        <v>239</v>
      </c>
      <c r="C1427" s="4">
        <v>1745</v>
      </c>
      <c r="D1427" s="4">
        <v>1</v>
      </c>
      <c r="E1427" s="4">
        <v>3</v>
      </c>
      <c r="F1427" s="4" t="s">
        <v>240</v>
      </c>
      <c r="G1427" s="4" t="s">
        <v>241</v>
      </c>
      <c r="H1427" s="4" t="s">
        <v>241</v>
      </c>
      <c r="I1427" s="4" t="s">
        <v>1505</v>
      </c>
      <c r="J1427" s="4" t="s">
        <v>424</v>
      </c>
      <c r="K1427" s="4" t="s">
        <v>578</v>
      </c>
      <c r="L1427" s="4" t="s">
        <v>440</v>
      </c>
      <c r="M1427" s="5" t="s">
        <v>1506</v>
      </c>
      <c r="N1427" s="4" t="s">
        <v>1504</v>
      </c>
      <c r="O1427" s="6">
        <f>200</f>
        <v>200</v>
      </c>
      <c r="P1427" s="4" t="s">
        <v>276</v>
      </c>
      <c r="Q1427" s="6">
        <f>5814000</f>
        <v>5814000</v>
      </c>
      <c r="R1427" s="6">
        <f>30600000</f>
        <v>30600000</v>
      </c>
      <c r="S1427" s="5" t="s">
        <v>438</v>
      </c>
      <c r="T1427" s="4" t="s">
        <v>333</v>
      </c>
      <c r="U1427" s="4" t="s">
        <v>399</v>
      </c>
      <c r="V1427" s="6">
        <f>826200</f>
        <v>826200</v>
      </c>
      <c r="W1427" s="6">
        <f>24786000</f>
        <v>24786000</v>
      </c>
      <c r="X1427" s="4" t="s">
        <v>243</v>
      </c>
      <c r="Y1427" s="4" t="s">
        <v>244</v>
      </c>
      <c r="Z1427" s="4" t="s">
        <v>282</v>
      </c>
      <c r="AA1427" s="4" t="s">
        <v>241</v>
      </c>
      <c r="AD1427" s="4" t="s">
        <v>241</v>
      </c>
      <c r="AE1427" s="5" t="s">
        <v>241</v>
      </c>
      <c r="AF1427" s="5" t="s">
        <v>241</v>
      </c>
      <c r="AH1427" s="5" t="s">
        <v>241</v>
      </c>
      <c r="AI1427" s="5" t="s">
        <v>249</v>
      </c>
      <c r="AJ1427" s="4" t="s">
        <v>251</v>
      </c>
      <c r="AK1427" s="4" t="s">
        <v>252</v>
      </c>
      <c r="AQ1427" s="4" t="s">
        <v>241</v>
      </c>
      <c r="AR1427" s="4" t="s">
        <v>241</v>
      </c>
      <c r="AS1427" s="4" t="s">
        <v>241</v>
      </c>
      <c r="AT1427" s="5" t="s">
        <v>241</v>
      </c>
      <c r="AU1427" s="5" t="s">
        <v>241</v>
      </c>
      <c r="AV1427" s="5" t="s">
        <v>241</v>
      </c>
      <c r="AY1427" s="4" t="s">
        <v>286</v>
      </c>
      <c r="AZ1427" s="4" t="s">
        <v>286</v>
      </c>
      <c r="BA1427" s="4" t="s">
        <v>254</v>
      </c>
      <c r="BB1427" s="4" t="s">
        <v>287</v>
      </c>
      <c r="BC1427" s="4" t="s">
        <v>255</v>
      </c>
      <c r="BD1427" s="4" t="s">
        <v>241</v>
      </c>
      <c r="BE1427" s="4" t="s">
        <v>257</v>
      </c>
      <c r="BF1427" s="4" t="s">
        <v>241</v>
      </c>
      <c r="BJ1427" s="4" t="s">
        <v>288</v>
      </c>
      <c r="BK1427" s="5" t="s">
        <v>289</v>
      </c>
      <c r="BL1427" s="4" t="s">
        <v>290</v>
      </c>
      <c r="BM1427" s="4" t="s">
        <v>290</v>
      </c>
      <c r="BN1427" s="4" t="s">
        <v>241</v>
      </c>
      <c r="BO1427" s="6">
        <f>0</f>
        <v>0</v>
      </c>
      <c r="BP1427" s="6">
        <f>-826200</f>
        <v>-826200</v>
      </c>
      <c r="BQ1427" s="4" t="s">
        <v>263</v>
      </c>
      <c r="BR1427" s="4" t="s">
        <v>264</v>
      </c>
      <c r="BS1427" s="4" t="s">
        <v>241</v>
      </c>
      <c r="BT1427" s="4" t="s">
        <v>241</v>
      </c>
      <c r="BU1427" s="4" t="s">
        <v>241</v>
      </c>
      <c r="BV1427" s="4" t="s">
        <v>241</v>
      </c>
      <c r="CE1427" s="4" t="s">
        <v>264</v>
      </c>
      <c r="CF1427" s="4" t="s">
        <v>241</v>
      </c>
      <c r="CG1427" s="4" t="s">
        <v>241</v>
      </c>
      <c r="CK1427" s="4" t="s">
        <v>291</v>
      </c>
      <c r="CL1427" s="4" t="s">
        <v>266</v>
      </c>
      <c r="CM1427" s="4" t="s">
        <v>241</v>
      </c>
      <c r="CO1427" s="4" t="s">
        <v>439</v>
      </c>
      <c r="CP1427" s="5" t="s">
        <v>268</v>
      </c>
      <c r="CQ1427" s="4" t="s">
        <v>269</v>
      </c>
      <c r="CR1427" s="4" t="s">
        <v>270</v>
      </c>
      <c r="CS1427" s="4" t="s">
        <v>293</v>
      </c>
      <c r="CT1427" s="4" t="s">
        <v>241</v>
      </c>
      <c r="CU1427" s="4">
        <v>2.7E-2</v>
      </c>
      <c r="CV1427" s="4" t="s">
        <v>271</v>
      </c>
      <c r="CW1427" s="4" t="s">
        <v>1329</v>
      </c>
      <c r="CX1427" s="4" t="s">
        <v>487</v>
      </c>
      <c r="CY1427" s="6">
        <f>0</f>
        <v>0</v>
      </c>
      <c r="CZ1427" s="6">
        <f>30600000</f>
        <v>30600000</v>
      </c>
      <c r="DA1427" s="6">
        <f>5814000</f>
        <v>5814000</v>
      </c>
      <c r="DC1427" s="4" t="s">
        <v>241</v>
      </c>
      <c r="DD1427" s="4" t="s">
        <v>241</v>
      </c>
      <c r="DF1427" s="4" t="s">
        <v>241</v>
      </c>
      <c r="DG1427" s="6">
        <f>0</f>
        <v>0</v>
      </c>
      <c r="DI1427" s="4" t="s">
        <v>241</v>
      </c>
      <c r="DJ1427" s="4" t="s">
        <v>241</v>
      </c>
      <c r="DK1427" s="4" t="s">
        <v>241</v>
      </c>
      <c r="DL1427" s="4" t="s">
        <v>241</v>
      </c>
      <c r="DM1427" s="4" t="s">
        <v>277</v>
      </c>
      <c r="DN1427" s="4" t="s">
        <v>278</v>
      </c>
      <c r="DO1427" s="6">
        <f>200</f>
        <v>200</v>
      </c>
      <c r="DP1427" s="4" t="s">
        <v>241</v>
      </c>
      <c r="DQ1427" s="4" t="s">
        <v>241</v>
      </c>
      <c r="DR1427" s="4" t="s">
        <v>241</v>
      </c>
      <c r="DS1427" s="4" t="s">
        <v>241</v>
      </c>
      <c r="DV1427" s="4" t="s">
        <v>1507</v>
      </c>
      <c r="DW1427" s="4" t="s">
        <v>277</v>
      </c>
      <c r="GN1427" s="4" t="s">
        <v>1508</v>
      </c>
      <c r="HO1427" s="4" t="s">
        <v>300</v>
      </c>
      <c r="HR1427" s="4" t="s">
        <v>278</v>
      </c>
      <c r="HS1427" s="4" t="s">
        <v>278</v>
      </c>
      <c r="HT1427" s="4" t="s">
        <v>241</v>
      </c>
      <c r="HU1427" s="4" t="s">
        <v>241</v>
      </c>
      <c r="HV1427" s="4" t="s">
        <v>241</v>
      </c>
      <c r="HW1427" s="4" t="s">
        <v>241</v>
      </c>
      <c r="HX1427" s="4" t="s">
        <v>241</v>
      </c>
      <c r="HY1427" s="4" t="s">
        <v>241</v>
      </c>
      <c r="HZ1427" s="4" t="s">
        <v>241</v>
      </c>
      <c r="IA1427" s="4" t="s">
        <v>241</v>
      </c>
      <c r="IB1427" s="4" t="s">
        <v>241</v>
      </c>
      <c r="IC1427" s="4" t="s">
        <v>241</v>
      </c>
      <c r="ID1427" s="4" t="s">
        <v>241</v>
      </c>
      <c r="IE1427" s="4" t="s">
        <v>241</v>
      </c>
      <c r="IF1427" s="4" t="s">
        <v>241</v>
      </c>
    </row>
    <row r="1428" spans="1:240" x14ac:dyDescent="0.4">
      <c r="A1428" s="4">
        <v>2</v>
      </c>
      <c r="B1428" s="4" t="s">
        <v>239</v>
      </c>
      <c r="C1428" s="4">
        <v>1750</v>
      </c>
      <c r="D1428" s="4">
        <v>1</v>
      </c>
      <c r="E1428" s="4">
        <v>7</v>
      </c>
      <c r="F1428" s="4" t="s">
        <v>240</v>
      </c>
      <c r="G1428" s="4" t="s">
        <v>241</v>
      </c>
      <c r="H1428" s="4" t="s">
        <v>241</v>
      </c>
      <c r="I1428" s="4" t="s">
        <v>1509</v>
      </c>
      <c r="J1428" s="4" t="s">
        <v>458</v>
      </c>
      <c r="K1428" s="4" t="s">
        <v>578</v>
      </c>
      <c r="L1428" s="4" t="s">
        <v>1510</v>
      </c>
      <c r="M1428" s="5" t="s">
        <v>1511</v>
      </c>
      <c r="N1428" s="4" t="s">
        <v>1457</v>
      </c>
      <c r="O1428" s="6">
        <f>537.5</f>
        <v>537.5</v>
      </c>
      <c r="P1428" s="4" t="s">
        <v>276</v>
      </c>
      <c r="Q1428" s="6">
        <f>85709745</f>
        <v>85709745</v>
      </c>
      <c r="R1428" s="6">
        <f>158721750</f>
        <v>158721750</v>
      </c>
      <c r="S1428" s="5" t="s">
        <v>1237</v>
      </c>
      <c r="T1428" s="4" t="s">
        <v>296</v>
      </c>
      <c r="U1428" s="4" t="s">
        <v>314</v>
      </c>
      <c r="V1428" s="6">
        <f>3174435</f>
        <v>3174435</v>
      </c>
      <c r="W1428" s="6">
        <f>73012005</f>
        <v>73012005</v>
      </c>
      <c r="X1428" s="4" t="s">
        <v>243</v>
      </c>
      <c r="Y1428" s="4" t="s">
        <v>244</v>
      </c>
      <c r="Z1428" s="4" t="s">
        <v>282</v>
      </c>
      <c r="AA1428" s="4" t="s">
        <v>241</v>
      </c>
      <c r="AD1428" s="4" t="s">
        <v>241</v>
      </c>
      <c r="AE1428" s="5" t="s">
        <v>241</v>
      </c>
      <c r="AF1428" s="5" t="s">
        <v>241</v>
      </c>
      <c r="AH1428" s="5" t="s">
        <v>241</v>
      </c>
      <c r="AI1428" s="5" t="s">
        <v>249</v>
      </c>
      <c r="AJ1428" s="4" t="s">
        <v>251</v>
      </c>
      <c r="AK1428" s="4" t="s">
        <v>252</v>
      </c>
      <c r="AQ1428" s="4" t="s">
        <v>241</v>
      </c>
      <c r="AR1428" s="4" t="s">
        <v>241</v>
      </c>
      <c r="AS1428" s="4" t="s">
        <v>241</v>
      </c>
      <c r="AT1428" s="5" t="s">
        <v>241</v>
      </c>
      <c r="AU1428" s="5" t="s">
        <v>241</v>
      </c>
      <c r="AV1428" s="5" t="s">
        <v>241</v>
      </c>
      <c r="AY1428" s="4" t="s">
        <v>286</v>
      </c>
      <c r="AZ1428" s="4" t="s">
        <v>286</v>
      </c>
      <c r="BA1428" s="4" t="s">
        <v>254</v>
      </c>
      <c r="BB1428" s="4" t="s">
        <v>287</v>
      </c>
      <c r="BC1428" s="4" t="s">
        <v>255</v>
      </c>
      <c r="BD1428" s="4" t="s">
        <v>241</v>
      </c>
      <c r="BE1428" s="4" t="s">
        <v>257</v>
      </c>
      <c r="BF1428" s="4" t="s">
        <v>241</v>
      </c>
      <c r="BJ1428" s="4" t="s">
        <v>288</v>
      </c>
      <c r="BK1428" s="5" t="s">
        <v>289</v>
      </c>
      <c r="BL1428" s="4" t="s">
        <v>290</v>
      </c>
      <c r="BM1428" s="4" t="s">
        <v>290</v>
      </c>
      <c r="BN1428" s="4" t="s">
        <v>241</v>
      </c>
      <c r="BO1428" s="6">
        <f>0</f>
        <v>0</v>
      </c>
      <c r="BP1428" s="6">
        <f>-3174435</f>
        <v>-3174435</v>
      </c>
      <c r="BQ1428" s="4" t="s">
        <v>263</v>
      </c>
      <c r="BR1428" s="4" t="s">
        <v>264</v>
      </c>
      <c r="BS1428" s="4" t="s">
        <v>241</v>
      </c>
      <c r="BT1428" s="4" t="s">
        <v>241</v>
      </c>
      <c r="BU1428" s="4" t="s">
        <v>241</v>
      </c>
      <c r="BV1428" s="4" t="s">
        <v>241</v>
      </c>
      <c r="CE1428" s="4" t="s">
        <v>264</v>
      </c>
      <c r="CF1428" s="4" t="s">
        <v>241</v>
      </c>
      <c r="CG1428" s="4" t="s">
        <v>241</v>
      </c>
      <c r="CK1428" s="4" t="s">
        <v>291</v>
      </c>
      <c r="CL1428" s="4" t="s">
        <v>266</v>
      </c>
      <c r="CM1428" s="4" t="s">
        <v>241</v>
      </c>
      <c r="CO1428" s="4" t="s">
        <v>313</v>
      </c>
      <c r="CP1428" s="5" t="s">
        <v>268</v>
      </c>
      <c r="CQ1428" s="4" t="s">
        <v>269</v>
      </c>
      <c r="CR1428" s="4" t="s">
        <v>270</v>
      </c>
      <c r="CS1428" s="4" t="s">
        <v>293</v>
      </c>
      <c r="CT1428" s="4" t="s">
        <v>241</v>
      </c>
      <c r="CU1428" s="4">
        <v>0.02</v>
      </c>
      <c r="CV1428" s="4" t="s">
        <v>271</v>
      </c>
      <c r="CW1428" s="4" t="s">
        <v>1329</v>
      </c>
      <c r="CX1428" s="4" t="s">
        <v>295</v>
      </c>
      <c r="CY1428" s="6">
        <f>0</f>
        <v>0</v>
      </c>
      <c r="CZ1428" s="6">
        <f>158721750</f>
        <v>158721750</v>
      </c>
      <c r="DA1428" s="6">
        <f>73012005</f>
        <v>73012005</v>
      </c>
      <c r="DC1428" s="4" t="s">
        <v>241</v>
      </c>
      <c r="DD1428" s="4" t="s">
        <v>241</v>
      </c>
      <c r="DF1428" s="4" t="s">
        <v>241</v>
      </c>
      <c r="DG1428" s="6">
        <f>0</f>
        <v>0</v>
      </c>
      <c r="DI1428" s="4" t="s">
        <v>241</v>
      </c>
      <c r="DJ1428" s="4" t="s">
        <v>241</v>
      </c>
      <c r="DK1428" s="4" t="s">
        <v>241</v>
      </c>
      <c r="DL1428" s="4" t="s">
        <v>241</v>
      </c>
      <c r="DM1428" s="4" t="s">
        <v>277</v>
      </c>
      <c r="DN1428" s="4" t="s">
        <v>278</v>
      </c>
      <c r="DO1428" s="6">
        <f>537.5</f>
        <v>537.5</v>
      </c>
      <c r="DP1428" s="4" t="s">
        <v>241</v>
      </c>
      <c r="DQ1428" s="4" t="s">
        <v>241</v>
      </c>
      <c r="DR1428" s="4" t="s">
        <v>241</v>
      </c>
      <c r="DS1428" s="4" t="s">
        <v>241</v>
      </c>
      <c r="DV1428" s="4" t="s">
        <v>1512</v>
      </c>
      <c r="DW1428" s="4" t="s">
        <v>277</v>
      </c>
      <c r="GN1428" s="4" t="s">
        <v>1513</v>
      </c>
      <c r="HO1428" s="4" t="s">
        <v>417</v>
      </c>
      <c r="HR1428" s="4" t="s">
        <v>278</v>
      </c>
      <c r="HS1428" s="4" t="s">
        <v>278</v>
      </c>
      <c r="HT1428" s="4" t="s">
        <v>241</v>
      </c>
      <c r="HU1428" s="4" t="s">
        <v>241</v>
      </c>
      <c r="HV1428" s="4" t="s">
        <v>241</v>
      </c>
      <c r="HW1428" s="4" t="s">
        <v>241</v>
      </c>
      <c r="HX1428" s="4" t="s">
        <v>241</v>
      </c>
      <c r="HY1428" s="4" t="s">
        <v>241</v>
      </c>
      <c r="HZ1428" s="4" t="s">
        <v>241</v>
      </c>
      <c r="IA1428" s="4" t="s">
        <v>241</v>
      </c>
      <c r="IB1428" s="4" t="s">
        <v>241</v>
      </c>
      <c r="IC1428" s="4" t="s">
        <v>241</v>
      </c>
      <c r="ID1428" s="4" t="s">
        <v>241</v>
      </c>
      <c r="IE1428" s="4" t="s">
        <v>241</v>
      </c>
      <c r="IF1428" s="4" t="s">
        <v>241</v>
      </c>
    </row>
    <row r="1429" spans="1:240" x14ac:dyDescent="0.4">
      <c r="A1429" s="4">
        <v>2</v>
      </c>
      <c r="B1429" s="4" t="s">
        <v>239</v>
      </c>
      <c r="C1429" s="4">
        <v>1751</v>
      </c>
      <c r="D1429" s="4">
        <v>1</v>
      </c>
      <c r="E1429" s="4">
        <v>3</v>
      </c>
      <c r="F1429" s="4" t="s">
        <v>240</v>
      </c>
      <c r="G1429" s="4" t="s">
        <v>241</v>
      </c>
      <c r="H1429" s="4" t="s">
        <v>241</v>
      </c>
      <c r="I1429" s="4" t="s">
        <v>1173</v>
      </c>
      <c r="J1429" s="4" t="s">
        <v>673</v>
      </c>
      <c r="K1429" s="4" t="s">
        <v>578</v>
      </c>
      <c r="L1429" s="4" t="s">
        <v>1174</v>
      </c>
      <c r="M1429" s="5" t="s">
        <v>1175</v>
      </c>
      <c r="N1429" s="4" t="s">
        <v>1172</v>
      </c>
      <c r="O1429" s="6">
        <f>183.01</f>
        <v>183.01</v>
      </c>
      <c r="P1429" s="4" t="s">
        <v>276</v>
      </c>
      <c r="Q1429" s="6">
        <f>4348686</f>
        <v>4348686</v>
      </c>
      <c r="R1429" s="6">
        <f>19948090</f>
        <v>19948090</v>
      </c>
      <c r="S1429" s="5" t="s">
        <v>803</v>
      </c>
      <c r="T1429" s="4" t="s">
        <v>314</v>
      </c>
      <c r="U1429" s="4" t="s">
        <v>371</v>
      </c>
      <c r="V1429" s="6">
        <f>917612</f>
        <v>917612</v>
      </c>
      <c r="W1429" s="6">
        <f>15599404</f>
        <v>15599404</v>
      </c>
      <c r="X1429" s="4" t="s">
        <v>243</v>
      </c>
      <c r="Y1429" s="4" t="s">
        <v>244</v>
      </c>
      <c r="Z1429" s="4" t="s">
        <v>465</v>
      </c>
      <c r="AA1429" s="4" t="s">
        <v>241</v>
      </c>
      <c r="AD1429" s="4" t="s">
        <v>241</v>
      </c>
      <c r="AE1429" s="5" t="s">
        <v>241</v>
      </c>
      <c r="AF1429" s="5" t="s">
        <v>241</v>
      </c>
      <c r="AH1429" s="5" t="s">
        <v>241</v>
      </c>
      <c r="AI1429" s="5" t="s">
        <v>249</v>
      </c>
      <c r="AJ1429" s="4" t="s">
        <v>251</v>
      </c>
      <c r="AK1429" s="4" t="s">
        <v>252</v>
      </c>
      <c r="AQ1429" s="4" t="s">
        <v>241</v>
      </c>
      <c r="AR1429" s="4" t="s">
        <v>241</v>
      </c>
      <c r="AS1429" s="4" t="s">
        <v>241</v>
      </c>
      <c r="AT1429" s="5" t="s">
        <v>241</v>
      </c>
      <c r="AU1429" s="5" t="s">
        <v>241</v>
      </c>
      <c r="AV1429" s="5" t="s">
        <v>241</v>
      </c>
      <c r="AY1429" s="4" t="s">
        <v>286</v>
      </c>
      <c r="AZ1429" s="4" t="s">
        <v>286</v>
      </c>
      <c r="BA1429" s="4" t="s">
        <v>254</v>
      </c>
      <c r="BB1429" s="4" t="s">
        <v>287</v>
      </c>
      <c r="BC1429" s="4" t="s">
        <v>255</v>
      </c>
      <c r="BD1429" s="4" t="s">
        <v>241</v>
      </c>
      <c r="BE1429" s="4" t="s">
        <v>257</v>
      </c>
      <c r="BF1429" s="4" t="s">
        <v>241</v>
      </c>
      <c r="BJ1429" s="4" t="s">
        <v>288</v>
      </c>
      <c r="BK1429" s="5" t="s">
        <v>289</v>
      </c>
      <c r="BL1429" s="4" t="s">
        <v>290</v>
      </c>
      <c r="BM1429" s="4" t="s">
        <v>290</v>
      </c>
      <c r="BN1429" s="4" t="s">
        <v>241</v>
      </c>
      <c r="BO1429" s="6">
        <f>0</f>
        <v>0</v>
      </c>
      <c r="BP1429" s="6">
        <f>-917612</f>
        <v>-917612</v>
      </c>
      <c r="BQ1429" s="4" t="s">
        <v>263</v>
      </c>
      <c r="BR1429" s="4" t="s">
        <v>264</v>
      </c>
      <c r="BS1429" s="4" t="s">
        <v>241</v>
      </c>
      <c r="BT1429" s="4" t="s">
        <v>241</v>
      </c>
      <c r="BU1429" s="4" t="s">
        <v>241</v>
      </c>
      <c r="BV1429" s="4" t="s">
        <v>241</v>
      </c>
      <c r="CE1429" s="4" t="s">
        <v>264</v>
      </c>
      <c r="CF1429" s="4" t="s">
        <v>241</v>
      </c>
      <c r="CG1429" s="4" t="s">
        <v>241</v>
      </c>
      <c r="CK1429" s="4" t="s">
        <v>291</v>
      </c>
      <c r="CL1429" s="4" t="s">
        <v>266</v>
      </c>
      <c r="CM1429" s="4" t="s">
        <v>241</v>
      </c>
      <c r="CO1429" s="4" t="s">
        <v>407</v>
      </c>
      <c r="CP1429" s="5" t="s">
        <v>268</v>
      </c>
      <c r="CQ1429" s="4" t="s">
        <v>269</v>
      </c>
      <c r="CR1429" s="4" t="s">
        <v>270</v>
      </c>
      <c r="CS1429" s="4" t="s">
        <v>293</v>
      </c>
      <c r="CT1429" s="4" t="s">
        <v>241</v>
      </c>
      <c r="CU1429" s="4">
        <v>4.5999999999999999E-2</v>
      </c>
      <c r="CV1429" s="4" t="s">
        <v>271</v>
      </c>
      <c r="CW1429" s="4" t="s">
        <v>1176</v>
      </c>
      <c r="CX1429" s="4" t="s">
        <v>347</v>
      </c>
      <c r="CY1429" s="6">
        <f>0</f>
        <v>0</v>
      </c>
      <c r="CZ1429" s="6">
        <f>19948090</f>
        <v>19948090</v>
      </c>
      <c r="DA1429" s="6">
        <f>4348686</f>
        <v>4348686</v>
      </c>
      <c r="DC1429" s="4" t="s">
        <v>241</v>
      </c>
      <c r="DD1429" s="4" t="s">
        <v>241</v>
      </c>
      <c r="DF1429" s="4" t="s">
        <v>241</v>
      </c>
      <c r="DG1429" s="6">
        <f>0</f>
        <v>0</v>
      </c>
      <c r="DI1429" s="4" t="s">
        <v>241</v>
      </c>
      <c r="DJ1429" s="4" t="s">
        <v>241</v>
      </c>
      <c r="DK1429" s="4" t="s">
        <v>241</v>
      </c>
      <c r="DL1429" s="4" t="s">
        <v>241</v>
      </c>
      <c r="DM1429" s="4" t="s">
        <v>277</v>
      </c>
      <c r="DN1429" s="4" t="s">
        <v>278</v>
      </c>
      <c r="DO1429" s="6">
        <f>183.01</f>
        <v>183.01</v>
      </c>
      <c r="DP1429" s="4" t="s">
        <v>241</v>
      </c>
      <c r="DQ1429" s="4" t="s">
        <v>241</v>
      </c>
      <c r="DR1429" s="4" t="s">
        <v>241</v>
      </c>
      <c r="DS1429" s="4" t="s">
        <v>241</v>
      </c>
      <c r="DV1429" s="4" t="s">
        <v>1177</v>
      </c>
      <c r="DW1429" s="4" t="s">
        <v>277</v>
      </c>
      <c r="GN1429" s="4" t="s">
        <v>1178</v>
      </c>
      <c r="HO1429" s="4" t="s">
        <v>343</v>
      </c>
      <c r="HR1429" s="4" t="s">
        <v>278</v>
      </c>
      <c r="HS1429" s="4" t="s">
        <v>278</v>
      </c>
      <c r="HT1429" s="4" t="s">
        <v>241</v>
      </c>
      <c r="HU1429" s="4" t="s">
        <v>241</v>
      </c>
      <c r="HV1429" s="4" t="s">
        <v>241</v>
      </c>
      <c r="HW1429" s="4" t="s">
        <v>241</v>
      </c>
      <c r="HX1429" s="4" t="s">
        <v>241</v>
      </c>
      <c r="HY1429" s="4" t="s">
        <v>241</v>
      </c>
      <c r="HZ1429" s="4" t="s">
        <v>241</v>
      </c>
      <c r="IA1429" s="4" t="s">
        <v>241</v>
      </c>
      <c r="IB1429" s="4" t="s">
        <v>241</v>
      </c>
      <c r="IC1429" s="4" t="s">
        <v>241</v>
      </c>
      <c r="ID1429" s="4" t="s">
        <v>241</v>
      </c>
      <c r="IE1429" s="4" t="s">
        <v>241</v>
      </c>
      <c r="IF1429" s="4" t="s">
        <v>241</v>
      </c>
    </row>
    <row r="1430" spans="1:240" x14ac:dyDescent="0.4">
      <c r="A1430" s="4">
        <v>2</v>
      </c>
      <c r="B1430" s="4" t="s">
        <v>239</v>
      </c>
      <c r="C1430" s="4">
        <v>1752</v>
      </c>
      <c r="D1430" s="4">
        <v>1</v>
      </c>
      <c r="E1430" s="4">
        <v>1</v>
      </c>
      <c r="F1430" s="4" t="s">
        <v>240</v>
      </c>
      <c r="G1430" s="4" t="s">
        <v>241</v>
      </c>
      <c r="H1430" s="4" t="s">
        <v>241</v>
      </c>
      <c r="I1430" s="4" t="s">
        <v>1536</v>
      </c>
      <c r="J1430" s="4" t="s">
        <v>1184</v>
      </c>
      <c r="K1430" s="4" t="s">
        <v>578</v>
      </c>
      <c r="L1430" s="4" t="s">
        <v>1457</v>
      </c>
      <c r="M1430" s="5" t="s">
        <v>1391</v>
      </c>
      <c r="N1430" s="4" t="s">
        <v>1457</v>
      </c>
      <c r="O1430" s="6">
        <f>526.9</f>
        <v>526.9</v>
      </c>
      <c r="P1430" s="4" t="s">
        <v>276</v>
      </c>
      <c r="Q1430" s="6">
        <f>1</f>
        <v>1</v>
      </c>
      <c r="R1430" s="6">
        <f>94842000</f>
        <v>94842000</v>
      </c>
      <c r="S1430" s="5" t="s">
        <v>248</v>
      </c>
      <c r="T1430" s="4" t="s">
        <v>296</v>
      </c>
      <c r="U1430" s="4" t="s">
        <v>1537</v>
      </c>
      <c r="W1430" s="6">
        <f>94841999</f>
        <v>94841999</v>
      </c>
      <c r="X1430" s="4" t="s">
        <v>243</v>
      </c>
      <c r="Y1430" s="4" t="s">
        <v>244</v>
      </c>
      <c r="Z1430" s="4" t="s">
        <v>282</v>
      </c>
      <c r="AA1430" s="4" t="s">
        <v>241</v>
      </c>
      <c r="AD1430" s="4" t="s">
        <v>241</v>
      </c>
      <c r="AF1430" s="5" t="s">
        <v>241</v>
      </c>
      <c r="AI1430" s="5" t="s">
        <v>249</v>
      </c>
      <c r="AJ1430" s="4" t="s">
        <v>251</v>
      </c>
      <c r="AK1430" s="4" t="s">
        <v>252</v>
      </c>
      <c r="BA1430" s="4" t="s">
        <v>254</v>
      </c>
      <c r="BB1430" s="4" t="s">
        <v>241</v>
      </c>
      <c r="BC1430" s="4" t="s">
        <v>255</v>
      </c>
      <c r="BD1430" s="4" t="s">
        <v>241</v>
      </c>
      <c r="BE1430" s="4" t="s">
        <v>257</v>
      </c>
      <c r="BF1430" s="4" t="s">
        <v>241</v>
      </c>
      <c r="BJ1430" s="4" t="s">
        <v>367</v>
      </c>
      <c r="BK1430" s="5" t="s">
        <v>249</v>
      </c>
      <c r="BL1430" s="4" t="s">
        <v>261</v>
      </c>
      <c r="BM1430" s="4" t="s">
        <v>403</v>
      </c>
      <c r="BN1430" s="4" t="s">
        <v>241</v>
      </c>
      <c r="BO1430" s="6">
        <f>0</f>
        <v>0</v>
      </c>
      <c r="BP1430" s="6">
        <f>0</f>
        <v>0</v>
      </c>
      <c r="BQ1430" s="4" t="s">
        <v>263</v>
      </c>
      <c r="BR1430" s="4" t="s">
        <v>264</v>
      </c>
      <c r="CF1430" s="4" t="s">
        <v>241</v>
      </c>
      <c r="CG1430" s="4" t="s">
        <v>241</v>
      </c>
      <c r="CK1430" s="4" t="s">
        <v>265</v>
      </c>
      <c r="CL1430" s="4" t="s">
        <v>266</v>
      </c>
      <c r="CM1430" s="4" t="s">
        <v>241</v>
      </c>
      <c r="CO1430" s="4" t="s">
        <v>267</v>
      </c>
      <c r="CP1430" s="5" t="s">
        <v>268</v>
      </c>
      <c r="CQ1430" s="4" t="s">
        <v>269</v>
      </c>
      <c r="CR1430" s="4" t="s">
        <v>270</v>
      </c>
      <c r="CS1430" s="4" t="s">
        <v>241</v>
      </c>
      <c r="CT1430" s="4" t="s">
        <v>241</v>
      </c>
      <c r="CU1430" s="4">
        <v>0</v>
      </c>
      <c r="CV1430" s="4" t="s">
        <v>271</v>
      </c>
      <c r="CW1430" s="4" t="s">
        <v>1329</v>
      </c>
      <c r="CX1430" s="4" t="s">
        <v>295</v>
      </c>
      <c r="CZ1430" s="6">
        <f>94842000</f>
        <v>94842000</v>
      </c>
      <c r="DA1430" s="6">
        <f>0</f>
        <v>0</v>
      </c>
      <c r="DC1430" s="4" t="s">
        <v>241</v>
      </c>
      <c r="DD1430" s="4" t="s">
        <v>241</v>
      </c>
      <c r="DF1430" s="4" t="s">
        <v>241</v>
      </c>
      <c r="DI1430" s="4" t="s">
        <v>241</v>
      </c>
      <c r="DJ1430" s="4" t="s">
        <v>241</v>
      </c>
      <c r="DK1430" s="4" t="s">
        <v>241</v>
      </c>
      <c r="DL1430" s="4" t="s">
        <v>241</v>
      </c>
      <c r="DM1430" s="4" t="s">
        <v>277</v>
      </c>
      <c r="DN1430" s="4" t="s">
        <v>278</v>
      </c>
      <c r="DO1430" s="6">
        <f>526.9</f>
        <v>526.9</v>
      </c>
      <c r="DP1430" s="4" t="s">
        <v>241</v>
      </c>
      <c r="DQ1430" s="4" t="s">
        <v>241</v>
      </c>
      <c r="DR1430" s="4" t="s">
        <v>241</v>
      </c>
      <c r="DS1430" s="4" t="s">
        <v>241</v>
      </c>
      <c r="DV1430" s="4" t="s">
        <v>1538</v>
      </c>
      <c r="DW1430" s="4" t="s">
        <v>277</v>
      </c>
      <c r="HO1430" s="4" t="s">
        <v>351</v>
      </c>
      <c r="HR1430" s="4" t="s">
        <v>278</v>
      </c>
      <c r="HS1430" s="4" t="s">
        <v>278</v>
      </c>
    </row>
    <row r="1431" spans="1:240" x14ac:dyDescent="0.4">
      <c r="A1431" s="4">
        <v>2</v>
      </c>
      <c r="B1431" s="4" t="s">
        <v>239</v>
      </c>
      <c r="C1431" s="4">
        <v>1755</v>
      </c>
      <c r="D1431" s="4">
        <v>1</v>
      </c>
      <c r="E1431" s="4">
        <v>3</v>
      </c>
      <c r="F1431" s="4" t="s">
        <v>240</v>
      </c>
      <c r="G1431" s="4" t="s">
        <v>241</v>
      </c>
      <c r="H1431" s="4" t="s">
        <v>241</v>
      </c>
      <c r="I1431" s="4" t="s">
        <v>1744</v>
      </c>
      <c r="J1431" s="4" t="s">
        <v>673</v>
      </c>
      <c r="K1431" s="4" t="s">
        <v>578</v>
      </c>
      <c r="L1431" s="4" t="s">
        <v>440</v>
      </c>
      <c r="M1431" s="5" t="s">
        <v>598</v>
      </c>
      <c r="N1431" s="4" t="s">
        <v>1743</v>
      </c>
      <c r="O1431" s="6">
        <f>393.94</f>
        <v>393.94</v>
      </c>
      <c r="P1431" s="4" t="s">
        <v>276</v>
      </c>
      <c r="Q1431" s="6">
        <f>6381860</f>
        <v>6381860</v>
      </c>
      <c r="R1431" s="6">
        <f>53181860</f>
        <v>53181860</v>
      </c>
      <c r="S1431" s="5" t="s">
        <v>1740</v>
      </c>
      <c r="T1431" s="4" t="s">
        <v>668</v>
      </c>
      <c r="U1431" s="4" t="s">
        <v>393</v>
      </c>
      <c r="V1431" s="6">
        <f>1170000</f>
        <v>1170000</v>
      </c>
      <c r="W1431" s="6">
        <f>46800000</f>
        <v>46800000</v>
      </c>
      <c r="X1431" s="4" t="s">
        <v>243</v>
      </c>
      <c r="Y1431" s="4" t="s">
        <v>244</v>
      </c>
      <c r="Z1431" s="4" t="s">
        <v>465</v>
      </c>
      <c r="AA1431" s="4" t="s">
        <v>241</v>
      </c>
      <c r="AD1431" s="4" t="s">
        <v>241</v>
      </c>
      <c r="AE1431" s="5" t="s">
        <v>241</v>
      </c>
      <c r="AF1431" s="5" t="s">
        <v>241</v>
      </c>
      <c r="AH1431" s="5" t="s">
        <v>241</v>
      </c>
      <c r="AI1431" s="5" t="s">
        <v>249</v>
      </c>
      <c r="AJ1431" s="4" t="s">
        <v>251</v>
      </c>
      <c r="AK1431" s="4" t="s">
        <v>252</v>
      </c>
      <c r="AQ1431" s="4" t="s">
        <v>241</v>
      </c>
      <c r="AR1431" s="4" t="s">
        <v>241</v>
      </c>
      <c r="AS1431" s="4" t="s">
        <v>241</v>
      </c>
      <c r="AT1431" s="5" t="s">
        <v>241</v>
      </c>
      <c r="AU1431" s="5" t="s">
        <v>241</v>
      </c>
      <c r="AV1431" s="5" t="s">
        <v>241</v>
      </c>
      <c r="AY1431" s="4" t="s">
        <v>286</v>
      </c>
      <c r="AZ1431" s="4" t="s">
        <v>286</v>
      </c>
      <c r="BA1431" s="4" t="s">
        <v>254</v>
      </c>
      <c r="BB1431" s="4" t="s">
        <v>287</v>
      </c>
      <c r="BC1431" s="4" t="s">
        <v>255</v>
      </c>
      <c r="BD1431" s="4" t="s">
        <v>241</v>
      </c>
      <c r="BE1431" s="4" t="s">
        <v>257</v>
      </c>
      <c r="BF1431" s="4" t="s">
        <v>241</v>
      </c>
      <c r="BJ1431" s="4" t="s">
        <v>288</v>
      </c>
      <c r="BK1431" s="5" t="s">
        <v>289</v>
      </c>
      <c r="BL1431" s="4" t="s">
        <v>290</v>
      </c>
      <c r="BM1431" s="4" t="s">
        <v>290</v>
      </c>
      <c r="BN1431" s="4" t="s">
        <v>241</v>
      </c>
      <c r="BO1431" s="6">
        <f>0</f>
        <v>0</v>
      </c>
      <c r="BP1431" s="6">
        <f>-1170000</f>
        <v>-1170000</v>
      </c>
      <c r="BQ1431" s="4" t="s">
        <v>263</v>
      </c>
      <c r="BR1431" s="4" t="s">
        <v>264</v>
      </c>
      <c r="BS1431" s="4" t="s">
        <v>241</v>
      </c>
      <c r="BT1431" s="4" t="s">
        <v>241</v>
      </c>
      <c r="BU1431" s="4" t="s">
        <v>241</v>
      </c>
      <c r="BV1431" s="4" t="s">
        <v>241</v>
      </c>
      <c r="CE1431" s="4" t="s">
        <v>264</v>
      </c>
      <c r="CF1431" s="4" t="s">
        <v>241</v>
      </c>
      <c r="CG1431" s="4" t="s">
        <v>241</v>
      </c>
      <c r="CK1431" s="4" t="s">
        <v>265</v>
      </c>
      <c r="CL1431" s="4" t="s">
        <v>266</v>
      </c>
      <c r="CM1431" s="4" t="s">
        <v>241</v>
      </c>
      <c r="CO1431" s="4" t="s">
        <v>382</v>
      </c>
      <c r="CP1431" s="5" t="s">
        <v>268</v>
      </c>
      <c r="CQ1431" s="4" t="s">
        <v>269</v>
      </c>
      <c r="CR1431" s="4" t="s">
        <v>270</v>
      </c>
      <c r="CS1431" s="4" t="s">
        <v>293</v>
      </c>
      <c r="CT1431" s="4" t="s">
        <v>241</v>
      </c>
      <c r="CU1431" s="4">
        <v>2.1999999999999999E-2</v>
      </c>
      <c r="CV1431" s="4" t="s">
        <v>271</v>
      </c>
      <c r="CW1431" s="4" t="s">
        <v>1741</v>
      </c>
      <c r="CX1431" s="4" t="s">
        <v>295</v>
      </c>
      <c r="CY1431" s="6">
        <f>0</f>
        <v>0</v>
      </c>
      <c r="CZ1431" s="6">
        <f>53181860</f>
        <v>53181860</v>
      </c>
      <c r="DA1431" s="6">
        <f>6381860</f>
        <v>6381860</v>
      </c>
      <c r="DC1431" s="4" t="s">
        <v>241</v>
      </c>
      <c r="DD1431" s="4" t="s">
        <v>241</v>
      </c>
      <c r="DF1431" s="4" t="s">
        <v>241</v>
      </c>
      <c r="DG1431" s="6">
        <f>0</f>
        <v>0</v>
      </c>
      <c r="DI1431" s="4" t="s">
        <v>241</v>
      </c>
      <c r="DJ1431" s="4" t="s">
        <v>241</v>
      </c>
      <c r="DK1431" s="4" t="s">
        <v>241</v>
      </c>
      <c r="DL1431" s="4" t="s">
        <v>241</v>
      </c>
      <c r="DM1431" s="4" t="s">
        <v>323</v>
      </c>
      <c r="DN1431" s="4" t="s">
        <v>278</v>
      </c>
      <c r="DO1431" s="6">
        <f>393.94</f>
        <v>393.94</v>
      </c>
      <c r="DP1431" s="4" t="s">
        <v>241</v>
      </c>
      <c r="DQ1431" s="4" t="s">
        <v>241</v>
      </c>
      <c r="DR1431" s="4" t="s">
        <v>241</v>
      </c>
      <c r="DS1431" s="4" t="s">
        <v>241</v>
      </c>
      <c r="DV1431" s="4" t="s">
        <v>1745</v>
      </c>
      <c r="DW1431" s="4" t="s">
        <v>277</v>
      </c>
      <c r="GN1431" s="4" t="s">
        <v>1746</v>
      </c>
      <c r="HO1431" s="4" t="s">
        <v>417</v>
      </c>
      <c r="HR1431" s="4" t="s">
        <v>278</v>
      </c>
      <c r="HS1431" s="4" t="s">
        <v>278</v>
      </c>
      <c r="HT1431" s="4" t="s">
        <v>241</v>
      </c>
      <c r="HU1431" s="4" t="s">
        <v>241</v>
      </c>
      <c r="HV1431" s="4" t="s">
        <v>241</v>
      </c>
      <c r="HW1431" s="4" t="s">
        <v>241</v>
      </c>
      <c r="HX1431" s="4" t="s">
        <v>241</v>
      </c>
      <c r="HY1431" s="4" t="s">
        <v>241</v>
      </c>
      <c r="HZ1431" s="4" t="s">
        <v>241</v>
      </c>
      <c r="IA1431" s="4" t="s">
        <v>241</v>
      </c>
      <c r="IB1431" s="4" t="s">
        <v>241</v>
      </c>
      <c r="IC1431" s="4" t="s">
        <v>241</v>
      </c>
      <c r="ID1431" s="4" t="s">
        <v>241</v>
      </c>
      <c r="IE1431" s="4" t="s">
        <v>241</v>
      </c>
      <c r="IF1431" s="4" t="s">
        <v>241</v>
      </c>
    </row>
    <row r="1432" spans="1:240" x14ac:dyDescent="0.4">
      <c r="A1432" s="4">
        <v>2</v>
      </c>
      <c r="B1432" s="4" t="s">
        <v>239</v>
      </c>
      <c r="C1432" s="4">
        <v>1757</v>
      </c>
      <c r="D1432" s="4">
        <v>1</v>
      </c>
      <c r="E1432" s="4">
        <v>3</v>
      </c>
      <c r="F1432" s="4" t="s">
        <v>240</v>
      </c>
      <c r="G1432" s="4" t="s">
        <v>241</v>
      </c>
      <c r="H1432" s="4" t="s">
        <v>241</v>
      </c>
      <c r="I1432" s="4" t="s">
        <v>860</v>
      </c>
      <c r="J1432" s="4" t="s">
        <v>673</v>
      </c>
      <c r="K1432" s="4" t="s">
        <v>578</v>
      </c>
      <c r="L1432" s="4" t="s">
        <v>658</v>
      </c>
      <c r="M1432" s="5" t="s">
        <v>862</v>
      </c>
      <c r="N1432" s="4" t="s">
        <v>658</v>
      </c>
      <c r="O1432" s="6">
        <f>698</f>
        <v>698</v>
      </c>
      <c r="P1432" s="4" t="s">
        <v>276</v>
      </c>
      <c r="Q1432" s="6">
        <f>31193620</f>
        <v>31193620</v>
      </c>
      <c r="R1432" s="6">
        <f>143090000</f>
        <v>143090000</v>
      </c>
      <c r="S1432" s="5" t="s">
        <v>865</v>
      </c>
      <c r="T1432" s="4" t="s">
        <v>314</v>
      </c>
      <c r="U1432" s="4" t="s">
        <v>371</v>
      </c>
      <c r="V1432" s="6">
        <f>6582140</f>
        <v>6582140</v>
      </c>
      <c r="W1432" s="6">
        <f>111896380</f>
        <v>111896380</v>
      </c>
      <c r="X1432" s="4" t="s">
        <v>243</v>
      </c>
      <c r="Y1432" s="4" t="s">
        <v>244</v>
      </c>
      <c r="Z1432" s="4" t="s">
        <v>465</v>
      </c>
      <c r="AA1432" s="4" t="s">
        <v>241</v>
      </c>
      <c r="AD1432" s="4" t="s">
        <v>241</v>
      </c>
      <c r="AE1432" s="5" t="s">
        <v>241</v>
      </c>
      <c r="AF1432" s="5" t="s">
        <v>241</v>
      </c>
      <c r="AH1432" s="5" t="s">
        <v>241</v>
      </c>
      <c r="AI1432" s="5" t="s">
        <v>249</v>
      </c>
      <c r="AJ1432" s="4" t="s">
        <v>251</v>
      </c>
      <c r="AK1432" s="4" t="s">
        <v>252</v>
      </c>
      <c r="AQ1432" s="4" t="s">
        <v>241</v>
      </c>
      <c r="AR1432" s="4" t="s">
        <v>241</v>
      </c>
      <c r="AS1432" s="4" t="s">
        <v>241</v>
      </c>
      <c r="AT1432" s="5" t="s">
        <v>241</v>
      </c>
      <c r="AU1432" s="5" t="s">
        <v>241</v>
      </c>
      <c r="AV1432" s="5" t="s">
        <v>241</v>
      </c>
      <c r="AY1432" s="4" t="s">
        <v>286</v>
      </c>
      <c r="AZ1432" s="4" t="s">
        <v>286</v>
      </c>
      <c r="BA1432" s="4" t="s">
        <v>254</v>
      </c>
      <c r="BB1432" s="4" t="s">
        <v>287</v>
      </c>
      <c r="BC1432" s="4" t="s">
        <v>255</v>
      </c>
      <c r="BD1432" s="4" t="s">
        <v>241</v>
      </c>
      <c r="BE1432" s="4" t="s">
        <v>257</v>
      </c>
      <c r="BF1432" s="4" t="s">
        <v>241</v>
      </c>
      <c r="BJ1432" s="4" t="s">
        <v>288</v>
      </c>
      <c r="BK1432" s="5" t="s">
        <v>289</v>
      </c>
      <c r="BL1432" s="4" t="s">
        <v>290</v>
      </c>
      <c r="BM1432" s="4" t="s">
        <v>290</v>
      </c>
      <c r="BN1432" s="4" t="s">
        <v>241</v>
      </c>
      <c r="BO1432" s="6">
        <f>0</f>
        <v>0</v>
      </c>
      <c r="BP1432" s="6">
        <f>-6582140</f>
        <v>-6582140</v>
      </c>
      <c r="BQ1432" s="4" t="s">
        <v>263</v>
      </c>
      <c r="BR1432" s="4" t="s">
        <v>264</v>
      </c>
      <c r="BS1432" s="4" t="s">
        <v>241</v>
      </c>
      <c r="BT1432" s="4" t="s">
        <v>241</v>
      </c>
      <c r="BU1432" s="4" t="s">
        <v>241</v>
      </c>
      <c r="BV1432" s="4" t="s">
        <v>241</v>
      </c>
      <c r="CE1432" s="4" t="s">
        <v>264</v>
      </c>
      <c r="CF1432" s="4" t="s">
        <v>241</v>
      </c>
      <c r="CG1432" s="4" t="s">
        <v>241</v>
      </c>
      <c r="CK1432" s="4" t="s">
        <v>291</v>
      </c>
      <c r="CL1432" s="4" t="s">
        <v>266</v>
      </c>
      <c r="CM1432" s="4" t="s">
        <v>241</v>
      </c>
      <c r="CO1432" s="4" t="s">
        <v>407</v>
      </c>
      <c r="CP1432" s="5" t="s">
        <v>268</v>
      </c>
      <c r="CQ1432" s="4" t="s">
        <v>269</v>
      </c>
      <c r="CR1432" s="4" t="s">
        <v>270</v>
      </c>
      <c r="CS1432" s="4" t="s">
        <v>293</v>
      </c>
      <c r="CT1432" s="4" t="s">
        <v>241</v>
      </c>
      <c r="CU1432" s="4">
        <v>4.5999999999999999E-2</v>
      </c>
      <c r="CV1432" s="4" t="s">
        <v>271</v>
      </c>
      <c r="CW1432" s="4" t="s">
        <v>655</v>
      </c>
      <c r="CX1432" s="4" t="s">
        <v>347</v>
      </c>
      <c r="CY1432" s="6">
        <f>0</f>
        <v>0</v>
      </c>
      <c r="CZ1432" s="6">
        <f>143090000</f>
        <v>143090000</v>
      </c>
      <c r="DA1432" s="6">
        <f>31193620</f>
        <v>31193620</v>
      </c>
      <c r="DC1432" s="4" t="s">
        <v>241</v>
      </c>
      <c r="DD1432" s="4" t="s">
        <v>241</v>
      </c>
      <c r="DF1432" s="4" t="s">
        <v>241</v>
      </c>
      <c r="DG1432" s="6">
        <f>0</f>
        <v>0</v>
      </c>
      <c r="DI1432" s="4" t="s">
        <v>241</v>
      </c>
      <c r="DJ1432" s="4" t="s">
        <v>241</v>
      </c>
      <c r="DK1432" s="4" t="s">
        <v>241</v>
      </c>
      <c r="DL1432" s="4" t="s">
        <v>241</v>
      </c>
      <c r="DM1432" s="4" t="s">
        <v>277</v>
      </c>
      <c r="DN1432" s="4" t="s">
        <v>278</v>
      </c>
      <c r="DO1432" s="6">
        <f>698</f>
        <v>698</v>
      </c>
      <c r="DP1432" s="4" t="s">
        <v>241</v>
      </c>
      <c r="DQ1432" s="4" t="s">
        <v>241</v>
      </c>
      <c r="DR1432" s="4" t="s">
        <v>241</v>
      </c>
      <c r="DS1432" s="4" t="s">
        <v>241</v>
      </c>
      <c r="DV1432" s="4" t="s">
        <v>863</v>
      </c>
      <c r="DW1432" s="4" t="s">
        <v>277</v>
      </c>
      <c r="GN1432" s="4" t="s">
        <v>866</v>
      </c>
      <c r="HO1432" s="4" t="s">
        <v>343</v>
      </c>
      <c r="HR1432" s="4" t="s">
        <v>278</v>
      </c>
      <c r="HS1432" s="4" t="s">
        <v>278</v>
      </c>
      <c r="HT1432" s="4" t="s">
        <v>241</v>
      </c>
      <c r="HU1432" s="4" t="s">
        <v>241</v>
      </c>
      <c r="HV1432" s="4" t="s">
        <v>241</v>
      </c>
      <c r="HW1432" s="4" t="s">
        <v>241</v>
      </c>
      <c r="HX1432" s="4" t="s">
        <v>241</v>
      </c>
      <c r="HY1432" s="4" t="s">
        <v>241</v>
      </c>
      <c r="HZ1432" s="4" t="s">
        <v>241</v>
      </c>
      <c r="IA1432" s="4" t="s">
        <v>241</v>
      </c>
      <c r="IB1432" s="4" t="s">
        <v>241</v>
      </c>
      <c r="IC1432" s="4" t="s">
        <v>241</v>
      </c>
      <c r="ID1432" s="4" t="s">
        <v>241</v>
      </c>
      <c r="IE1432" s="4" t="s">
        <v>241</v>
      </c>
      <c r="IF1432" s="4" t="s">
        <v>241</v>
      </c>
    </row>
    <row r="1433" spans="1:240" x14ac:dyDescent="0.4">
      <c r="A1433" s="4">
        <v>2</v>
      </c>
      <c r="B1433" s="4" t="s">
        <v>239</v>
      </c>
      <c r="C1433" s="4">
        <v>1758</v>
      </c>
      <c r="D1433" s="4">
        <v>1</v>
      </c>
      <c r="E1433" s="4">
        <v>3</v>
      </c>
      <c r="F1433" s="4" t="s">
        <v>326</v>
      </c>
      <c r="G1433" s="4" t="s">
        <v>241</v>
      </c>
      <c r="H1433" s="4" t="s">
        <v>241</v>
      </c>
      <c r="I1433" s="4" t="s">
        <v>860</v>
      </c>
      <c r="J1433" s="4" t="s">
        <v>673</v>
      </c>
      <c r="K1433" s="4" t="s">
        <v>578</v>
      </c>
      <c r="L1433" s="4" t="s">
        <v>241</v>
      </c>
      <c r="M1433" s="5" t="s">
        <v>862</v>
      </c>
      <c r="N1433" s="4" t="s">
        <v>859</v>
      </c>
      <c r="O1433" s="6">
        <f>65.28</f>
        <v>65.28</v>
      </c>
      <c r="P1433" s="4" t="s">
        <v>276</v>
      </c>
      <c r="Q1433" s="6">
        <f>56944312</f>
        <v>56944312</v>
      </c>
      <c r="R1433" s="6">
        <f>62714000</f>
        <v>62714000</v>
      </c>
      <c r="S1433" s="5" t="s">
        <v>861</v>
      </c>
      <c r="T1433" s="4" t="s">
        <v>314</v>
      </c>
      <c r="U1433" s="4" t="s">
        <v>277</v>
      </c>
      <c r="V1433" s="6">
        <f>2884844</f>
        <v>2884844</v>
      </c>
      <c r="W1433" s="6">
        <f>5769688</f>
        <v>5769688</v>
      </c>
      <c r="X1433" s="4" t="s">
        <v>243</v>
      </c>
      <c r="Y1433" s="4" t="s">
        <v>244</v>
      </c>
      <c r="Z1433" s="4" t="s">
        <v>241</v>
      </c>
      <c r="AA1433" s="4" t="s">
        <v>241</v>
      </c>
      <c r="AD1433" s="4" t="s">
        <v>241</v>
      </c>
      <c r="AE1433" s="5" t="s">
        <v>241</v>
      </c>
      <c r="AF1433" s="5" t="s">
        <v>241</v>
      </c>
      <c r="AH1433" s="5" t="s">
        <v>241</v>
      </c>
      <c r="AI1433" s="5" t="s">
        <v>249</v>
      </c>
      <c r="AJ1433" s="4" t="s">
        <v>251</v>
      </c>
      <c r="AK1433" s="4" t="s">
        <v>252</v>
      </c>
      <c r="AQ1433" s="4" t="s">
        <v>241</v>
      </c>
      <c r="AR1433" s="4" t="s">
        <v>241</v>
      </c>
      <c r="AS1433" s="4" t="s">
        <v>241</v>
      </c>
      <c r="AT1433" s="5" t="s">
        <v>241</v>
      </c>
      <c r="AU1433" s="5" t="s">
        <v>241</v>
      </c>
      <c r="AV1433" s="5" t="s">
        <v>241</v>
      </c>
      <c r="AY1433" s="4" t="s">
        <v>286</v>
      </c>
      <c r="AZ1433" s="4" t="s">
        <v>286</v>
      </c>
      <c r="BA1433" s="4" t="s">
        <v>254</v>
      </c>
      <c r="BB1433" s="4" t="s">
        <v>287</v>
      </c>
      <c r="BC1433" s="4" t="s">
        <v>255</v>
      </c>
      <c r="BD1433" s="4" t="s">
        <v>241</v>
      </c>
      <c r="BE1433" s="4" t="s">
        <v>257</v>
      </c>
      <c r="BF1433" s="4" t="s">
        <v>241</v>
      </c>
      <c r="BJ1433" s="4" t="s">
        <v>288</v>
      </c>
      <c r="BK1433" s="5" t="s">
        <v>289</v>
      </c>
      <c r="BL1433" s="4" t="s">
        <v>290</v>
      </c>
      <c r="BM1433" s="4" t="s">
        <v>290</v>
      </c>
      <c r="BN1433" s="4" t="s">
        <v>241</v>
      </c>
      <c r="BO1433" s="6">
        <f>0</f>
        <v>0</v>
      </c>
      <c r="BP1433" s="6">
        <f>-2884844</f>
        <v>-2884844</v>
      </c>
      <c r="BQ1433" s="4" t="s">
        <v>263</v>
      </c>
      <c r="BR1433" s="4" t="s">
        <v>264</v>
      </c>
      <c r="BS1433" s="4" t="s">
        <v>241</v>
      </c>
      <c r="BT1433" s="4" t="s">
        <v>241</v>
      </c>
      <c r="BU1433" s="4" t="s">
        <v>241</v>
      </c>
      <c r="BV1433" s="4" t="s">
        <v>241</v>
      </c>
      <c r="CE1433" s="4" t="s">
        <v>264</v>
      </c>
      <c r="CF1433" s="4" t="s">
        <v>241</v>
      </c>
      <c r="CG1433" s="4" t="s">
        <v>241</v>
      </c>
      <c r="CK1433" s="4" t="s">
        <v>291</v>
      </c>
      <c r="CL1433" s="4" t="s">
        <v>266</v>
      </c>
      <c r="CM1433" s="4" t="s">
        <v>241</v>
      </c>
      <c r="CO1433" s="4" t="s">
        <v>331</v>
      </c>
      <c r="CP1433" s="5" t="s">
        <v>268</v>
      </c>
      <c r="CQ1433" s="4" t="s">
        <v>269</v>
      </c>
      <c r="CR1433" s="4" t="s">
        <v>270</v>
      </c>
      <c r="CS1433" s="4" t="s">
        <v>293</v>
      </c>
      <c r="CT1433" s="4" t="s">
        <v>241</v>
      </c>
      <c r="CU1433" s="4">
        <v>4.5999999999999999E-2</v>
      </c>
      <c r="CV1433" s="4" t="s">
        <v>271</v>
      </c>
      <c r="CW1433" s="4" t="s">
        <v>655</v>
      </c>
      <c r="CX1433" s="4" t="s">
        <v>347</v>
      </c>
      <c r="CY1433" s="6">
        <f>0</f>
        <v>0</v>
      </c>
      <c r="CZ1433" s="6">
        <f>62714000</f>
        <v>62714000</v>
      </c>
      <c r="DA1433" s="6">
        <f>56944312</f>
        <v>56944312</v>
      </c>
      <c r="DC1433" s="4" t="s">
        <v>241</v>
      </c>
      <c r="DD1433" s="4" t="s">
        <v>241</v>
      </c>
      <c r="DF1433" s="4" t="s">
        <v>241</v>
      </c>
      <c r="DG1433" s="6">
        <f>0</f>
        <v>0</v>
      </c>
      <c r="DI1433" s="4" t="s">
        <v>241</v>
      </c>
      <c r="DJ1433" s="4" t="s">
        <v>241</v>
      </c>
      <c r="DK1433" s="4" t="s">
        <v>241</v>
      </c>
      <c r="DL1433" s="4" t="s">
        <v>241</v>
      </c>
      <c r="DM1433" s="4" t="s">
        <v>278</v>
      </c>
      <c r="DN1433" s="4" t="s">
        <v>278</v>
      </c>
      <c r="DO1433" s="6">
        <f>65.28</f>
        <v>65.28</v>
      </c>
      <c r="DP1433" s="4" t="s">
        <v>241</v>
      </c>
      <c r="DQ1433" s="4" t="s">
        <v>241</v>
      </c>
      <c r="DR1433" s="4" t="s">
        <v>241</v>
      </c>
      <c r="DS1433" s="4" t="s">
        <v>241</v>
      </c>
      <c r="DV1433" s="4" t="s">
        <v>863</v>
      </c>
      <c r="DW1433" s="4" t="s">
        <v>323</v>
      </c>
      <c r="GN1433" s="4" t="s">
        <v>864</v>
      </c>
      <c r="HO1433" s="4" t="s">
        <v>351</v>
      </c>
      <c r="HR1433" s="4" t="s">
        <v>278</v>
      </c>
      <c r="HS1433" s="4" t="s">
        <v>278</v>
      </c>
      <c r="HT1433" s="4" t="s">
        <v>241</v>
      </c>
      <c r="HU1433" s="4" t="s">
        <v>241</v>
      </c>
      <c r="HV1433" s="4" t="s">
        <v>241</v>
      </c>
      <c r="HW1433" s="4" t="s">
        <v>241</v>
      </c>
      <c r="HX1433" s="4" t="s">
        <v>241</v>
      </c>
      <c r="HY1433" s="4" t="s">
        <v>241</v>
      </c>
      <c r="HZ1433" s="4" t="s">
        <v>241</v>
      </c>
      <c r="IA1433" s="4" t="s">
        <v>241</v>
      </c>
      <c r="IB1433" s="4" t="s">
        <v>241</v>
      </c>
      <c r="IC1433" s="4" t="s">
        <v>241</v>
      </c>
      <c r="ID1433" s="4" t="s">
        <v>241</v>
      </c>
      <c r="IE1433" s="4" t="s">
        <v>241</v>
      </c>
      <c r="IF1433" s="4" t="s">
        <v>241</v>
      </c>
    </row>
    <row r="1434" spans="1:240" x14ac:dyDescent="0.4">
      <c r="A1434" s="4">
        <v>2</v>
      </c>
      <c r="B1434" s="4" t="s">
        <v>239</v>
      </c>
      <c r="C1434" s="4">
        <v>1759</v>
      </c>
      <c r="D1434" s="4">
        <v>1</v>
      </c>
      <c r="E1434" s="4">
        <v>3</v>
      </c>
      <c r="F1434" s="4" t="s">
        <v>326</v>
      </c>
      <c r="G1434" s="4" t="s">
        <v>241</v>
      </c>
      <c r="H1434" s="4" t="s">
        <v>241</v>
      </c>
      <c r="I1434" s="4" t="s">
        <v>860</v>
      </c>
      <c r="J1434" s="4" t="s">
        <v>673</v>
      </c>
      <c r="K1434" s="4" t="s">
        <v>578</v>
      </c>
      <c r="L1434" s="4" t="s">
        <v>241</v>
      </c>
      <c r="M1434" s="5" t="s">
        <v>862</v>
      </c>
      <c r="N1434" s="4" t="s">
        <v>2539</v>
      </c>
      <c r="O1434" s="6">
        <f>0</f>
        <v>0</v>
      </c>
      <c r="P1434" s="4" t="s">
        <v>276</v>
      </c>
      <c r="Q1434" s="6">
        <f>28549422</f>
        <v>28549422</v>
      </c>
      <c r="R1434" s="6">
        <f>32967000</f>
        <v>32967000</v>
      </c>
      <c r="S1434" s="5" t="s">
        <v>861</v>
      </c>
      <c r="T1434" s="4" t="s">
        <v>348</v>
      </c>
      <c r="U1434" s="4" t="s">
        <v>277</v>
      </c>
      <c r="V1434" s="6">
        <f>2208789</f>
        <v>2208789</v>
      </c>
      <c r="W1434" s="6">
        <f>4417578</f>
        <v>4417578</v>
      </c>
      <c r="X1434" s="4" t="s">
        <v>243</v>
      </c>
      <c r="Y1434" s="4" t="s">
        <v>244</v>
      </c>
      <c r="Z1434" s="4" t="s">
        <v>241</v>
      </c>
      <c r="AA1434" s="4" t="s">
        <v>241</v>
      </c>
      <c r="AD1434" s="4" t="s">
        <v>241</v>
      </c>
      <c r="AE1434" s="5" t="s">
        <v>241</v>
      </c>
      <c r="AF1434" s="5" t="s">
        <v>241</v>
      </c>
      <c r="AH1434" s="5" t="s">
        <v>241</v>
      </c>
      <c r="AI1434" s="5" t="s">
        <v>249</v>
      </c>
      <c r="AJ1434" s="4" t="s">
        <v>251</v>
      </c>
      <c r="AK1434" s="4" t="s">
        <v>252</v>
      </c>
      <c r="AQ1434" s="4" t="s">
        <v>241</v>
      </c>
      <c r="AR1434" s="4" t="s">
        <v>241</v>
      </c>
      <c r="AS1434" s="4" t="s">
        <v>241</v>
      </c>
      <c r="AT1434" s="5" t="s">
        <v>241</v>
      </c>
      <c r="AU1434" s="5" t="s">
        <v>241</v>
      </c>
      <c r="AV1434" s="5" t="s">
        <v>241</v>
      </c>
      <c r="AY1434" s="4" t="s">
        <v>286</v>
      </c>
      <c r="AZ1434" s="4" t="s">
        <v>286</v>
      </c>
      <c r="BA1434" s="4" t="s">
        <v>254</v>
      </c>
      <c r="BB1434" s="4" t="s">
        <v>287</v>
      </c>
      <c r="BC1434" s="4" t="s">
        <v>255</v>
      </c>
      <c r="BD1434" s="4" t="s">
        <v>241</v>
      </c>
      <c r="BE1434" s="4" t="s">
        <v>257</v>
      </c>
      <c r="BF1434" s="4" t="s">
        <v>241</v>
      </c>
      <c r="BJ1434" s="4" t="s">
        <v>288</v>
      </c>
      <c r="BK1434" s="5" t="s">
        <v>289</v>
      </c>
      <c r="BL1434" s="4" t="s">
        <v>290</v>
      </c>
      <c r="BM1434" s="4" t="s">
        <v>290</v>
      </c>
      <c r="BN1434" s="4" t="s">
        <v>241</v>
      </c>
      <c r="BP1434" s="6">
        <f>-2208789</f>
        <v>-2208789</v>
      </c>
      <c r="BQ1434" s="4" t="s">
        <v>263</v>
      </c>
      <c r="BR1434" s="4" t="s">
        <v>264</v>
      </c>
      <c r="BS1434" s="4" t="s">
        <v>241</v>
      </c>
      <c r="BT1434" s="4" t="s">
        <v>241</v>
      </c>
      <c r="BU1434" s="4" t="s">
        <v>241</v>
      </c>
      <c r="BV1434" s="4" t="s">
        <v>241</v>
      </c>
      <c r="CE1434" s="4" t="s">
        <v>264</v>
      </c>
      <c r="CF1434" s="4" t="s">
        <v>241</v>
      </c>
      <c r="CG1434" s="4" t="s">
        <v>241</v>
      </c>
      <c r="CK1434" s="4" t="s">
        <v>291</v>
      </c>
      <c r="CL1434" s="4" t="s">
        <v>266</v>
      </c>
      <c r="CM1434" s="4" t="s">
        <v>241</v>
      </c>
      <c r="CO1434" s="4" t="s">
        <v>331</v>
      </c>
      <c r="CP1434" s="5" t="s">
        <v>268</v>
      </c>
      <c r="CQ1434" s="4" t="s">
        <v>269</v>
      </c>
      <c r="CR1434" s="4" t="s">
        <v>270</v>
      </c>
      <c r="CS1434" s="4" t="s">
        <v>293</v>
      </c>
      <c r="CT1434" s="4" t="s">
        <v>241</v>
      </c>
      <c r="CU1434" s="4">
        <v>6.7000000000000004E-2</v>
      </c>
      <c r="CV1434" s="4" t="s">
        <v>271</v>
      </c>
      <c r="CW1434" s="4" t="s">
        <v>415</v>
      </c>
      <c r="CX1434" s="4" t="s">
        <v>422</v>
      </c>
      <c r="CY1434" s="6">
        <f>0</f>
        <v>0</v>
      </c>
      <c r="CZ1434" s="6">
        <f>32967000</f>
        <v>32967000</v>
      </c>
      <c r="DA1434" s="6">
        <f>28549422</f>
        <v>28549422</v>
      </c>
      <c r="DC1434" s="4" t="s">
        <v>241</v>
      </c>
      <c r="DD1434" s="4" t="s">
        <v>241</v>
      </c>
      <c r="DF1434" s="4" t="s">
        <v>241</v>
      </c>
      <c r="DG1434" s="6">
        <f>0</f>
        <v>0</v>
      </c>
      <c r="DI1434" s="4" t="s">
        <v>241</v>
      </c>
      <c r="DJ1434" s="4" t="s">
        <v>241</v>
      </c>
      <c r="DK1434" s="4" t="s">
        <v>241</v>
      </c>
      <c r="DL1434" s="4" t="s">
        <v>241</v>
      </c>
      <c r="DM1434" s="4" t="s">
        <v>278</v>
      </c>
      <c r="DN1434" s="4" t="s">
        <v>278</v>
      </c>
      <c r="DO1434" s="6" t="s">
        <v>241</v>
      </c>
      <c r="DP1434" s="4" t="s">
        <v>241</v>
      </c>
      <c r="DQ1434" s="4" t="s">
        <v>241</v>
      </c>
      <c r="DR1434" s="4" t="s">
        <v>241</v>
      </c>
      <c r="DS1434" s="4" t="s">
        <v>241</v>
      </c>
      <c r="DV1434" s="4" t="s">
        <v>863</v>
      </c>
      <c r="DW1434" s="4" t="s">
        <v>297</v>
      </c>
      <c r="GN1434" s="4" t="s">
        <v>2540</v>
      </c>
      <c r="HO1434" s="4" t="s">
        <v>351</v>
      </c>
      <c r="HR1434" s="4" t="s">
        <v>278</v>
      </c>
      <c r="HS1434" s="4" t="s">
        <v>278</v>
      </c>
      <c r="HT1434" s="4" t="s">
        <v>241</v>
      </c>
      <c r="HU1434" s="4" t="s">
        <v>241</v>
      </c>
      <c r="HV1434" s="4" t="s">
        <v>241</v>
      </c>
      <c r="HW1434" s="4" t="s">
        <v>241</v>
      </c>
      <c r="HX1434" s="4" t="s">
        <v>241</v>
      </c>
      <c r="HY1434" s="4" t="s">
        <v>241</v>
      </c>
      <c r="HZ1434" s="4" t="s">
        <v>241</v>
      </c>
      <c r="IA1434" s="4" t="s">
        <v>241</v>
      </c>
      <c r="IB1434" s="4" t="s">
        <v>241</v>
      </c>
      <c r="IC1434" s="4" t="s">
        <v>241</v>
      </c>
      <c r="ID1434" s="4" t="s">
        <v>241</v>
      </c>
      <c r="IE1434" s="4" t="s">
        <v>241</v>
      </c>
      <c r="IF1434" s="4" t="s">
        <v>241</v>
      </c>
    </row>
    <row r="1435" spans="1:240" x14ac:dyDescent="0.4">
      <c r="A1435" s="4">
        <v>2</v>
      </c>
      <c r="B1435" s="4" t="s">
        <v>239</v>
      </c>
      <c r="C1435" s="4">
        <v>1760</v>
      </c>
      <c r="D1435" s="4">
        <v>1</v>
      </c>
      <c r="E1435" s="4">
        <v>3</v>
      </c>
      <c r="F1435" s="4" t="s">
        <v>326</v>
      </c>
      <c r="G1435" s="4" t="s">
        <v>241</v>
      </c>
      <c r="H1435" s="4" t="s">
        <v>241</v>
      </c>
      <c r="I1435" s="4" t="s">
        <v>860</v>
      </c>
      <c r="J1435" s="4" t="s">
        <v>673</v>
      </c>
      <c r="K1435" s="4" t="s">
        <v>578</v>
      </c>
      <c r="L1435" s="4" t="s">
        <v>241</v>
      </c>
      <c r="M1435" s="5" t="s">
        <v>862</v>
      </c>
      <c r="N1435" s="4" t="s">
        <v>2537</v>
      </c>
      <c r="O1435" s="6">
        <f>0</f>
        <v>0</v>
      </c>
      <c r="P1435" s="4" t="s">
        <v>276</v>
      </c>
      <c r="Q1435" s="6">
        <f>21310740</f>
        <v>21310740</v>
      </c>
      <c r="R1435" s="6">
        <f>25190000</f>
        <v>25190000</v>
      </c>
      <c r="S1435" s="5" t="s">
        <v>861</v>
      </c>
      <c r="T1435" s="4" t="s">
        <v>322</v>
      </c>
      <c r="U1435" s="4" t="s">
        <v>277</v>
      </c>
      <c r="V1435" s="6">
        <f>1939630</f>
        <v>1939630</v>
      </c>
      <c r="W1435" s="6">
        <f>3879260</f>
        <v>3879260</v>
      </c>
      <c r="X1435" s="4" t="s">
        <v>243</v>
      </c>
      <c r="Y1435" s="4" t="s">
        <v>244</v>
      </c>
      <c r="Z1435" s="4" t="s">
        <v>241</v>
      </c>
      <c r="AA1435" s="4" t="s">
        <v>241</v>
      </c>
      <c r="AD1435" s="4" t="s">
        <v>241</v>
      </c>
      <c r="AE1435" s="5" t="s">
        <v>241</v>
      </c>
      <c r="AF1435" s="5" t="s">
        <v>241</v>
      </c>
      <c r="AH1435" s="5" t="s">
        <v>241</v>
      </c>
      <c r="AI1435" s="5" t="s">
        <v>249</v>
      </c>
      <c r="AJ1435" s="4" t="s">
        <v>251</v>
      </c>
      <c r="AK1435" s="4" t="s">
        <v>252</v>
      </c>
      <c r="AQ1435" s="4" t="s">
        <v>241</v>
      </c>
      <c r="AR1435" s="4" t="s">
        <v>241</v>
      </c>
      <c r="AS1435" s="4" t="s">
        <v>241</v>
      </c>
      <c r="AT1435" s="5" t="s">
        <v>241</v>
      </c>
      <c r="AU1435" s="5" t="s">
        <v>241</v>
      </c>
      <c r="AV1435" s="5" t="s">
        <v>241</v>
      </c>
      <c r="AY1435" s="4" t="s">
        <v>286</v>
      </c>
      <c r="AZ1435" s="4" t="s">
        <v>286</v>
      </c>
      <c r="BA1435" s="4" t="s">
        <v>254</v>
      </c>
      <c r="BB1435" s="4" t="s">
        <v>287</v>
      </c>
      <c r="BC1435" s="4" t="s">
        <v>255</v>
      </c>
      <c r="BD1435" s="4" t="s">
        <v>241</v>
      </c>
      <c r="BE1435" s="4" t="s">
        <v>257</v>
      </c>
      <c r="BF1435" s="4" t="s">
        <v>241</v>
      </c>
      <c r="BJ1435" s="4" t="s">
        <v>288</v>
      </c>
      <c r="BK1435" s="5" t="s">
        <v>289</v>
      </c>
      <c r="BL1435" s="4" t="s">
        <v>290</v>
      </c>
      <c r="BM1435" s="4" t="s">
        <v>290</v>
      </c>
      <c r="BN1435" s="4" t="s">
        <v>241</v>
      </c>
      <c r="BP1435" s="6">
        <f>-1939630</f>
        <v>-1939630</v>
      </c>
      <c r="BQ1435" s="4" t="s">
        <v>263</v>
      </c>
      <c r="BR1435" s="4" t="s">
        <v>264</v>
      </c>
      <c r="BS1435" s="4" t="s">
        <v>241</v>
      </c>
      <c r="BT1435" s="4" t="s">
        <v>241</v>
      </c>
      <c r="BU1435" s="4" t="s">
        <v>241</v>
      </c>
      <c r="BV1435" s="4" t="s">
        <v>241</v>
      </c>
      <c r="CE1435" s="4" t="s">
        <v>264</v>
      </c>
      <c r="CF1435" s="4" t="s">
        <v>241</v>
      </c>
      <c r="CG1435" s="4" t="s">
        <v>241</v>
      </c>
      <c r="CK1435" s="4" t="s">
        <v>291</v>
      </c>
      <c r="CL1435" s="4" t="s">
        <v>266</v>
      </c>
      <c r="CM1435" s="4" t="s">
        <v>241</v>
      </c>
      <c r="CO1435" s="4" t="s">
        <v>331</v>
      </c>
      <c r="CP1435" s="5" t="s">
        <v>268</v>
      </c>
      <c r="CQ1435" s="4" t="s">
        <v>269</v>
      </c>
      <c r="CR1435" s="4" t="s">
        <v>270</v>
      </c>
      <c r="CS1435" s="4" t="s">
        <v>293</v>
      </c>
      <c r="CT1435" s="4" t="s">
        <v>241</v>
      </c>
      <c r="CU1435" s="4">
        <v>7.6999999999999999E-2</v>
      </c>
      <c r="CV1435" s="4" t="s">
        <v>271</v>
      </c>
      <c r="CW1435" s="4" t="s">
        <v>415</v>
      </c>
      <c r="CX1435" s="4" t="s">
        <v>428</v>
      </c>
      <c r="CY1435" s="6">
        <f>0</f>
        <v>0</v>
      </c>
      <c r="CZ1435" s="6">
        <f>25190000</f>
        <v>25190000</v>
      </c>
      <c r="DA1435" s="6">
        <f>21310740</f>
        <v>21310740</v>
      </c>
      <c r="DC1435" s="4" t="s">
        <v>241</v>
      </c>
      <c r="DD1435" s="4" t="s">
        <v>241</v>
      </c>
      <c r="DF1435" s="4" t="s">
        <v>241</v>
      </c>
      <c r="DG1435" s="6">
        <f>0</f>
        <v>0</v>
      </c>
      <c r="DI1435" s="4" t="s">
        <v>241</v>
      </c>
      <c r="DJ1435" s="4" t="s">
        <v>241</v>
      </c>
      <c r="DK1435" s="4" t="s">
        <v>241</v>
      </c>
      <c r="DL1435" s="4" t="s">
        <v>241</v>
      </c>
      <c r="DM1435" s="4" t="s">
        <v>278</v>
      </c>
      <c r="DN1435" s="4" t="s">
        <v>278</v>
      </c>
      <c r="DO1435" s="6" t="s">
        <v>241</v>
      </c>
      <c r="DP1435" s="4" t="s">
        <v>241</v>
      </c>
      <c r="DQ1435" s="4" t="s">
        <v>241</v>
      </c>
      <c r="DR1435" s="4" t="s">
        <v>241</v>
      </c>
      <c r="DS1435" s="4" t="s">
        <v>241</v>
      </c>
      <c r="DV1435" s="4" t="s">
        <v>863</v>
      </c>
      <c r="DW1435" s="4" t="s">
        <v>336</v>
      </c>
      <c r="GN1435" s="4" t="s">
        <v>2538</v>
      </c>
      <c r="HO1435" s="4" t="s">
        <v>351</v>
      </c>
      <c r="HR1435" s="4" t="s">
        <v>278</v>
      </c>
      <c r="HS1435" s="4" t="s">
        <v>278</v>
      </c>
      <c r="HT1435" s="4" t="s">
        <v>241</v>
      </c>
      <c r="HU1435" s="4" t="s">
        <v>241</v>
      </c>
      <c r="HV1435" s="4" t="s">
        <v>241</v>
      </c>
      <c r="HW1435" s="4" t="s">
        <v>241</v>
      </c>
      <c r="HX1435" s="4" t="s">
        <v>241</v>
      </c>
      <c r="HY1435" s="4" t="s">
        <v>241</v>
      </c>
      <c r="HZ1435" s="4" t="s">
        <v>241</v>
      </c>
      <c r="IA1435" s="4" t="s">
        <v>241</v>
      </c>
      <c r="IB1435" s="4" t="s">
        <v>241</v>
      </c>
      <c r="IC1435" s="4" t="s">
        <v>241</v>
      </c>
      <c r="ID1435" s="4" t="s">
        <v>241</v>
      </c>
      <c r="IE1435" s="4" t="s">
        <v>241</v>
      </c>
      <c r="IF1435" s="4" t="s">
        <v>241</v>
      </c>
    </row>
    <row r="1436" spans="1:240" x14ac:dyDescent="0.4">
      <c r="A1436" s="4">
        <v>2</v>
      </c>
      <c r="B1436" s="4" t="s">
        <v>239</v>
      </c>
      <c r="C1436" s="4">
        <v>1761</v>
      </c>
      <c r="D1436" s="4">
        <v>1</v>
      </c>
      <c r="E1436" s="4">
        <v>3</v>
      </c>
      <c r="F1436" s="4" t="s">
        <v>240</v>
      </c>
      <c r="G1436" s="4" t="s">
        <v>241</v>
      </c>
      <c r="H1436" s="4" t="s">
        <v>241</v>
      </c>
      <c r="I1436" s="4" t="s">
        <v>855</v>
      </c>
      <c r="J1436" s="4" t="s">
        <v>673</v>
      </c>
      <c r="K1436" s="4" t="s">
        <v>578</v>
      </c>
      <c r="L1436" s="4" t="s">
        <v>658</v>
      </c>
      <c r="M1436" s="5" t="s">
        <v>856</v>
      </c>
      <c r="N1436" s="4" t="s">
        <v>658</v>
      </c>
      <c r="O1436" s="6">
        <f>282</f>
        <v>282</v>
      </c>
      <c r="P1436" s="4" t="s">
        <v>276</v>
      </c>
      <c r="Q1436" s="6">
        <f>25286940</f>
        <v>25286940</v>
      </c>
      <c r="R1436" s="6">
        <f>51606000</f>
        <v>51606000</v>
      </c>
      <c r="S1436" s="5" t="s">
        <v>771</v>
      </c>
      <c r="T1436" s="4" t="s">
        <v>357</v>
      </c>
      <c r="U1436" s="4" t="s">
        <v>371</v>
      </c>
      <c r="V1436" s="6">
        <f>1548180</f>
        <v>1548180</v>
      </c>
      <c r="W1436" s="6">
        <f>26319060</f>
        <v>26319060</v>
      </c>
      <c r="X1436" s="4" t="s">
        <v>243</v>
      </c>
      <c r="Y1436" s="4" t="s">
        <v>244</v>
      </c>
      <c r="Z1436" s="4" t="s">
        <v>282</v>
      </c>
      <c r="AA1436" s="4" t="s">
        <v>241</v>
      </c>
      <c r="AD1436" s="4" t="s">
        <v>241</v>
      </c>
      <c r="AE1436" s="5" t="s">
        <v>241</v>
      </c>
      <c r="AF1436" s="5" t="s">
        <v>241</v>
      </c>
      <c r="AH1436" s="5" t="s">
        <v>241</v>
      </c>
      <c r="AI1436" s="5" t="s">
        <v>249</v>
      </c>
      <c r="AJ1436" s="4" t="s">
        <v>251</v>
      </c>
      <c r="AK1436" s="4" t="s">
        <v>252</v>
      </c>
      <c r="AQ1436" s="4" t="s">
        <v>241</v>
      </c>
      <c r="AR1436" s="4" t="s">
        <v>241</v>
      </c>
      <c r="AS1436" s="4" t="s">
        <v>241</v>
      </c>
      <c r="AT1436" s="5" t="s">
        <v>241</v>
      </c>
      <c r="AU1436" s="5" t="s">
        <v>241</v>
      </c>
      <c r="AV1436" s="5" t="s">
        <v>241</v>
      </c>
      <c r="AY1436" s="4" t="s">
        <v>286</v>
      </c>
      <c r="AZ1436" s="4" t="s">
        <v>286</v>
      </c>
      <c r="BA1436" s="4" t="s">
        <v>254</v>
      </c>
      <c r="BB1436" s="4" t="s">
        <v>287</v>
      </c>
      <c r="BC1436" s="4" t="s">
        <v>255</v>
      </c>
      <c r="BD1436" s="4" t="s">
        <v>241</v>
      </c>
      <c r="BE1436" s="4" t="s">
        <v>257</v>
      </c>
      <c r="BF1436" s="4" t="s">
        <v>241</v>
      </c>
      <c r="BH1436" s="4" t="s">
        <v>579</v>
      </c>
      <c r="BJ1436" s="4" t="s">
        <v>288</v>
      </c>
      <c r="BK1436" s="5" t="s">
        <v>289</v>
      </c>
      <c r="BL1436" s="4" t="s">
        <v>290</v>
      </c>
      <c r="BM1436" s="4" t="s">
        <v>290</v>
      </c>
      <c r="BN1436" s="4" t="s">
        <v>241</v>
      </c>
      <c r="BO1436" s="6">
        <f>0</f>
        <v>0</v>
      </c>
      <c r="BP1436" s="6">
        <f>-1548180</f>
        <v>-1548180</v>
      </c>
      <c r="BQ1436" s="4" t="s">
        <v>263</v>
      </c>
      <c r="BR1436" s="4" t="s">
        <v>264</v>
      </c>
      <c r="BS1436" s="4" t="s">
        <v>241</v>
      </c>
      <c r="BT1436" s="4" t="s">
        <v>241</v>
      </c>
      <c r="BU1436" s="4" t="s">
        <v>241</v>
      </c>
      <c r="BV1436" s="4" t="s">
        <v>241</v>
      </c>
      <c r="CE1436" s="4" t="s">
        <v>264</v>
      </c>
      <c r="CF1436" s="4" t="s">
        <v>241</v>
      </c>
      <c r="CG1436" s="4" t="s">
        <v>241</v>
      </c>
      <c r="CK1436" s="4" t="s">
        <v>291</v>
      </c>
      <c r="CL1436" s="4" t="s">
        <v>266</v>
      </c>
      <c r="CM1436" s="4" t="s">
        <v>241</v>
      </c>
      <c r="CO1436" s="4" t="s">
        <v>407</v>
      </c>
      <c r="CP1436" s="5" t="s">
        <v>268</v>
      </c>
      <c r="CQ1436" s="4" t="s">
        <v>269</v>
      </c>
      <c r="CR1436" s="4" t="s">
        <v>270</v>
      </c>
      <c r="CS1436" s="4" t="s">
        <v>293</v>
      </c>
      <c r="CT1436" s="4" t="s">
        <v>241</v>
      </c>
      <c r="CU1436" s="4">
        <v>0.03</v>
      </c>
      <c r="CV1436" s="4" t="s">
        <v>271</v>
      </c>
      <c r="CW1436" s="4" t="s">
        <v>655</v>
      </c>
      <c r="CX1436" s="4" t="s">
        <v>487</v>
      </c>
      <c r="CY1436" s="6">
        <f>0</f>
        <v>0</v>
      </c>
      <c r="CZ1436" s="6">
        <f>51606000</f>
        <v>51606000</v>
      </c>
      <c r="DA1436" s="6">
        <f>25286940</f>
        <v>25286940</v>
      </c>
      <c r="DC1436" s="4" t="s">
        <v>241</v>
      </c>
      <c r="DD1436" s="4" t="s">
        <v>241</v>
      </c>
      <c r="DF1436" s="4" t="s">
        <v>241</v>
      </c>
      <c r="DG1436" s="6">
        <f>0</f>
        <v>0</v>
      </c>
      <c r="DI1436" s="4" t="s">
        <v>241</v>
      </c>
      <c r="DJ1436" s="4" t="s">
        <v>241</v>
      </c>
      <c r="DK1436" s="4" t="s">
        <v>241</v>
      </c>
      <c r="DL1436" s="4" t="s">
        <v>241</v>
      </c>
      <c r="DM1436" s="4" t="s">
        <v>277</v>
      </c>
      <c r="DN1436" s="4" t="s">
        <v>278</v>
      </c>
      <c r="DO1436" s="6">
        <f>282</f>
        <v>282</v>
      </c>
      <c r="DP1436" s="4" t="s">
        <v>241</v>
      </c>
      <c r="DQ1436" s="4" t="s">
        <v>241</v>
      </c>
      <c r="DR1436" s="4" t="s">
        <v>241</v>
      </c>
      <c r="DS1436" s="4" t="s">
        <v>241</v>
      </c>
      <c r="DV1436" s="4" t="s">
        <v>857</v>
      </c>
      <c r="DW1436" s="4" t="s">
        <v>277</v>
      </c>
      <c r="GN1436" s="4" t="s">
        <v>858</v>
      </c>
      <c r="HO1436" s="4" t="s">
        <v>300</v>
      </c>
      <c r="HR1436" s="4" t="s">
        <v>278</v>
      </c>
      <c r="HS1436" s="4" t="s">
        <v>278</v>
      </c>
      <c r="HT1436" s="4" t="s">
        <v>241</v>
      </c>
      <c r="HU1436" s="4" t="s">
        <v>241</v>
      </c>
      <c r="HV1436" s="4" t="s">
        <v>241</v>
      </c>
      <c r="HW1436" s="4" t="s">
        <v>241</v>
      </c>
      <c r="HX1436" s="4" t="s">
        <v>241</v>
      </c>
      <c r="HY1436" s="4" t="s">
        <v>241</v>
      </c>
      <c r="HZ1436" s="4" t="s">
        <v>241</v>
      </c>
      <c r="IA1436" s="4" t="s">
        <v>241</v>
      </c>
      <c r="IB1436" s="4" t="s">
        <v>241</v>
      </c>
      <c r="IC1436" s="4" t="s">
        <v>241</v>
      </c>
      <c r="ID1436" s="4" t="s">
        <v>241</v>
      </c>
      <c r="IE1436" s="4" t="s">
        <v>241</v>
      </c>
      <c r="IF1436" s="4" t="s">
        <v>241</v>
      </c>
    </row>
    <row r="1437" spans="1:240" x14ac:dyDescent="0.4">
      <c r="A1437" s="4">
        <v>2</v>
      </c>
      <c r="B1437" s="4" t="s">
        <v>239</v>
      </c>
      <c r="C1437" s="4">
        <v>1762</v>
      </c>
      <c r="D1437" s="4">
        <v>1</v>
      </c>
      <c r="E1437" s="4">
        <v>1</v>
      </c>
      <c r="F1437" s="4" t="s">
        <v>240</v>
      </c>
      <c r="G1437" s="4" t="s">
        <v>241</v>
      </c>
      <c r="H1437" s="4" t="s">
        <v>241</v>
      </c>
      <c r="I1437" s="4" t="s">
        <v>855</v>
      </c>
      <c r="J1437" s="4" t="s">
        <v>673</v>
      </c>
      <c r="K1437" s="4" t="s">
        <v>578</v>
      </c>
      <c r="L1437" s="4" t="s">
        <v>429</v>
      </c>
      <c r="M1437" s="5" t="s">
        <v>856</v>
      </c>
      <c r="N1437" s="4" t="s">
        <v>429</v>
      </c>
      <c r="O1437" s="6">
        <f>8</f>
        <v>8</v>
      </c>
      <c r="P1437" s="4" t="s">
        <v>276</v>
      </c>
      <c r="Q1437" s="6">
        <f>1</f>
        <v>1</v>
      </c>
      <c r="R1437" s="6">
        <f>14640</f>
        <v>14640</v>
      </c>
      <c r="S1437" s="5" t="s">
        <v>845</v>
      </c>
      <c r="T1437" s="4" t="s">
        <v>274</v>
      </c>
      <c r="U1437" s="4" t="s">
        <v>384</v>
      </c>
      <c r="W1437" s="6">
        <f>14639</f>
        <v>14639</v>
      </c>
      <c r="X1437" s="4" t="s">
        <v>243</v>
      </c>
      <c r="Y1437" s="4" t="s">
        <v>244</v>
      </c>
      <c r="Z1437" s="4" t="s">
        <v>282</v>
      </c>
      <c r="AA1437" s="4" t="s">
        <v>241</v>
      </c>
      <c r="AD1437" s="4" t="s">
        <v>241</v>
      </c>
      <c r="AF1437" s="5" t="s">
        <v>241</v>
      </c>
      <c r="AI1437" s="5" t="s">
        <v>249</v>
      </c>
      <c r="AJ1437" s="4" t="s">
        <v>251</v>
      </c>
      <c r="AK1437" s="4" t="s">
        <v>252</v>
      </c>
      <c r="BA1437" s="4" t="s">
        <v>254</v>
      </c>
      <c r="BB1437" s="4" t="s">
        <v>241</v>
      </c>
      <c r="BC1437" s="4" t="s">
        <v>255</v>
      </c>
      <c r="BD1437" s="4" t="s">
        <v>241</v>
      </c>
      <c r="BE1437" s="4" t="s">
        <v>257</v>
      </c>
      <c r="BF1437" s="4" t="s">
        <v>241</v>
      </c>
      <c r="BJ1437" s="4" t="s">
        <v>374</v>
      </c>
      <c r="BK1437" s="5" t="s">
        <v>375</v>
      </c>
      <c r="BL1437" s="4" t="s">
        <v>261</v>
      </c>
      <c r="BM1437" s="4" t="s">
        <v>262</v>
      </c>
      <c r="BN1437" s="4" t="s">
        <v>241</v>
      </c>
      <c r="BO1437" s="6">
        <f>0</f>
        <v>0</v>
      </c>
      <c r="BP1437" s="6">
        <f>0</f>
        <v>0</v>
      </c>
      <c r="BQ1437" s="4" t="s">
        <v>263</v>
      </c>
      <c r="BR1437" s="4" t="s">
        <v>264</v>
      </c>
      <c r="CF1437" s="4" t="s">
        <v>241</v>
      </c>
      <c r="CG1437" s="4" t="s">
        <v>241</v>
      </c>
      <c r="CK1437" s="4" t="s">
        <v>291</v>
      </c>
      <c r="CL1437" s="4" t="s">
        <v>266</v>
      </c>
      <c r="CM1437" s="4" t="s">
        <v>241</v>
      </c>
      <c r="CO1437" s="4" t="s">
        <v>383</v>
      </c>
      <c r="CP1437" s="5" t="s">
        <v>268</v>
      </c>
      <c r="CQ1437" s="4" t="s">
        <v>269</v>
      </c>
      <c r="CR1437" s="4" t="s">
        <v>270</v>
      </c>
      <c r="CS1437" s="4" t="s">
        <v>241</v>
      </c>
      <c r="CT1437" s="4" t="s">
        <v>241</v>
      </c>
      <c r="CU1437" s="4">
        <v>0</v>
      </c>
      <c r="CV1437" s="4" t="s">
        <v>271</v>
      </c>
      <c r="CW1437" s="4" t="s">
        <v>272</v>
      </c>
      <c r="CX1437" s="4" t="s">
        <v>273</v>
      </c>
      <c r="CZ1437" s="6">
        <f>14640</f>
        <v>14640</v>
      </c>
      <c r="DA1437" s="6">
        <f>0</f>
        <v>0</v>
      </c>
      <c r="DC1437" s="4" t="s">
        <v>241</v>
      </c>
      <c r="DD1437" s="4" t="s">
        <v>241</v>
      </c>
      <c r="DF1437" s="4" t="s">
        <v>241</v>
      </c>
      <c r="DI1437" s="4" t="s">
        <v>241</v>
      </c>
      <c r="DJ1437" s="4" t="s">
        <v>241</v>
      </c>
      <c r="DK1437" s="4" t="s">
        <v>241</v>
      </c>
      <c r="DL1437" s="4" t="s">
        <v>241</v>
      </c>
      <c r="DM1437" s="4" t="s">
        <v>277</v>
      </c>
      <c r="DN1437" s="4" t="s">
        <v>278</v>
      </c>
      <c r="DO1437" s="6">
        <f>8</f>
        <v>8</v>
      </c>
      <c r="DP1437" s="4" t="s">
        <v>241</v>
      </c>
      <c r="DQ1437" s="4" t="s">
        <v>241</v>
      </c>
      <c r="DR1437" s="4" t="s">
        <v>241</v>
      </c>
      <c r="DS1437" s="4" t="s">
        <v>241</v>
      </c>
      <c r="DV1437" s="4" t="s">
        <v>857</v>
      </c>
      <c r="DW1437" s="4" t="s">
        <v>323</v>
      </c>
      <c r="HO1437" s="4" t="s">
        <v>277</v>
      </c>
      <c r="HR1437" s="4" t="s">
        <v>278</v>
      </c>
      <c r="HS1437" s="4" t="s">
        <v>278</v>
      </c>
    </row>
    <row r="1438" spans="1:240" x14ac:dyDescent="0.4">
      <c r="A1438" s="4">
        <v>2</v>
      </c>
      <c r="B1438" s="4" t="s">
        <v>239</v>
      </c>
      <c r="C1438" s="4">
        <v>1763</v>
      </c>
      <c r="D1438" s="4">
        <v>1</v>
      </c>
      <c r="E1438" s="4">
        <v>3</v>
      </c>
      <c r="F1438" s="4" t="s">
        <v>240</v>
      </c>
      <c r="G1438" s="4" t="s">
        <v>241</v>
      </c>
      <c r="H1438" s="4" t="s">
        <v>241</v>
      </c>
      <c r="I1438" s="4" t="s">
        <v>850</v>
      </c>
      <c r="J1438" s="4" t="s">
        <v>673</v>
      </c>
      <c r="K1438" s="4" t="s">
        <v>578</v>
      </c>
      <c r="L1438" s="4" t="s">
        <v>651</v>
      </c>
      <c r="M1438" s="5" t="s">
        <v>852</v>
      </c>
      <c r="N1438" s="4" t="s">
        <v>651</v>
      </c>
      <c r="O1438" s="6">
        <f>2162</f>
        <v>2162</v>
      </c>
      <c r="P1438" s="4" t="s">
        <v>276</v>
      </c>
      <c r="Q1438" s="6">
        <f>147815940</f>
        <v>147815940</v>
      </c>
      <c r="R1438" s="6">
        <f>464830000</f>
        <v>464830000</v>
      </c>
      <c r="S1438" s="5" t="s">
        <v>851</v>
      </c>
      <c r="T1438" s="4" t="s">
        <v>668</v>
      </c>
      <c r="U1438" s="4" t="s">
        <v>408</v>
      </c>
      <c r="V1438" s="6">
        <f>10226260</f>
        <v>10226260</v>
      </c>
      <c r="W1438" s="6">
        <f>317014060</f>
        <v>317014060</v>
      </c>
      <c r="X1438" s="4" t="s">
        <v>243</v>
      </c>
      <c r="Y1438" s="4" t="s">
        <v>244</v>
      </c>
      <c r="Z1438" s="4" t="s">
        <v>282</v>
      </c>
      <c r="AA1438" s="4" t="s">
        <v>241</v>
      </c>
      <c r="AD1438" s="4" t="s">
        <v>241</v>
      </c>
      <c r="AE1438" s="5" t="s">
        <v>241</v>
      </c>
      <c r="AF1438" s="5" t="s">
        <v>241</v>
      </c>
      <c r="AH1438" s="5" t="s">
        <v>241</v>
      </c>
      <c r="AI1438" s="5" t="s">
        <v>249</v>
      </c>
      <c r="AJ1438" s="4" t="s">
        <v>251</v>
      </c>
      <c r="AK1438" s="4" t="s">
        <v>252</v>
      </c>
      <c r="AQ1438" s="4" t="s">
        <v>241</v>
      </c>
      <c r="AR1438" s="4" t="s">
        <v>241</v>
      </c>
      <c r="AS1438" s="4" t="s">
        <v>241</v>
      </c>
      <c r="AT1438" s="5" t="s">
        <v>241</v>
      </c>
      <c r="AU1438" s="5" t="s">
        <v>241</v>
      </c>
      <c r="AV1438" s="5" t="s">
        <v>241</v>
      </c>
      <c r="AY1438" s="4" t="s">
        <v>286</v>
      </c>
      <c r="AZ1438" s="4" t="s">
        <v>286</v>
      </c>
      <c r="BA1438" s="4" t="s">
        <v>254</v>
      </c>
      <c r="BB1438" s="4" t="s">
        <v>287</v>
      </c>
      <c r="BC1438" s="4" t="s">
        <v>255</v>
      </c>
      <c r="BD1438" s="4" t="s">
        <v>241</v>
      </c>
      <c r="BE1438" s="4" t="s">
        <v>257</v>
      </c>
      <c r="BF1438" s="4" t="s">
        <v>241</v>
      </c>
      <c r="BJ1438" s="4" t="s">
        <v>288</v>
      </c>
      <c r="BK1438" s="5" t="s">
        <v>289</v>
      </c>
      <c r="BL1438" s="4" t="s">
        <v>290</v>
      </c>
      <c r="BM1438" s="4" t="s">
        <v>290</v>
      </c>
      <c r="BN1438" s="4" t="s">
        <v>241</v>
      </c>
      <c r="BO1438" s="6">
        <f>0</f>
        <v>0</v>
      </c>
      <c r="BP1438" s="6">
        <f>-10226260</f>
        <v>-10226260</v>
      </c>
      <c r="BQ1438" s="4" t="s">
        <v>263</v>
      </c>
      <c r="BR1438" s="4" t="s">
        <v>264</v>
      </c>
      <c r="BS1438" s="4" t="s">
        <v>241</v>
      </c>
      <c r="BT1438" s="4" t="s">
        <v>241</v>
      </c>
      <c r="BU1438" s="4" t="s">
        <v>241</v>
      </c>
      <c r="BV1438" s="4" t="s">
        <v>241</v>
      </c>
      <c r="CE1438" s="4" t="s">
        <v>264</v>
      </c>
      <c r="CF1438" s="4" t="s">
        <v>241</v>
      </c>
      <c r="CG1438" s="4" t="s">
        <v>241</v>
      </c>
      <c r="CK1438" s="4" t="s">
        <v>291</v>
      </c>
      <c r="CL1438" s="4" t="s">
        <v>266</v>
      </c>
      <c r="CM1438" s="4" t="s">
        <v>241</v>
      </c>
      <c r="CO1438" s="4" t="s">
        <v>468</v>
      </c>
      <c r="CP1438" s="5" t="s">
        <v>268</v>
      </c>
      <c r="CQ1438" s="4" t="s">
        <v>269</v>
      </c>
      <c r="CR1438" s="4" t="s">
        <v>270</v>
      </c>
      <c r="CS1438" s="4" t="s">
        <v>293</v>
      </c>
      <c r="CT1438" s="4" t="s">
        <v>241</v>
      </c>
      <c r="CU1438" s="4">
        <v>2.1999999999999999E-2</v>
      </c>
      <c r="CV1438" s="4" t="s">
        <v>271</v>
      </c>
      <c r="CW1438" s="4" t="s">
        <v>655</v>
      </c>
      <c r="CX1438" s="4" t="s">
        <v>295</v>
      </c>
      <c r="CY1438" s="6">
        <f>0</f>
        <v>0</v>
      </c>
      <c r="CZ1438" s="6">
        <f>464830000</f>
        <v>464830000</v>
      </c>
      <c r="DA1438" s="6">
        <f>147815940</f>
        <v>147815940</v>
      </c>
      <c r="DC1438" s="4" t="s">
        <v>241</v>
      </c>
      <c r="DD1438" s="4" t="s">
        <v>241</v>
      </c>
      <c r="DF1438" s="4" t="s">
        <v>241</v>
      </c>
      <c r="DG1438" s="6">
        <f>0</f>
        <v>0</v>
      </c>
      <c r="DI1438" s="4" t="s">
        <v>241</v>
      </c>
      <c r="DJ1438" s="4" t="s">
        <v>241</v>
      </c>
      <c r="DK1438" s="4" t="s">
        <v>241</v>
      </c>
      <c r="DL1438" s="4" t="s">
        <v>241</v>
      </c>
      <c r="DM1438" s="4" t="s">
        <v>323</v>
      </c>
      <c r="DN1438" s="4" t="s">
        <v>278</v>
      </c>
      <c r="DO1438" s="6">
        <f>2162</f>
        <v>2162</v>
      </c>
      <c r="DP1438" s="4" t="s">
        <v>241</v>
      </c>
      <c r="DQ1438" s="4" t="s">
        <v>241</v>
      </c>
      <c r="DR1438" s="4" t="s">
        <v>241</v>
      </c>
      <c r="DS1438" s="4" t="s">
        <v>241</v>
      </c>
      <c r="DV1438" s="4" t="s">
        <v>853</v>
      </c>
      <c r="DW1438" s="4" t="s">
        <v>277</v>
      </c>
      <c r="GN1438" s="4" t="s">
        <v>854</v>
      </c>
      <c r="HO1438" s="4" t="s">
        <v>300</v>
      </c>
      <c r="HR1438" s="4" t="s">
        <v>278</v>
      </c>
      <c r="HS1438" s="4" t="s">
        <v>278</v>
      </c>
      <c r="HT1438" s="4" t="s">
        <v>241</v>
      </c>
      <c r="HU1438" s="4" t="s">
        <v>241</v>
      </c>
      <c r="HV1438" s="4" t="s">
        <v>241</v>
      </c>
      <c r="HW1438" s="4" t="s">
        <v>241</v>
      </c>
      <c r="HX1438" s="4" t="s">
        <v>241</v>
      </c>
      <c r="HY1438" s="4" t="s">
        <v>241</v>
      </c>
      <c r="HZ1438" s="4" t="s">
        <v>241</v>
      </c>
      <c r="IA1438" s="4" t="s">
        <v>241</v>
      </c>
      <c r="IB1438" s="4" t="s">
        <v>241</v>
      </c>
      <c r="IC1438" s="4" t="s">
        <v>241</v>
      </c>
      <c r="ID1438" s="4" t="s">
        <v>241</v>
      </c>
      <c r="IE1438" s="4" t="s">
        <v>241</v>
      </c>
      <c r="IF1438" s="4" t="s">
        <v>241</v>
      </c>
    </row>
    <row r="1439" spans="1:240" x14ac:dyDescent="0.4">
      <c r="A1439" s="4">
        <v>2</v>
      </c>
      <c r="B1439" s="4" t="s">
        <v>239</v>
      </c>
      <c r="C1439" s="4">
        <v>1764</v>
      </c>
      <c r="D1439" s="4">
        <v>1</v>
      </c>
      <c r="E1439" s="4">
        <v>3</v>
      </c>
      <c r="F1439" s="4" t="s">
        <v>240</v>
      </c>
      <c r="G1439" s="4" t="s">
        <v>241</v>
      </c>
      <c r="H1439" s="4" t="s">
        <v>241</v>
      </c>
      <c r="I1439" s="4" t="s">
        <v>850</v>
      </c>
      <c r="J1439" s="4" t="s">
        <v>673</v>
      </c>
      <c r="K1439" s="4" t="s">
        <v>578</v>
      </c>
      <c r="L1439" s="4" t="s">
        <v>1003</v>
      </c>
      <c r="M1439" s="5" t="s">
        <v>852</v>
      </c>
      <c r="N1439" s="4" t="s">
        <v>1003</v>
      </c>
      <c r="O1439" s="6">
        <f>754</f>
        <v>754</v>
      </c>
      <c r="P1439" s="4" t="s">
        <v>276</v>
      </c>
      <c r="Q1439" s="6">
        <f>55147560</f>
        <v>55147560</v>
      </c>
      <c r="R1439" s="6">
        <f>173420000</f>
        <v>173420000</v>
      </c>
      <c r="S1439" s="5" t="s">
        <v>851</v>
      </c>
      <c r="T1439" s="4" t="s">
        <v>668</v>
      </c>
      <c r="U1439" s="4" t="s">
        <v>408</v>
      </c>
      <c r="V1439" s="6">
        <f>3815240</f>
        <v>3815240</v>
      </c>
      <c r="W1439" s="6">
        <f>118272440</f>
        <v>118272440</v>
      </c>
      <c r="X1439" s="4" t="s">
        <v>243</v>
      </c>
      <c r="Y1439" s="4" t="s">
        <v>244</v>
      </c>
      <c r="Z1439" s="4" t="s">
        <v>282</v>
      </c>
      <c r="AA1439" s="4" t="s">
        <v>241</v>
      </c>
      <c r="AD1439" s="4" t="s">
        <v>241</v>
      </c>
      <c r="AE1439" s="5" t="s">
        <v>241</v>
      </c>
      <c r="AF1439" s="5" t="s">
        <v>241</v>
      </c>
      <c r="AH1439" s="5" t="s">
        <v>241</v>
      </c>
      <c r="AI1439" s="5" t="s">
        <v>249</v>
      </c>
      <c r="AJ1439" s="4" t="s">
        <v>251</v>
      </c>
      <c r="AK1439" s="4" t="s">
        <v>252</v>
      </c>
      <c r="AQ1439" s="4" t="s">
        <v>241</v>
      </c>
      <c r="AR1439" s="4" t="s">
        <v>241</v>
      </c>
      <c r="AS1439" s="4" t="s">
        <v>241</v>
      </c>
      <c r="AT1439" s="5" t="s">
        <v>241</v>
      </c>
      <c r="AU1439" s="5" t="s">
        <v>241</v>
      </c>
      <c r="AV1439" s="5" t="s">
        <v>241</v>
      </c>
      <c r="AY1439" s="4" t="s">
        <v>286</v>
      </c>
      <c r="AZ1439" s="4" t="s">
        <v>286</v>
      </c>
      <c r="BA1439" s="4" t="s">
        <v>254</v>
      </c>
      <c r="BB1439" s="4" t="s">
        <v>287</v>
      </c>
      <c r="BC1439" s="4" t="s">
        <v>255</v>
      </c>
      <c r="BD1439" s="4" t="s">
        <v>241</v>
      </c>
      <c r="BE1439" s="4" t="s">
        <v>257</v>
      </c>
      <c r="BF1439" s="4" t="s">
        <v>241</v>
      </c>
      <c r="BJ1439" s="4" t="s">
        <v>288</v>
      </c>
      <c r="BK1439" s="5" t="s">
        <v>289</v>
      </c>
      <c r="BL1439" s="4" t="s">
        <v>290</v>
      </c>
      <c r="BM1439" s="4" t="s">
        <v>290</v>
      </c>
      <c r="BN1439" s="4" t="s">
        <v>241</v>
      </c>
      <c r="BO1439" s="6">
        <f>0</f>
        <v>0</v>
      </c>
      <c r="BP1439" s="6">
        <f>-3815240</f>
        <v>-3815240</v>
      </c>
      <c r="BQ1439" s="4" t="s">
        <v>263</v>
      </c>
      <c r="BR1439" s="4" t="s">
        <v>264</v>
      </c>
      <c r="BS1439" s="4" t="s">
        <v>241</v>
      </c>
      <c r="BT1439" s="4" t="s">
        <v>241</v>
      </c>
      <c r="BU1439" s="4" t="s">
        <v>241</v>
      </c>
      <c r="BV1439" s="4" t="s">
        <v>241</v>
      </c>
      <c r="CE1439" s="4" t="s">
        <v>264</v>
      </c>
      <c r="CF1439" s="4" t="s">
        <v>241</v>
      </c>
      <c r="CG1439" s="4" t="s">
        <v>241</v>
      </c>
      <c r="CK1439" s="4" t="s">
        <v>291</v>
      </c>
      <c r="CL1439" s="4" t="s">
        <v>266</v>
      </c>
      <c r="CM1439" s="4" t="s">
        <v>241</v>
      </c>
      <c r="CO1439" s="4" t="s">
        <v>468</v>
      </c>
      <c r="CP1439" s="5" t="s">
        <v>268</v>
      </c>
      <c r="CQ1439" s="4" t="s">
        <v>269</v>
      </c>
      <c r="CR1439" s="4" t="s">
        <v>270</v>
      </c>
      <c r="CS1439" s="4" t="s">
        <v>293</v>
      </c>
      <c r="CT1439" s="4" t="s">
        <v>241</v>
      </c>
      <c r="CU1439" s="4">
        <v>2.1999999999999999E-2</v>
      </c>
      <c r="CV1439" s="4" t="s">
        <v>271</v>
      </c>
      <c r="CW1439" s="4" t="s">
        <v>1006</v>
      </c>
      <c r="CX1439" s="4" t="s">
        <v>295</v>
      </c>
      <c r="CY1439" s="6">
        <f>0</f>
        <v>0</v>
      </c>
      <c r="CZ1439" s="6">
        <f>173420000</f>
        <v>173420000</v>
      </c>
      <c r="DA1439" s="6">
        <f>55147560</f>
        <v>55147560</v>
      </c>
      <c r="DC1439" s="4" t="s">
        <v>241</v>
      </c>
      <c r="DD1439" s="4" t="s">
        <v>241</v>
      </c>
      <c r="DF1439" s="4" t="s">
        <v>241</v>
      </c>
      <c r="DG1439" s="6">
        <f>0</f>
        <v>0</v>
      </c>
      <c r="DI1439" s="4" t="s">
        <v>241</v>
      </c>
      <c r="DJ1439" s="4" t="s">
        <v>241</v>
      </c>
      <c r="DK1439" s="4" t="s">
        <v>241</v>
      </c>
      <c r="DL1439" s="4" t="s">
        <v>241</v>
      </c>
      <c r="DM1439" s="4" t="s">
        <v>277</v>
      </c>
      <c r="DN1439" s="4" t="s">
        <v>278</v>
      </c>
      <c r="DO1439" s="6">
        <f>754</f>
        <v>754</v>
      </c>
      <c r="DP1439" s="4" t="s">
        <v>241</v>
      </c>
      <c r="DQ1439" s="4" t="s">
        <v>241</v>
      </c>
      <c r="DR1439" s="4" t="s">
        <v>241</v>
      </c>
      <c r="DS1439" s="4" t="s">
        <v>241</v>
      </c>
      <c r="DV1439" s="4" t="s">
        <v>853</v>
      </c>
      <c r="DW1439" s="4" t="s">
        <v>323</v>
      </c>
      <c r="GN1439" s="4" t="s">
        <v>1134</v>
      </c>
      <c r="HO1439" s="4" t="s">
        <v>300</v>
      </c>
      <c r="HR1439" s="4" t="s">
        <v>278</v>
      </c>
      <c r="HS1439" s="4" t="s">
        <v>278</v>
      </c>
      <c r="HT1439" s="4" t="s">
        <v>241</v>
      </c>
      <c r="HU1439" s="4" t="s">
        <v>241</v>
      </c>
      <c r="HV1439" s="4" t="s">
        <v>241</v>
      </c>
      <c r="HW1439" s="4" t="s">
        <v>241</v>
      </c>
      <c r="HX1439" s="4" t="s">
        <v>241</v>
      </c>
      <c r="HY1439" s="4" t="s">
        <v>241</v>
      </c>
      <c r="HZ1439" s="4" t="s">
        <v>241</v>
      </c>
      <c r="IA1439" s="4" t="s">
        <v>241</v>
      </c>
      <c r="IB1439" s="4" t="s">
        <v>241</v>
      </c>
      <c r="IC1439" s="4" t="s">
        <v>241</v>
      </c>
      <c r="ID1439" s="4" t="s">
        <v>241</v>
      </c>
      <c r="IE1439" s="4" t="s">
        <v>241</v>
      </c>
      <c r="IF1439" s="4" t="s">
        <v>241</v>
      </c>
    </row>
    <row r="1440" spans="1:240" x14ac:dyDescent="0.4">
      <c r="A1440" s="4">
        <v>2</v>
      </c>
      <c r="B1440" s="4" t="s">
        <v>239</v>
      </c>
      <c r="C1440" s="4">
        <v>1765</v>
      </c>
      <c r="D1440" s="4">
        <v>1</v>
      </c>
      <c r="E1440" s="4">
        <v>1</v>
      </c>
      <c r="F1440" s="4" t="s">
        <v>240</v>
      </c>
      <c r="G1440" s="4" t="s">
        <v>241</v>
      </c>
      <c r="H1440" s="4" t="s">
        <v>241</v>
      </c>
      <c r="I1440" s="4" t="s">
        <v>850</v>
      </c>
      <c r="J1440" s="4" t="s">
        <v>673</v>
      </c>
      <c r="K1440" s="4" t="s">
        <v>578</v>
      </c>
      <c r="L1440" s="4" t="s">
        <v>429</v>
      </c>
      <c r="M1440" s="5" t="s">
        <v>852</v>
      </c>
      <c r="N1440" s="4" t="s">
        <v>429</v>
      </c>
      <c r="O1440" s="6">
        <f>28</f>
        <v>28</v>
      </c>
      <c r="P1440" s="4" t="s">
        <v>276</v>
      </c>
      <c r="Q1440" s="6">
        <f>1</f>
        <v>1</v>
      </c>
      <c r="R1440" s="6">
        <f>2548000</f>
        <v>2548000</v>
      </c>
      <c r="S1440" s="5" t="s">
        <v>3098</v>
      </c>
      <c r="T1440" s="4" t="s">
        <v>348</v>
      </c>
      <c r="U1440" s="4" t="s">
        <v>404</v>
      </c>
      <c r="W1440" s="6">
        <f>2547999</f>
        <v>2547999</v>
      </c>
      <c r="X1440" s="4" t="s">
        <v>243</v>
      </c>
      <c r="Y1440" s="4" t="s">
        <v>244</v>
      </c>
      <c r="Z1440" s="4" t="s">
        <v>282</v>
      </c>
      <c r="AA1440" s="4" t="s">
        <v>241</v>
      </c>
      <c r="AD1440" s="4" t="s">
        <v>241</v>
      </c>
      <c r="AF1440" s="5" t="s">
        <v>241</v>
      </c>
      <c r="AI1440" s="5" t="s">
        <v>249</v>
      </c>
      <c r="AJ1440" s="4" t="s">
        <v>251</v>
      </c>
      <c r="AK1440" s="4" t="s">
        <v>252</v>
      </c>
      <c r="BA1440" s="4" t="s">
        <v>254</v>
      </c>
      <c r="BB1440" s="4" t="s">
        <v>241</v>
      </c>
      <c r="BC1440" s="4" t="s">
        <v>255</v>
      </c>
      <c r="BD1440" s="4" t="s">
        <v>241</v>
      </c>
      <c r="BE1440" s="4" t="s">
        <v>257</v>
      </c>
      <c r="BF1440" s="4" t="s">
        <v>241</v>
      </c>
      <c r="BJ1440" s="4" t="s">
        <v>367</v>
      </c>
      <c r="BK1440" s="5" t="s">
        <v>249</v>
      </c>
      <c r="BL1440" s="4" t="s">
        <v>261</v>
      </c>
      <c r="BM1440" s="4" t="s">
        <v>262</v>
      </c>
      <c r="BN1440" s="4" t="s">
        <v>241</v>
      </c>
      <c r="BO1440" s="6">
        <f>0</f>
        <v>0</v>
      </c>
      <c r="BP1440" s="6">
        <f>0</f>
        <v>0</v>
      </c>
      <c r="BQ1440" s="4" t="s">
        <v>263</v>
      </c>
      <c r="BR1440" s="4" t="s">
        <v>264</v>
      </c>
      <c r="CF1440" s="4" t="s">
        <v>241</v>
      </c>
      <c r="CG1440" s="4" t="s">
        <v>241</v>
      </c>
      <c r="CK1440" s="4" t="s">
        <v>291</v>
      </c>
      <c r="CL1440" s="4" t="s">
        <v>266</v>
      </c>
      <c r="CM1440" s="4" t="s">
        <v>241</v>
      </c>
      <c r="CO1440" s="4" t="s">
        <v>468</v>
      </c>
      <c r="CP1440" s="5" t="s">
        <v>268</v>
      </c>
      <c r="CQ1440" s="4" t="s">
        <v>269</v>
      </c>
      <c r="CR1440" s="4" t="s">
        <v>270</v>
      </c>
      <c r="CS1440" s="4" t="s">
        <v>241</v>
      </c>
      <c r="CT1440" s="4" t="s">
        <v>241</v>
      </c>
      <c r="CU1440" s="4">
        <v>0</v>
      </c>
      <c r="CV1440" s="4" t="s">
        <v>271</v>
      </c>
      <c r="CW1440" s="4" t="s">
        <v>272</v>
      </c>
      <c r="CX1440" s="4" t="s">
        <v>347</v>
      </c>
      <c r="CZ1440" s="6">
        <f>2548000</f>
        <v>2548000</v>
      </c>
      <c r="DA1440" s="6">
        <f>0</f>
        <v>0</v>
      </c>
      <c r="DC1440" s="4" t="s">
        <v>241</v>
      </c>
      <c r="DD1440" s="4" t="s">
        <v>241</v>
      </c>
      <c r="DF1440" s="4" t="s">
        <v>241</v>
      </c>
      <c r="DI1440" s="4" t="s">
        <v>241</v>
      </c>
      <c r="DJ1440" s="4" t="s">
        <v>241</v>
      </c>
      <c r="DK1440" s="4" t="s">
        <v>241</v>
      </c>
      <c r="DL1440" s="4" t="s">
        <v>241</v>
      </c>
      <c r="DM1440" s="4" t="s">
        <v>277</v>
      </c>
      <c r="DN1440" s="4" t="s">
        <v>278</v>
      </c>
      <c r="DO1440" s="6">
        <f>28</f>
        <v>28</v>
      </c>
      <c r="DP1440" s="4" t="s">
        <v>241</v>
      </c>
      <c r="DQ1440" s="4" t="s">
        <v>241</v>
      </c>
      <c r="DR1440" s="4" t="s">
        <v>241</v>
      </c>
      <c r="DS1440" s="4" t="s">
        <v>241</v>
      </c>
      <c r="DV1440" s="4" t="s">
        <v>853</v>
      </c>
      <c r="DW1440" s="4" t="s">
        <v>297</v>
      </c>
      <c r="HO1440" s="4" t="s">
        <v>277</v>
      </c>
      <c r="HR1440" s="4" t="s">
        <v>278</v>
      </c>
      <c r="HS1440" s="4" t="s">
        <v>278</v>
      </c>
    </row>
    <row r="1441" spans="1:240" x14ac:dyDescent="0.4">
      <c r="A1441" s="4">
        <v>2</v>
      </c>
      <c r="B1441" s="4" t="s">
        <v>239</v>
      </c>
      <c r="C1441" s="4">
        <v>1766</v>
      </c>
      <c r="D1441" s="4">
        <v>1</v>
      </c>
      <c r="E1441" s="4">
        <v>1</v>
      </c>
      <c r="F1441" s="4" t="s">
        <v>240</v>
      </c>
      <c r="G1441" s="4" t="s">
        <v>241</v>
      </c>
      <c r="H1441" s="4" t="s">
        <v>241</v>
      </c>
      <c r="I1441" s="4" t="s">
        <v>850</v>
      </c>
      <c r="J1441" s="4" t="s">
        <v>673</v>
      </c>
      <c r="K1441" s="4" t="s">
        <v>578</v>
      </c>
      <c r="L1441" s="4" t="s">
        <v>340</v>
      </c>
      <c r="M1441" s="5" t="s">
        <v>852</v>
      </c>
      <c r="N1441" s="4" t="s">
        <v>340</v>
      </c>
      <c r="O1441" s="6">
        <f>15</f>
        <v>15</v>
      </c>
      <c r="P1441" s="4" t="s">
        <v>276</v>
      </c>
      <c r="Q1441" s="6">
        <f>1</f>
        <v>1</v>
      </c>
      <c r="R1441" s="6">
        <f>1365000</f>
        <v>1365000</v>
      </c>
      <c r="S1441" s="5" t="s">
        <v>1773</v>
      </c>
      <c r="T1441" s="4" t="s">
        <v>348</v>
      </c>
      <c r="U1441" s="4" t="s">
        <v>371</v>
      </c>
      <c r="W1441" s="6">
        <f>1364999</f>
        <v>1364999</v>
      </c>
      <c r="X1441" s="4" t="s">
        <v>243</v>
      </c>
      <c r="Y1441" s="4" t="s">
        <v>244</v>
      </c>
      <c r="Z1441" s="4" t="s">
        <v>282</v>
      </c>
      <c r="AA1441" s="4" t="s">
        <v>241</v>
      </c>
      <c r="AD1441" s="4" t="s">
        <v>241</v>
      </c>
      <c r="AF1441" s="5" t="s">
        <v>241</v>
      </c>
      <c r="AI1441" s="5" t="s">
        <v>249</v>
      </c>
      <c r="AJ1441" s="4" t="s">
        <v>251</v>
      </c>
      <c r="AK1441" s="4" t="s">
        <v>252</v>
      </c>
      <c r="BA1441" s="4" t="s">
        <v>254</v>
      </c>
      <c r="BB1441" s="4" t="s">
        <v>241</v>
      </c>
      <c r="BC1441" s="4" t="s">
        <v>255</v>
      </c>
      <c r="BD1441" s="4" t="s">
        <v>241</v>
      </c>
      <c r="BE1441" s="4" t="s">
        <v>257</v>
      </c>
      <c r="BF1441" s="4" t="s">
        <v>241</v>
      </c>
      <c r="BJ1441" s="4" t="s">
        <v>374</v>
      </c>
      <c r="BK1441" s="5" t="s">
        <v>375</v>
      </c>
      <c r="BL1441" s="4" t="s">
        <v>261</v>
      </c>
      <c r="BM1441" s="4" t="s">
        <v>262</v>
      </c>
      <c r="BN1441" s="4" t="s">
        <v>241</v>
      </c>
      <c r="BO1441" s="6">
        <f>0</f>
        <v>0</v>
      </c>
      <c r="BP1441" s="6">
        <f>0</f>
        <v>0</v>
      </c>
      <c r="BQ1441" s="4" t="s">
        <v>263</v>
      </c>
      <c r="BR1441" s="4" t="s">
        <v>264</v>
      </c>
      <c r="CF1441" s="4" t="s">
        <v>241</v>
      </c>
      <c r="CG1441" s="4" t="s">
        <v>241</v>
      </c>
      <c r="CK1441" s="4" t="s">
        <v>291</v>
      </c>
      <c r="CL1441" s="4" t="s">
        <v>266</v>
      </c>
      <c r="CM1441" s="4" t="s">
        <v>241</v>
      </c>
      <c r="CO1441" s="4" t="s">
        <v>360</v>
      </c>
      <c r="CP1441" s="5" t="s">
        <v>268</v>
      </c>
      <c r="CQ1441" s="4" t="s">
        <v>269</v>
      </c>
      <c r="CR1441" s="4" t="s">
        <v>270</v>
      </c>
      <c r="CS1441" s="4" t="s">
        <v>241</v>
      </c>
      <c r="CT1441" s="4" t="s">
        <v>241</v>
      </c>
      <c r="CU1441" s="4">
        <v>0</v>
      </c>
      <c r="CV1441" s="4" t="s">
        <v>271</v>
      </c>
      <c r="CW1441" s="4" t="s">
        <v>332</v>
      </c>
      <c r="CX1441" s="4" t="s">
        <v>347</v>
      </c>
      <c r="CZ1441" s="6">
        <f>1365000</f>
        <v>1365000</v>
      </c>
      <c r="DA1441" s="6">
        <f>0</f>
        <v>0</v>
      </c>
      <c r="DC1441" s="4" t="s">
        <v>241</v>
      </c>
      <c r="DD1441" s="4" t="s">
        <v>241</v>
      </c>
      <c r="DF1441" s="4" t="s">
        <v>241</v>
      </c>
      <c r="DI1441" s="4" t="s">
        <v>241</v>
      </c>
      <c r="DJ1441" s="4" t="s">
        <v>241</v>
      </c>
      <c r="DK1441" s="4" t="s">
        <v>241</v>
      </c>
      <c r="DL1441" s="4" t="s">
        <v>241</v>
      </c>
      <c r="DM1441" s="4" t="s">
        <v>277</v>
      </c>
      <c r="DN1441" s="4" t="s">
        <v>278</v>
      </c>
      <c r="DO1441" s="6">
        <f>15</f>
        <v>15</v>
      </c>
      <c r="DP1441" s="4" t="s">
        <v>241</v>
      </c>
      <c r="DQ1441" s="4" t="s">
        <v>241</v>
      </c>
      <c r="DR1441" s="4" t="s">
        <v>241</v>
      </c>
      <c r="DS1441" s="4" t="s">
        <v>241</v>
      </c>
      <c r="DV1441" s="4" t="s">
        <v>853</v>
      </c>
      <c r="DW1441" s="4" t="s">
        <v>336</v>
      </c>
      <c r="HO1441" s="4" t="s">
        <v>277</v>
      </c>
      <c r="HR1441" s="4" t="s">
        <v>278</v>
      </c>
      <c r="HS1441" s="4" t="s">
        <v>278</v>
      </c>
    </row>
    <row r="1442" spans="1:240" x14ac:dyDescent="0.4">
      <c r="A1442" s="4">
        <v>2</v>
      </c>
      <c r="B1442" s="4" t="s">
        <v>239</v>
      </c>
      <c r="C1442" s="4">
        <v>1767</v>
      </c>
      <c r="D1442" s="4">
        <v>1</v>
      </c>
      <c r="E1442" s="4">
        <v>1</v>
      </c>
      <c r="F1442" s="4" t="s">
        <v>240</v>
      </c>
      <c r="G1442" s="4" t="s">
        <v>241</v>
      </c>
      <c r="H1442" s="4" t="s">
        <v>241</v>
      </c>
      <c r="I1442" s="4" t="s">
        <v>850</v>
      </c>
      <c r="J1442" s="4" t="s">
        <v>673</v>
      </c>
      <c r="K1442" s="4" t="s">
        <v>578</v>
      </c>
      <c r="L1442" s="4" t="s">
        <v>2529</v>
      </c>
      <c r="M1442" s="5" t="s">
        <v>852</v>
      </c>
      <c r="N1442" s="4" t="s">
        <v>2529</v>
      </c>
      <c r="O1442" s="6">
        <f>43</f>
        <v>43</v>
      </c>
      <c r="P1442" s="4" t="s">
        <v>276</v>
      </c>
      <c r="Q1442" s="6">
        <f>1</f>
        <v>1</v>
      </c>
      <c r="R1442" s="6">
        <f>2580000</f>
        <v>2580000</v>
      </c>
      <c r="S1442" s="5" t="s">
        <v>2931</v>
      </c>
      <c r="T1442" s="4" t="s">
        <v>348</v>
      </c>
      <c r="U1442" s="4" t="s">
        <v>393</v>
      </c>
      <c r="W1442" s="6">
        <f>2579999</f>
        <v>2579999</v>
      </c>
      <c r="X1442" s="4" t="s">
        <v>243</v>
      </c>
      <c r="Y1442" s="4" t="s">
        <v>244</v>
      </c>
      <c r="Z1442" s="4" t="s">
        <v>282</v>
      </c>
      <c r="AA1442" s="4" t="s">
        <v>241</v>
      </c>
      <c r="AD1442" s="4" t="s">
        <v>241</v>
      </c>
      <c r="AF1442" s="5" t="s">
        <v>241</v>
      </c>
      <c r="AI1442" s="5" t="s">
        <v>249</v>
      </c>
      <c r="AJ1442" s="4" t="s">
        <v>251</v>
      </c>
      <c r="AK1442" s="4" t="s">
        <v>252</v>
      </c>
      <c r="BA1442" s="4" t="s">
        <v>254</v>
      </c>
      <c r="BB1442" s="4" t="s">
        <v>241</v>
      </c>
      <c r="BC1442" s="4" t="s">
        <v>255</v>
      </c>
      <c r="BD1442" s="4" t="s">
        <v>241</v>
      </c>
      <c r="BE1442" s="4" t="s">
        <v>257</v>
      </c>
      <c r="BF1442" s="4" t="s">
        <v>241</v>
      </c>
      <c r="BJ1442" s="4" t="s">
        <v>367</v>
      </c>
      <c r="BK1442" s="5" t="s">
        <v>249</v>
      </c>
      <c r="BL1442" s="4" t="s">
        <v>261</v>
      </c>
      <c r="BM1442" s="4" t="s">
        <v>262</v>
      </c>
      <c r="BN1442" s="4" t="s">
        <v>241</v>
      </c>
      <c r="BO1442" s="6">
        <f>0</f>
        <v>0</v>
      </c>
      <c r="BP1442" s="6">
        <f>0</f>
        <v>0</v>
      </c>
      <c r="BQ1442" s="4" t="s">
        <v>263</v>
      </c>
      <c r="BR1442" s="4" t="s">
        <v>264</v>
      </c>
      <c r="CF1442" s="4" t="s">
        <v>241</v>
      </c>
      <c r="CG1442" s="4" t="s">
        <v>241</v>
      </c>
      <c r="CK1442" s="4" t="s">
        <v>265</v>
      </c>
      <c r="CL1442" s="4" t="s">
        <v>266</v>
      </c>
      <c r="CM1442" s="4" t="s">
        <v>241</v>
      </c>
      <c r="CO1442" s="4" t="s">
        <v>392</v>
      </c>
      <c r="CP1442" s="5" t="s">
        <v>268</v>
      </c>
      <c r="CQ1442" s="4" t="s">
        <v>269</v>
      </c>
      <c r="CR1442" s="4" t="s">
        <v>270</v>
      </c>
      <c r="CS1442" s="4" t="s">
        <v>241</v>
      </c>
      <c r="CT1442" s="4" t="s">
        <v>241</v>
      </c>
      <c r="CU1442" s="4">
        <v>0</v>
      </c>
      <c r="CV1442" s="4" t="s">
        <v>271</v>
      </c>
      <c r="CW1442" s="4" t="s">
        <v>415</v>
      </c>
      <c r="CX1442" s="4" t="s">
        <v>416</v>
      </c>
      <c r="CZ1442" s="6">
        <f>2580000</f>
        <v>2580000</v>
      </c>
      <c r="DA1442" s="6">
        <f>0</f>
        <v>0</v>
      </c>
      <c r="DC1442" s="4" t="s">
        <v>241</v>
      </c>
      <c r="DD1442" s="4" t="s">
        <v>241</v>
      </c>
      <c r="DF1442" s="4" t="s">
        <v>241</v>
      </c>
      <c r="DI1442" s="4" t="s">
        <v>241</v>
      </c>
      <c r="DJ1442" s="4" t="s">
        <v>241</v>
      </c>
      <c r="DK1442" s="4" t="s">
        <v>241</v>
      </c>
      <c r="DL1442" s="4" t="s">
        <v>241</v>
      </c>
      <c r="DM1442" s="4" t="s">
        <v>277</v>
      </c>
      <c r="DN1442" s="4" t="s">
        <v>278</v>
      </c>
      <c r="DO1442" s="6">
        <f>43</f>
        <v>43</v>
      </c>
      <c r="DP1442" s="4" t="s">
        <v>241</v>
      </c>
      <c r="DQ1442" s="4" t="s">
        <v>241</v>
      </c>
      <c r="DR1442" s="4" t="s">
        <v>241</v>
      </c>
      <c r="DS1442" s="4" t="s">
        <v>241</v>
      </c>
      <c r="DV1442" s="4" t="s">
        <v>853</v>
      </c>
      <c r="DW1442" s="4" t="s">
        <v>351</v>
      </c>
      <c r="HO1442" s="4" t="s">
        <v>277</v>
      </c>
      <c r="HR1442" s="4" t="s">
        <v>278</v>
      </c>
      <c r="HS1442" s="4" t="s">
        <v>278</v>
      </c>
    </row>
    <row r="1443" spans="1:240" x14ac:dyDescent="0.4">
      <c r="A1443" s="4">
        <v>2</v>
      </c>
      <c r="B1443" s="4" t="s">
        <v>239</v>
      </c>
      <c r="C1443" s="4">
        <v>1769</v>
      </c>
      <c r="D1443" s="4">
        <v>1</v>
      </c>
      <c r="E1443" s="4">
        <v>1</v>
      </c>
      <c r="F1443" s="4" t="s">
        <v>240</v>
      </c>
      <c r="G1443" s="4" t="s">
        <v>241</v>
      </c>
      <c r="H1443" s="4" t="s">
        <v>241</v>
      </c>
      <c r="I1443" s="4" t="s">
        <v>1661</v>
      </c>
      <c r="J1443" s="4" t="s">
        <v>673</v>
      </c>
      <c r="K1443" s="4" t="s">
        <v>578</v>
      </c>
      <c r="L1443" s="4" t="s">
        <v>651</v>
      </c>
      <c r="M1443" s="5" t="s">
        <v>1663</v>
      </c>
      <c r="N1443" s="4" t="s">
        <v>1660</v>
      </c>
      <c r="O1443" s="6">
        <f>28</f>
        <v>28</v>
      </c>
      <c r="P1443" s="4" t="s">
        <v>276</v>
      </c>
      <c r="Q1443" s="6">
        <f>1</f>
        <v>1</v>
      </c>
      <c r="R1443" s="6">
        <f>4564000</f>
        <v>4564000</v>
      </c>
      <c r="S1443" s="5" t="s">
        <v>1662</v>
      </c>
      <c r="T1443" s="4" t="s">
        <v>314</v>
      </c>
      <c r="U1443" s="4" t="s">
        <v>408</v>
      </c>
      <c r="W1443" s="6">
        <f>4563999</f>
        <v>4563999</v>
      </c>
      <c r="X1443" s="4" t="s">
        <v>243</v>
      </c>
      <c r="Y1443" s="4" t="s">
        <v>244</v>
      </c>
      <c r="Z1443" s="4" t="s">
        <v>282</v>
      </c>
      <c r="AA1443" s="4" t="s">
        <v>241</v>
      </c>
      <c r="AD1443" s="4" t="s">
        <v>241</v>
      </c>
      <c r="AF1443" s="5" t="s">
        <v>241</v>
      </c>
      <c r="AI1443" s="5" t="s">
        <v>249</v>
      </c>
      <c r="AJ1443" s="4" t="s">
        <v>251</v>
      </c>
      <c r="AK1443" s="4" t="s">
        <v>252</v>
      </c>
      <c r="BA1443" s="4" t="s">
        <v>254</v>
      </c>
      <c r="BB1443" s="4" t="s">
        <v>241</v>
      </c>
      <c r="BC1443" s="4" t="s">
        <v>255</v>
      </c>
      <c r="BD1443" s="4" t="s">
        <v>241</v>
      </c>
      <c r="BE1443" s="4" t="s">
        <v>257</v>
      </c>
      <c r="BF1443" s="4" t="s">
        <v>241</v>
      </c>
      <c r="BJ1443" s="4" t="s">
        <v>377</v>
      </c>
      <c r="BK1443" s="5" t="s">
        <v>378</v>
      </c>
      <c r="BL1443" s="4" t="s">
        <v>261</v>
      </c>
      <c r="BM1443" s="4" t="s">
        <v>262</v>
      </c>
      <c r="BN1443" s="4" t="s">
        <v>241</v>
      </c>
      <c r="BO1443" s="6">
        <f>0</f>
        <v>0</v>
      </c>
      <c r="BP1443" s="6">
        <f>0</f>
        <v>0</v>
      </c>
      <c r="BQ1443" s="4" t="s">
        <v>263</v>
      </c>
      <c r="BR1443" s="4" t="s">
        <v>264</v>
      </c>
      <c r="CF1443" s="4" t="s">
        <v>241</v>
      </c>
      <c r="CG1443" s="4" t="s">
        <v>241</v>
      </c>
      <c r="CK1443" s="4" t="s">
        <v>291</v>
      </c>
      <c r="CL1443" s="4" t="s">
        <v>266</v>
      </c>
      <c r="CM1443" s="4" t="s">
        <v>241</v>
      </c>
      <c r="CO1443" s="4" t="s">
        <v>667</v>
      </c>
      <c r="CP1443" s="5" t="s">
        <v>268</v>
      </c>
      <c r="CQ1443" s="4" t="s">
        <v>269</v>
      </c>
      <c r="CR1443" s="4" t="s">
        <v>270</v>
      </c>
      <c r="CS1443" s="4" t="s">
        <v>241</v>
      </c>
      <c r="CT1443" s="4" t="s">
        <v>241</v>
      </c>
      <c r="CU1443" s="4">
        <v>0</v>
      </c>
      <c r="CV1443" s="4" t="s">
        <v>271</v>
      </c>
      <c r="CW1443" s="4" t="s">
        <v>1664</v>
      </c>
      <c r="CX1443" s="4" t="s">
        <v>347</v>
      </c>
      <c r="CZ1443" s="6">
        <f>4564000</f>
        <v>4564000</v>
      </c>
      <c r="DA1443" s="6">
        <f>0</f>
        <v>0</v>
      </c>
      <c r="DC1443" s="4" t="s">
        <v>241</v>
      </c>
      <c r="DD1443" s="4" t="s">
        <v>241</v>
      </c>
      <c r="DF1443" s="4" t="s">
        <v>241</v>
      </c>
      <c r="DI1443" s="4" t="s">
        <v>241</v>
      </c>
      <c r="DJ1443" s="4" t="s">
        <v>241</v>
      </c>
      <c r="DK1443" s="4" t="s">
        <v>241</v>
      </c>
      <c r="DL1443" s="4" t="s">
        <v>241</v>
      </c>
      <c r="DM1443" s="4" t="s">
        <v>277</v>
      </c>
      <c r="DN1443" s="4" t="s">
        <v>278</v>
      </c>
      <c r="DO1443" s="6">
        <f>28</f>
        <v>28</v>
      </c>
      <c r="DP1443" s="4" t="s">
        <v>241</v>
      </c>
      <c r="DQ1443" s="4" t="s">
        <v>241</v>
      </c>
      <c r="DR1443" s="4" t="s">
        <v>241</v>
      </c>
      <c r="DS1443" s="4" t="s">
        <v>241</v>
      </c>
      <c r="DV1443" s="4" t="s">
        <v>1665</v>
      </c>
      <c r="DW1443" s="4" t="s">
        <v>323</v>
      </c>
      <c r="HO1443" s="4" t="s">
        <v>277</v>
      </c>
      <c r="HR1443" s="4" t="s">
        <v>278</v>
      </c>
      <c r="HS1443" s="4" t="s">
        <v>278</v>
      </c>
    </row>
    <row r="1444" spans="1:240" x14ac:dyDescent="0.4">
      <c r="A1444" s="4">
        <v>2</v>
      </c>
      <c r="B1444" s="4" t="s">
        <v>239</v>
      </c>
      <c r="C1444" s="4">
        <v>1770</v>
      </c>
      <c r="D1444" s="4">
        <v>1</v>
      </c>
      <c r="E1444" s="4">
        <v>1</v>
      </c>
      <c r="F1444" s="4" t="s">
        <v>240</v>
      </c>
      <c r="G1444" s="4" t="s">
        <v>241</v>
      </c>
      <c r="H1444" s="4" t="s">
        <v>241</v>
      </c>
      <c r="I1444" s="4" t="s">
        <v>672</v>
      </c>
      <c r="J1444" s="4" t="s">
        <v>673</v>
      </c>
      <c r="K1444" s="4" t="s">
        <v>578</v>
      </c>
      <c r="L1444" s="4" t="s">
        <v>651</v>
      </c>
      <c r="M1444" s="5" t="s">
        <v>675</v>
      </c>
      <c r="N1444" s="4" t="s">
        <v>651</v>
      </c>
      <c r="O1444" s="6">
        <f>1536</f>
        <v>1536</v>
      </c>
      <c r="P1444" s="4" t="s">
        <v>276</v>
      </c>
      <c r="Q1444" s="6">
        <f>1</f>
        <v>1</v>
      </c>
      <c r="R1444" s="6">
        <f>387072000</f>
        <v>387072000</v>
      </c>
      <c r="S1444" s="5" t="s">
        <v>674</v>
      </c>
      <c r="T1444" s="4" t="s">
        <v>314</v>
      </c>
      <c r="U1444" s="4" t="s">
        <v>314</v>
      </c>
      <c r="W1444" s="6">
        <f>387071999</f>
        <v>387071999</v>
      </c>
      <c r="X1444" s="4" t="s">
        <v>243</v>
      </c>
      <c r="Y1444" s="4" t="s">
        <v>244</v>
      </c>
      <c r="Z1444" s="4" t="s">
        <v>282</v>
      </c>
      <c r="AA1444" s="4" t="s">
        <v>241</v>
      </c>
      <c r="AD1444" s="4" t="s">
        <v>241</v>
      </c>
      <c r="AF1444" s="5" t="s">
        <v>241</v>
      </c>
      <c r="AI1444" s="5" t="s">
        <v>249</v>
      </c>
      <c r="AJ1444" s="4" t="s">
        <v>251</v>
      </c>
      <c r="AK1444" s="4" t="s">
        <v>252</v>
      </c>
      <c r="BA1444" s="4" t="s">
        <v>254</v>
      </c>
      <c r="BB1444" s="4" t="s">
        <v>241</v>
      </c>
      <c r="BC1444" s="4" t="s">
        <v>255</v>
      </c>
      <c r="BD1444" s="4" t="s">
        <v>241</v>
      </c>
      <c r="BE1444" s="4" t="s">
        <v>257</v>
      </c>
      <c r="BF1444" s="4" t="s">
        <v>241</v>
      </c>
      <c r="BJ1444" s="4" t="s">
        <v>367</v>
      </c>
      <c r="BK1444" s="5" t="s">
        <v>249</v>
      </c>
      <c r="BL1444" s="4" t="s">
        <v>261</v>
      </c>
      <c r="BM1444" s="4" t="s">
        <v>290</v>
      </c>
      <c r="BN1444" s="4" t="s">
        <v>241</v>
      </c>
      <c r="BO1444" s="6">
        <f>0</f>
        <v>0</v>
      </c>
      <c r="BP1444" s="6">
        <f>0</f>
        <v>0</v>
      </c>
      <c r="BQ1444" s="4" t="s">
        <v>263</v>
      </c>
      <c r="BR1444" s="4" t="s">
        <v>264</v>
      </c>
      <c r="CF1444" s="4" t="s">
        <v>241</v>
      </c>
      <c r="CG1444" s="4" t="s">
        <v>241</v>
      </c>
      <c r="CK1444" s="4" t="s">
        <v>291</v>
      </c>
      <c r="CL1444" s="4" t="s">
        <v>266</v>
      </c>
      <c r="CM1444" s="4" t="s">
        <v>241</v>
      </c>
      <c r="CO1444" s="4" t="s">
        <v>376</v>
      </c>
      <c r="CP1444" s="5" t="s">
        <v>268</v>
      </c>
      <c r="CQ1444" s="4" t="s">
        <v>269</v>
      </c>
      <c r="CR1444" s="4" t="s">
        <v>270</v>
      </c>
      <c r="CS1444" s="4" t="s">
        <v>241</v>
      </c>
      <c r="CT1444" s="4" t="s">
        <v>241</v>
      </c>
      <c r="CU1444" s="4">
        <v>0</v>
      </c>
      <c r="CV1444" s="4" t="s">
        <v>271</v>
      </c>
      <c r="CW1444" s="4" t="s">
        <v>655</v>
      </c>
      <c r="CX1444" s="4" t="s">
        <v>347</v>
      </c>
      <c r="CZ1444" s="6">
        <f>387072000</f>
        <v>387072000</v>
      </c>
      <c r="DA1444" s="6">
        <f>0</f>
        <v>0</v>
      </c>
      <c r="DC1444" s="4" t="s">
        <v>241</v>
      </c>
      <c r="DD1444" s="4" t="s">
        <v>241</v>
      </c>
      <c r="DF1444" s="4" t="s">
        <v>241</v>
      </c>
      <c r="DI1444" s="4" t="s">
        <v>241</v>
      </c>
      <c r="DJ1444" s="4" t="s">
        <v>241</v>
      </c>
      <c r="DK1444" s="4" t="s">
        <v>241</v>
      </c>
      <c r="DL1444" s="4" t="s">
        <v>241</v>
      </c>
      <c r="DM1444" s="4" t="s">
        <v>323</v>
      </c>
      <c r="DN1444" s="4" t="s">
        <v>278</v>
      </c>
      <c r="DO1444" s="6">
        <f>1536</f>
        <v>1536</v>
      </c>
      <c r="DP1444" s="4" t="s">
        <v>241</v>
      </c>
      <c r="DQ1444" s="4" t="s">
        <v>241</v>
      </c>
      <c r="DR1444" s="4" t="s">
        <v>241</v>
      </c>
      <c r="DS1444" s="4" t="s">
        <v>241</v>
      </c>
      <c r="DV1444" s="4" t="s">
        <v>676</v>
      </c>
      <c r="DW1444" s="4" t="s">
        <v>277</v>
      </c>
      <c r="HO1444" s="4" t="s">
        <v>323</v>
      </c>
      <c r="HR1444" s="4" t="s">
        <v>278</v>
      </c>
      <c r="HS1444" s="4" t="s">
        <v>278</v>
      </c>
    </row>
    <row r="1445" spans="1:240" x14ac:dyDescent="0.4">
      <c r="A1445" s="4">
        <v>2</v>
      </c>
      <c r="B1445" s="4" t="s">
        <v>239</v>
      </c>
      <c r="C1445" s="4">
        <v>1771</v>
      </c>
      <c r="D1445" s="4">
        <v>1</v>
      </c>
      <c r="E1445" s="4">
        <v>3</v>
      </c>
      <c r="F1445" s="4" t="s">
        <v>240</v>
      </c>
      <c r="G1445" s="4" t="s">
        <v>241</v>
      </c>
      <c r="H1445" s="4" t="s">
        <v>241</v>
      </c>
      <c r="I1445" s="4" t="s">
        <v>672</v>
      </c>
      <c r="J1445" s="4" t="s">
        <v>673</v>
      </c>
      <c r="K1445" s="4" t="s">
        <v>578</v>
      </c>
      <c r="L1445" s="4" t="s">
        <v>651</v>
      </c>
      <c r="M1445" s="5" t="s">
        <v>675</v>
      </c>
      <c r="N1445" s="4" t="s">
        <v>651</v>
      </c>
      <c r="O1445" s="6">
        <f>53</f>
        <v>53</v>
      </c>
      <c r="P1445" s="4" t="s">
        <v>276</v>
      </c>
      <c r="Q1445" s="6">
        <f>5422536</f>
        <v>5422536</v>
      </c>
      <c r="R1445" s="6">
        <f>13356000</f>
        <v>13356000</v>
      </c>
      <c r="S1445" s="5" t="s">
        <v>674</v>
      </c>
      <c r="T1445" s="4" t="s">
        <v>668</v>
      </c>
      <c r="U1445" s="4" t="s">
        <v>384</v>
      </c>
      <c r="V1445" s="6">
        <f>293832</f>
        <v>293832</v>
      </c>
      <c r="W1445" s="6">
        <f>7933464</f>
        <v>7933464</v>
      </c>
      <c r="X1445" s="4" t="s">
        <v>243</v>
      </c>
      <c r="Y1445" s="4" t="s">
        <v>244</v>
      </c>
      <c r="Z1445" s="4" t="s">
        <v>282</v>
      </c>
      <c r="AA1445" s="4" t="s">
        <v>241</v>
      </c>
      <c r="AD1445" s="4" t="s">
        <v>241</v>
      </c>
      <c r="AE1445" s="5" t="s">
        <v>241</v>
      </c>
      <c r="AF1445" s="5" t="s">
        <v>241</v>
      </c>
      <c r="AH1445" s="5" t="s">
        <v>241</v>
      </c>
      <c r="AI1445" s="5" t="s">
        <v>249</v>
      </c>
      <c r="AJ1445" s="4" t="s">
        <v>251</v>
      </c>
      <c r="AK1445" s="4" t="s">
        <v>252</v>
      </c>
      <c r="AQ1445" s="4" t="s">
        <v>241</v>
      </c>
      <c r="AR1445" s="4" t="s">
        <v>241</v>
      </c>
      <c r="AS1445" s="4" t="s">
        <v>241</v>
      </c>
      <c r="AT1445" s="5" t="s">
        <v>241</v>
      </c>
      <c r="AU1445" s="5" t="s">
        <v>241</v>
      </c>
      <c r="AV1445" s="5" t="s">
        <v>241</v>
      </c>
      <c r="AY1445" s="4" t="s">
        <v>286</v>
      </c>
      <c r="AZ1445" s="4" t="s">
        <v>286</v>
      </c>
      <c r="BA1445" s="4" t="s">
        <v>254</v>
      </c>
      <c r="BB1445" s="4" t="s">
        <v>287</v>
      </c>
      <c r="BC1445" s="4" t="s">
        <v>255</v>
      </c>
      <c r="BD1445" s="4" t="s">
        <v>241</v>
      </c>
      <c r="BE1445" s="4" t="s">
        <v>257</v>
      </c>
      <c r="BF1445" s="4" t="s">
        <v>241</v>
      </c>
      <c r="BJ1445" s="4" t="s">
        <v>288</v>
      </c>
      <c r="BK1445" s="5" t="s">
        <v>289</v>
      </c>
      <c r="BL1445" s="4" t="s">
        <v>290</v>
      </c>
      <c r="BM1445" s="4" t="s">
        <v>290</v>
      </c>
      <c r="BN1445" s="4" t="s">
        <v>241</v>
      </c>
      <c r="BO1445" s="6">
        <f>0</f>
        <v>0</v>
      </c>
      <c r="BP1445" s="6">
        <f>-293832</f>
        <v>-293832</v>
      </c>
      <c r="BQ1445" s="4" t="s">
        <v>263</v>
      </c>
      <c r="BR1445" s="4" t="s">
        <v>264</v>
      </c>
      <c r="BS1445" s="4" t="s">
        <v>241</v>
      </c>
      <c r="BT1445" s="4" t="s">
        <v>241</v>
      </c>
      <c r="BU1445" s="4" t="s">
        <v>241</v>
      </c>
      <c r="BV1445" s="4" t="s">
        <v>241</v>
      </c>
      <c r="CE1445" s="4" t="s">
        <v>264</v>
      </c>
      <c r="CF1445" s="4" t="s">
        <v>241</v>
      </c>
      <c r="CG1445" s="4" t="s">
        <v>241</v>
      </c>
      <c r="CK1445" s="4" t="s">
        <v>291</v>
      </c>
      <c r="CL1445" s="4" t="s">
        <v>266</v>
      </c>
      <c r="CM1445" s="4" t="s">
        <v>241</v>
      </c>
      <c r="CO1445" s="4" t="s">
        <v>376</v>
      </c>
      <c r="CP1445" s="5" t="s">
        <v>268</v>
      </c>
      <c r="CQ1445" s="4" t="s">
        <v>269</v>
      </c>
      <c r="CR1445" s="4" t="s">
        <v>270</v>
      </c>
      <c r="CS1445" s="4" t="s">
        <v>293</v>
      </c>
      <c r="CT1445" s="4" t="s">
        <v>241</v>
      </c>
      <c r="CU1445" s="4">
        <v>2.1999999999999999E-2</v>
      </c>
      <c r="CV1445" s="4" t="s">
        <v>271</v>
      </c>
      <c r="CW1445" s="4" t="s">
        <v>655</v>
      </c>
      <c r="CX1445" s="4" t="s">
        <v>295</v>
      </c>
      <c r="CY1445" s="6">
        <f>0</f>
        <v>0</v>
      </c>
      <c r="CZ1445" s="6">
        <f>13356000</f>
        <v>13356000</v>
      </c>
      <c r="DA1445" s="6">
        <f>5422536</f>
        <v>5422536</v>
      </c>
      <c r="DC1445" s="4" t="s">
        <v>241</v>
      </c>
      <c r="DD1445" s="4" t="s">
        <v>241</v>
      </c>
      <c r="DF1445" s="4" t="s">
        <v>241</v>
      </c>
      <c r="DG1445" s="6">
        <f>0</f>
        <v>0</v>
      </c>
      <c r="DI1445" s="4" t="s">
        <v>241</v>
      </c>
      <c r="DJ1445" s="4" t="s">
        <v>241</v>
      </c>
      <c r="DK1445" s="4" t="s">
        <v>241</v>
      </c>
      <c r="DL1445" s="4" t="s">
        <v>241</v>
      </c>
      <c r="DM1445" s="4" t="s">
        <v>277</v>
      </c>
      <c r="DN1445" s="4" t="s">
        <v>278</v>
      </c>
      <c r="DO1445" s="6">
        <f>53</f>
        <v>53</v>
      </c>
      <c r="DP1445" s="4" t="s">
        <v>241</v>
      </c>
      <c r="DQ1445" s="4" t="s">
        <v>241</v>
      </c>
      <c r="DR1445" s="4" t="s">
        <v>241</v>
      </c>
      <c r="DS1445" s="4" t="s">
        <v>241</v>
      </c>
      <c r="DV1445" s="4" t="s">
        <v>676</v>
      </c>
      <c r="DW1445" s="4" t="s">
        <v>323</v>
      </c>
      <c r="GN1445" s="4" t="s">
        <v>849</v>
      </c>
      <c r="HO1445" s="4" t="s">
        <v>300</v>
      </c>
      <c r="HR1445" s="4" t="s">
        <v>278</v>
      </c>
      <c r="HS1445" s="4" t="s">
        <v>278</v>
      </c>
      <c r="HT1445" s="4" t="s">
        <v>241</v>
      </c>
      <c r="HU1445" s="4" t="s">
        <v>241</v>
      </c>
      <c r="HV1445" s="4" t="s">
        <v>241</v>
      </c>
      <c r="HW1445" s="4" t="s">
        <v>241</v>
      </c>
      <c r="HX1445" s="4" t="s">
        <v>241</v>
      </c>
      <c r="HY1445" s="4" t="s">
        <v>241</v>
      </c>
      <c r="HZ1445" s="4" t="s">
        <v>241</v>
      </c>
      <c r="IA1445" s="4" t="s">
        <v>241</v>
      </c>
      <c r="IB1445" s="4" t="s">
        <v>241</v>
      </c>
      <c r="IC1445" s="4" t="s">
        <v>241</v>
      </c>
      <c r="ID1445" s="4" t="s">
        <v>241</v>
      </c>
      <c r="IE1445" s="4" t="s">
        <v>241</v>
      </c>
      <c r="IF1445" s="4" t="s">
        <v>241</v>
      </c>
    </row>
    <row r="1446" spans="1:240" x14ac:dyDescent="0.4">
      <c r="A1446" s="4">
        <v>2</v>
      </c>
      <c r="B1446" s="4" t="s">
        <v>239</v>
      </c>
      <c r="C1446" s="4">
        <v>1772</v>
      </c>
      <c r="D1446" s="4">
        <v>1</v>
      </c>
      <c r="E1446" s="4">
        <v>3</v>
      </c>
      <c r="F1446" s="4" t="s">
        <v>240</v>
      </c>
      <c r="G1446" s="4" t="s">
        <v>241</v>
      </c>
      <c r="H1446" s="4" t="s">
        <v>241</v>
      </c>
      <c r="I1446" s="4" t="s">
        <v>672</v>
      </c>
      <c r="J1446" s="4" t="s">
        <v>673</v>
      </c>
      <c r="K1446" s="4" t="s">
        <v>578</v>
      </c>
      <c r="L1446" s="4" t="s">
        <v>1003</v>
      </c>
      <c r="M1446" s="5" t="s">
        <v>675</v>
      </c>
      <c r="N1446" s="4" t="s">
        <v>1003</v>
      </c>
      <c r="O1446" s="6">
        <f>756</f>
        <v>756</v>
      </c>
      <c r="P1446" s="4" t="s">
        <v>276</v>
      </c>
      <c r="Q1446" s="6">
        <f>39992400</f>
        <v>39992400</v>
      </c>
      <c r="R1446" s="6">
        <f>173880000</f>
        <v>173880000</v>
      </c>
      <c r="S1446" s="5" t="s">
        <v>969</v>
      </c>
      <c r="T1446" s="4" t="s">
        <v>668</v>
      </c>
      <c r="U1446" s="4" t="s">
        <v>357</v>
      </c>
      <c r="V1446" s="6">
        <f>3825360</f>
        <v>3825360</v>
      </c>
      <c r="W1446" s="6">
        <f>133887600</f>
        <v>133887600</v>
      </c>
      <c r="X1446" s="4" t="s">
        <v>243</v>
      </c>
      <c r="Y1446" s="4" t="s">
        <v>244</v>
      </c>
      <c r="Z1446" s="4" t="s">
        <v>282</v>
      </c>
      <c r="AA1446" s="4" t="s">
        <v>241</v>
      </c>
      <c r="AD1446" s="4" t="s">
        <v>241</v>
      </c>
      <c r="AE1446" s="5" t="s">
        <v>241</v>
      </c>
      <c r="AF1446" s="5" t="s">
        <v>241</v>
      </c>
      <c r="AH1446" s="5" t="s">
        <v>241</v>
      </c>
      <c r="AI1446" s="5" t="s">
        <v>249</v>
      </c>
      <c r="AJ1446" s="4" t="s">
        <v>251</v>
      </c>
      <c r="AK1446" s="4" t="s">
        <v>252</v>
      </c>
      <c r="AQ1446" s="4" t="s">
        <v>241</v>
      </c>
      <c r="AR1446" s="4" t="s">
        <v>241</v>
      </c>
      <c r="AS1446" s="4" t="s">
        <v>241</v>
      </c>
      <c r="AT1446" s="5" t="s">
        <v>241</v>
      </c>
      <c r="AU1446" s="5" t="s">
        <v>241</v>
      </c>
      <c r="AV1446" s="5" t="s">
        <v>241</v>
      </c>
      <c r="AY1446" s="4" t="s">
        <v>286</v>
      </c>
      <c r="AZ1446" s="4" t="s">
        <v>286</v>
      </c>
      <c r="BA1446" s="4" t="s">
        <v>254</v>
      </c>
      <c r="BB1446" s="4" t="s">
        <v>287</v>
      </c>
      <c r="BC1446" s="4" t="s">
        <v>255</v>
      </c>
      <c r="BD1446" s="4" t="s">
        <v>241</v>
      </c>
      <c r="BE1446" s="4" t="s">
        <v>257</v>
      </c>
      <c r="BF1446" s="4" t="s">
        <v>241</v>
      </c>
      <c r="BJ1446" s="4" t="s">
        <v>288</v>
      </c>
      <c r="BK1446" s="5" t="s">
        <v>289</v>
      </c>
      <c r="BL1446" s="4" t="s">
        <v>290</v>
      </c>
      <c r="BM1446" s="4" t="s">
        <v>290</v>
      </c>
      <c r="BN1446" s="4" t="s">
        <v>241</v>
      </c>
      <c r="BO1446" s="6">
        <f>0</f>
        <v>0</v>
      </c>
      <c r="BP1446" s="6">
        <f>-3825360</f>
        <v>-3825360</v>
      </c>
      <c r="BQ1446" s="4" t="s">
        <v>263</v>
      </c>
      <c r="BR1446" s="4" t="s">
        <v>264</v>
      </c>
      <c r="BS1446" s="4" t="s">
        <v>241</v>
      </c>
      <c r="BT1446" s="4" t="s">
        <v>241</v>
      </c>
      <c r="BU1446" s="4" t="s">
        <v>241</v>
      </c>
      <c r="BV1446" s="4" t="s">
        <v>241</v>
      </c>
      <c r="CE1446" s="4" t="s">
        <v>264</v>
      </c>
      <c r="CF1446" s="4" t="s">
        <v>241</v>
      </c>
      <c r="CG1446" s="4" t="s">
        <v>241</v>
      </c>
      <c r="CK1446" s="4" t="s">
        <v>291</v>
      </c>
      <c r="CL1446" s="4" t="s">
        <v>266</v>
      </c>
      <c r="CM1446" s="4" t="s">
        <v>241</v>
      </c>
      <c r="CO1446" s="4" t="s">
        <v>398</v>
      </c>
      <c r="CP1446" s="5" t="s">
        <v>268</v>
      </c>
      <c r="CQ1446" s="4" t="s">
        <v>269</v>
      </c>
      <c r="CR1446" s="4" t="s">
        <v>270</v>
      </c>
      <c r="CS1446" s="4" t="s">
        <v>293</v>
      </c>
      <c r="CT1446" s="4" t="s">
        <v>241</v>
      </c>
      <c r="CU1446" s="4">
        <v>2.1999999999999999E-2</v>
      </c>
      <c r="CV1446" s="4" t="s">
        <v>271</v>
      </c>
      <c r="CW1446" s="4" t="s">
        <v>1006</v>
      </c>
      <c r="CX1446" s="4" t="s">
        <v>295</v>
      </c>
      <c r="CY1446" s="6">
        <f>0</f>
        <v>0</v>
      </c>
      <c r="CZ1446" s="6">
        <f>173880000</f>
        <v>173880000</v>
      </c>
      <c r="DA1446" s="6">
        <f>39992400</f>
        <v>39992400</v>
      </c>
      <c r="DC1446" s="4" t="s">
        <v>241</v>
      </c>
      <c r="DD1446" s="4" t="s">
        <v>241</v>
      </c>
      <c r="DF1446" s="4" t="s">
        <v>241</v>
      </c>
      <c r="DG1446" s="6">
        <f>0</f>
        <v>0</v>
      </c>
      <c r="DI1446" s="4" t="s">
        <v>241</v>
      </c>
      <c r="DJ1446" s="4" t="s">
        <v>241</v>
      </c>
      <c r="DK1446" s="4" t="s">
        <v>241</v>
      </c>
      <c r="DL1446" s="4" t="s">
        <v>241</v>
      </c>
      <c r="DM1446" s="4" t="s">
        <v>323</v>
      </c>
      <c r="DN1446" s="4" t="s">
        <v>278</v>
      </c>
      <c r="DO1446" s="6">
        <f>756</f>
        <v>756</v>
      </c>
      <c r="DP1446" s="4" t="s">
        <v>241</v>
      </c>
      <c r="DQ1446" s="4" t="s">
        <v>241</v>
      </c>
      <c r="DR1446" s="4" t="s">
        <v>241</v>
      </c>
      <c r="DS1446" s="4" t="s">
        <v>241</v>
      </c>
      <c r="DV1446" s="4" t="s">
        <v>676</v>
      </c>
      <c r="DW1446" s="4" t="s">
        <v>297</v>
      </c>
      <c r="GN1446" s="4" t="s">
        <v>1131</v>
      </c>
      <c r="HO1446" s="4" t="s">
        <v>300</v>
      </c>
      <c r="HR1446" s="4" t="s">
        <v>278</v>
      </c>
      <c r="HS1446" s="4" t="s">
        <v>278</v>
      </c>
      <c r="HT1446" s="4" t="s">
        <v>241</v>
      </c>
      <c r="HU1446" s="4" t="s">
        <v>241</v>
      </c>
      <c r="HV1446" s="4" t="s">
        <v>241</v>
      </c>
      <c r="HW1446" s="4" t="s">
        <v>241</v>
      </c>
      <c r="HX1446" s="4" t="s">
        <v>241</v>
      </c>
      <c r="HY1446" s="4" t="s">
        <v>241</v>
      </c>
      <c r="HZ1446" s="4" t="s">
        <v>241</v>
      </c>
      <c r="IA1446" s="4" t="s">
        <v>241</v>
      </c>
      <c r="IB1446" s="4" t="s">
        <v>241</v>
      </c>
      <c r="IC1446" s="4" t="s">
        <v>241</v>
      </c>
      <c r="ID1446" s="4" t="s">
        <v>241</v>
      </c>
      <c r="IE1446" s="4" t="s">
        <v>241</v>
      </c>
      <c r="IF1446" s="4" t="s">
        <v>241</v>
      </c>
    </row>
    <row r="1447" spans="1:240" x14ac:dyDescent="0.4">
      <c r="A1447" s="4">
        <v>2</v>
      </c>
      <c r="B1447" s="4" t="s">
        <v>239</v>
      </c>
      <c r="C1447" s="4">
        <v>1773</v>
      </c>
      <c r="D1447" s="4">
        <v>1</v>
      </c>
      <c r="E1447" s="4">
        <v>1</v>
      </c>
      <c r="F1447" s="4" t="s">
        <v>240</v>
      </c>
      <c r="G1447" s="4" t="s">
        <v>241</v>
      </c>
      <c r="H1447" s="4" t="s">
        <v>241</v>
      </c>
      <c r="I1447" s="4" t="s">
        <v>672</v>
      </c>
      <c r="J1447" s="4" t="s">
        <v>673</v>
      </c>
      <c r="K1447" s="4" t="s">
        <v>578</v>
      </c>
      <c r="L1447" s="4" t="s">
        <v>429</v>
      </c>
      <c r="M1447" s="5" t="s">
        <v>675</v>
      </c>
      <c r="N1447" s="4" t="s">
        <v>429</v>
      </c>
      <c r="O1447" s="6">
        <f>26</f>
        <v>26</v>
      </c>
      <c r="P1447" s="4" t="s">
        <v>276</v>
      </c>
      <c r="Q1447" s="6">
        <f>1</f>
        <v>1</v>
      </c>
      <c r="R1447" s="6">
        <f>2366000</f>
        <v>2366000</v>
      </c>
      <c r="S1447" s="5" t="s">
        <v>397</v>
      </c>
      <c r="T1447" s="4" t="s">
        <v>274</v>
      </c>
      <c r="U1447" s="4" t="s">
        <v>399</v>
      </c>
      <c r="W1447" s="6">
        <f>2365999</f>
        <v>2365999</v>
      </c>
      <c r="X1447" s="4" t="s">
        <v>243</v>
      </c>
      <c r="Y1447" s="4" t="s">
        <v>244</v>
      </c>
      <c r="Z1447" s="4" t="s">
        <v>282</v>
      </c>
      <c r="AA1447" s="4" t="s">
        <v>241</v>
      </c>
      <c r="AD1447" s="4" t="s">
        <v>241</v>
      </c>
      <c r="AF1447" s="5" t="s">
        <v>241</v>
      </c>
      <c r="AI1447" s="5" t="s">
        <v>249</v>
      </c>
      <c r="AJ1447" s="4" t="s">
        <v>251</v>
      </c>
      <c r="AK1447" s="4" t="s">
        <v>252</v>
      </c>
      <c r="BA1447" s="4" t="s">
        <v>254</v>
      </c>
      <c r="BB1447" s="4" t="s">
        <v>241</v>
      </c>
      <c r="BC1447" s="4" t="s">
        <v>255</v>
      </c>
      <c r="BD1447" s="4" t="s">
        <v>241</v>
      </c>
      <c r="BE1447" s="4" t="s">
        <v>257</v>
      </c>
      <c r="BF1447" s="4" t="s">
        <v>241</v>
      </c>
      <c r="BJ1447" s="4" t="s">
        <v>367</v>
      </c>
      <c r="BK1447" s="5" t="s">
        <v>249</v>
      </c>
      <c r="BL1447" s="4" t="s">
        <v>261</v>
      </c>
      <c r="BM1447" s="4" t="s">
        <v>262</v>
      </c>
      <c r="BN1447" s="4" t="s">
        <v>241</v>
      </c>
      <c r="BO1447" s="6">
        <f>0</f>
        <v>0</v>
      </c>
      <c r="BP1447" s="6">
        <f>0</f>
        <v>0</v>
      </c>
      <c r="BQ1447" s="4" t="s">
        <v>263</v>
      </c>
      <c r="BR1447" s="4" t="s">
        <v>264</v>
      </c>
      <c r="CF1447" s="4" t="s">
        <v>241</v>
      </c>
      <c r="CG1447" s="4" t="s">
        <v>241</v>
      </c>
      <c r="CK1447" s="4" t="s">
        <v>291</v>
      </c>
      <c r="CL1447" s="4" t="s">
        <v>266</v>
      </c>
      <c r="CM1447" s="4" t="s">
        <v>241</v>
      </c>
      <c r="CO1447" s="4" t="s">
        <v>398</v>
      </c>
      <c r="CP1447" s="5" t="s">
        <v>268</v>
      </c>
      <c r="CQ1447" s="4" t="s">
        <v>269</v>
      </c>
      <c r="CR1447" s="4" t="s">
        <v>270</v>
      </c>
      <c r="CS1447" s="4" t="s">
        <v>241</v>
      </c>
      <c r="CT1447" s="4" t="s">
        <v>241</v>
      </c>
      <c r="CU1447" s="4">
        <v>0</v>
      </c>
      <c r="CV1447" s="4" t="s">
        <v>271</v>
      </c>
      <c r="CW1447" s="4" t="s">
        <v>272</v>
      </c>
      <c r="CX1447" s="4" t="s">
        <v>273</v>
      </c>
      <c r="CZ1447" s="6">
        <f>2366000</f>
        <v>2366000</v>
      </c>
      <c r="DA1447" s="6">
        <f>0</f>
        <v>0</v>
      </c>
      <c r="DC1447" s="4" t="s">
        <v>241</v>
      </c>
      <c r="DD1447" s="4" t="s">
        <v>241</v>
      </c>
      <c r="DF1447" s="4" t="s">
        <v>241</v>
      </c>
      <c r="DI1447" s="4" t="s">
        <v>241</v>
      </c>
      <c r="DJ1447" s="4" t="s">
        <v>241</v>
      </c>
      <c r="DK1447" s="4" t="s">
        <v>241</v>
      </c>
      <c r="DL1447" s="4" t="s">
        <v>241</v>
      </c>
      <c r="DM1447" s="4" t="s">
        <v>277</v>
      </c>
      <c r="DN1447" s="4" t="s">
        <v>278</v>
      </c>
      <c r="DO1447" s="6">
        <f>26</f>
        <v>26</v>
      </c>
      <c r="DP1447" s="4" t="s">
        <v>241</v>
      </c>
      <c r="DQ1447" s="4" t="s">
        <v>241</v>
      </c>
      <c r="DR1447" s="4" t="s">
        <v>241</v>
      </c>
      <c r="DS1447" s="4" t="s">
        <v>241</v>
      </c>
      <c r="DV1447" s="4" t="s">
        <v>676</v>
      </c>
      <c r="DW1447" s="4" t="s">
        <v>336</v>
      </c>
      <c r="HO1447" s="4" t="s">
        <v>277</v>
      </c>
      <c r="HR1447" s="4" t="s">
        <v>278</v>
      </c>
      <c r="HS1447" s="4" t="s">
        <v>278</v>
      </c>
    </row>
    <row r="1448" spans="1:240" x14ac:dyDescent="0.4">
      <c r="A1448" s="4">
        <v>2</v>
      </c>
      <c r="B1448" s="4" t="s">
        <v>239</v>
      </c>
      <c r="C1448" s="4">
        <v>1774</v>
      </c>
      <c r="D1448" s="4">
        <v>1</v>
      </c>
      <c r="E1448" s="4">
        <v>1</v>
      </c>
      <c r="F1448" s="4" t="s">
        <v>240</v>
      </c>
      <c r="G1448" s="4" t="s">
        <v>241</v>
      </c>
      <c r="H1448" s="4" t="s">
        <v>241</v>
      </c>
      <c r="I1448" s="4" t="s">
        <v>672</v>
      </c>
      <c r="J1448" s="4" t="s">
        <v>673</v>
      </c>
      <c r="K1448" s="4" t="s">
        <v>578</v>
      </c>
      <c r="L1448" s="4" t="s">
        <v>2000</v>
      </c>
      <c r="M1448" s="5" t="s">
        <v>675</v>
      </c>
      <c r="N1448" s="4" t="s">
        <v>2000</v>
      </c>
      <c r="O1448" s="6">
        <f>10</f>
        <v>10</v>
      </c>
      <c r="P1448" s="4" t="s">
        <v>276</v>
      </c>
      <c r="Q1448" s="6">
        <f>1</f>
        <v>1</v>
      </c>
      <c r="R1448" s="6">
        <f>910000</f>
        <v>910000</v>
      </c>
      <c r="S1448" s="5" t="s">
        <v>2062</v>
      </c>
      <c r="T1448" s="4" t="s">
        <v>348</v>
      </c>
      <c r="U1448" s="4" t="s">
        <v>384</v>
      </c>
      <c r="W1448" s="6">
        <f>909999</f>
        <v>909999</v>
      </c>
      <c r="X1448" s="4" t="s">
        <v>243</v>
      </c>
      <c r="Y1448" s="4" t="s">
        <v>244</v>
      </c>
      <c r="Z1448" s="4" t="s">
        <v>282</v>
      </c>
      <c r="AA1448" s="4" t="s">
        <v>241</v>
      </c>
      <c r="AD1448" s="4" t="s">
        <v>241</v>
      </c>
      <c r="AF1448" s="5" t="s">
        <v>241</v>
      </c>
      <c r="AI1448" s="5" t="s">
        <v>249</v>
      </c>
      <c r="AJ1448" s="4" t="s">
        <v>251</v>
      </c>
      <c r="AK1448" s="4" t="s">
        <v>252</v>
      </c>
      <c r="BA1448" s="4" t="s">
        <v>254</v>
      </c>
      <c r="BB1448" s="4" t="s">
        <v>241</v>
      </c>
      <c r="BC1448" s="4" t="s">
        <v>255</v>
      </c>
      <c r="BD1448" s="4" t="s">
        <v>241</v>
      </c>
      <c r="BE1448" s="4" t="s">
        <v>257</v>
      </c>
      <c r="BF1448" s="4" t="s">
        <v>241</v>
      </c>
      <c r="BJ1448" s="4" t="s">
        <v>374</v>
      </c>
      <c r="BK1448" s="5" t="s">
        <v>375</v>
      </c>
      <c r="BL1448" s="4" t="s">
        <v>261</v>
      </c>
      <c r="BM1448" s="4" t="s">
        <v>262</v>
      </c>
      <c r="BN1448" s="4" t="s">
        <v>241</v>
      </c>
      <c r="BO1448" s="6">
        <f>0</f>
        <v>0</v>
      </c>
      <c r="BP1448" s="6">
        <f>0</f>
        <v>0</v>
      </c>
      <c r="BQ1448" s="4" t="s">
        <v>263</v>
      </c>
      <c r="BR1448" s="4" t="s">
        <v>264</v>
      </c>
      <c r="CF1448" s="4" t="s">
        <v>241</v>
      </c>
      <c r="CG1448" s="4" t="s">
        <v>241</v>
      </c>
      <c r="CK1448" s="4" t="s">
        <v>291</v>
      </c>
      <c r="CL1448" s="4" t="s">
        <v>266</v>
      </c>
      <c r="CM1448" s="4" t="s">
        <v>241</v>
      </c>
      <c r="CO1448" s="4" t="s">
        <v>383</v>
      </c>
      <c r="CP1448" s="5" t="s">
        <v>268</v>
      </c>
      <c r="CQ1448" s="4" t="s">
        <v>269</v>
      </c>
      <c r="CR1448" s="4" t="s">
        <v>270</v>
      </c>
      <c r="CS1448" s="4" t="s">
        <v>241</v>
      </c>
      <c r="CT1448" s="4" t="s">
        <v>241</v>
      </c>
      <c r="CU1448" s="4">
        <v>0</v>
      </c>
      <c r="CV1448" s="4" t="s">
        <v>271</v>
      </c>
      <c r="CW1448" s="4" t="s">
        <v>1986</v>
      </c>
      <c r="CX1448" s="4" t="s">
        <v>347</v>
      </c>
      <c r="CZ1448" s="6">
        <f>910000</f>
        <v>910000</v>
      </c>
      <c r="DA1448" s="6">
        <f>0</f>
        <v>0</v>
      </c>
      <c r="DC1448" s="4" t="s">
        <v>241</v>
      </c>
      <c r="DD1448" s="4" t="s">
        <v>241</v>
      </c>
      <c r="DF1448" s="4" t="s">
        <v>241</v>
      </c>
      <c r="DI1448" s="4" t="s">
        <v>241</v>
      </c>
      <c r="DJ1448" s="4" t="s">
        <v>241</v>
      </c>
      <c r="DK1448" s="4" t="s">
        <v>241</v>
      </c>
      <c r="DL1448" s="4" t="s">
        <v>241</v>
      </c>
      <c r="DM1448" s="4" t="s">
        <v>277</v>
      </c>
      <c r="DN1448" s="4" t="s">
        <v>278</v>
      </c>
      <c r="DO1448" s="6">
        <f>10</f>
        <v>10</v>
      </c>
      <c r="DP1448" s="4" t="s">
        <v>241</v>
      </c>
      <c r="DQ1448" s="4" t="s">
        <v>241</v>
      </c>
      <c r="DR1448" s="4" t="s">
        <v>241</v>
      </c>
      <c r="DS1448" s="4" t="s">
        <v>241</v>
      </c>
      <c r="DV1448" s="4" t="s">
        <v>676</v>
      </c>
      <c r="DW1448" s="4" t="s">
        <v>351</v>
      </c>
      <c r="HO1448" s="4" t="s">
        <v>277</v>
      </c>
      <c r="HR1448" s="4" t="s">
        <v>278</v>
      </c>
      <c r="HS1448" s="4" t="s">
        <v>278</v>
      </c>
    </row>
    <row r="1449" spans="1:240" x14ac:dyDescent="0.4">
      <c r="A1449" s="4">
        <v>2</v>
      </c>
      <c r="B1449" s="4" t="s">
        <v>239</v>
      </c>
      <c r="C1449" s="4">
        <v>1775</v>
      </c>
      <c r="D1449" s="4">
        <v>1</v>
      </c>
      <c r="E1449" s="4">
        <v>1</v>
      </c>
      <c r="F1449" s="4" t="s">
        <v>240</v>
      </c>
      <c r="G1449" s="4" t="s">
        <v>241</v>
      </c>
      <c r="H1449" s="4" t="s">
        <v>241</v>
      </c>
      <c r="I1449" s="4" t="s">
        <v>672</v>
      </c>
      <c r="J1449" s="4" t="s">
        <v>673</v>
      </c>
      <c r="K1449" s="4" t="s">
        <v>578</v>
      </c>
      <c r="L1449" s="4" t="s">
        <v>2529</v>
      </c>
      <c r="M1449" s="5" t="s">
        <v>675</v>
      </c>
      <c r="N1449" s="4" t="s">
        <v>2529</v>
      </c>
      <c r="O1449" s="6">
        <f>17</f>
        <v>17</v>
      </c>
      <c r="P1449" s="4" t="s">
        <v>276</v>
      </c>
      <c r="Q1449" s="6">
        <f>1</f>
        <v>1</v>
      </c>
      <c r="R1449" s="6">
        <f>1547000</f>
        <v>1547000</v>
      </c>
      <c r="S1449" s="5" t="s">
        <v>2062</v>
      </c>
      <c r="T1449" s="4" t="s">
        <v>348</v>
      </c>
      <c r="U1449" s="4" t="s">
        <v>384</v>
      </c>
      <c r="W1449" s="6">
        <f>1546999</f>
        <v>1546999</v>
      </c>
      <c r="X1449" s="4" t="s">
        <v>243</v>
      </c>
      <c r="Y1449" s="4" t="s">
        <v>244</v>
      </c>
      <c r="Z1449" s="4" t="s">
        <v>282</v>
      </c>
      <c r="AA1449" s="4" t="s">
        <v>241</v>
      </c>
      <c r="AD1449" s="4" t="s">
        <v>241</v>
      </c>
      <c r="AF1449" s="5" t="s">
        <v>241</v>
      </c>
      <c r="AI1449" s="5" t="s">
        <v>249</v>
      </c>
      <c r="AJ1449" s="4" t="s">
        <v>251</v>
      </c>
      <c r="AK1449" s="4" t="s">
        <v>252</v>
      </c>
      <c r="BA1449" s="4" t="s">
        <v>254</v>
      </c>
      <c r="BB1449" s="4" t="s">
        <v>241</v>
      </c>
      <c r="BC1449" s="4" t="s">
        <v>255</v>
      </c>
      <c r="BD1449" s="4" t="s">
        <v>241</v>
      </c>
      <c r="BE1449" s="4" t="s">
        <v>257</v>
      </c>
      <c r="BF1449" s="4" t="s">
        <v>241</v>
      </c>
      <c r="BJ1449" s="4" t="s">
        <v>377</v>
      </c>
      <c r="BK1449" s="5" t="s">
        <v>378</v>
      </c>
      <c r="BL1449" s="4" t="s">
        <v>261</v>
      </c>
      <c r="BM1449" s="4" t="s">
        <v>262</v>
      </c>
      <c r="BN1449" s="4" t="s">
        <v>241</v>
      </c>
      <c r="BO1449" s="6">
        <f>0</f>
        <v>0</v>
      </c>
      <c r="BP1449" s="6">
        <f>0</f>
        <v>0</v>
      </c>
      <c r="BQ1449" s="4" t="s">
        <v>263</v>
      </c>
      <c r="BR1449" s="4" t="s">
        <v>264</v>
      </c>
      <c r="CF1449" s="4" t="s">
        <v>241</v>
      </c>
      <c r="CG1449" s="4" t="s">
        <v>241</v>
      </c>
      <c r="CK1449" s="4" t="s">
        <v>291</v>
      </c>
      <c r="CL1449" s="4" t="s">
        <v>266</v>
      </c>
      <c r="CM1449" s="4" t="s">
        <v>241</v>
      </c>
      <c r="CO1449" s="4" t="s">
        <v>383</v>
      </c>
      <c r="CP1449" s="5" t="s">
        <v>268</v>
      </c>
      <c r="CQ1449" s="4" t="s">
        <v>269</v>
      </c>
      <c r="CR1449" s="4" t="s">
        <v>270</v>
      </c>
      <c r="CS1449" s="4" t="s">
        <v>241</v>
      </c>
      <c r="CT1449" s="4" t="s">
        <v>241</v>
      </c>
      <c r="CU1449" s="4">
        <v>0</v>
      </c>
      <c r="CV1449" s="4" t="s">
        <v>271</v>
      </c>
      <c r="CW1449" s="4" t="s">
        <v>415</v>
      </c>
      <c r="CX1449" s="4" t="s">
        <v>416</v>
      </c>
      <c r="CZ1449" s="6">
        <f>1547000</f>
        <v>1547000</v>
      </c>
      <c r="DA1449" s="6">
        <f>0</f>
        <v>0</v>
      </c>
      <c r="DC1449" s="4" t="s">
        <v>241</v>
      </c>
      <c r="DD1449" s="4" t="s">
        <v>241</v>
      </c>
      <c r="DF1449" s="4" t="s">
        <v>241</v>
      </c>
      <c r="DI1449" s="4" t="s">
        <v>241</v>
      </c>
      <c r="DJ1449" s="4" t="s">
        <v>241</v>
      </c>
      <c r="DK1449" s="4" t="s">
        <v>241</v>
      </c>
      <c r="DL1449" s="4" t="s">
        <v>241</v>
      </c>
      <c r="DM1449" s="4" t="s">
        <v>277</v>
      </c>
      <c r="DN1449" s="4" t="s">
        <v>278</v>
      </c>
      <c r="DO1449" s="6">
        <f>17</f>
        <v>17</v>
      </c>
      <c r="DP1449" s="4" t="s">
        <v>241</v>
      </c>
      <c r="DQ1449" s="4" t="s">
        <v>241</v>
      </c>
      <c r="DR1449" s="4" t="s">
        <v>241</v>
      </c>
      <c r="DS1449" s="4" t="s">
        <v>241</v>
      </c>
      <c r="DV1449" s="4" t="s">
        <v>676</v>
      </c>
      <c r="DW1449" s="4" t="s">
        <v>300</v>
      </c>
      <c r="HO1449" s="4" t="s">
        <v>277</v>
      </c>
      <c r="HR1449" s="4" t="s">
        <v>278</v>
      </c>
      <c r="HS1449" s="4" t="s">
        <v>278</v>
      </c>
    </row>
    <row r="1450" spans="1:240" x14ac:dyDescent="0.4">
      <c r="A1450" s="4">
        <v>2</v>
      </c>
      <c r="B1450" s="4" t="s">
        <v>239</v>
      </c>
      <c r="C1450" s="4">
        <v>1776</v>
      </c>
      <c r="D1450" s="4">
        <v>1</v>
      </c>
      <c r="E1450" s="4">
        <v>1</v>
      </c>
      <c r="F1450" s="4" t="s">
        <v>240</v>
      </c>
      <c r="G1450" s="4" t="s">
        <v>241</v>
      </c>
      <c r="H1450" s="4" t="s">
        <v>241</v>
      </c>
      <c r="I1450" s="4" t="s">
        <v>672</v>
      </c>
      <c r="J1450" s="4" t="s">
        <v>673</v>
      </c>
      <c r="K1450" s="4" t="s">
        <v>578</v>
      </c>
      <c r="L1450" s="4" t="s">
        <v>340</v>
      </c>
      <c r="M1450" s="5" t="s">
        <v>675</v>
      </c>
      <c r="N1450" s="4" t="s">
        <v>340</v>
      </c>
      <c r="O1450" s="6">
        <f>2</f>
        <v>2</v>
      </c>
      <c r="P1450" s="4" t="s">
        <v>276</v>
      </c>
      <c r="Q1450" s="6">
        <f>1</f>
        <v>1</v>
      </c>
      <c r="R1450" s="6">
        <f>294000</f>
        <v>294000</v>
      </c>
      <c r="S1450" s="5" t="s">
        <v>674</v>
      </c>
      <c r="T1450" s="4" t="s">
        <v>274</v>
      </c>
      <c r="U1450" s="4" t="s">
        <v>274</v>
      </c>
      <c r="W1450" s="6">
        <f>293999</f>
        <v>293999</v>
      </c>
      <c r="X1450" s="4" t="s">
        <v>243</v>
      </c>
      <c r="Y1450" s="4" t="s">
        <v>244</v>
      </c>
      <c r="Z1450" s="4" t="s">
        <v>282</v>
      </c>
      <c r="AA1450" s="4" t="s">
        <v>241</v>
      </c>
      <c r="AD1450" s="4" t="s">
        <v>241</v>
      </c>
      <c r="AF1450" s="5" t="s">
        <v>241</v>
      </c>
      <c r="AI1450" s="5" t="s">
        <v>249</v>
      </c>
      <c r="AJ1450" s="4" t="s">
        <v>251</v>
      </c>
      <c r="AK1450" s="4" t="s">
        <v>252</v>
      </c>
      <c r="BA1450" s="4" t="s">
        <v>254</v>
      </c>
      <c r="BB1450" s="4" t="s">
        <v>241</v>
      </c>
      <c r="BC1450" s="4" t="s">
        <v>255</v>
      </c>
      <c r="BD1450" s="4" t="s">
        <v>241</v>
      </c>
      <c r="BE1450" s="4" t="s">
        <v>257</v>
      </c>
      <c r="BF1450" s="4" t="s">
        <v>241</v>
      </c>
      <c r="BJ1450" s="4" t="s">
        <v>367</v>
      </c>
      <c r="BK1450" s="5" t="s">
        <v>249</v>
      </c>
      <c r="BL1450" s="4" t="s">
        <v>261</v>
      </c>
      <c r="BM1450" s="4" t="s">
        <v>290</v>
      </c>
      <c r="BN1450" s="4" t="s">
        <v>241</v>
      </c>
      <c r="BO1450" s="6">
        <f>0</f>
        <v>0</v>
      </c>
      <c r="BP1450" s="6">
        <f>0</f>
        <v>0</v>
      </c>
      <c r="BQ1450" s="4" t="s">
        <v>263</v>
      </c>
      <c r="BR1450" s="4" t="s">
        <v>264</v>
      </c>
      <c r="CF1450" s="4" t="s">
        <v>241</v>
      </c>
      <c r="CG1450" s="4" t="s">
        <v>241</v>
      </c>
      <c r="CK1450" s="4" t="s">
        <v>291</v>
      </c>
      <c r="CL1450" s="4" t="s">
        <v>266</v>
      </c>
      <c r="CM1450" s="4" t="s">
        <v>241</v>
      </c>
      <c r="CO1450" s="4" t="s">
        <v>376</v>
      </c>
      <c r="CP1450" s="5" t="s">
        <v>268</v>
      </c>
      <c r="CQ1450" s="4" t="s">
        <v>269</v>
      </c>
      <c r="CR1450" s="4" t="s">
        <v>270</v>
      </c>
      <c r="CS1450" s="4" t="s">
        <v>241</v>
      </c>
      <c r="CT1450" s="4" t="s">
        <v>241</v>
      </c>
      <c r="CU1450" s="4">
        <v>0</v>
      </c>
      <c r="CV1450" s="4" t="s">
        <v>271</v>
      </c>
      <c r="CW1450" s="4" t="s">
        <v>332</v>
      </c>
      <c r="CX1450" s="4" t="s">
        <v>273</v>
      </c>
      <c r="CZ1450" s="6">
        <f>294000</f>
        <v>294000</v>
      </c>
      <c r="DA1450" s="6">
        <f>0</f>
        <v>0</v>
      </c>
      <c r="DC1450" s="4" t="s">
        <v>241</v>
      </c>
      <c r="DD1450" s="4" t="s">
        <v>241</v>
      </c>
      <c r="DF1450" s="4" t="s">
        <v>241</v>
      </c>
      <c r="DI1450" s="4" t="s">
        <v>241</v>
      </c>
      <c r="DJ1450" s="4" t="s">
        <v>241</v>
      </c>
      <c r="DK1450" s="4" t="s">
        <v>241</v>
      </c>
      <c r="DL1450" s="4" t="s">
        <v>241</v>
      </c>
      <c r="DM1450" s="4" t="s">
        <v>277</v>
      </c>
      <c r="DN1450" s="4" t="s">
        <v>278</v>
      </c>
      <c r="DO1450" s="6">
        <f>2</f>
        <v>2</v>
      </c>
      <c r="DP1450" s="4" t="s">
        <v>241</v>
      </c>
      <c r="DQ1450" s="4" t="s">
        <v>241</v>
      </c>
      <c r="DR1450" s="4" t="s">
        <v>241</v>
      </c>
      <c r="DS1450" s="4" t="s">
        <v>241</v>
      </c>
      <c r="DV1450" s="4" t="s">
        <v>676</v>
      </c>
      <c r="DW1450" s="4" t="s">
        <v>341</v>
      </c>
      <c r="HO1450" s="4" t="s">
        <v>336</v>
      </c>
      <c r="HR1450" s="4" t="s">
        <v>278</v>
      </c>
      <c r="HS1450" s="4" t="s">
        <v>278</v>
      </c>
    </row>
    <row r="1451" spans="1:240" x14ac:dyDescent="0.4">
      <c r="A1451" s="4">
        <v>2</v>
      </c>
      <c r="B1451" s="4" t="s">
        <v>239</v>
      </c>
      <c r="C1451" s="4">
        <v>1777</v>
      </c>
      <c r="D1451" s="4">
        <v>1</v>
      </c>
      <c r="E1451" s="4">
        <v>3</v>
      </c>
      <c r="F1451" s="4" t="s">
        <v>240</v>
      </c>
      <c r="G1451" s="4" t="s">
        <v>241</v>
      </c>
      <c r="H1451" s="4" t="s">
        <v>241</v>
      </c>
      <c r="I1451" s="4" t="s">
        <v>844</v>
      </c>
      <c r="J1451" s="4" t="s">
        <v>673</v>
      </c>
      <c r="K1451" s="4" t="s">
        <v>578</v>
      </c>
      <c r="L1451" s="4" t="s">
        <v>651</v>
      </c>
      <c r="M1451" s="5" t="s">
        <v>846</v>
      </c>
      <c r="N1451" s="4" t="s">
        <v>651</v>
      </c>
      <c r="O1451" s="6">
        <f>1289</f>
        <v>1289</v>
      </c>
      <c r="P1451" s="4" t="s">
        <v>276</v>
      </c>
      <c r="Q1451" s="6">
        <f>98438352</f>
        <v>98438352</v>
      </c>
      <c r="R1451" s="6">
        <f>332562000</f>
        <v>332562000</v>
      </c>
      <c r="S1451" s="5" t="s">
        <v>845</v>
      </c>
      <c r="T1451" s="4" t="s">
        <v>668</v>
      </c>
      <c r="U1451" s="4" t="s">
        <v>441</v>
      </c>
      <c r="V1451" s="6">
        <f>7316364</f>
        <v>7316364</v>
      </c>
      <c r="W1451" s="6">
        <f>234123648</f>
        <v>234123648</v>
      </c>
      <c r="X1451" s="4" t="s">
        <v>243</v>
      </c>
      <c r="Y1451" s="4" t="s">
        <v>244</v>
      </c>
      <c r="Z1451" s="4" t="s">
        <v>282</v>
      </c>
      <c r="AA1451" s="4" t="s">
        <v>241</v>
      </c>
      <c r="AD1451" s="4" t="s">
        <v>241</v>
      </c>
      <c r="AE1451" s="5" t="s">
        <v>241</v>
      </c>
      <c r="AF1451" s="5" t="s">
        <v>241</v>
      </c>
      <c r="AH1451" s="5" t="s">
        <v>241</v>
      </c>
      <c r="AI1451" s="5" t="s">
        <v>249</v>
      </c>
      <c r="AJ1451" s="4" t="s">
        <v>251</v>
      </c>
      <c r="AK1451" s="4" t="s">
        <v>252</v>
      </c>
      <c r="AQ1451" s="4" t="s">
        <v>241</v>
      </c>
      <c r="AR1451" s="4" t="s">
        <v>241</v>
      </c>
      <c r="AS1451" s="4" t="s">
        <v>241</v>
      </c>
      <c r="AT1451" s="5" t="s">
        <v>241</v>
      </c>
      <c r="AU1451" s="5" t="s">
        <v>241</v>
      </c>
      <c r="AV1451" s="5" t="s">
        <v>241</v>
      </c>
      <c r="AY1451" s="4" t="s">
        <v>286</v>
      </c>
      <c r="AZ1451" s="4" t="s">
        <v>286</v>
      </c>
      <c r="BA1451" s="4" t="s">
        <v>254</v>
      </c>
      <c r="BB1451" s="4" t="s">
        <v>287</v>
      </c>
      <c r="BC1451" s="4" t="s">
        <v>255</v>
      </c>
      <c r="BD1451" s="4" t="s">
        <v>241</v>
      </c>
      <c r="BE1451" s="4" t="s">
        <v>257</v>
      </c>
      <c r="BF1451" s="4" t="s">
        <v>241</v>
      </c>
      <c r="BJ1451" s="4" t="s">
        <v>288</v>
      </c>
      <c r="BK1451" s="5" t="s">
        <v>289</v>
      </c>
      <c r="BL1451" s="4" t="s">
        <v>290</v>
      </c>
      <c r="BM1451" s="4" t="s">
        <v>290</v>
      </c>
      <c r="BN1451" s="4" t="s">
        <v>241</v>
      </c>
      <c r="BO1451" s="6">
        <f>0</f>
        <v>0</v>
      </c>
      <c r="BP1451" s="6">
        <f>-7316364</f>
        <v>-7316364</v>
      </c>
      <c r="BQ1451" s="4" t="s">
        <v>263</v>
      </c>
      <c r="BR1451" s="4" t="s">
        <v>264</v>
      </c>
      <c r="BS1451" s="4" t="s">
        <v>241</v>
      </c>
      <c r="BT1451" s="4" t="s">
        <v>241</v>
      </c>
      <c r="BU1451" s="4" t="s">
        <v>241</v>
      </c>
      <c r="BV1451" s="4" t="s">
        <v>241</v>
      </c>
      <c r="CE1451" s="4" t="s">
        <v>264</v>
      </c>
      <c r="CF1451" s="4" t="s">
        <v>241</v>
      </c>
      <c r="CG1451" s="4" t="s">
        <v>241</v>
      </c>
      <c r="CK1451" s="4" t="s">
        <v>291</v>
      </c>
      <c r="CL1451" s="4" t="s">
        <v>266</v>
      </c>
      <c r="CM1451" s="4" t="s">
        <v>241</v>
      </c>
      <c r="CO1451" s="4" t="s">
        <v>383</v>
      </c>
      <c r="CP1451" s="5" t="s">
        <v>268</v>
      </c>
      <c r="CQ1451" s="4" t="s">
        <v>269</v>
      </c>
      <c r="CR1451" s="4" t="s">
        <v>270</v>
      </c>
      <c r="CS1451" s="4" t="s">
        <v>293</v>
      </c>
      <c r="CT1451" s="4" t="s">
        <v>241</v>
      </c>
      <c r="CU1451" s="4">
        <v>2.1999999999999999E-2</v>
      </c>
      <c r="CV1451" s="4" t="s">
        <v>271</v>
      </c>
      <c r="CW1451" s="4" t="s">
        <v>655</v>
      </c>
      <c r="CX1451" s="4" t="s">
        <v>295</v>
      </c>
      <c r="CY1451" s="6">
        <f>0</f>
        <v>0</v>
      </c>
      <c r="CZ1451" s="6">
        <f>332562000</f>
        <v>332562000</v>
      </c>
      <c r="DA1451" s="6">
        <f>98438352</f>
        <v>98438352</v>
      </c>
      <c r="DC1451" s="4" t="s">
        <v>241</v>
      </c>
      <c r="DD1451" s="4" t="s">
        <v>241</v>
      </c>
      <c r="DF1451" s="4" t="s">
        <v>241</v>
      </c>
      <c r="DG1451" s="6">
        <f>0</f>
        <v>0</v>
      </c>
      <c r="DI1451" s="4" t="s">
        <v>241</v>
      </c>
      <c r="DJ1451" s="4" t="s">
        <v>241</v>
      </c>
      <c r="DK1451" s="4" t="s">
        <v>241</v>
      </c>
      <c r="DL1451" s="4" t="s">
        <v>241</v>
      </c>
      <c r="DM1451" s="4" t="s">
        <v>323</v>
      </c>
      <c r="DN1451" s="4" t="s">
        <v>278</v>
      </c>
      <c r="DO1451" s="6">
        <f>1289</f>
        <v>1289</v>
      </c>
      <c r="DP1451" s="4" t="s">
        <v>241</v>
      </c>
      <c r="DQ1451" s="4" t="s">
        <v>241</v>
      </c>
      <c r="DR1451" s="4" t="s">
        <v>241</v>
      </c>
      <c r="DS1451" s="4" t="s">
        <v>241</v>
      </c>
      <c r="DV1451" s="4" t="s">
        <v>847</v>
      </c>
      <c r="DW1451" s="4" t="s">
        <v>277</v>
      </c>
      <c r="GN1451" s="4" t="s">
        <v>848</v>
      </c>
      <c r="HO1451" s="4" t="s">
        <v>300</v>
      </c>
      <c r="HR1451" s="4" t="s">
        <v>278</v>
      </c>
      <c r="HS1451" s="4" t="s">
        <v>278</v>
      </c>
      <c r="HT1451" s="4" t="s">
        <v>241</v>
      </c>
      <c r="HU1451" s="4" t="s">
        <v>241</v>
      </c>
      <c r="HV1451" s="4" t="s">
        <v>241</v>
      </c>
      <c r="HW1451" s="4" t="s">
        <v>241</v>
      </c>
      <c r="HX1451" s="4" t="s">
        <v>241</v>
      </c>
      <c r="HY1451" s="4" t="s">
        <v>241</v>
      </c>
      <c r="HZ1451" s="4" t="s">
        <v>241</v>
      </c>
      <c r="IA1451" s="4" t="s">
        <v>241</v>
      </c>
      <c r="IB1451" s="4" t="s">
        <v>241</v>
      </c>
      <c r="IC1451" s="4" t="s">
        <v>241</v>
      </c>
      <c r="ID1451" s="4" t="s">
        <v>241</v>
      </c>
      <c r="IE1451" s="4" t="s">
        <v>241</v>
      </c>
      <c r="IF1451" s="4" t="s">
        <v>241</v>
      </c>
    </row>
    <row r="1452" spans="1:240" x14ac:dyDescent="0.4">
      <c r="A1452" s="4">
        <v>2</v>
      </c>
      <c r="B1452" s="4" t="s">
        <v>239</v>
      </c>
      <c r="C1452" s="4">
        <v>1778</v>
      </c>
      <c r="D1452" s="4">
        <v>1</v>
      </c>
      <c r="E1452" s="4">
        <v>1</v>
      </c>
      <c r="F1452" s="4" t="s">
        <v>240</v>
      </c>
      <c r="G1452" s="4" t="s">
        <v>241</v>
      </c>
      <c r="H1452" s="4" t="s">
        <v>241</v>
      </c>
      <c r="I1452" s="4" t="s">
        <v>844</v>
      </c>
      <c r="J1452" s="4" t="s">
        <v>673</v>
      </c>
      <c r="K1452" s="4" t="s">
        <v>578</v>
      </c>
      <c r="L1452" s="4" t="s">
        <v>429</v>
      </c>
      <c r="M1452" s="5" t="s">
        <v>846</v>
      </c>
      <c r="N1452" s="4" t="s">
        <v>429</v>
      </c>
      <c r="O1452" s="6">
        <f>22</f>
        <v>22</v>
      </c>
      <c r="P1452" s="4" t="s">
        <v>276</v>
      </c>
      <c r="Q1452" s="6">
        <f>1</f>
        <v>1</v>
      </c>
      <c r="R1452" s="6">
        <f>5500000</f>
        <v>5500000</v>
      </c>
      <c r="S1452" s="5" t="s">
        <v>3079</v>
      </c>
      <c r="T1452" s="4" t="s">
        <v>274</v>
      </c>
      <c r="U1452" s="4" t="s">
        <v>404</v>
      </c>
      <c r="W1452" s="6">
        <f>5499999</f>
        <v>5499999</v>
      </c>
      <c r="X1452" s="4" t="s">
        <v>243</v>
      </c>
      <c r="Y1452" s="4" t="s">
        <v>244</v>
      </c>
      <c r="Z1452" s="4" t="s">
        <v>282</v>
      </c>
      <c r="AA1452" s="4" t="s">
        <v>241</v>
      </c>
      <c r="AD1452" s="4" t="s">
        <v>241</v>
      </c>
      <c r="AF1452" s="5" t="s">
        <v>241</v>
      </c>
      <c r="AI1452" s="5" t="s">
        <v>249</v>
      </c>
      <c r="AJ1452" s="4" t="s">
        <v>251</v>
      </c>
      <c r="AK1452" s="4" t="s">
        <v>252</v>
      </c>
      <c r="BA1452" s="4" t="s">
        <v>254</v>
      </c>
      <c r="BB1452" s="4" t="s">
        <v>241</v>
      </c>
      <c r="BC1452" s="4" t="s">
        <v>255</v>
      </c>
      <c r="BD1452" s="4" t="s">
        <v>241</v>
      </c>
      <c r="BE1452" s="4" t="s">
        <v>257</v>
      </c>
      <c r="BF1452" s="4" t="s">
        <v>241</v>
      </c>
      <c r="BJ1452" s="4" t="s">
        <v>377</v>
      </c>
      <c r="BK1452" s="5" t="s">
        <v>378</v>
      </c>
      <c r="BL1452" s="4" t="s">
        <v>261</v>
      </c>
      <c r="BM1452" s="4" t="s">
        <v>262</v>
      </c>
      <c r="BN1452" s="4" t="s">
        <v>241</v>
      </c>
      <c r="BO1452" s="6">
        <f>0</f>
        <v>0</v>
      </c>
      <c r="BP1452" s="6">
        <f>0</f>
        <v>0</v>
      </c>
      <c r="BQ1452" s="4" t="s">
        <v>263</v>
      </c>
      <c r="BR1452" s="4" t="s">
        <v>264</v>
      </c>
      <c r="CF1452" s="4" t="s">
        <v>241</v>
      </c>
      <c r="CG1452" s="4" t="s">
        <v>241</v>
      </c>
      <c r="CK1452" s="4" t="s">
        <v>291</v>
      </c>
      <c r="CL1452" s="4" t="s">
        <v>266</v>
      </c>
      <c r="CM1452" s="4" t="s">
        <v>241</v>
      </c>
      <c r="CO1452" s="4" t="s">
        <v>468</v>
      </c>
      <c r="CP1452" s="5" t="s">
        <v>268</v>
      </c>
      <c r="CQ1452" s="4" t="s">
        <v>269</v>
      </c>
      <c r="CR1452" s="4" t="s">
        <v>270</v>
      </c>
      <c r="CS1452" s="4" t="s">
        <v>241</v>
      </c>
      <c r="CT1452" s="4" t="s">
        <v>241</v>
      </c>
      <c r="CU1452" s="4">
        <v>0</v>
      </c>
      <c r="CV1452" s="4" t="s">
        <v>271</v>
      </c>
      <c r="CW1452" s="4" t="s">
        <v>272</v>
      </c>
      <c r="CX1452" s="4" t="s">
        <v>273</v>
      </c>
      <c r="CZ1452" s="6">
        <f>5500000</f>
        <v>5500000</v>
      </c>
      <c r="DA1452" s="6">
        <f>0</f>
        <v>0</v>
      </c>
      <c r="DC1452" s="4" t="s">
        <v>241</v>
      </c>
      <c r="DD1452" s="4" t="s">
        <v>241</v>
      </c>
      <c r="DF1452" s="4" t="s">
        <v>241</v>
      </c>
      <c r="DI1452" s="4" t="s">
        <v>241</v>
      </c>
      <c r="DJ1452" s="4" t="s">
        <v>241</v>
      </c>
      <c r="DK1452" s="4" t="s">
        <v>241</v>
      </c>
      <c r="DL1452" s="4" t="s">
        <v>241</v>
      </c>
      <c r="DM1452" s="4" t="s">
        <v>277</v>
      </c>
      <c r="DN1452" s="4" t="s">
        <v>278</v>
      </c>
      <c r="DO1452" s="6">
        <f>22</f>
        <v>22</v>
      </c>
      <c r="DP1452" s="4" t="s">
        <v>241</v>
      </c>
      <c r="DQ1452" s="4" t="s">
        <v>241</v>
      </c>
      <c r="DR1452" s="4" t="s">
        <v>241</v>
      </c>
      <c r="DS1452" s="4" t="s">
        <v>241</v>
      </c>
      <c r="DV1452" s="4" t="s">
        <v>847</v>
      </c>
      <c r="DW1452" s="4" t="s">
        <v>323</v>
      </c>
      <c r="HO1452" s="4" t="s">
        <v>277</v>
      </c>
      <c r="HR1452" s="4" t="s">
        <v>278</v>
      </c>
      <c r="HS1452" s="4" t="s">
        <v>278</v>
      </c>
    </row>
    <row r="1453" spans="1:240" x14ac:dyDescent="0.4">
      <c r="A1453" s="4">
        <v>2</v>
      </c>
      <c r="B1453" s="4" t="s">
        <v>239</v>
      </c>
      <c r="C1453" s="4">
        <v>1779</v>
      </c>
      <c r="D1453" s="4">
        <v>1</v>
      </c>
      <c r="E1453" s="4">
        <v>3</v>
      </c>
      <c r="F1453" s="4" t="s">
        <v>240</v>
      </c>
      <c r="G1453" s="4" t="s">
        <v>241</v>
      </c>
      <c r="H1453" s="4" t="s">
        <v>241</v>
      </c>
      <c r="I1453" s="4" t="s">
        <v>844</v>
      </c>
      <c r="J1453" s="4" t="s">
        <v>673</v>
      </c>
      <c r="K1453" s="4" t="s">
        <v>578</v>
      </c>
      <c r="L1453" s="4" t="s">
        <v>1003</v>
      </c>
      <c r="M1453" s="5" t="s">
        <v>846</v>
      </c>
      <c r="N1453" s="4" t="s">
        <v>1003</v>
      </c>
      <c r="O1453" s="6">
        <f>556</f>
        <v>556</v>
      </c>
      <c r="P1453" s="4" t="s">
        <v>276</v>
      </c>
      <c r="Q1453" s="6">
        <f>71612800</f>
        <v>71612800</v>
      </c>
      <c r="R1453" s="6">
        <f>127880000</f>
        <v>127880000</v>
      </c>
      <c r="S1453" s="5" t="s">
        <v>1126</v>
      </c>
      <c r="T1453" s="4" t="s">
        <v>668</v>
      </c>
      <c r="U1453" s="4" t="s">
        <v>379</v>
      </c>
      <c r="V1453" s="6">
        <f>2813360</f>
        <v>2813360</v>
      </c>
      <c r="W1453" s="6">
        <f>56267200</f>
        <v>56267200</v>
      </c>
      <c r="X1453" s="4" t="s">
        <v>243</v>
      </c>
      <c r="Y1453" s="4" t="s">
        <v>244</v>
      </c>
      <c r="Z1453" s="4" t="s">
        <v>282</v>
      </c>
      <c r="AA1453" s="4" t="s">
        <v>241</v>
      </c>
      <c r="AD1453" s="4" t="s">
        <v>241</v>
      </c>
      <c r="AE1453" s="5" t="s">
        <v>241</v>
      </c>
      <c r="AF1453" s="5" t="s">
        <v>241</v>
      </c>
      <c r="AH1453" s="5" t="s">
        <v>241</v>
      </c>
      <c r="AI1453" s="5" t="s">
        <v>249</v>
      </c>
      <c r="AJ1453" s="4" t="s">
        <v>251</v>
      </c>
      <c r="AK1453" s="4" t="s">
        <v>252</v>
      </c>
      <c r="AQ1453" s="4" t="s">
        <v>241</v>
      </c>
      <c r="AR1453" s="4" t="s">
        <v>241</v>
      </c>
      <c r="AS1453" s="4" t="s">
        <v>241</v>
      </c>
      <c r="AT1453" s="5" t="s">
        <v>241</v>
      </c>
      <c r="AU1453" s="5" t="s">
        <v>241</v>
      </c>
      <c r="AV1453" s="5" t="s">
        <v>241</v>
      </c>
      <c r="AY1453" s="4" t="s">
        <v>286</v>
      </c>
      <c r="AZ1453" s="4" t="s">
        <v>286</v>
      </c>
      <c r="BA1453" s="4" t="s">
        <v>254</v>
      </c>
      <c r="BB1453" s="4" t="s">
        <v>287</v>
      </c>
      <c r="BC1453" s="4" t="s">
        <v>255</v>
      </c>
      <c r="BD1453" s="4" t="s">
        <v>241</v>
      </c>
      <c r="BE1453" s="4" t="s">
        <v>257</v>
      </c>
      <c r="BF1453" s="4" t="s">
        <v>241</v>
      </c>
      <c r="BJ1453" s="4" t="s">
        <v>288</v>
      </c>
      <c r="BK1453" s="5" t="s">
        <v>289</v>
      </c>
      <c r="BL1453" s="4" t="s">
        <v>290</v>
      </c>
      <c r="BM1453" s="4" t="s">
        <v>290</v>
      </c>
      <c r="BN1453" s="4" t="s">
        <v>241</v>
      </c>
      <c r="BO1453" s="6">
        <f>0</f>
        <v>0</v>
      </c>
      <c r="BP1453" s="6">
        <f>-2813360</f>
        <v>-2813360</v>
      </c>
      <c r="BQ1453" s="4" t="s">
        <v>263</v>
      </c>
      <c r="BR1453" s="4" t="s">
        <v>264</v>
      </c>
      <c r="BS1453" s="4" t="s">
        <v>241</v>
      </c>
      <c r="BT1453" s="4" t="s">
        <v>241</v>
      </c>
      <c r="BU1453" s="4" t="s">
        <v>241</v>
      </c>
      <c r="BV1453" s="4" t="s">
        <v>241</v>
      </c>
      <c r="CE1453" s="4" t="s">
        <v>264</v>
      </c>
      <c r="CF1453" s="4" t="s">
        <v>241</v>
      </c>
      <c r="CG1453" s="4" t="s">
        <v>241</v>
      </c>
      <c r="CK1453" s="4" t="s">
        <v>291</v>
      </c>
      <c r="CL1453" s="4" t="s">
        <v>266</v>
      </c>
      <c r="CM1453" s="4" t="s">
        <v>241</v>
      </c>
      <c r="CO1453" s="4" t="s">
        <v>1127</v>
      </c>
      <c r="CP1453" s="5" t="s">
        <v>268</v>
      </c>
      <c r="CQ1453" s="4" t="s">
        <v>269</v>
      </c>
      <c r="CR1453" s="4" t="s">
        <v>270</v>
      </c>
      <c r="CS1453" s="4" t="s">
        <v>293</v>
      </c>
      <c r="CT1453" s="4" t="s">
        <v>241</v>
      </c>
      <c r="CU1453" s="4">
        <v>2.1999999999999999E-2</v>
      </c>
      <c r="CV1453" s="4" t="s">
        <v>271</v>
      </c>
      <c r="CW1453" s="4" t="s">
        <v>1006</v>
      </c>
      <c r="CX1453" s="4" t="s">
        <v>295</v>
      </c>
      <c r="CY1453" s="6">
        <f>0</f>
        <v>0</v>
      </c>
      <c r="CZ1453" s="6">
        <f>127880000</f>
        <v>127880000</v>
      </c>
      <c r="DA1453" s="6">
        <f>71612800</f>
        <v>71612800</v>
      </c>
      <c r="DC1453" s="4" t="s">
        <v>241</v>
      </c>
      <c r="DD1453" s="4" t="s">
        <v>241</v>
      </c>
      <c r="DF1453" s="4" t="s">
        <v>241</v>
      </c>
      <c r="DG1453" s="6">
        <f>0</f>
        <v>0</v>
      </c>
      <c r="DI1453" s="4" t="s">
        <v>241</v>
      </c>
      <c r="DJ1453" s="4" t="s">
        <v>241</v>
      </c>
      <c r="DK1453" s="4" t="s">
        <v>241</v>
      </c>
      <c r="DL1453" s="4" t="s">
        <v>241</v>
      </c>
      <c r="DM1453" s="4" t="s">
        <v>277</v>
      </c>
      <c r="DN1453" s="4" t="s">
        <v>278</v>
      </c>
      <c r="DO1453" s="6">
        <f>556</f>
        <v>556</v>
      </c>
      <c r="DP1453" s="4" t="s">
        <v>241</v>
      </c>
      <c r="DQ1453" s="4" t="s">
        <v>241</v>
      </c>
      <c r="DR1453" s="4" t="s">
        <v>241</v>
      </c>
      <c r="DS1453" s="4" t="s">
        <v>241</v>
      </c>
      <c r="DV1453" s="4" t="s">
        <v>847</v>
      </c>
      <c r="DW1453" s="4" t="s">
        <v>297</v>
      </c>
      <c r="GN1453" s="4" t="s">
        <v>1128</v>
      </c>
      <c r="HO1453" s="4" t="s">
        <v>300</v>
      </c>
      <c r="HR1453" s="4" t="s">
        <v>278</v>
      </c>
      <c r="HS1453" s="4" t="s">
        <v>278</v>
      </c>
      <c r="HT1453" s="4" t="s">
        <v>241</v>
      </c>
      <c r="HU1453" s="4" t="s">
        <v>241</v>
      </c>
      <c r="HV1453" s="4" t="s">
        <v>241</v>
      </c>
      <c r="HW1453" s="4" t="s">
        <v>241</v>
      </c>
      <c r="HX1453" s="4" t="s">
        <v>241</v>
      </c>
      <c r="HY1453" s="4" t="s">
        <v>241</v>
      </c>
      <c r="HZ1453" s="4" t="s">
        <v>241</v>
      </c>
      <c r="IA1453" s="4" t="s">
        <v>241</v>
      </c>
      <c r="IB1453" s="4" t="s">
        <v>241</v>
      </c>
      <c r="IC1453" s="4" t="s">
        <v>241</v>
      </c>
      <c r="ID1453" s="4" t="s">
        <v>241</v>
      </c>
      <c r="IE1453" s="4" t="s">
        <v>241</v>
      </c>
      <c r="IF1453" s="4" t="s">
        <v>241</v>
      </c>
    </row>
    <row r="1454" spans="1:240" x14ac:dyDescent="0.4">
      <c r="A1454" s="4">
        <v>2</v>
      </c>
      <c r="B1454" s="4" t="s">
        <v>239</v>
      </c>
      <c r="C1454" s="4">
        <v>1780</v>
      </c>
      <c r="D1454" s="4">
        <v>1</v>
      </c>
      <c r="E1454" s="4">
        <v>1</v>
      </c>
      <c r="F1454" s="4" t="s">
        <v>240</v>
      </c>
      <c r="G1454" s="4" t="s">
        <v>241</v>
      </c>
      <c r="H1454" s="4" t="s">
        <v>241</v>
      </c>
      <c r="I1454" s="4" t="s">
        <v>844</v>
      </c>
      <c r="J1454" s="4" t="s">
        <v>673</v>
      </c>
      <c r="K1454" s="4" t="s">
        <v>578</v>
      </c>
      <c r="L1454" s="4" t="s">
        <v>2529</v>
      </c>
      <c r="M1454" s="5" t="s">
        <v>846</v>
      </c>
      <c r="N1454" s="4" t="s">
        <v>2529</v>
      </c>
      <c r="O1454" s="6">
        <f>49</f>
        <v>49</v>
      </c>
      <c r="P1454" s="4" t="s">
        <v>276</v>
      </c>
      <c r="Q1454" s="6">
        <f>1</f>
        <v>1</v>
      </c>
      <c r="R1454" s="6">
        <f>7987000</f>
        <v>7987000</v>
      </c>
      <c r="S1454" s="5" t="s">
        <v>2927</v>
      </c>
      <c r="T1454" s="4" t="s">
        <v>348</v>
      </c>
      <c r="U1454" s="4" t="s">
        <v>404</v>
      </c>
      <c r="W1454" s="6">
        <f>7986999</f>
        <v>7986999</v>
      </c>
      <c r="X1454" s="4" t="s">
        <v>243</v>
      </c>
      <c r="Y1454" s="4" t="s">
        <v>244</v>
      </c>
      <c r="Z1454" s="4" t="s">
        <v>282</v>
      </c>
      <c r="AA1454" s="4" t="s">
        <v>241</v>
      </c>
      <c r="AD1454" s="4" t="s">
        <v>241</v>
      </c>
      <c r="AF1454" s="5" t="s">
        <v>241</v>
      </c>
      <c r="AI1454" s="5" t="s">
        <v>249</v>
      </c>
      <c r="AJ1454" s="4" t="s">
        <v>251</v>
      </c>
      <c r="AK1454" s="4" t="s">
        <v>252</v>
      </c>
      <c r="BA1454" s="4" t="s">
        <v>254</v>
      </c>
      <c r="BB1454" s="4" t="s">
        <v>241</v>
      </c>
      <c r="BC1454" s="4" t="s">
        <v>255</v>
      </c>
      <c r="BD1454" s="4" t="s">
        <v>241</v>
      </c>
      <c r="BE1454" s="4" t="s">
        <v>257</v>
      </c>
      <c r="BF1454" s="4" t="s">
        <v>241</v>
      </c>
      <c r="BJ1454" s="4" t="s">
        <v>374</v>
      </c>
      <c r="BK1454" s="5" t="s">
        <v>375</v>
      </c>
      <c r="BL1454" s="4" t="s">
        <v>261</v>
      </c>
      <c r="BM1454" s="4" t="s">
        <v>262</v>
      </c>
      <c r="BN1454" s="4" t="s">
        <v>241</v>
      </c>
      <c r="BO1454" s="6">
        <f>0</f>
        <v>0</v>
      </c>
      <c r="BP1454" s="6">
        <f>0</f>
        <v>0</v>
      </c>
      <c r="BQ1454" s="4" t="s">
        <v>263</v>
      </c>
      <c r="BR1454" s="4" t="s">
        <v>264</v>
      </c>
      <c r="CF1454" s="4" t="s">
        <v>241</v>
      </c>
      <c r="CG1454" s="4" t="s">
        <v>241</v>
      </c>
      <c r="CK1454" s="4" t="s">
        <v>291</v>
      </c>
      <c r="CL1454" s="4" t="s">
        <v>266</v>
      </c>
      <c r="CM1454" s="4" t="s">
        <v>241</v>
      </c>
      <c r="CO1454" s="4" t="s">
        <v>468</v>
      </c>
      <c r="CP1454" s="5" t="s">
        <v>268</v>
      </c>
      <c r="CQ1454" s="4" t="s">
        <v>269</v>
      </c>
      <c r="CR1454" s="4" t="s">
        <v>270</v>
      </c>
      <c r="CS1454" s="4" t="s">
        <v>241</v>
      </c>
      <c r="CT1454" s="4" t="s">
        <v>241</v>
      </c>
      <c r="CU1454" s="4">
        <v>0</v>
      </c>
      <c r="CV1454" s="4" t="s">
        <v>271</v>
      </c>
      <c r="CW1454" s="4" t="s">
        <v>415</v>
      </c>
      <c r="CX1454" s="4" t="s">
        <v>416</v>
      </c>
      <c r="CZ1454" s="6">
        <f>7987000</f>
        <v>7987000</v>
      </c>
      <c r="DA1454" s="6">
        <f>0</f>
        <v>0</v>
      </c>
      <c r="DC1454" s="4" t="s">
        <v>241</v>
      </c>
      <c r="DD1454" s="4" t="s">
        <v>241</v>
      </c>
      <c r="DF1454" s="4" t="s">
        <v>241</v>
      </c>
      <c r="DI1454" s="4" t="s">
        <v>241</v>
      </c>
      <c r="DJ1454" s="4" t="s">
        <v>241</v>
      </c>
      <c r="DK1454" s="4" t="s">
        <v>241</v>
      </c>
      <c r="DL1454" s="4" t="s">
        <v>241</v>
      </c>
      <c r="DM1454" s="4" t="s">
        <v>277</v>
      </c>
      <c r="DN1454" s="4" t="s">
        <v>278</v>
      </c>
      <c r="DO1454" s="6">
        <f>49</f>
        <v>49</v>
      </c>
      <c r="DP1454" s="4" t="s">
        <v>241</v>
      </c>
      <c r="DQ1454" s="4" t="s">
        <v>241</v>
      </c>
      <c r="DR1454" s="4" t="s">
        <v>241</v>
      </c>
      <c r="DS1454" s="4" t="s">
        <v>241</v>
      </c>
      <c r="DV1454" s="4" t="s">
        <v>847</v>
      </c>
      <c r="DW1454" s="4" t="s">
        <v>336</v>
      </c>
      <c r="HO1454" s="4" t="s">
        <v>277</v>
      </c>
      <c r="HR1454" s="4" t="s">
        <v>278</v>
      </c>
      <c r="HS1454" s="4" t="s">
        <v>278</v>
      </c>
    </row>
    <row r="1455" spans="1:240" x14ac:dyDescent="0.4">
      <c r="A1455" s="4">
        <v>2</v>
      </c>
      <c r="B1455" s="4" t="s">
        <v>239</v>
      </c>
      <c r="C1455" s="4">
        <v>1781</v>
      </c>
      <c r="D1455" s="4">
        <v>1</v>
      </c>
      <c r="E1455" s="4">
        <v>1</v>
      </c>
      <c r="F1455" s="4" t="s">
        <v>240</v>
      </c>
      <c r="G1455" s="4" t="s">
        <v>241</v>
      </c>
      <c r="H1455" s="4" t="s">
        <v>241</v>
      </c>
      <c r="I1455" s="4" t="s">
        <v>1121</v>
      </c>
      <c r="J1455" s="4" t="s">
        <v>458</v>
      </c>
      <c r="K1455" s="4" t="s">
        <v>578</v>
      </c>
      <c r="L1455" s="4" t="s">
        <v>2529</v>
      </c>
      <c r="M1455" s="5" t="s">
        <v>1123</v>
      </c>
      <c r="N1455" s="4" t="s">
        <v>2529</v>
      </c>
      <c r="O1455" s="6">
        <f>51</f>
        <v>51</v>
      </c>
      <c r="P1455" s="4" t="s">
        <v>276</v>
      </c>
      <c r="Q1455" s="6">
        <f>1</f>
        <v>1</v>
      </c>
      <c r="R1455" s="6">
        <f>6630000</f>
        <v>6630000</v>
      </c>
      <c r="S1455" s="5" t="s">
        <v>2926</v>
      </c>
      <c r="T1455" s="4" t="s">
        <v>348</v>
      </c>
      <c r="U1455" s="4" t="s">
        <v>613</v>
      </c>
      <c r="W1455" s="6">
        <f>6629999</f>
        <v>6629999</v>
      </c>
      <c r="X1455" s="4" t="s">
        <v>243</v>
      </c>
      <c r="Y1455" s="4" t="s">
        <v>244</v>
      </c>
      <c r="Z1455" s="4" t="s">
        <v>282</v>
      </c>
      <c r="AA1455" s="4" t="s">
        <v>241</v>
      </c>
      <c r="AD1455" s="4" t="s">
        <v>241</v>
      </c>
      <c r="AF1455" s="5" t="s">
        <v>241</v>
      </c>
      <c r="AI1455" s="5" t="s">
        <v>249</v>
      </c>
      <c r="AJ1455" s="4" t="s">
        <v>251</v>
      </c>
      <c r="AK1455" s="4" t="s">
        <v>252</v>
      </c>
      <c r="BA1455" s="4" t="s">
        <v>254</v>
      </c>
      <c r="BB1455" s="4" t="s">
        <v>241</v>
      </c>
      <c r="BC1455" s="4" t="s">
        <v>255</v>
      </c>
      <c r="BD1455" s="4" t="s">
        <v>241</v>
      </c>
      <c r="BE1455" s="4" t="s">
        <v>257</v>
      </c>
      <c r="BF1455" s="4" t="s">
        <v>241</v>
      </c>
      <c r="BJ1455" s="4" t="s">
        <v>377</v>
      </c>
      <c r="BK1455" s="5" t="s">
        <v>378</v>
      </c>
      <c r="BL1455" s="4" t="s">
        <v>261</v>
      </c>
      <c r="BM1455" s="4" t="s">
        <v>262</v>
      </c>
      <c r="BN1455" s="4" t="s">
        <v>241</v>
      </c>
      <c r="BO1455" s="6">
        <f>0</f>
        <v>0</v>
      </c>
      <c r="BP1455" s="6">
        <f>0</f>
        <v>0</v>
      </c>
      <c r="BQ1455" s="4" t="s">
        <v>263</v>
      </c>
      <c r="BR1455" s="4" t="s">
        <v>264</v>
      </c>
      <c r="CF1455" s="4" t="s">
        <v>241</v>
      </c>
      <c r="CG1455" s="4" t="s">
        <v>241</v>
      </c>
      <c r="CK1455" s="4" t="s">
        <v>265</v>
      </c>
      <c r="CL1455" s="4" t="s">
        <v>266</v>
      </c>
      <c r="CM1455" s="4" t="s">
        <v>241</v>
      </c>
      <c r="CO1455" s="4" t="s">
        <v>612</v>
      </c>
      <c r="CP1455" s="5" t="s">
        <v>268</v>
      </c>
      <c r="CQ1455" s="4" t="s">
        <v>269</v>
      </c>
      <c r="CR1455" s="4" t="s">
        <v>270</v>
      </c>
      <c r="CS1455" s="4" t="s">
        <v>241</v>
      </c>
      <c r="CT1455" s="4" t="s">
        <v>241</v>
      </c>
      <c r="CU1455" s="4">
        <v>0</v>
      </c>
      <c r="CV1455" s="4" t="s">
        <v>271</v>
      </c>
      <c r="CW1455" s="4" t="s">
        <v>415</v>
      </c>
      <c r="CX1455" s="4" t="s">
        <v>416</v>
      </c>
      <c r="CZ1455" s="6">
        <f>6630000</f>
        <v>6630000</v>
      </c>
      <c r="DA1455" s="6">
        <f>0</f>
        <v>0</v>
      </c>
      <c r="DC1455" s="4" t="s">
        <v>241</v>
      </c>
      <c r="DD1455" s="4" t="s">
        <v>241</v>
      </c>
      <c r="DF1455" s="4" t="s">
        <v>241</v>
      </c>
      <c r="DI1455" s="4" t="s">
        <v>241</v>
      </c>
      <c r="DJ1455" s="4" t="s">
        <v>241</v>
      </c>
      <c r="DK1455" s="4" t="s">
        <v>241</v>
      </c>
      <c r="DL1455" s="4" t="s">
        <v>241</v>
      </c>
      <c r="DM1455" s="4" t="s">
        <v>277</v>
      </c>
      <c r="DN1455" s="4" t="s">
        <v>278</v>
      </c>
      <c r="DO1455" s="6">
        <f>51</f>
        <v>51</v>
      </c>
      <c r="DP1455" s="4" t="s">
        <v>241</v>
      </c>
      <c r="DQ1455" s="4" t="s">
        <v>241</v>
      </c>
      <c r="DR1455" s="4" t="s">
        <v>241</v>
      </c>
      <c r="DS1455" s="4" t="s">
        <v>241</v>
      </c>
      <c r="DV1455" s="4" t="s">
        <v>1124</v>
      </c>
      <c r="DW1455" s="4" t="s">
        <v>277</v>
      </c>
      <c r="HO1455" s="4" t="s">
        <v>277</v>
      </c>
      <c r="HR1455" s="4" t="s">
        <v>278</v>
      </c>
      <c r="HS1455" s="4" t="s">
        <v>278</v>
      </c>
    </row>
    <row r="1456" spans="1:240" x14ac:dyDescent="0.4">
      <c r="A1456" s="4">
        <v>2</v>
      </c>
      <c r="B1456" s="4" t="s">
        <v>239</v>
      </c>
      <c r="C1456" s="4">
        <v>1782</v>
      </c>
      <c r="D1456" s="4">
        <v>1</v>
      </c>
      <c r="E1456" s="4">
        <v>7</v>
      </c>
      <c r="F1456" s="4" t="s">
        <v>240</v>
      </c>
      <c r="G1456" s="4" t="s">
        <v>241</v>
      </c>
      <c r="H1456" s="4" t="s">
        <v>241</v>
      </c>
      <c r="I1456" s="4" t="s">
        <v>1121</v>
      </c>
      <c r="J1456" s="4" t="s">
        <v>458</v>
      </c>
      <c r="K1456" s="4" t="s">
        <v>578</v>
      </c>
      <c r="L1456" s="4" t="s">
        <v>1003</v>
      </c>
      <c r="M1456" s="5" t="s">
        <v>1123</v>
      </c>
      <c r="N1456" s="4" t="s">
        <v>1003</v>
      </c>
      <c r="O1456" s="6">
        <f>806</f>
        <v>806</v>
      </c>
      <c r="P1456" s="4" t="s">
        <v>276</v>
      </c>
      <c r="Q1456" s="6">
        <f>59734272</f>
        <v>59734272</v>
      </c>
      <c r="R1456" s="6">
        <f>155558000</f>
        <v>155558000</v>
      </c>
      <c r="S1456" s="5" t="s">
        <v>1122</v>
      </c>
      <c r="T1456" s="4" t="s">
        <v>668</v>
      </c>
      <c r="U1456" s="4" t="s">
        <v>358</v>
      </c>
      <c r="V1456" s="6">
        <f>3422276</f>
        <v>3422276</v>
      </c>
      <c r="W1456" s="6">
        <f>95823728</f>
        <v>95823728</v>
      </c>
      <c r="X1456" s="4" t="s">
        <v>243</v>
      </c>
      <c r="Y1456" s="4" t="s">
        <v>244</v>
      </c>
      <c r="Z1456" s="4" t="s">
        <v>282</v>
      </c>
      <c r="AA1456" s="4" t="s">
        <v>241</v>
      </c>
      <c r="AD1456" s="4" t="s">
        <v>241</v>
      </c>
      <c r="AE1456" s="5" t="s">
        <v>241</v>
      </c>
      <c r="AF1456" s="5" t="s">
        <v>241</v>
      </c>
      <c r="AH1456" s="5" t="s">
        <v>241</v>
      </c>
      <c r="AI1456" s="5" t="s">
        <v>249</v>
      </c>
      <c r="AJ1456" s="4" t="s">
        <v>251</v>
      </c>
      <c r="AK1456" s="4" t="s">
        <v>252</v>
      </c>
      <c r="AQ1456" s="4" t="s">
        <v>241</v>
      </c>
      <c r="AR1456" s="4" t="s">
        <v>241</v>
      </c>
      <c r="AS1456" s="4" t="s">
        <v>241</v>
      </c>
      <c r="AT1456" s="5" t="s">
        <v>241</v>
      </c>
      <c r="AU1456" s="5" t="s">
        <v>241</v>
      </c>
      <c r="AV1456" s="5" t="s">
        <v>241</v>
      </c>
      <c r="AY1456" s="4" t="s">
        <v>286</v>
      </c>
      <c r="AZ1456" s="4" t="s">
        <v>286</v>
      </c>
      <c r="BA1456" s="4" t="s">
        <v>254</v>
      </c>
      <c r="BB1456" s="4" t="s">
        <v>287</v>
      </c>
      <c r="BC1456" s="4" t="s">
        <v>255</v>
      </c>
      <c r="BD1456" s="4" t="s">
        <v>241</v>
      </c>
      <c r="BE1456" s="4" t="s">
        <v>257</v>
      </c>
      <c r="BF1456" s="4" t="s">
        <v>241</v>
      </c>
      <c r="BJ1456" s="4" t="s">
        <v>288</v>
      </c>
      <c r="BK1456" s="5" t="s">
        <v>289</v>
      </c>
      <c r="BL1456" s="4" t="s">
        <v>290</v>
      </c>
      <c r="BM1456" s="4" t="s">
        <v>290</v>
      </c>
      <c r="BN1456" s="4" t="s">
        <v>241</v>
      </c>
      <c r="BO1456" s="6">
        <f>0</f>
        <v>0</v>
      </c>
      <c r="BP1456" s="6">
        <f>-3422276</f>
        <v>-3422276</v>
      </c>
      <c r="BQ1456" s="4" t="s">
        <v>263</v>
      </c>
      <c r="BR1456" s="4" t="s">
        <v>264</v>
      </c>
      <c r="BS1456" s="4" t="s">
        <v>241</v>
      </c>
      <c r="BT1456" s="4" t="s">
        <v>241</v>
      </c>
      <c r="BU1456" s="4" t="s">
        <v>241</v>
      </c>
      <c r="BV1456" s="4" t="s">
        <v>241</v>
      </c>
      <c r="CE1456" s="4" t="s">
        <v>264</v>
      </c>
      <c r="CF1456" s="4" t="s">
        <v>241</v>
      </c>
      <c r="CG1456" s="4" t="s">
        <v>241</v>
      </c>
      <c r="CK1456" s="4" t="s">
        <v>291</v>
      </c>
      <c r="CL1456" s="4" t="s">
        <v>266</v>
      </c>
      <c r="CM1456" s="4" t="s">
        <v>241</v>
      </c>
      <c r="CO1456" s="4" t="s">
        <v>355</v>
      </c>
      <c r="CP1456" s="5" t="s">
        <v>268</v>
      </c>
      <c r="CQ1456" s="4" t="s">
        <v>269</v>
      </c>
      <c r="CR1456" s="4" t="s">
        <v>270</v>
      </c>
      <c r="CS1456" s="4" t="s">
        <v>293</v>
      </c>
      <c r="CT1456" s="4" t="s">
        <v>241</v>
      </c>
      <c r="CU1456" s="4">
        <v>2.1999999999999999E-2</v>
      </c>
      <c r="CV1456" s="4" t="s">
        <v>271</v>
      </c>
      <c r="CW1456" s="4" t="s">
        <v>1006</v>
      </c>
      <c r="CX1456" s="4" t="s">
        <v>295</v>
      </c>
      <c r="CY1456" s="6">
        <f>0</f>
        <v>0</v>
      </c>
      <c r="CZ1456" s="6">
        <f>155558000</f>
        <v>155558000</v>
      </c>
      <c r="DA1456" s="6">
        <f>46045168</f>
        <v>46045168</v>
      </c>
      <c r="DC1456" s="4" t="s">
        <v>241</v>
      </c>
      <c r="DD1456" s="4" t="s">
        <v>241</v>
      </c>
      <c r="DF1456" s="4" t="s">
        <v>241</v>
      </c>
      <c r="DG1456" s="6">
        <f>0</f>
        <v>0</v>
      </c>
      <c r="DI1456" s="4" t="s">
        <v>241</v>
      </c>
      <c r="DJ1456" s="4" t="s">
        <v>241</v>
      </c>
      <c r="DK1456" s="4" t="s">
        <v>241</v>
      </c>
      <c r="DL1456" s="4" t="s">
        <v>241</v>
      </c>
      <c r="DM1456" s="4" t="s">
        <v>277</v>
      </c>
      <c r="DN1456" s="4" t="s">
        <v>278</v>
      </c>
      <c r="DO1456" s="6">
        <f>806</f>
        <v>806</v>
      </c>
      <c r="DP1456" s="4" t="s">
        <v>241</v>
      </c>
      <c r="DQ1456" s="4" t="s">
        <v>241</v>
      </c>
      <c r="DR1456" s="4" t="s">
        <v>241</v>
      </c>
      <c r="DS1456" s="4" t="s">
        <v>241</v>
      </c>
      <c r="DV1456" s="4" t="s">
        <v>1124</v>
      </c>
      <c r="DW1456" s="4" t="s">
        <v>323</v>
      </c>
      <c r="GN1456" s="4" t="s">
        <v>1125</v>
      </c>
      <c r="HO1456" s="4" t="s">
        <v>300</v>
      </c>
      <c r="HR1456" s="4" t="s">
        <v>278</v>
      </c>
      <c r="HS1456" s="4" t="s">
        <v>278</v>
      </c>
      <c r="HT1456" s="4" t="s">
        <v>241</v>
      </c>
      <c r="HU1456" s="4" t="s">
        <v>241</v>
      </c>
      <c r="HV1456" s="4" t="s">
        <v>241</v>
      </c>
      <c r="HW1456" s="4" t="s">
        <v>241</v>
      </c>
      <c r="HX1456" s="4" t="s">
        <v>241</v>
      </c>
      <c r="HY1456" s="4" t="s">
        <v>241</v>
      </c>
      <c r="HZ1456" s="4" t="s">
        <v>241</v>
      </c>
      <c r="IA1456" s="4" t="s">
        <v>241</v>
      </c>
      <c r="IB1456" s="4" t="s">
        <v>241</v>
      </c>
      <c r="IC1456" s="4" t="s">
        <v>241</v>
      </c>
      <c r="ID1456" s="4" t="s">
        <v>241</v>
      </c>
      <c r="IE1456" s="4" t="s">
        <v>241</v>
      </c>
      <c r="IF1456" s="4" t="s">
        <v>241</v>
      </c>
    </row>
    <row r="1457" spans="1:240" x14ac:dyDescent="0.4">
      <c r="A1457" s="4">
        <v>2</v>
      </c>
      <c r="B1457" s="4" t="s">
        <v>239</v>
      </c>
      <c r="C1457" s="4">
        <v>1783</v>
      </c>
      <c r="D1457" s="4">
        <v>1</v>
      </c>
      <c r="E1457" s="4">
        <v>1</v>
      </c>
      <c r="F1457" s="4" t="s">
        <v>240</v>
      </c>
      <c r="G1457" s="4" t="s">
        <v>241</v>
      </c>
      <c r="H1457" s="4" t="s">
        <v>241</v>
      </c>
      <c r="I1457" s="4" t="s">
        <v>1121</v>
      </c>
      <c r="J1457" s="4" t="s">
        <v>458</v>
      </c>
      <c r="K1457" s="4" t="s">
        <v>578</v>
      </c>
      <c r="L1457" s="4" t="s">
        <v>429</v>
      </c>
      <c r="M1457" s="5" t="s">
        <v>1123</v>
      </c>
      <c r="N1457" s="4" t="s">
        <v>429</v>
      </c>
      <c r="O1457" s="6">
        <f>46</f>
        <v>46</v>
      </c>
      <c r="P1457" s="4" t="s">
        <v>276</v>
      </c>
      <c r="Q1457" s="6">
        <f>1</f>
        <v>1</v>
      </c>
      <c r="R1457" s="6">
        <f>2760000</f>
        <v>2760000</v>
      </c>
      <c r="S1457" s="5" t="s">
        <v>1045</v>
      </c>
      <c r="T1457" s="4" t="s">
        <v>348</v>
      </c>
      <c r="U1457" s="4" t="s">
        <v>441</v>
      </c>
      <c r="W1457" s="6">
        <f>2759999</f>
        <v>2759999</v>
      </c>
      <c r="X1457" s="4" t="s">
        <v>243</v>
      </c>
      <c r="Y1457" s="4" t="s">
        <v>244</v>
      </c>
      <c r="Z1457" s="4" t="s">
        <v>282</v>
      </c>
      <c r="AA1457" s="4" t="s">
        <v>241</v>
      </c>
      <c r="AD1457" s="4" t="s">
        <v>241</v>
      </c>
      <c r="AF1457" s="5" t="s">
        <v>241</v>
      </c>
      <c r="AI1457" s="5" t="s">
        <v>249</v>
      </c>
      <c r="AJ1457" s="4" t="s">
        <v>251</v>
      </c>
      <c r="AK1457" s="4" t="s">
        <v>252</v>
      </c>
      <c r="BA1457" s="4" t="s">
        <v>254</v>
      </c>
      <c r="BB1457" s="4" t="s">
        <v>241</v>
      </c>
      <c r="BC1457" s="4" t="s">
        <v>255</v>
      </c>
      <c r="BD1457" s="4" t="s">
        <v>241</v>
      </c>
      <c r="BE1457" s="4" t="s">
        <v>257</v>
      </c>
      <c r="BF1457" s="4" t="s">
        <v>241</v>
      </c>
      <c r="BJ1457" s="4" t="s">
        <v>374</v>
      </c>
      <c r="BK1457" s="5" t="s">
        <v>375</v>
      </c>
      <c r="BL1457" s="4" t="s">
        <v>261</v>
      </c>
      <c r="BM1457" s="4" t="s">
        <v>262</v>
      </c>
      <c r="BN1457" s="4" t="s">
        <v>241</v>
      </c>
      <c r="BO1457" s="6">
        <f>0</f>
        <v>0</v>
      </c>
      <c r="BP1457" s="6">
        <f>0</f>
        <v>0</v>
      </c>
      <c r="BQ1457" s="4" t="s">
        <v>263</v>
      </c>
      <c r="BR1457" s="4" t="s">
        <v>264</v>
      </c>
      <c r="CF1457" s="4" t="s">
        <v>241</v>
      </c>
      <c r="CG1457" s="4" t="s">
        <v>241</v>
      </c>
      <c r="CK1457" s="4" t="s">
        <v>265</v>
      </c>
      <c r="CL1457" s="4" t="s">
        <v>266</v>
      </c>
      <c r="CM1457" s="4" t="s">
        <v>241</v>
      </c>
      <c r="CO1457" s="4" t="s">
        <v>724</v>
      </c>
      <c r="CP1457" s="5" t="s">
        <v>268</v>
      </c>
      <c r="CQ1457" s="4" t="s">
        <v>269</v>
      </c>
      <c r="CR1457" s="4" t="s">
        <v>270</v>
      </c>
      <c r="CS1457" s="4" t="s">
        <v>241</v>
      </c>
      <c r="CT1457" s="4" t="s">
        <v>241</v>
      </c>
      <c r="CU1457" s="4">
        <v>0</v>
      </c>
      <c r="CV1457" s="4" t="s">
        <v>271</v>
      </c>
      <c r="CW1457" s="4" t="s">
        <v>272</v>
      </c>
      <c r="CX1457" s="4" t="s">
        <v>347</v>
      </c>
      <c r="CZ1457" s="6">
        <f>2760000</f>
        <v>2760000</v>
      </c>
      <c r="DA1457" s="6">
        <f>0</f>
        <v>0</v>
      </c>
      <c r="DC1457" s="4" t="s">
        <v>241</v>
      </c>
      <c r="DD1457" s="4" t="s">
        <v>241</v>
      </c>
      <c r="DF1457" s="4" t="s">
        <v>241</v>
      </c>
      <c r="DI1457" s="4" t="s">
        <v>241</v>
      </c>
      <c r="DJ1457" s="4" t="s">
        <v>241</v>
      </c>
      <c r="DK1457" s="4" t="s">
        <v>241</v>
      </c>
      <c r="DL1457" s="4" t="s">
        <v>241</v>
      </c>
      <c r="DM1457" s="4" t="s">
        <v>277</v>
      </c>
      <c r="DN1457" s="4" t="s">
        <v>278</v>
      </c>
      <c r="DO1457" s="6">
        <f>46</f>
        <v>46</v>
      </c>
      <c r="DP1457" s="4" t="s">
        <v>241</v>
      </c>
      <c r="DQ1457" s="4" t="s">
        <v>241</v>
      </c>
      <c r="DR1457" s="4" t="s">
        <v>241</v>
      </c>
      <c r="DS1457" s="4" t="s">
        <v>241</v>
      </c>
      <c r="DV1457" s="4" t="s">
        <v>1124</v>
      </c>
      <c r="DW1457" s="4" t="s">
        <v>297</v>
      </c>
      <c r="HO1457" s="4" t="s">
        <v>277</v>
      </c>
      <c r="HR1457" s="4" t="s">
        <v>278</v>
      </c>
      <c r="HS1457" s="4" t="s">
        <v>278</v>
      </c>
    </row>
    <row r="1458" spans="1:240" x14ac:dyDescent="0.4">
      <c r="A1458" s="4">
        <v>2</v>
      </c>
      <c r="B1458" s="4" t="s">
        <v>239</v>
      </c>
      <c r="C1458" s="4">
        <v>1784</v>
      </c>
      <c r="D1458" s="4">
        <v>1</v>
      </c>
      <c r="E1458" s="4">
        <v>1</v>
      </c>
      <c r="F1458" s="4" t="s">
        <v>240</v>
      </c>
      <c r="G1458" s="4" t="s">
        <v>241</v>
      </c>
      <c r="H1458" s="4" t="s">
        <v>241</v>
      </c>
      <c r="I1458" s="4" t="s">
        <v>1121</v>
      </c>
      <c r="J1458" s="4" t="s">
        <v>458</v>
      </c>
      <c r="K1458" s="4" t="s">
        <v>578</v>
      </c>
      <c r="L1458" s="4" t="s">
        <v>429</v>
      </c>
      <c r="M1458" s="5" t="s">
        <v>1123</v>
      </c>
      <c r="N1458" s="4" t="s">
        <v>429</v>
      </c>
      <c r="O1458" s="6">
        <f>32</f>
        <v>32</v>
      </c>
      <c r="P1458" s="4" t="s">
        <v>276</v>
      </c>
      <c r="Q1458" s="6">
        <f>1</f>
        <v>1</v>
      </c>
      <c r="R1458" s="6">
        <f>5440000</f>
        <v>5440000</v>
      </c>
      <c r="S1458" s="5" t="s">
        <v>3078</v>
      </c>
      <c r="T1458" s="4" t="s">
        <v>274</v>
      </c>
      <c r="U1458" s="4" t="s">
        <v>399</v>
      </c>
      <c r="W1458" s="6">
        <f>5439999</f>
        <v>5439999</v>
      </c>
      <c r="X1458" s="4" t="s">
        <v>243</v>
      </c>
      <c r="Y1458" s="4" t="s">
        <v>244</v>
      </c>
      <c r="Z1458" s="4" t="s">
        <v>282</v>
      </c>
      <c r="AA1458" s="4" t="s">
        <v>241</v>
      </c>
      <c r="AD1458" s="4" t="s">
        <v>241</v>
      </c>
      <c r="AF1458" s="5" t="s">
        <v>241</v>
      </c>
      <c r="AI1458" s="5" t="s">
        <v>249</v>
      </c>
      <c r="AJ1458" s="4" t="s">
        <v>251</v>
      </c>
      <c r="AK1458" s="4" t="s">
        <v>252</v>
      </c>
      <c r="BA1458" s="4" t="s">
        <v>254</v>
      </c>
      <c r="BB1458" s="4" t="s">
        <v>241</v>
      </c>
      <c r="BC1458" s="4" t="s">
        <v>255</v>
      </c>
      <c r="BD1458" s="4" t="s">
        <v>241</v>
      </c>
      <c r="BE1458" s="4" t="s">
        <v>257</v>
      </c>
      <c r="BF1458" s="4" t="s">
        <v>241</v>
      </c>
      <c r="BJ1458" s="4" t="s">
        <v>377</v>
      </c>
      <c r="BK1458" s="5" t="s">
        <v>378</v>
      </c>
      <c r="BL1458" s="4" t="s">
        <v>261</v>
      </c>
      <c r="BM1458" s="4" t="s">
        <v>262</v>
      </c>
      <c r="BN1458" s="4" t="s">
        <v>241</v>
      </c>
      <c r="BO1458" s="6">
        <f>0</f>
        <v>0</v>
      </c>
      <c r="BP1458" s="6">
        <f>0</f>
        <v>0</v>
      </c>
      <c r="BQ1458" s="4" t="s">
        <v>263</v>
      </c>
      <c r="BR1458" s="4" t="s">
        <v>264</v>
      </c>
      <c r="CF1458" s="4" t="s">
        <v>241</v>
      </c>
      <c r="CG1458" s="4" t="s">
        <v>241</v>
      </c>
      <c r="CK1458" s="4" t="s">
        <v>291</v>
      </c>
      <c r="CL1458" s="4" t="s">
        <v>266</v>
      </c>
      <c r="CM1458" s="4" t="s">
        <v>241</v>
      </c>
      <c r="CO1458" s="4" t="s">
        <v>398</v>
      </c>
      <c r="CP1458" s="5" t="s">
        <v>268</v>
      </c>
      <c r="CQ1458" s="4" t="s">
        <v>269</v>
      </c>
      <c r="CR1458" s="4" t="s">
        <v>270</v>
      </c>
      <c r="CS1458" s="4" t="s">
        <v>241</v>
      </c>
      <c r="CT1458" s="4" t="s">
        <v>241</v>
      </c>
      <c r="CU1458" s="4">
        <v>0</v>
      </c>
      <c r="CV1458" s="4" t="s">
        <v>271</v>
      </c>
      <c r="CW1458" s="4" t="s">
        <v>272</v>
      </c>
      <c r="CX1458" s="4" t="s">
        <v>273</v>
      </c>
      <c r="CZ1458" s="6">
        <f>5440000</f>
        <v>5440000</v>
      </c>
      <c r="DA1458" s="6">
        <f>0</f>
        <v>0</v>
      </c>
      <c r="DC1458" s="4" t="s">
        <v>241</v>
      </c>
      <c r="DD1458" s="4" t="s">
        <v>241</v>
      </c>
      <c r="DF1458" s="4" t="s">
        <v>241</v>
      </c>
      <c r="DI1458" s="4" t="s">
        <v>241</v>
      </c>
      <c r="DJ1458" s="4" t="s">
        <v>241</v>
      </c>
      <c r="DK1458" s="4" t="s">
        <v>241</v>
      </c>
      <c r="DL1458" s="4" t="s">
        <v>241</v>
      </c>
      <c r="DM1458" s="4" t="s">
        <v>277</v>
      </c>
      <c r="DN1458" s="4" t="s">
        <v>278</v>
      </c>
      <c r="DO1458" s="6">
        <f>32</f>
        <v>32</v>
      </c>
      <c r="DP1458" s="4" t="s">
        <v>241</v>
      </c>
      <c r="DQ1458" s="4" t="s">
        <v>241</v>
      </c>
      <c r="DR1458" s="4" t="s">
        <v>241</v>
      </c>
      <c r="DS1458" s="4" t="s">
        <v>241</v>
      </c>
      <c r="DV1458" s="4" t="s">
        <v>1124</v>
      </c>
      <c r="DW1458" s="4" t="s">
        <v>336</v>
      </c>
      <c r="HO1458" s="4" t="s">
        <v>277</v>
      </c>
      <c r="HR1458" s="4" t="s">
        <v>278</v>
      </c>
      <c r="HS1458" s="4" t="s">
        <v>278</v>
      </c>
    </row>
    <row r="1459" spans="1:240" x14ac:dyDescent="0.4">
      <c r="A1459" s="4">
        <v>2</v>
      </c>
      <c r="B1459" s="4" t="s">
        <v>239</v>
      </c>
      <c r="C1459" s="4">
        <v>1785</v>
      </c>
      <c r="D1459" s="4">
        <v>1</v>
      </c>
      <c r="E1459" s="4">
        <v>1</v>
      </c>
      <c r="F1459" s="4" t="s">
        <v>240</v>
      </c>
      <c r="G1459" s="4" t="s">
        <v>241</v>
      </c>
      <c r="H1459" s="4" t="s">
        <v>241</v>
      </c>
      <c r="I1459" s="4" t="s">
        <v>659</v>
      </c>
      <c r="J1459" s="4" t="s">
        <v>458</v>
      </c>
      <c r="K1459" s="4" t="s">
        <v>578</v>
      </c>
      <c r="L1459" s="4" t="s">
        <v>658</v>
      </c>
      <c r="M1459" s="5" t="s">
        <v>661</v>
      </c>
      <c r="N1459" s="4" t="s">
        <v>658</v>
      </c>
      <c r="O1459" s="6">
        <f>250</f>
        <v>250</v>
      </c>
      <c r="P1459" s="4" t="s">
        <v>276</v>
      </c>
      <c r="Q1459" s="6">
        <f>1</f>
        <v>1</v>
      </c>
      <c r="R1459" s="6">
        <f>20000000</f>
        <v>20000000</v>
      </c>
      <c r="S1459" s="5" t="s">
        <v>660</v>
      </c>
      <c r="T1459" s="4" t="s">
        <v>357</v>
      </c>
      <c r="U1459" s="4" t="s">
        <v>357</v>
      </c>
      <c r="W1459" s="6">
        <f>19999999</f>
        <v>19999999</v>
      </c>
      <c r="X1459" s="4" t="s">
        <v>243</v>
      </c>
      <c r="Y1459" s="4" t="s">
        <v>244</v>
      </c>
      <c r="Z1459" s="4" t="s">
        <v>282</v>
      </c>
      <c r="AA1459" s="4" t="s">
        <v>241</v>
      </c>
      <c r="AD1459" s="4" t="s">
        <v>241</v>
      </c>
      <c r="AF1459" s="5" t="s">
        <v>241</v>
      </c>
      <c r="AI1459" s="5" t="s">
        <v>249</v>
      </c>
      <c r="AJ1459" s="4" t="s">
        <v>251</v>
      </c>
      <c r="AK1459" s="4" t="s">
        <v>252</v>
      </c>
      <c r="BA1459" s="4" t="s">
        <v>254</v>
      </c>
      <c r="BB1459" s="4" t="s">
        <v>241</v>
      </c>
      <c r="BC1459" s="4" t="s">
        <v>255</v>
      </c>
      <c r="BD1459" s="4" t="s">
        <v>241</v>
      </c>
      <c r="BE1459" s="4" t="s">
        <v>257</v>
      </c>
      <c r="BF1459" s="4" t="s">
        <v>241</v>
      </c>
      <c r="BJ1459" s="4" t="s">
        <v>259</v>
      </c>
      <c r="BK1459" s="5" t="s">
        <v>260</v>
      </c>
      <c r="BL1459" s="4" t="s">
        <v>261</v>
      </c>
      <c r="BM1459" s="4" t="s">
        <v>290</v>
      </c>
      <c r="BN1459" s="4" t="s">
        <v>241</v>
      </c>
      <c r="BO1459" s="6">
        <f>0</f>
        <v>0</v>
      </c>
      <c r="BP1459" s="6">
        <f>0</f>
        <v>0</v>
      </c>
      <c r="BQ1459" s="4" t="s">
        <v>263</v>
      </c>
      <c r="BR1459" s="4" t="s">
        <v>264</v>
      </c>
      <c r="CF1459" s="4" t="s">
        <v>241</v>
      </c>
      <c r="CG1459" s="4" t="s">
        <v>241</v>
      </c>
      <c r="CK1459" s="4" t="s">
        <v>265</v>
      </c>
      <c r="CL1459" s="4" t="s">
        <v>266</v>
      </c>
      <c r="CM1459" s="4" t="s">
        <v>241</v>
      </c>
      <c r="CO1459" s="4" t="s">
        <v>662</v>
      </c>
      <c r="CP1459" s="5" t="s">
        <v>268</v>
      </c>
      <c r="CQ1459" s="4" t="s">
        <v>269</v>
      </c>
      <c r="CR1459" s="4" t="s">
        <v>270</v>
      </c>
      <c r="CS1459" s="4" t="s">
        <v>241</v>
      </c>
      <c r="CT1459" s="4" t="s">
        <v>241</v>
      </c>
      <c r="CU1459" s="4">
        <v>0</v>
      </c>
      <c r="CV1459" s="4" t="s">
        <v>271</v>
      </c>
      <c r="CW1459" s="4" t="s">
        <v>655</v>
      </c>
      <c r="CX1459" s="4" t="s">
        <v>487</v>
      </c>
      <c r="CZ1459" s="6">
        <f>20000000</f>
        <v>20000000</v>
      </c>
      <c r="DA1459" s="6">
        <f>0</f>
        <v>0</v>
      </c>
      <c r="DC1459" s="4" t="s">
        <v>241</v>
      </c>
      <c r="DD1459" s="4" t="s">
        <v>241</v>
      </c>
      <c r="DF1459" s="4" t="s">
        <v>241</v>
      </c>
      <c r="DI1459" s="4" t="s">
        <v>241</v>
      </c>
      <c r="DJ1459" s="4" t="s">
        <v>241</v>
      </c>
      <c r="DK1459" s="4" t="s">
        <v>241</v>
      </c>
      <c r="DL1459" s="4" t="s">
        <v>241</v>
      </c>
      <c r="DM1459" s="4" t="s">
        <v>277</v>
      </c>
      <c r="DN1459" s="4" t="s">
        <v>278</v>
      </c>
      <c r="DO1459" s="6">
        <f>250</f>
        <v>250</v>
      </c>
      <c r="DP1459" s="4" t="s">
        <v>241</v>
      </c>
      <c r="DQ1459" s="4" t="s">
        <v>241</v>
      </c>
      <c r="DR1459" s="4" t="s">
        <v>241</v>
      </c>
      <c r="DS1459" s="4" t="s">
        <v>241</v>
      </c>
      <c r="DV1459" s="4" t="s">
        <v>663</v>
      </c>
      <c r="DW1459" s="4" t="s">
        <v>277</v>
      </c>
      <c r="HO1459" s="4" t="s">
        <v>297</v>
      </c>
      <c r="HR1459" s="4" t="s">
        <v>278</v>
      </c>
      <c r="HS1459" s="4" t="s">
        <v>278</v>
      </c>
    </row>
    <row r="1460" spans="1:240" x14ac:dyDescent="0.4">
      <c r="A1460" s="4">
        <v>2</v>
      </c>
      <c r="B1460" s="4" t="s">
        <v>239</v>
      </c>
      <c r="C1460" s="4">
        <v>1786</v>
      </c>
      <c r="D1460" s="4">
        <v>1</v>
      </c>
      <c r="E1460" s="4">
        <v>7</v>
      </c>
      <c r="F1460" s="4" t="s">
        <v>240</v>
      </c>
      <c r="G1460" s="4" t="s">
        <v>241</v>
      </c>
      <c r="H1460" s="4" t="s">
        <v>241</v>
      </c>
      <c r="I1460" s="4" t="s">
        <v>659</v>
      </c>
      <c r="J1460" s="4" t="s">
        <v>458</v>
      </c>
      <c r="K1460" s="4" t="s">
        <v>578</v>
      </c>
      <c r="L1460" s="4" t="s">
        <v>1699</v>
      </c>
      <c r="M1460" s="5" t="s">
        <v>661</v>
      </c>
      <c r="N1460" s="4" t="s">
        <v>1699</v>
      </c>
      <c r="O1460" s="6">
        <f>89</f>
        <v>89</v>
      </c>
      <c r="P1460" s="4" t="s">
        <v>276</v>
      </c>
      <c r="Q1460" s="6">
        <f>5688880</f>
        <v>5688880</v>
      </c>
      <c r="R1460" s="6">
        <f>16732000</f>
        <v>16732000</v>
      </c>
      <c r="S1460" s="5" t="s">
        <v>359</v>
      </c>
      <c r="T1460" s="4" t="s">
        <v>357</v>
      </c>
      <c r="U1460" s="4" t="s">
        <v>361</v>
      </c>
      <c r="V1460" s="6">
        <f>501960</f>
        <v>501960</v>
      </c>
      <c r="W1460" s="6">
        <f>11043120</f>
        <v>11043120</v>
      </c>
      <c r="X1460" s="4" t="s">
        <v>243</v>
      </c>
      <c r="Y1460" s="4" t="s">
        <v>244</v>
      </c>
      <c r="Z1460" s="4" t="s">
        <v>282</v>
      </c>
      <c r="AA1460" s="4" t="s">
        <v>241</v>
      </c>
      <c r="AD1460" s="4" t="s">
        <v>241</v>
      </c>
      <c r="AE1460" s="5" t="s">
        <v>241</v>
      </c>
      <c r="AF1460" s="5" t="s">
        <v>241</v>
      </c>
      <c r="AH1460" s="5" t="s">
        <v>241</v>
      </c>
      <c r="AI1460" s="5" t="s">
        <v>249</v>
      </c>
      <c r="AJ1460" s="4" t="s">
        <v>251</v>
      </c>
      <c r="AK1460" s="4" t="s">
        <v>252</v>
      </c>
      <c r="AQ1460" s="4" t="s">
        <v>241</v>
      </c>
      <c r="AR1460" s="4" t="s">
        <v>241</v>
      </c>
      <c r="AS1460" s="4" t="s">
        <v>241</v>
      </c>
      <c r="AT1460" s="5" t="s">
        <v>241</v>
      </c>
      <c r="AU1460" s="5" t="s">
        <v>241</v>
      </c>
      <c r="AV1460" s="5" t="s">
        <v>241</v>
      </c>
      <c r="AY1460" s="4" t="s">
        <v>286</v>
      </c>
      <c r="AZ1460" s="4" t="s">
        <v>286</v>
      </c>
      <c r="BA1460" s="4" t="s">
        <v>254</v>
      </c>
      <c r="BB1460" s="4" t="s">
        <v>287</v>
      </c>
      <c r="BC1460" s="4" t="s">
        <v>255</v>
      </c>
      <c r="BD1460" s="4" t="s">
        <v>241</v>
      </c>
      <c r="BE1460" s="4" t="s">
        <v>257</v>
      </c>
      <c r="BF1460" s="4" t="s">
        <v>241</v>
      </c>
      <c r="BJ1460" s="4" t="s">
        <v>288</v>
      </c>
      <c r="BK1460" s="5" t="s">
        <v>289</v>
      </c>
      <c r="BL1460" s="4" t="s">
        <v>290</v>
      </c>
      <c r="BM1460" s="4" t="s">
        <v>290</v>
      </c>
      <c r="BN1460" s="4" t="s">
        <v>241</v>
      </c>
      <c r="BO1460" s="6">
        <f>0</f>
        <v>0</v>
      </c>
      <c r="BP1460" s="6">
        <f>-501960</f>
        <v>-501960</v>
      </c>
      <c r="BQ1460" s="4" t="s">
        <v>263</v>
      </c>
      <c r="BR1460" s="4" t="s">
        <v>264</v>
      </c>
      <c r="BS1460" s="4" t="s">
        <v>241</v>
      </c>
      <c r="BT1460" s="4" t="s">
        <v>241</v>
      </c>
      <c r="BU1460" s="4" t="s">
        <v>241</v>
      </c>
      <c r="BV1460" s="4" t="s">
        <v>241</v>
      </c>
      <c r="CE1460" s="4" t="s">
        <v>264</v>
      </c>
      <c r="CF1460" s="4" t="s">
        <v>241</v>
      </c>
      <c r="CG1460" s="4" t="s">
        <v>241</v>
      </c>
      <c r="CK1460" s="4" t="s">
        <v>291</v>
      </c>
      <c r="CL1460" s="4" t="s">
        <v>266</v>
      </c>
      <c r="CM1460" s="4" t="s">
        <v>241</v>
      </c>
      <c r="CO1460" s="4" t="s">
        <v>360</v>
      </c>
      <c r="CP1460" s="5" t="s">
        <v>268</v>
      </c>
      <c r="CQ1460" s="4" t="s">
        <v>269</v>
      </c>
      <c r="CR1460" s="4" t="s">
        <v>270</v>
      </c>
      <c r="CS1460" s="4" t="s">
        <v>293</v>
      </c>
      <c r="CT1460" s="4" t="s">
        <v>241</v>
      </c>
      <c r="CU1460" s="4">
        <v>0.03</v>
      </c>
      <c r="CV1460" s="4" t="s">
        <v>271</v>
      </c>
      <c r="CW1460" s="4" t="s">
        <v>1671</v>
      </c>
      <c r="CX1460" s="4" t="s">
        <v>487</v>
      </c>
      <c r="CY1460" s="6">
        <f>0</f>
        <v>0</v>
      </c>
      <c r="CZ1460" s="6">
        <f>16732000</f>
        <v>16732000</v>
      </c>
      <c r="DA1460" s="6">
        <f>3681040</f>
        <v>3681040</v>
      </c>
      <c r="DC1460" s="4" t="s">
        <v>241</v>
      </c>
      <c r="DD1460" s="4" t="s">
        <v>241</v>
      </c>
      <c r="DF1460" s="4" t="s">
        <v>241</v>
      </c>
      <c r="DG1460" s="6">
        <f>0</f>
        <v>0</v>
      </c>
      <c r="DI1460" s="4" t="s">
        <v>241</v>
      </c>
      <c r="DJ1460" s="4" t="s">
        <v>241</v>
      </c>
      <c r="DK1460" s="4" t="s">
        <v>241</v>
      </c>
      <c r="DL1460" s="4" t="s">
        <v>241</v>
      </c>
      <c r="DM1460" s="4" t="s">
        <v>277</v>
      </c>
      <c r="DN1460" s="4" t="s">
        <v>278</v>
      </c>
      <c r="DO1460" s="6">
        <f>89</f>
        <v>89</v>
      </c>
      <c r="DP1460" s="4" t="s">
        <v>241</v>
      </c>
      <c r="DQ1460" s="4" t="s">
        <v>241</v>
      </c>
      <c r="DR1460" s="4" t="s">
        <v>241</v>
      </c>
      <c r="DS1460" s="4" t="s">
        <v>241</v>
      </c>
      <c r="DV1460" s="4" t="s">
        <v>663</v>
      </c>
      <c r="DW1460" s="4" t="s">
        <v>323</v>
      </c>
      <c r="GN1460" s="4" t="s">
        <v>1729</v>
      </c>
      <c r="HO1460" s="4" t="s">
        <v>300</v>
      </c>
      <c r="HR1460" s="4" t="s">
        <v>278</v>
      </c>
      <c r="HS1460" s="4" t="s">
        <v>278</v>
      </c>
      <c r="HT1460" s="4" t="s">
        <v>241</v>
      </c>
      <c r="HU1460" s="4" t="s">
        <v>241</v>
      </c>
      <c r="HV1460" s="4" t="s">
        <v>241</v>
      </c>
      <c r="HW1460" s="4" t="s">
        <v>241</v>
      </c>
      <c r="HX1460" s="4" t="s">
        <v>241</v>
      </c>
      <c r="HY1460" s="4" t="s">
        <v>241</v>
      </c>
      <c r="HZ1460" s="4" t="s">
        <v>241</v>
      </c>
      <c r="IA1460" s="4" t="s">
        <v>241</v>
      </c>
      <c r="IB1460" s="4" t="s">
        <v>241</v>
      </c>
      <c r="IC1460" s="4" t="s">
        <v>241</v>
      </c>
      <c r="ID1460" s="4" t="s">
        <v>241</v>
      </c>
      <c r="IE1460" s="4" t="s">
        <v>241</v>
      </c>
      <c r="IF1460" s="4" t="s">
        <v>241</v>
      </c>
    </row>
    <row r="1461" spans="1:240" x14ac:dyDescent="0.4">
      <c r="A1461" s="4">
        <v>2</v>
      </c>
      <c r="B1461" s="4" t="s">
        <v>239</v>
      </c>
      <c r="C1461" s="4">
        <v>1787</v>
      </c>
      <c r="D1461" s="4">
        <v>1</v>
      </c>
      <c r="E1461" s="4">
        <v>1</v>
      </c>
      <c r="F1461" s="4" t="s">
        <v>240</v>
      </c>
      <c r="G1461" s="4" t="s">
        <v>241</v>
      </c>
      <c r="H1461" s="4" t="s">
        <v>241</v>
      </c>
      <c r="I1461" s="4" t="s">
        <v>3051</v>
      </c>
      <c r="J1461" s="4" t="s">
        <v>458</v>
      </c>
      <c r="K1461" s="4" t="s">
        <v>578</v>
      </c>
      <c r="L1461" s="4" t="s">
        <v>250</v>
      </c>
      <c r="M1461" s="5" t="s">
        <v>3052</v>
      </c>
      <c r="N1461" s="4" t="s">
        <v>242</v>
      </c>
      <c r="O1461" s="6">
        <f>9.57</f>
        <v>9.57</v>
      </c>
      <c r="P1461" s="4" t="s">
        <v>276</v>
      </c>
      <c r="Q1461" s="6">
        <f>1</f>
        <v>1</v>
      </c>
      <c r="R1461" s="6">
        <f>574200</f>
        <v>574200</v>
      </c>
      <c r="S1461" s="5" t="s">
        <v>248</v>
      </c>
      <c r="T1461" s="4" t="s">
        <v>348</v>
      </c>
      <c r="U1461" s="4" t="s">
        <v>275</v>
      </c>
      <c r="W1461" s="6">
        <f>574199</f>
        <v>574199</v>
      </c>
      <c r="X1461" s="4" t="s">
        <v>243</v>
      </c>
      <c r="Y1461" s="4" t="s">
        <v>244</v>
      </c>
      <c r="Z1461" s="4" t="s">
        <v>282</v>
      </c>
      <c r="AA1461" s="4" t="s">
        <v>241</v>
      </c>
      <c r="AD1461" s="4" t="s">
        <v>241</v>
      </c>
      <c r="AF1461" s="5" t="s">
        <v>241</v>
      </c>
      <c r="AI1461" s="5" t="s">
        <v>249</v>
      </c>
      <c r="AJ1461" s="4" t="s">
        <v>251</v>
      </c>
      <c r="AK1461" s="4" t="s">
        <v>252</v>
      </c>
      <c r="BA1461" s="4" t="s">
        <v>254</v>
      </c>
      <c r="BB1461" s="4" t="s">
        <v>241</v>
      </c>
      <c r="BC1461" s="4" t="s">
        <v>255</v>
      </c>
      <c r="BD1461" s="4" t="s">
        <v>241</v>
      </c>
      <c r="BE1461" s="4" t="s">
        <v>257</v>
      </c>
      <c r="BF1461" s="4" t="s">
        <v>241</v>
      </c>
      <c r="BH1461" s="4" t="s">
        <v>579</v>
      </c>
      <c r="BJ1461" s="4" t="s">
        <v>374</v>
      </c>
      <c r="BK1461" s="5" t="s">
        <v>375</v>
      </c>
      <c r="BL1461" s="4" t="s">
        <v>261</v>
      </c>
      <c r="BM1461" s="4" t="s">
        <v>262</v>
      </c>
      <c r="BN1461" s="4" t="s">
        <v>241</v>
      </c>
      <c r="BO1461" s="6">
        <f>0</f>
        <v>0</v>
      </c>
      <c r="BP1461" s="6">
        <f>0</f>
        <v>0</v>
      </c>
      <c r="BQ1461" s="4" t="s">
        <v>263</v>
      </c>
      <c r="BR1461" s="4" t="s">
        <v>264</v>
      </c>
      <c r="CF1461" s="4" t="s">
        <v>241</v>
      </c>
      <c r="CG1461" s="4" t="s">
        <v>241</v>
      </c>
      <c r="CK1461" s="4" t="s">
        <v>265</v>
      </c>
      <c r="CL1461" s="4" t="s">
        <v>266</v>
      </c>
      <c r="CM1461" s="4" t="s">
        <v>241</v>
      </c>
      <c r="CO1461" s="4" t="s">
        <v>267</v>
      </c>
      <c r="CP1461" s="5" t="s">
        <v>268</v>
      </c>
      <c r="CQ1461" s="4" t="s">
        <v>269</v>
      </c>
      <c r="CR1461" s="4" t="s">
        <v>270</v>
      </c>
      <c r="CS1461" s="4" t="s">
        <v>241</v>
      </c>
      <c r="CT1461" s="4" t="s">
        <v>241</v>
      </c>
      <c r="CU1461" s="4">
        <v>0</v>
      </c>
      <c r="CV1461" s="4" t="s">
        <v>271</v>
      </c>
      <c r="CW1461" s="4" t="s">
        <v>272</v>
      </c>
      <c r="CX1461" s="4" t="s">
        <v>347</v>
      </c>
      <c r="CZ1461" s="6">
        <f>574200</f>
        <v>574200</v>
      </c>
      <c r="DA1461" s="6">
        <f>0</f>
        <v>0</v>
      </c>
      <c r="DC1461" s="4" t="s">
        <v>241</v>
      </c>
      <c r="DD1461" s="4" t="s">
        <v>241</v>
      </c>
      <c r="DF1461" s="4" t="s">
        <v>241</v>
      </c>
      <c r="DI1461" s="4" t="s">
        <v>241</v>
      </c>
      <c r="DJ1461" s="4" t="s">
        <v>241</v>
      </c>
      <c r="DK1461" s="4" t="s">
        <v>241</v>
      </c>
      <c r="DL1461" s="4" t="s">
        <v>241</v>
      </c>
      <c r="DM1461" s="4" t="s">
        <v>277</v>
      </c>
      <c r="DN1461" s="4" t="s">
        <v>278</v>
      </c>
      <c r="DO1461" s="6">
        <f>9.57</f>
        <v>9.57</v>
      </c>
      <c r="DP1461" s="4" t="s">
        <v>241</v>
      </c>
      <c r="DQ1461" s="4" t="s">
        <v>241</v>
      </c>
      <c r="DR1461" s="4" t="s">
        <v>241</v>
      </c>
      <c r="DS1461" s="4" t="s">
        <v>241</v>
      </c>
      <c r="DV1461" s="4" t="s">
        <v>3053</v>
      </c>
      <c r="DW1461" s="4" t="s">
        <v>277</v>
      </c>
      <c r="HO1461" s="4" t="s">
        <v>277</v>
      </c>
      <c r="HR1461" s="4" t="s">
        <v>278</v>
      </c>
      <c r="HS1461" s="4" t="s">
        <v>278</v>
      </c>
    </row>
    <row r="1462" spans="1:240" x14ac:dyDescent="0.4">
      <c r="A1462" s="4">
        <v>2</v>
      </c>
      <c r="B1462" s="4" t="s">
        <v>239</v>
      </c>
      <c r="C1462" s="4">
        <v>1788</v>
      </c>
      <c r="D1462" s="4">
        <v>1</v>
      </c>
      <c r="E1462" s="4">
        <v>1</v>
      </c>
      <c r="F1462" s="4" t="s">
        <v>240</v>
      </c>
      <c r="G1462" s="4" t="s">
        <v>241</v>
      </c>
      <c r="H1462" s="4" t="s">
        <v>241</v>
      </c>
      <c r="I1462" s="4" t="s">
        <v>3075</v>
      </c>
      <c r="J1462" s="4" t="s">
        <v>458</v>
      </c>
      <c r="K1462" s="4" t="s">
        <v>578</v>
      </c>
      <c r="L1462" s="4" t="s">
        <v>250</v>
      </c>
      <c r="M1462" s="5" t="s">
        <v>3076</v>
      </c>
      <c r="N1462" s="4" t="s">
        <v>242</v>
      </c>
      <c r="O1462" s="6">
        <f>11.02</f>
        <v>11.02</v>
      </c>
      <c r="P1462" s="4" t="s">
        <v>276</v>
      </c>
      <c r="Q1462" s="6">
        <f>1</f>
        <v>1</v>
      </c>
      <c r="R1462" s="6">
        <f>661200</f>
        <v>661200</v>
      </c>
      <c r="S1462" s="5" t="s">
        <v>248</v>
      </c>
      <c r="T1462" s="4" t="s">
        <v>348</v>
      </c>
      <c r="U1462" s="4" t="s">
        <v>275</v>
      </c>
      <c r="W1462" s="6">
        <f>661199</f>
        <v>661199</v>
      </c>
      <c r="X1462" s="4" t="s">
        <v>243</v>
      </c>
      <c r="Y1462" s="4" t="s">
        <v>244</v>
      </c>
      <c r="Z1462" s="4" t="s">
        <v>282</v>
      </c>
      <c r="AA1462" s="4" t="s">
        <v>241</v>
      </c>
      <c r="AD1462" s="4" t="s">
        <v>241</v>
      </c>
      <c r="AF1462" s="5" t="s">
        <v>241</v>
      </c>
      <c r="AI1462" s="5" t="s">
        <v>249</v>
      </c>
      <c r="AJ1462" s="4" t="s">
        <v>251</v>
      </c>
      <c r="AK1462" s="4" t="s">
        <v>252</v>
      </c>
      <c r="BA1462" s="4" t="s">
        <v>254</v>
      </c>
      <c r="BB1462" s="4" t="s">
        <v>241</v>
      </c>
      <c r="BC1462" s="4" t="s">
        <v>255</v>
      </c>
      <c r="BD1462" s="4" t="s">
        <v>241</v>
      </c>
      <c r="BE1462" s="4" t="s">
        <v>257</v>
      </c>
      <c r="BF1462" s="4" t="s">
        <v>241</v>
      </c>
      <c r="BH1462" s="4" t="s">
        <v>579</v>
      </c>
      <c r="BJ1462" s="4" t="s">
        <v>377</v>
      </c>
      <c r="BK1462" s="5" t="s">
        <v>378</v>
      </c>
      <c r="BL1462" s="4" t="s">
        <v>261</v>
      </c>
      <c r="BM1462" s="4" t="s">
        <v>262</v>
      </c>
      <c r="BN1462" s="4" t="s">
        <v>241</v>
      </c>
      <c r="BO1462" s="6">
        <f>0</f>
        <v>0</v>
      </c>
      <c r="BP1462" s="6">
        <f>0</f>
        <v>0</v>
      </c>
      <c r="BQ1462" s="4" t="s">
        <v>263</v>
      </c>
      <c r="BR1462" s="4" t="s">
        <v>264</v>
      </c>
      <c r="CF1462" s="4" t="s">
        <v>241</v>
      </c>
      <c r="CG1462" s="4" t="s">
        <v>241</v>
      </c>
      <c r="CK1462" s="4" t="s">
        <v>265</v>
      </c>
      <c r="CL1462" s="4" t="s">
        <v>266</v>
      </c>
      <c r="CM1462" s="4" t="s">
        <v>241</v>
      </c>
      <c r="CO1462" s="4" t="s">
        <v>267</v>
      </c>
      <c r="CP1462" s="5" t="s">
        <v>268</v>
      </c>
      <c r="CQ1462" s="4" t="s">
        <v>269</v>
      </c>
      <c r="CR1462" s="4" t="s">
        <v>270</v>
      </c>
      <c r="CS1462" s="4" t="s">
        <v>241</v>
      </c>
      <c r="CT1462" s="4" t="s">
        <v>241</v>
      </c>
      <c r="CU1462" s="4">
        <v>0</v>
      </c>
      <c r="CV1462" s="4" t="s">
        <v>271</v>
      </c>
      <c r="CW1462" s="4" t="s">
        <v>272</v>
      </c>
      <c r="CX1462" s="4" t="s">
        <v>347</v>
      </c>
      <c r="CZ1462" s="6">
        <f>661200</f>
        <v>661200</v>
      </c>
      <c r="DA1462" s="6">
        <f>0</f>
        <v>0</v>
      </c>
      <c r="DC1462" s="4" t="s">
        <v>241</v>
      </c>
      <c r="DD1462" s="4" t="s">
        <v>241</v>
      </c>
      <c r="DF1462" s="4" t="s">
        <v>241</v>
      </c>
      <c r="DI1462" s="4" t="s">
        <v>241</v>
      </c>
      <c r="DJ1462" s="4" t="s">
        <v>241</v>
      </c>
      <c r="DK1462" s="4" t="s">
        <v>241</v>
      </c>
      <c r="DL1462" s="4" t="s">
        <v>241</v>
      </c>
      <c r="DM1462" s="4" t="s">
        <v>277</v>
      </c>
      <c r="DN1462" s="4" t="s">
        <v>278</v>
      </c>
      <c r="DO1462" s="6">
        <f>11.02</f>
        <v>11.02</v>
      </c>
      <c r="DP1462" s="4" t="s">
        <v>241</v>
      </c>
      <c r="DQ1462" s="4" t="s">
        <v>241</v>
      </c>
      <c r="DR1462" s="4" t="s">
        <v>241</v>
      </c>
      <c r="DS1462" s="4" t="s">
        <v>241</v>
      </c>
      <c r="DV1462" s="4" t="s">
        <v>3077</v>
      </c>
      <c r="DW1462" s="4" t="s">
        <v>277</v>
      </c>
      <c r="HO1462" s="4" t="s">
        <v>277</v>
      </c>
      <c r="HR1462" s="4" t="s">
        <v>278</v>
      </c>
      <c r="HS1462" s="4" t="s">
        <v>278</v>
      </c>
    </row>
    <row r="1463" spans="1:240" x14ac:dyDescent="0.4">
      <c r="A1463" s="4">
        <v>2</v>
      </c>
      <c r="B1463" s="4" t="s">
        <v>239</v>
      </c>
      <c r="C1463" s="4">
        <v>1789</v>
      </c>
      <c r="D1463" s="4">
        <v>1</v>
      </c>
      <c r="E1463" s="4">
        <v>1</v>
      </c>
      <c r="F1463" s="4" t="s">
        <v>240</v>
      </c>
      <c r="G1463" s="4" t="s">
        <v>241</v>
      </c>
      <c r="H1463" s="4" t="s">
        <v>241</v>
      </c>
      <c r="I1463" s="4" t="s">
        <v>1721</v>
      </c>
      <c r="J1463" s="4" t="s">
        <v>283</v>
      </c>
      <c r="K1463" s="4" t="s">
        <v>578</v>
      </c>
      <c r="L1463" s="4" t="s">
        <v>440</v>
      </c>
      <c r="M1463" s="5" t="s">
        <v>1723</v>
      </c>
      <c r="N1463" s="4" t="s">
        <v>1666</v>
      </c>
      <c r="O1463" s="6">
        <f>156.7</f>
        <v>156.69999999999999</v>
      </c>
      <c r="P1463" s="4" t="s">
        <v>276</v>
      </c>
      <c r="Q1463" s="6">
        <f>1</f>
        <v>1</v>
      </c>
      <c r="R1463" s="6">
        <f>14103000</f>
        <v>14103000</v>
      </c>
      <c r="S1463" s="5" t="s">
        <v>1722</v>
      </c>
      <c r="T1463" s="4" t="s">
        <v>314</v>
      </c>
      <c r="U1463" s="4" t="s">
        <v>668</v>
      </c>
      <c r="W1463" s="6">
        <f>14102999</f>
        <v>14102999</v>
      </c>
      <c r="X1463" s="4" t="s">
        <v>243</v>
      </c>
      <c r="Y1463" s="4" t="s">
        <v>244</v>
      </c>
      <c r="Z1463" s="4" t="s">
        <v>282</v>
      </c>
      <c r="AA1463" s="4" t="s">
        <v>241</v>
      </c>
      <c r="AD1463" s="4" t="s">
        <v>241</v>
      </c>
      <c r="AF1463" s="5" t="s">
        <v>241</v>
      </c>
      <c r="AI1463" s="5" t="s">
        <v>249</v>
      </c>
      <c r="AJ1463" s="4" t="s">
        <v>251</v>
      </c>
      <c r="AK1463" s="4" t="s">
        <v>252</v>
      </c>
      <c r="BA1463" s="4" t="s">
        <v>254</v>
      </c>
      <c r="BB1463" s="4" t="s">
        <v>241</v>
      </c>
      <c r="BC1463" s="4" t="s">
        <v>255</v>
      </c>
      <c r="BD1463" s="4" t="s">
        <v>241</v>
      </c>
      <c r="BE1463" s="4" t="s">
        <v>257</v>
      </c>
      <c r="BF1463" s="4" t="s">
        <v>241</v>
      </c>
      <c r="BH1463" s="4" t="s">
        <v>579</v>
      </c>
      <c r="BJ1463" s="4" t="s">
        <v>259</v>
      </c>
      <c r="BK1463" s="5" t="s">
        <v>260</v>
      </c>
      <c r="BL1463" s="4" t="s">
        <v>261</v>
      </c>
      <c r="BM1463" s="4" t="s">
        <v>262</v>
      </c>
      <c r="BN1463" s="4" t="s">
        <v>241</v>
      </c>
      <c r="BO1463" s="6">
        <f>0</f>
        <v>0</v>
      </c>
      <c r="BP1463" s="6">
        <f>0</f>
        <v>0</v>
      </c>
      <c r="BQ1463" s="4" t="s">
        <v>263</v>
      </c>
      <c r="BR1463" s="4" t="s">
        <v>264</v>
      </c>
      <c r="CF1463" s="4" t="s">
        <v>241</v>
      </c>
      <c r="CG1463" s="4" t="s">
        <v>241</v>
      </c>
      <c r="CK1463" s="4" t="s">
        <v>265</v>
      </c>
      <c r="CL1463" s="4" t="s">
        <v>266</v>
      </c>
      <c r="CM1463" s="4" t="s">
        <v>241</v>
      </c>
      <c r="CO1463" s="4" t="s">
        <v>1021</v>
      </c>
      <c r="CP1463" s="5" t="s">
        <v>268</v>
      </c>
      <c r="CQ1463" s="4" t="s">
        <v>269</v>
      </c>
      <c r="CR1463" s="4" t="s">
        <v>270</v>
      </c>
      <c r="CS1463" s="4" t="s">
        <v>241</v>
      </c>
      <c r="CT1463" s="4" t="s">
        <v>241</v>
      </c>
      <c r="CU1463" s="4">
        <v>0</v>
      </c>
      <c r="CV1463" s="4" t="s">
        <v>271</v>
      </c>
      <c r="CW1463" s="4" t="s">
        <v>1671</v>
      </c>
      <c r="CX1463" s="4" t="s">
        <v>347</v>
      </c>
      <c r="CZ1463" s="6">
        <f>14103000</f>
        <v>14103000</v>
      </c>
      <c r="DA1463" s="6">
        <f>0</f>
        <v>0</v>
      </c>
      <c r="DC1463" s="4" t="s">
        <v>241</v>
      </c>
      <c r="DD1463" s="4" t="s">
        <v>241</v>
      </c>
      <c r="DF1463" s="4" t="s">
        <v>241</v>
      </c>
      <c r="DI1463" s="4" t="s">
        <v>241</v>
      </c>
      <c r="DJ1463" s="4" t="s">
        <v>241</v>
      </c>
      <c r="DK1463" s="4" t="s">
        <v>241</v>
      </c>
      <c r="DL1463" s="4" t="s">
        <v>241</v>
      </c>
      <c r="DM1463" s="4" t="s">
        <v>277</v>
      </c>
      <c r="DN1463" s="4" t="s">
        <v>278</v>
      </c>
      <c r="DO1463" s="6">
        <f>156.7</f>
        <v>156.69999999999999</v>
      </c>
      <c r="DP1463" s="4" t="s">
        <v>241</v>
      </c>
      <c r="DQ1463" s="4" t="s">
        <v>241</v>
      </c>
      <c r="DR1463" s="4" t="s">
        <v>241</v>
      </c>
      <c r="DS1463" s="4" t="s">
        <v>241</v>
      </c>
      <c r="DV1463" s="4" t="s">
        <v>1724</v>
      </c>
      <c r="DW1463" s="4" t="s">
        <v>277</v>
      </c>
      <c r="HO1463" s="4" t="s">
        <v>277</v>
      </c>
      <c r="HR1463" s="4" t="s">
        <v>278</v>
      </c>
      <c r="HS1463" s="4" t="s">
        <v>278</v>
      </c>
    </row>
    <row r="1464" spans="1:240" x14ac:dyDescent="0.4">
      <c r="A1464" s="4">
        <v>2</v>
      </c>
      <c r="B1464" s="4" t="s">
        <v>239</v>
      </c>
      <c r="C1464" s="4">
        <v>1790</v>
      </c>
      <c r="D1464" s="4">
        <v>1</v>
      </c>
      <c r="E1464" s="4">
        <v>1</v>
      </c>
      <c r="F1464" s="4" t="s">
        <v>240</v>
      </c>
      <c r="G1464" s="4" t="s">
        <v>241</v>
      </c>
      <c r="H1464" s="4" t="s">
        <v>241</v>
      </c>
      <c r="I1464" s="4" t="s">
        <v>891</v>
      </c>
      <c r="J1464" s="4" t="s">
        <v>302</v>
      </c>
      <c r="K1464" s="4" t="s">
        <v>578</v>
      </c>
      <c r="L1464" s="4" t="s">
        <v>429</v>
      </c>
      <c r="M1464" s="5" t="s">
        <v>893</v>
      </c>
      <c r="N1464" s="4" t="s">
        <v>429</v>
      </c>
      <c r="O1464" s="6">
        <f>15</f>
        <v>15</v>
      </c>
      <c r="P1464" s="4" t="s">
        <v>276</v>
      </c>
      <c r="Q1464" s="6">
        <f>1</f>
        <v>1</v>
      </c>
      <c r="R1464" s="6">
        <f>900000</f>
        <v>900000</v>
      </c>
      <c r="S1464" s="5" t="s">
        <v>892</v>
      </c>
      <c r="T1464" s="4" t="s">
        <v>348</v>
      </c>
      <c r="U1464" s="4" t="s">
        <v>393</v>
      </c>
      <c r="W1464" s="6">
        <f>899999</f>
        <v>899999</v>
      </c>
      <c r="X1464" s="4" t="s">
        <v>243</v>
      </c>
      <c r="Y1464" s="4" t="s">
        <v>244</v>
      </c>
      <c r="Z1464" s="4" t="s">
        <v>282</v>
      </c>
      <c r="AA1464" s="4" t="s">
        <v>241</v>
      </c>
      <c r="AD1464" s="4" t="s">
        <v>241</v>
      </c>
      <c r="AF1464" s="5" t="s">
        <v>241</v>
      </c>
      <c r="AI1464" s="5" t="s">
        <v>249</v>
      </c>
      <c r="AJ1464" s="4" t="s">
        <v>251</v>
      </c>
      <c r="AK1464" s="4" t="s">
        <v>252</v>
      </c>
      <c r="BA1464" s="4" t="s">
        <v>254</v>
      </c>
      <c r="BB1464" s="4" t="s">
        <v>241</v>
      </c>
      <c r="BC1464" s="4" t="s">
        <v>255</v>
      </c>
      <c r="BD1464" s="4" t="s">
        <v>241</v>
      </c>
      <c r="BE1464" s="4" t="s">
        <v>257</v>
      </c>
      <c r="BF1464" s="4" t="s">
        <v>241</v>
      </c>
      <c r="BJ1464" s="4" t="s">
        <v>367</v>
      </c>
      <c r="BK1464" s="5" t="s">
        <v>249</v>
      </c>
      <c r="BL1464" s="4" t="s">
        <v>261</v>
      </c>
      <c r="BM1464" s="4" t="s">
        <v>262</v>
      </c>
      <c r="BN1464" s="4" t="s">
        <v>241</v>
      </c>
      <c r="BO1464" s="6">
        <f>0</f>
        <v>0</v>
      </c>
      <c r="BP1464" s="6">
        <f>0</f>
        <v>0</v>
      </c>
      <c r="BQ1464" s="4" t="s">
        <v>263</v>
      </c>
      <c r="BR1464" s="4" t="s">
        <v>264</v>
      </c>
      <c r="CF1464" s="4" t="s">
        <v>241</v>
      </c>
      <c r="CG1464" s="4" t="s">
        <v>241</v>
      </c>
      <c r="CK1464" s="4" t="s">
        <v>265</v>
      </c>
      <c r="CL1464" s="4" t="s">
        <v>266</v>
      </c>
      <c r="CM1464" s="4" t="s">
        <v>241</v>
      </c>
      <c r="CO1464" s="4" t="s">
        <v>392</v>
      </c>
      <c r="CP1464" s="5" t="s">
        <v>268</v>
      </c>
      <c r="CQ1464" s="4" t="s">
        <v>269</v>
      </c>
      <c r="CR1464" s="4" t="s">
        <v>270</v>
      </c>
      <c r="CS1464" s="4" t="s">
        <v>241</v>
      </c>
      <c r="CT1464" s="4" t="s">
        <v>241</v>
      </c>
      <c r="CU1464" s="4">
        <v>0</v>
      </c>
      <c r="CV1464" s="4" t="s">
        <v>271</v>
      </c>
      <c r="CW1464" s="4" t="s">
        <v>272</v>
      </c>
      <c r="CX1464" s="4" t="s">
        <v>347</v>
      </c>
      <c r="CZ1464" s="6">
        <f>900000</f>
        <v>900000</v>
      </c>
      <c r="DA1464" s="6">
        <f>0</f>
        <v>0</v>
      </c>
      <c r="DC1464" s="4" t="s">
        <v>241</v>
      </c>
      <c r="DD1464" s="4" t="s">
        <v>241</v>
      </c>
      <c r="DF1464" s="4" t="s">
        <v>241</v>
      </c>
      <c r="DI1464" s="4" t="s">
        <v>241</v>
      </c>
      <c r="DJ1464" s="4" t="s">
        <v>241</v>
      </c>
      <c r="DK1464" s="4" t="s">
        <v>241</v>
      </c>
      <c r="DL1464" s="4" t="s">
        <v>241</v>
      </c>
      <c r="DM1464" s="4" t="s">
        <v>277</v>
      </c>
      <c r="DN1464" s="4" t="s">
        <v>278</v>
      </c>
      <c r="DO1464" s="6">
        <f>15</f>
        <v>15</v>
      </c>
      <c r="DP1464" s="4" t="s">
        <v>241</v>
      </c>
      <c r="DQ1464" s="4" t="s">
        <v>241</v>
      </c>
      <c r="DR1464" s="4" t="s">
        <v>241</v>
      </c>
      <c r="DS1464" s="4" t="s">
        <v>241</v>
      </c>
      <c r="DV1464" s="4" t="s">
        <v>894</v>
      </c>
      <c r="DW1464" s="4" t="s">
        <v>277</v>
      </c>
      <c r="HO1464" s="4" t="s">
        <v>277</v>
      </c>
      <c r="HR1464" s="4" t="s">
        <v>278</v>
      </c>
      <c r="HS1464" s="4" t="s">
        <v>278</v>
      </c>
    </row>
    <row r="1465" spans="1:240" x14ac:dyDescent="0.4">
      <c r="A1465" s="4">
        <v>2</v>
      </c>
      <c r="B1465" s="4" t="s">
        <v>239</v>
      </c>
      <c r="C1465" s="4">
        <v>1791</v>
      </c>
      <c r="D1465" s="4">
        <v>1</v>
      </c>
      <c r="E1465" s="4">
        <v>1</v>
      </c>
      <c r="F1465" s="4" t="s">
        <v>240</v>
      </c>
      <c r="G1465" s="4" t="s">
        <v>241</v>
      </c>
      <c r="H1465" s="4" t="s">
        <v>241</v>
      </c>
      <c r="I1465" s="4" t="s">
        <v>891</v>
      </c>
      <c r="J1465" s="4" t="s">
        <v>302</v>
      </c>
      <c r="K1465" s="4" t="s">
        <v>578</v>
      </c>
      <c r="L1465" s="4" t="s">
        <v>440</v>
      </c>
      <c r="M1465" s="5" t="s">
        <v>893</v>
      </c>
      <c r="N1465" s="4" t="s">
        <v>890</v>
      </c>
      <c r="O1465" s="6">
        <f>319.6</f>
        <v>319.60000000000002</v>
      </c>
      <c r="P1465" s="4" t="s">
        <v>276</v>
      </c>
      <c r="Q1465" s="6">
        <f>1</f>
        <v>1</v>
      </c>
      <c r="R1465" s="6">
        <f>25568000</f>
        <v>25568000</v>
      </c>
      <c r="S1465" s="5" t="s">
        <v>892</v>
      </c>
      <c r="T1465" s="4" t="s">
        <v>357</v>
      </c>
      <c r="U1465" s="4" t="s">
        <v>393</v>
      </c>
      <c r="W1465" s="6">
        <f>25567999</f>
        <v>25567999</v>
      </c>
      <c r="X1465" s="4" t="s">
        <v>243</v>
      </c>
      <c r="Y1465" s="4" t="s">
        <v>244</v>
      </c>
      <c r="Z1465" s="4" t="s">
        <v>282</v>
      </c>
      <c r="AA1465" s="4" t="s">
        <v>241</v>
      </c>
      <c r="AD1465" s="4" t="s">
        <v>241</v>
      </c>
      <c r="AF1465" s="5" t="s">
        <v>241</v>
      </c>
      <c r="AI1465" s="5" t="s">
        <v>249</v>
      </c>
      <c r="AJ1465" s="4" t="s">
        <v>251</v>
      </c>
      <c r="AK1465" s="4" t="s">
        <v>252</v>
      </c>
      <c r="BA1465" s="4" t="s">
        <v>254</v>
      </c>
      <c r="BB1465" s="4" t="s">
        <v>241</v>
      </c>
      <c r="BC1465" s="4" t="s">
        <v>255</v>
      </c>
      <c r="BD1465" s="4" t="s">
        <v>241</v>
      </c>
      <c r="BE1465" s="4" t="s">
        <v>257</v>
      </c>
      <c r="BF1465" s="4" t="s">
        <v>241</v>
      </c>
      <c r="BJ1465" s="4" t="s">
        <v>374</v>
      </c>
      <c r="BK1465" s="5" t="s">
        <v>375</v>
      </c>
      <c r="BL1465" s="4" t="s">
        <v>261</v>
      </c>
      <c r="BM1465" s="4" t="s">
        <v>262</v>
      </c>
      <c r="BN1465" s="4" t="s">
        <v>241</v>
      </c>
      <c r="BO1465" s="6">
        <f>0</f>
        <v>0</v>
      </c>
      <c r="BP1465" s="6">
        <f>0</f>
        <v>0</v>
      </c>
      <c r="BQ1465" s="4" t="s">
        <v>263</v>
      </c>
      <c r="BR1465" s="4" t="s">
        <v>264</v>
      </c>
      <c r="CF1465" s="4" t="s">
        <v>241</v>
      </c>
      <c r="CG1465" s="4" t="s">
        <v>241</v>
      </c>
      <c r="CK1465" s="4" t="s">
        <v>265</v>
      </c>
      <c r="CL1465" s="4" t="s">
        <v>266</v>
      </c>
      <c r="CM1465" s="4" t="s">
        <v>241</v>
      </c>
      <c r="CO1465" s="4" t="s">
        <v>392</v>
      </c>
      <c r="CP1465" s="5" t="s">
        <v>268</v>
      </c>
      <c r="CQ1465" s="4" t="s">
        <v>269</v>
      </c>
      <c r="CR1465" s="4" t="s">
        <v>270</v>
      </c>
      <c r="CS1465" s="4" t="s">
        <v>241</v>
      </c>
      <c r="CT1465" s="4" t="s">
        <v>241</v>
      </c>
      <c r="CU1465" s="4">
        <v>0</v>
      </c>
      <c r="CV1465" s="4" t="s">
        <v>271</v>
      </c>
      <c r="CW1465" s="4" t="s">
        <v>655</v>
      </c>
      <c r="CX1465" s="4" t="s">
        <v>487</v>
      </c>
      <c r="CZ1465" s="6">
        <f>25568000</f>
        <v>25568000</v>
      </c>
      <c r="DA1465" s="6">
        <f>0</f>
        <v>0</v>
      </c>
      <c r="DC1465" s="4" t="s">
        <v>241</v>
      </c>
      <c r="DD1465" s="4" t="s">
        <v>241</v>
      </c>
      <c r="DF1465" s="4" t="s">
        <v>241</v>
      </c>
      <c r="DI1465" s="4" t="s">
        <v>241</v>
      </c>
      <c r="DJ1465" s="4" t="s">
        <v>241</v>
      </c>
      <c r="DK1465" s="4" t="s">
        <v>241</v>
      </c>
      <c r="DL1465" s="4" t="s">
        <v>241</v>
      </c>
      <c r="DM1465" s="4" t="s">
        <v>277</v>
      </c>
      <c r="DN1465" s="4" t="s">
        <v>278</v>
      </c>
      <c r="DO1465" s="6">
        <f>319.6</f>
        <v>319.60000000000002</v>
      </c>
      <c r="DP1465" s="4" t="s">
        <v>241</v>
      </c>
      <c r="DQ1465" s="4" t="s">
        <v>241</v>
      </c>
      <c r="DR1465" s="4" t="s">
        <v>241</v>
      </c>
      <c r="DS1465" s="4" t="s">
        <v>241</v>
      </c>
      <c r="DV1465" s="4" t="s">
        <v>894</v>
      </c>
      <c r="DW1465" s="4" t="s">
        <v>323</v>
      </c>
      <c r="HO1465" s="4" t="s">
        <v>277</v>
      </c>
      <c r="HR1465" s="4" t="s">
        <v>278</v>
      </c>
      <c r="HS1465" s="4" t="s">
        <v>278</v>
      </c>
    </row>
    <row r="1466" spans="1:240" x14ac:dyDescent="0.4">
      <c r="A1466" s="4">
        <v>2</v>
      </c>
      <c r="B1466" s="4" t="s">
        <v>239</v>
      </c>
      <c r="C1466" s="4">
        <v>1792</v>
      </c>
      <c r="D1466" s="4">
        <v>1</v>
      </c>
      <c r="E1466" s="4">
        <v>1</v>
      </c>
      <c r="F1466" s="4" t="s">
        <v>240</v>
      </c>
      <c r="G1466" s="4" t="s">
        <v>241</v>
      </c>
      <c r="H1466" s="4" t="s">
        <v>241</v>
      </c>
      <c r="I1466" s="4" t="s">
        <v>3051</v>
      </c>
      <c r="J1466" s="4" t="s">
        <v>483</v>
      </c>
      <c r="K1466" s="4" t="s">
        <v>578</v>
      </c>
      <c r="L1466" s="4" t="s">
        <v>250</v>
      </c>
      <c r="M1466" s="5" t="s">
        <v>3066</v>
      </c>
      <c r="N1466" s="4" t="s">
        <v>242</v>
      </c>
      <c r="O1466" s="6">
        <f>9.99</f>
        <v>9.99</v>
      </c>
      <c r="P1466" s="4" t="s">
        <v>276</v>
      </c>
      <c r="Q1466" s="6">
        <f>1</f>
        <v>1</v>
      </c>
      <c r="R1466" s="6">
        <f>699300</f>
        <v>699300</v>
      </c>
      <c r="S1466" s="5" t="s">
        <v>248</v>
      </c>
      <c r="T1466" s="4" t="s">
        <v>357</v>
      </c>
      <c r="U1466" s="4" t="s">
        <v>275</v>
      </c>
      <c r="W1466" s="6">
        <f>699299</f>
        <v>699299</v>
      </c>
      <c r="X1466" s="4" t="s">
        <v>243</v>
      </c>
      <c r="Y1466" s="4" t="s">
        <v>244</v>
      </c>
      <c r="Z1466" s="4" t="s">
        <v>282</v>
      </c>
      <c r="AA1466" s="4" t="s">
        <v>241</v>
      </c>
      <c r="AD1466" s="4" t="s">
        <v>241</v>
      </c>
      <c r="AF1466" s="5" t="s">
        <v>241</v>
      </c>
      <c r="AI1466" s="5" t="s">
        <v>249</v>
      </c>
      <c r="AJ1466" s="4" t="s">
        <v>251</v>
      </c>
      <c r="AK1466" s="4" t="s">
        <v>252</v>
      </c>
      <c r="BA1466" s="4" t="s">
        <v>254</v>
      </c>
      <c r="BB1466" s="4" t="s">
        <v>241</v>
      </c>
      <c r="BC1466" s="4" t="s">
        <v>255</v>
      </c>
      <c r="BD1466" s="4" t="s">
        <v>241</v>
      </c>
      <c r="BE1466" s="4" t="s">
        <v>257</v>
      </c>
      <c r="BF1466" s="4" t="s">
        <v>241</v>
      </c>
      <c r="BJ1466" s="4" t="s">
        <v>377</v>
      </c>
      <c r="BK1466" s="5" t="s">
        <v>378</v>
      </c>
      <c r="BL1466" s="4" t="s">
        <v>261</v>
      </c>
      <c r="BM1466" s="4" t="s">
        <v>262</v>
      </c>
      <c r="BN1466" s="4" t="s">
        <v>241</v>
      </c>
      <c r="BO1466" s="6">
        <f>0</f>
        <v>0</v>
      </c>
      <c r="BP1466" s="6">
        <f>0</f>
        <v>0</v>
      </c>
      <c r="BQ1466" s="4" t="s">
        <v>263</v>
      </c>
      <c r="BR1466" s="4" t="s">
        <v>264</v>
      </c>
      <c r="CF1466" s="4" t="s">
        <v>241</v>
      </c>
      <c r="CG1466" s="4" t="s">
        <v>241</v>
      </c>
      <c r="CK1466" s="4" t="s">
        <v>265</v>
      </c>
      <c r="CL1466" s="4" t="s">
        <v>266</v>
      </c>
      <c r="CM1466" s="4" t="s">
        <v>241</v>
      </c>
      <c r="CO1466" s="4" t="s">
        <v>267</v>
      </c>
      <c r="CP1466" s="5" t="s">
        <v>268</v>
      </c>
      <c r="CQ1466" s="4" t="s">
        <v>269</v>
      </c>
      <c r="CR1466" s="4" t="s">
        <v>270</v>
      </c>
      <c r="CS1466" s="4" t="s">
        <v>241</v>
      </c>
      <c r="CT1466" s="4" t="s">
        <v>241</v>
      </c>
      <c r="CU1466" s="4">
        <v>0</v>
      </c>
      <c r="CV1466" s="4" t="s">
        <v>271</v>
      </c>
      <c r="CW1466" s="4" t="s">
        <v>272</v>
      </c>
      <c r="CX1466" s="4" t="s">
        <v>356</v>
      </c>
      <c r="CZ1466" s="6">
        <f>699300</f>
        <v>699300</v>
      </c>
      <c r="DA1466" s="6">
        <f>0</f>
        <v>0</v>
      </c>
      <c r="DC1466" s="4" t="s">
        <v>241</v>
      </c>
      <c r="DD1466" s="4" t="s">
        <v>241</v>
      </c>
      <c r="DF1466" s="4" t="s">
        <v>241</v>
      </c>
      <c r="DI1466" s="4" t="s">
        <v>241</v>
      </c>
      <c r="DJ1466" s="4" t="s">
        <v>241</v>
      </c>
      <c r="DK1466" s="4" t="s">
        <v>241</v>
      </c>
      <c r="DL1466" s="4" t="s">
        <v>241</v>
      </c>
      <c r="DM1466" s="4" t="s">
        <v>277</v>
      </c>
      <c r="DN1466" s="4" t="s">
        <v>278</v>
      </c>
      <c r="DO1466" s="6">
        <f>9.99</f>
        <v>9.99</v>
      </c>
      <c r="DP1466" s="4" t="s">
        <v>241</v>
      </c>
      <c r="DQ1466" s="4" t="s">
        <v>241</v>
      </c>
      <c r="DR1466" s="4" t="s">
        <v>241</v>
      </c>
      <c r="DS1466" s="4" t="s">
        <v>241</v>
      </c>
      <c r="DV1466" s="4" t="s">
        <v>3067</v>
      </c>
      <c r="DW1466" s="4" t="s">
        <v>277</v>
      </c>
      <c r="HO1466" s="4" t="s">
        <v>277</v>
      </c>
      <c r="HR1466" s="4" t="s">
        <v>278</v>
      </c>
      <c r="HS1466" s="4" t="s">
        <v>278</v>
      </c>
    </row>
    <row r="1467" spans="1:240" x14ac:dyDescent="0.4">
      <c r="A1467" s="4">
        <v>2</v>
      </c>
      <c r="B1467" s="4" t="s">
        <v>239</v>
      </c>
      <c r="C1467" s="4">
        <v>1793</v>
      </c>
      <c r="D1467" s="4">
        <v>1</v>
      </c>
      <c r="E1467" s="4">
        <v>1</v>
      </c>
      <c r="F1467" s="4" t="s">
        <v>240</v>
      </c>
      <c r="G1467" s="4" t="s">
        <v>241</v>
      </c>
      <c r="H1467" s="4" t="s">
        <v>241</v>
      </c>
      <c r="I1467" s="4" t="s">
        <v>3051</v>
      </c>
      <c r="J1467" s="4" t="s">
        <v>483</v>
      </c>
      <c r="K1467" s="4" t="s">
        <v>578</v>
      </c>
      <c r="L1467" s="4" t="s">
        <v>250</v>
      </c>
      <c r="M1467" s="5" t="s">
        <v>3066</v>
      </c>
      <c r="N1467" s="4" t="s">
        <v>242</v>
      </c>
      <c r="O1467" s="6">
        <f>9.99</f>
        <v>9.99</v>
      </c>
      <c r="P1467" s="4" t="s">
        <v>276</v>
      </c>
      <c r="Q1467" s="6">
        <f>1</f>
        <v>1</v>
      </c>
      <c r="R1467" s="6">
        <f>699300</f>
        <v>699300</v>
      </c>
      <c r="S1467" s="5" t="s">
        <v>248</v>
      </c>
      <c r="T1467" s="4" t="s">
        <v>357</v>
      </c>
      <c r="U1467" s="4" t="s">
        <v>275</v>
      </c>
      <c r="W1467" s="6">
        <f>699299</f>
        <v>699299</v>
      </c>
      <c r="X1467" s="4" t="s">
        <v>243</v>
      </c>
      <c r="Y1467" s="4" t="s">
        <v>244</v>
      </c>
      <c r="Z1467" s="4" t="s">
        <v>282</v>
      </c>
      <c r="AA1467" s="4" t="s">
        <v>241</v>
      </c>
      <c r="AD1467" s="4" t="s">
        <v>241</v>
      </c>
      <c r="AF1467" s="5" t="s">
        <v>241</v>
      </c>
      <c r="AI1467" s="5" t="s">
        <v>249</v>
      </c>
      <c r="AJ1467" s="4" t="s">
        <v>251</v>
      </c>
      <c r="AK1467" s="4" t="s">
        <v>252</v>
      </c>
      <c r="BA1467" s="4" t="s">
        <v>254</v>
      </c>
      <c r="BB1467" s="4" t="s">
        <v>241</v>
      </c>
      <c r="BC1467" s="4" t="s">
        <v>255</v>
      </c>
      <c r="BD1467" s="4" t="s">
        <v>241</v>
      </c>
      <c r="BE1467" s="4" t="s">
        <v>257</v>
      </c>
      <c r="BF1467" s="4" t="s">
        <v>241</v>
      </c>
      <c r="BJ1467" s="4" t="s">
        <v>259</v>
      </c>
      <c r="BK1467" s="5" t="s">
        <v>260</v>
      </c>
      <c r="BL1467" s="4" t="s">
        <v>261</v>
      </c>
      <c r="BM1467" s="4" t="s">
        <v>262</v>
      </c>
      <c r="BN1467" s="4" t="s">
        <v>241</v>
      </c>
      <c r="BO1467" s="6">
        <f>0</f>
        <v>0</v>
      </c>
      <c r="BP1467" s="6">
        <f>0</f>
        <v>0</v>
      </c>
      <c r="BQ1467" s="4" t="s">
        <v>263</v>
      </c>
      <c r="BR1467" s="4" t="s">
        <v>264</v>
      </c>
      <c r="CF1467" s="4" t="s">
        <v>241</v>
      </c>
      <c r="CG1467" s="4" t="s">
        <v>241</v>
      </c>
      <c r="CK1467" s="4" t="s">
        <v>265</v>
      </c>
      <c r="CL1467" s="4" t="s">
        <v>266</v>
      </c>
      <c r="CM1467" s="4" t="s">
        <v>241</v>
      </c>
      <c r="CO1467" s="4" t="s">
        <v>267</v>
      </c>
      <c r="CP1467" s="5" t="s">
        <v>268</v>
      </c>
      <c r="CQ1467" s="4" t="s">
        <v>269</v>
      </c>
      <c r="CR1467" s="4" t="s">
        <v>270</v>
      </c>
      <c r="CS1467" s="4" t="s">
        <v>241</v>
      </c>
      <c r="CT1467" s="4" t="s">
        <v>241</v>
      </c>
      <c r="CU1467" s="4">
        <v>0</v>
      </c>
      <c r="CV1467" s="4" t="s">
        <v>271</v>
      </c>
      <c r="CW1467" s="4" t="s">
        <v>272</v>
      </c>
      <c r="CX1467" s="4" t="s">
        <v>356</v>
      </c>
      <c r="CZ1467" s="6">
        <f>699300</f>
        <v>699300</v>
      </c>
      <c r="DA1467" s="6">
        <f>0</f>
        <v>0</v>
      </c>
      <c r="DC1467" s="4" t="s">
        <v>241</v>
      </c>
      <c r="DD1467" s="4" t="s">
        <v>241</v>
      </c>
      <c r="DF1467" s="4" t="s">
        <v>241</v>
      </c>
      <c r="DI1467" s="4" t="s">
        <v>241</v>
      </c>
      <c r="DJ1467" s="4" t="s">
        <v>241</v>
      </c>
      <c r="DK1467" s="4" t="s">
        <v>241</v>
      </c>
      <c r="DL1467" s="4" t="s">
        <v>241</v>
      </c>
      <c r="DM1467" s="4" t="s">
        <v>277</v>
      </c>
      <c r="DN1467" s="4" t="s">
        <v>278</v>
      </c>
      <c r="DO1467" s="6">
        <f>9.99</f>
        <v>9.99</v>
      </c>
      <c r="DP1467" s="4" t="s">
        <v>241</v>
      </c>
      <c r="DQ1467" s="4" t="s">
        <v>241</v>
      </c>
      <c r="DR1467" s="4" t="s">
        <v>241</v>
      </c>
      <c r="DS1467" s="4" t="s">
        <v>241</v>
      </c>
      <c r="DV1467" s="4" t="s">
        <v>3067</v>
      </c>
      <c r="DW1467" s="4" t="s">
        <v>323</v>
      </c>
      <c r="HO1467" s="4" t="s">
        <v>277</v>
      </c>
      <c r="HR1467" s="4" t="s">
        <v>278</v>
      </c>
      <c r="HS1467" s="4" t="s">
        <v>278</v>
      </c>
    </row>
    <row r="1468" spans="1:240" x14ac:dyDescent="0.4">
      <c r="A1468" s="4">
        <v>2</v>
      </c>
      <c r="B1468" s="4" t="s">
        <v>239</v>
      </c>
      <c r="C1468" s="4">
        <v>1794</v>
      </c>
      <c r="D1468" s="4">
        <v>1</v>
      </c>
      <c r="E1468" s="4">
        <v>1</v>
      </c>
      <c r="F1468" s="4" t="s">
        <v>240</v>
      </c>
      <c r="G1468" s="4" t="s">
        <v>241</v>
      </c>
      <c r="H1468" s="4" t="s">
        <v>241</v>
      </c>
      <c r="I1468" s="4" t="s">
        <v>3051</v>
      </c>
      <c r="J1468" s="4" t="s">
        <v>483</v>
      </c>
      <c r="K1468" s="4" t="s">
        <v>578</v>
      </c>
      <c r="L1468" s="4" t="s">
        <v>250</v>
      </c>
      <c r="M1468" s="5" t="s">
        <v>3066</v>
      </c>
      <c r="N1468" s="4" t="s">
        <v>242</v>
      </c>
      <c r="O1468" s="6">
        <f>9.99</f>
        <v>9.99</v>
      </c>
      <c r="P1468" s="4" t="s">
        <v>276</v>
      </c>
      <c r="Q1468" s="6">
        <f>1</f>
        <v>1</v>
      </c>
      <c r="R1468" s="6">
        <f>699300</f>
        <v>699300</v>
      </c>
      <c r="S1468" s="5" t="s">
        <v>248</v>
      </c>
      <c r="T1468" s="4" t="s">
        <v>357</v>
      </c>
      <c r="U1468" s="4" t="s">
        <v>275</v>
      </c>
      <c r="W1468" s="6">
        <f>699299</f>
        <v>699299</v>
      </c>
      <c r="X1468" s="4" t="s">
        <v>243</v>
      </c>
      <c r="Y1468" s="4" t="s">
        <v>244</v>
      </c>
      <c r="Z1468" s="4" t="s">
        <v>282</v>
      </c>
      <c r="AA1468" s="4" t="s">
        <v>241</v>
      </c>
      <c r="AD1468" s="4" t="s">
        <v>241</v>
      </c>
      <c r="AF1468" s="5" t="s">
        <v>241</v>
      </c>
      <c r="AI1468" s="5" t="s">
        <v>249</v>
      </c>
      <c r="AJ1468" s="4" t="s">
        <v>251</v>
      </c>
      <c r="AK1468" s="4" t="s">
        <v>252</v>
      </c>
      <c r="BA1468" s="4" t="s">
        <v>254</v>
      </c>
      <c r="BB1468" s="4" t="s">
        <v>241</v>
      </c>
      <c r="BC1468" s="4" t="s">
        <v>255</v>
      </c>
      <c r="BD1468" s="4" t="s">
        <v>241</v>
      </c>
      <c r="BE1468" s="4" t="s">
        <v>257</v>
      </c>
      <c r="BF1468" s="4" t="s">
        <v>241</v>
      </c>
      <c r="BJ1468" s="4" t="s">
        <v>367</v>
      </c>
      <c r="BK1468" s="5" t="s">
        <v>249</v>
      </c>
      <c r="BL1468" s="4" t="s">
        <v>261</v>
      </c>
      <c r="BM1468" s="4" t="s">
        <v>262</v>
      </c>
      <c r="BN1468" s="4" t="s">
        <v>241</v>
      </c>
      <c r="BO1468" s="6">
        <f>0</f>
        <v>0</v>
      </c>
      <c r="BP1468" s="6">
        <f>0</f>
        <v>0</v>
      </c>
      <c r="BQ1468" s="4" t="s">
        <v>263</v>
      </c>
      <c r="BR1468" s="4" t="s">
        <v>264</v>
      </c>
      <c r="CF1468" s="4" t="s">
        <v>241</v>
      </c>
      <c r="CG1468" s="4" t="s">
        <v>241</v>
      </c>
      <c r="CK1468" s="4" t="s">
        <v>265</v>
      </c>
      <c r="CL1468" s="4" t="s">
        <v>266</v>
      </c>
      <c r="CM1468" s="4" t="s">
        <v>241</v>
      </c>
      <c r="CO1468" s="4" t="s">
        <v>267</v>
      </c>
      <c r="CP1468" s="5" t="s">
        <v>268</v>
      </c>
      <c r="CQ1468" s="4" t="s">
        <v>269</v>
      </c>
      <c r="CR1468" s="4" t="s">
        <v>270</v>
      </c>
      <c r="CS1468" s="4" t="s">
        <v>241</v>
      </c>
      <c r="CT1468" s="4" t="s">
        <v>241</v>
      </c>
      <c r="CU1468" s="4">
        <v>0</v>
      </c>
      <c r="CV1468" s="4" t="s">
        <v>271</v>
      </c>
      <c r="CW1468" s="4" t="s">
        <v>272</v>
      </c>
      <c r="CX1468" s="4" t="s">
        <v>356</v>
      </c>
      <c r="CZ1468" s="6">
        <f>699300</f>
        <v>699300</v>
      </c>
      <c r="DA1468" s="6">
        <f>0</f>
        <v>0</v>
      </c>
      <c r="DC1468" s="4" t="s">
        <v>241</v>
      </c>
      <c r="DD1468" s="4" t="s">
        <v>241</v>
      </c>
      <c r="DF1468" s="4" t="s">
        <v>241</v>
      </c>
      <c r="DI1468" s="4" t="s">
        <v>241</v>
      </c>
      <c r="DJ1468" s="4" t="s">
        <v>241</v>
      </c>
      <c r="DK1468" s="4" t="s">
        <v>241</v>
      </c>
      <c r="DL1468" s="4" t="s">
        <v>241</v>
      </c>
      <c r="DM1468" s="4" t="s">
        <v>277</v>
      </c>
      <c r="DN1468" s="4" t="s">
        <v>278</v>
      </c>
      <c r="DO1468" s="6">
        <f>9.99</f>
        <v>9.99</v>
      </c>
      <c r="DP1468" s="4" t="s">
        <v>241</v>
      </c>
      <c r="DQ1468" s="4" t="s">
        <v>241</v>
      </c>
      <c r="DR1468" s="4" t="s">
        <v>241</v>
      </c>
      <c r="DS1468" s="4" t="s">
        <v>241</v>
      </c>
      <c r="DV1468" s="4" t="s">
        <v>3067</v>
      </c>
      <c r="DW1468" s="4" t="s">
        <v>297</v>
      </c>
      <c r="HO1468" s="4" t="s">
        <v>277</v>
      </c>
      <c r="HR1468" s="4" t="s">
        <v>278</v>
      </c>
      <c r="HS1468" s="4" t="s">
        <v>278</v>
      </c>
    </row>
    <row r="1469" spans="1:240" x14ac:dyDescent="0.4">
      <c r="A1469" s="4">
        <v>2</v>
      </c>
      <c r="B1469" s="4" t="s">
        <v>239</v>
      </c>
      <c r="C1469" s="4">
        <v>1795</v>
      </c>
      <c r="D1469" s="4">
        <v>1</v>
      </c>
      <c r="E1469" s="4">
        <v>1</v>
      </c>
      <c r="F1469" s="4" t="s">
        <v>240</v>
      </c>
      <c r="G1469" s="4" t="s">
        <v>241</v>
      </c>
      <c r="H1469" s="4" t="s">
        <v>241</v>
      </c>
      <c r="I1469" s="4" t="s">
        <v>1865</v>
      </c>
      <c r="J1469" s="4" t="s">
        <v>318</v>
      </c>
      <c r="K1469" s="4" t="s">
        <v>578</v>
      </c>
      <c r="L1469" s="4" t="s">
        <v>1846</v>
      </c>
      <c r="M1469" s="5" t="s">
        <v>1867</v>
      </c>
      <c r="N1469" s="4" t="s">
        <v>1846</v>
      </c>
      <c r="O1469" s="6">
        <f>102.68</f>
        <v>102.68</v>
      </c>
      <c r="P1469" s="4" t="s">
        <v>276</v>
      </c>
      <c r="Q1469" s="6">
        <f>1</f>
        <v>1</v>
      </c>
      <c r="R1469" s="6">
        <f>23103000</f>
        <v>23103000</v>
      </c>
      <c r="S1469" s="5" t="s">
        <v>1866</v>
      </c>
      <c r="T1469" s="4" t="s">
        <v>348</v>
      </c>
      <c r="U1469" s="4" t="s">
        <v>365</v>
      </c>
      <c r="W1469" s="6">
        <f>23102999</f>
        <v>23102999</v>
      </c>
      <c r="X1469" s="4" t="s">
        <v>243</v>
      </c>
      <c r="Y1469" s="4" t="s">
        <v>244</v>
      </c>
      <c r="Z1469" s="4" t="s">
        <v>282</v>
      </c>
      <c r="AA1469" s="4" t="s">
        <v>241</v>
      </c>
      <c r="AD1469" s="4" t="s">
        <v>241</v>
      </c>
      <c r="AF1469" s="5" t="s">
        <v>241</v>
      </c>
      <c r="AI1469" s="5" t="s">
        <v>249</v>
      </c>
      <c r="AJ1469" s="4" t="s">
        <v>251</v>
      </c>
      <c r="AK1469" s="4" t="s">
        <v>252</v>
      </c>
      <c r="BA1469" s="4" t="s">
        <v>254</v>
      </c>
      <c r="BB1469" s="4" t="s">
        <v>241</v>
      </c>
      <c r="BC1469" s="4" t="s">
        <v>255</v>
      </c>
      <c r="BD1469" s="4" t="s">
        <v>241</v>
      </c>
      <c r="BE1469" s="4" t="s">
        <v>257</v>
      </c>
      <c r="BF1469" s="4" t="s">
        <v>241</v>
      </c>
      <c r="BJ1469" s="4" t="s">
        <v>367</v>
      </c>
      <c r="BK1469" s="5" t="s">
        <v>249</v>
      </c>
      <c r="BL1469" s="4" t="s">
        <v>261</v>
      </c>
      <c r="BM1469" s="4" t="s">
        <v>262</v>
      </c>
      <c r="BN1469" s="4" t="s">
        <v>241</v>
      </c>
      <c r="BO1469" s="6">
        <f>0</f>
        <v>0</v>
      </c>
      <c r="BP1469" s="6">
        <f>0</f>
        <v>0</v>
      </c>
      <c r="BQ1469" s="4" t="s">
        <v>263</v>
      </c>
      <c r="BR1469" s="4" t="s">
        <v>264</v>
      </c>
      <c r="CF1469" s="4" t="s">
        <v>241</v>
      </c>
      <c r="CG1469" s="4" t="s">
        <v>241</v>
      </c>
      <c r="CK1469" s="4" t="s">
        <v>291</v>
      </c>
      <c r="CL1469" s="4" t="s">
        <v>266</v>
      </c>
      <c r="CM1469" s="4" t="s">
        <v>241</v>
      </c>
      <c r="CO1469" s="4" t="s">
        <v>1568</v>
      </c>
      <c r="CP1469" s="5" t="s">
        <v>268</v>
      </c>
      <c r="CQ1469" s="4" t="s">
        <v>269</v>
      </c>
      <c r="CR1469" s="4" t="s">
        <v>270</v>
      </c>
      <c r="CS1469" s="4" t="s">
        <v>241</v>
      </c>
      <c r="CT1469" s="4" t="s">
        <v>241</v>
      </c>
      <c r="CU1469" s="4">
        <v>0</v>
      </c>
      <c r="CV1469" s="4" t="s">
        <v>271</v>
      </c>
      <c r="CW1469" s="4" t="s">
        <v>1830</v>
      </c>
      <c r="CX1469" s="4" t="s">
        <v>347</v>
      </c>
      <c r="CZ1469" s="6">
        <f>23103000</f>
        <v>23103000</v>
      </c>
      <c r="DA1469" s="6">
        <f>0</f>
        <v>0</v>
      </c>
      <c r="DC1469" s="4" t="s">
        <v>241</v>
      </c>
      <c r="DD1469" s="4" t="s">
        <v>241</v>
      </c>
      <c r="DF1469" s="4" t="s">
        <v>241</v>
      </c>
      <c r="DI1469" s="4" t="s">
        <v>241</v>
      </c>
      <c r="DJ1469" s="4" t="s">
        <v>241</v>
      </c>
      <c r="DK1469" s="4" t="s">
        <v>241</v>
      </c>
      <c r="DL1469" s="4" t="s">
        <v>241</v>
      </c>
      <c r="DM1469" s="4" t="s">
        <v>277</v>
      </c>
      <c r="DN1469" s="4" t="s">
        <v>278</v>
      </c>
      <c r="DO1469" s="6">
        <f>102.68</f>
        <v>102.68</v>
      </c>
      <c r="DP1469" s="4" t="s">
        <v>241</v>
      </c>
      <c r="DQ1469" s="4" t="s">
        <v>241</v>
      </c>
      <c r="DR1469" s="4" t="s">
        <v>241</v>
      </c>
      <c r="DS1469" s="4" t="s">
        <v>241</v>
      </c>
      <c r="DV1469" s="4" t="s">
        <v>1868</v>
      </c>
      <c r="DW1469" s="4" t="s">
        <v>277</v>
      </c>
      <c r="HO1469" s="4" t="s">
        <v>277</v>
      </c>
      <c r="HR1469" s="4" t="s">
        <v>278</v>
      </c>
      <c r="HS1469" s="4" t="s">
        <v>278</v>
      </c>
    </row>
    <row r="1470" spans="1:240" x14ac:dyDescent="0.4">
      <c r="A1470" s="4">
        <v>2</v>
      </c>
      <c r="B1470" s="4" t="s">
        <v>239</v>
      </c>
      <c r="C1470" s="4">
        <v>1796</v>
      </c>
      <c r="D1470" s="4">
        <v>1</v>
      </c>
      <c r="E1470" s="4">
        <v>1</v>
      </c>
      <c r="F1470" s="4" t="s">
        <v>240</v>
      </c>
      <c r="G1470" s="4" t="s">
        <v>241</v>
      </c>
      <c r="H1470" s="4" t="s">
        <v>241</v>
      </c>
      <c r="I1470" s="4" t="s">
        <v>838</v>
      </c>
      <c r="J1470" s="4" t="s">
        <v>424</v>
      </c>
      <c r="K1470" s="4" t="s">
        <v>578</v>
      </c>
      <c r="L1470" s="4" t="s">
        <v>2529</v>
      </c>
      <c r="M1470" s="5" t="s">
        <v>840</v>
      </c>
      <c r="N1470" s="4" t="s">
        <v>2529</v>
      </c>
      <c r="O1470" s="6">
        <f>34</f>
        <v>34</v>
      </c>
      <c r="P1470" s="4" t="s">
        <v>276</v>
      </c>
      <c r="Q1470" s="6">
        <f>1</f>
        <v>1</v>
      </c>
      <c r="R1470" s="6">
        <f>2040000</f>
        <v>2040000</v>
      </c>
      <c r="S1470" s="5" t="s">
        <v>2930</v>
      </c>
      <c r="T1470" s="4" t="s">
        <v>348</v>
      </c>
      <c r="U1470" s="4" t="s">
        <v>668</v>
      </c>
      <c r="W1470" s="6">
        <f>2039999</f>
        <v>2039999</v>
      </c>
      <c r="X1470" s="4" t="s">
        <v>243</v>
      </c>
      <c r="Y1470" s="4" t="s">
        <v>244</v>
      </c>
      <c r="Z1470" s="4" t="s">
        <v>282</v>
      </c>
      <c r="AA1470" s="4" t="s">
        <v>241</v>
      </c>
      <c r="AD1470" s="4" t="s">
        <v>241</v>
      </c>
      <c r="AF1470" s="5" t="s">
        <v>241</v>
      </c>
      <c r="AI1470" s="5" t="s">
        <v>249</v>
      </c>
      <c r="AJ1470" s="4" t="s">
        <v>251</v>
      </c>
      <c r="AK1470" s="4" t="s">
        <v>252</v>
      </c>
      <c r="BA1470" s="4" t="s">
        <v>254</v>
      </c>
      <c r="BB1470" s="4" t="s">
        <v>241</v>
      </c>
      <c r="BC1470" s="4" t="s">
        <v>255</v>
      </c>
      <c r="BD1470" s="4" t="s">
        <v>241</v>
      </c>
      <c r="BE1470" s="4" t="s">
        <v>257</v>
      </c>
      <c r="BF1470" s="4" t="s">
        <v>241</v>
      </c>
      <c r="BJ1470" s="4" t="s">
        <v>367</v>
      </c>
      <c r="BK1470" s="5" t="s">
        <v>249</v>
      </c>
      <c r="BL1470" s="4" t="s">
        <v>261</v>
      </c>
      <c r="BM1470" s="4" t="s">
        <v>262</v>
      </c>
      <c r="BN1470" s="4" t="s">
        <v>241</v>
      </c>
      <c r="BO1470" s="6">
        <f>0</f>
        <v>0</v>
      </c>
      <c r="BP1470" s="6">
        <f>0</f>
        <v>0</v>
      </c>
      <c r="BQ1470" s="4" t="s">
        <v>263</v>
      </c>
      <c r="BR1470" s="4" t="s">
        <v>264</v>
      </c>
      <c r="CF1470" s="4" t="s">
        <v>241</v>
      </c>
      <c r="CG1470" s="4" t="s">
        <v>241</v>
      </c>
      <c r="CK1470" s="4" t="s">
        <v>265</v>
      </c>
      <c r="CL1470" s="4" t="s">
        <v>266</v>
      </c>
      <c r="CM1470" s="4" t="s">
        <v>241</v>
      </c>
      <c r="CO1470" s="4" t="s">
        <v>1021</v>
      </c>
      <c r="CP1470" s="5" t="s">
        <v>268</v>
      </c>
      <c r="CQ1470" s="4" t="s">
        <v>269</v>
      </c>
      <c r="CR1470" s="4" t="s">
        <v>270</v>
      </c>
      <c r="CS1470" s="4" t="s">
        <v>241</v>
      </c>
      <c r="CT1470" s="4" t="s">
        <v>241</v>
      </c>
      <c r="CU1470" s="4">
        <v>0</v>
      </c>
      <c r="CV1470" s="4" t="s">
        <v>271</v>
      </c>
      <c r="CW1470" s="4" t="s">
        <v>415</v>
      </c>
      <c r="CX1470" s="4" t="s">
        <v>416</v>
      </c>
      <c r="CZ1470" s="6">
        <f>2040000</f>
        <v>2040000</v>
      </c>
      <c r="DA1470" s="6">
        <f>0</f>
        <v>0</v>
      </c>
      <c r="DC1470" s="4" t="s">
        <v>241</v>
      </c>
      <c r="DD1470" s="4" t="s">
        <v>241</v>
      </c>
      <c r="DF1470" s="4" t="s">
        <v>241</v>
      </c>
      <c r="DI1470" s="4" t="s">
        <v>241</v>
      </c>
      <c r="DJ1470" s="4" t="s">
        <v>241</v>
      </c>
      <c r="DK1470" s="4" t="s">
        <v>241</v>
      </c>
      <c r="DL1470" s="4" t="s">
        <v>241</v>
      </c>
      <c r="DM1470" s="4" t="s">
        <v>277</v>
      </c>
      <c r="DN1470" s="4" t="s">
        <v>278</v>
      </c>
      <c r="DO1470" s="6">
        <f>34</f>
        <v>34</v>
      </c>
      <c r="DP1470" s="4" t="s">
        <v>241</v>
      </c>
      <c r="DQ1470" s="4" t="s">
        <v>241</v>
      </c>
      <c r="DR1470" s="4" t="s">
        <v>241</v>
      </c>
      <c r="DS1470" s="4" t="s">
        <v>241</v>
      </c>
      <c r="DV1470" s="4" t="s">
        <v>842</v>
      </c>
      <c r="DW1470" s="4" t="s">
        <v>277</v>
      </c>
      <c r="HO1470" s="4" t="s">
        <v>277</v>
      </c>
      <c r="HR1470" s="4" t="s">
        <v>278</v>
      </c>
      <c r="HS1470" s="4" t="s">
        <v>278</v>
      </c>
    </row>
    <row r="1471" spans="1:240" x14ac:dyDescent="0.4">
      <c r="A1471" s="4">
        <v>2</v>
      </c>
      <c r="B1471" s="4" t="s">
        <v>239</v>
      </c>
      <c r="C1471" s="4">
        <v>1797</v>
      </c>
      <c r="D1471" s="4">
        <v>1</v>
      </c>
      <c r="E1471" s="4">
        <v>3</v>
      </c>
      <c r="F1471" s="4" t="s">
        <v>240</v>
      </c>
      <c r="G1471" s="4" t="s">
        <v>241</v>
      </c>
      <c r="H1471" s="4" t="s">
        <v>241</v>
      </c>
      <c r="I1471" s="4" t="s">
        <v>838</v>
      </c>
      <c r="J1471" s="4" t="s">
        <v>424</v>
      </c>
      <c r="K1471" s="4" t="s">
        <v>578</v>
      </c>
      <c r="L1471" s="4" t="s">
        <v>651</v>
      </c>
      <c r="M1471" s="5" t="s">
        <v>840</v>
      </c>
      <c r="N1471" s="4" t="s">
        <v>651</v>
      </c>
      <c r="O1471" s="6">
        <f>1938</f>
        <v>1938</v>
      </c>
      <c r="P1471" s="4" t="s">
        <v>276</v>
      </c>
      <c r="Q1471" s="6">
        <f>25639740</f>
        <v>25639740</v>
      </c>
      <c r="R1471" s="6">
        <f>261630000</f>
        <v>261630000</v>
      </c>
      <c r="S1471" s="5" t="s">
        <v>839</v>
      </c>
      <c r="T1471" s="4" t="s">
        <v>668</v>
      </c>
      <c r="U1471" s="4" t="s">
        <v>412</v>
      </c>
      <c r="V1471" s="6">
        <f>5755860</f>
        <v>5755860</v>
      </c>
      <c r="W1471" s="6">
        <f>235990260</f>
        <v>235990260</v>
      </c>
      <c r="X1471" s="4" t="s">
        <v>243</v>
      </c>
      <c r="Y1471" s="4" t="s">
        <v>244</v>
      </c>
      <c r="Z1471" s="4" t="s">
        <v>282</v>
      </c>
      <c r="AA1471" s="4" t="s">
        <v>241</v>
      </c>
      <c r="AD1471" s="4" t="s">
        <v>241</v>
      </c>
      <c r="AE1471" s="5" t="s">
        <v>241</v>
      </c>
      <c r="AF1471" s="5" t="s">
        <v>241</v>
      </c>
      <c r="AH1471" s="5" t="s">
        <v>241</v>
      </c>
      <c r="AI1471" s="5" t="s">
        <v>249</v>
      </c>
      <c r="AJ1471" s="4" t="s">
        <v>251</v>
      </c>
      <c r="AK1471" s="4" t="s">
        <v>252</v>
      </c>
      <c r="AQ1471" s="4" t="s">
        <v>241</v>
      </c>
      <c r="AR1471" s="4" t="s">
        <v>241</v>
      </c>
      <c r="AS1471" s="4" t="s">
        <v>241</v>
      </c>
      <c r="AT1471" s="5" t="s">
        <v>241</v>
      </c>
      <c r="AU1471" s="5" t="s">
        <v>241</v>
      </c>
      <c r="AV1471" s="5" t="s">
        <v>241</v>
      </c>
      <c r="AY1471" s="4" t="s">
        <v>286</v>
      </c>
      <c r="AZ1471" s="4" t="s">
        <v>286</v>
      </c>
      <c r="BA1471" s="4" t="s">
        <v>254</v>
      </c>
      <c r="BB1471" s="4" t="s">
        <v>287</v>
      </c>
      <c r="BC1471" s="4" t="s">
        <v>255</v>
      </c>
      <c r="BD1471" s="4" t="s">
        <v>241</v>
      </c>
      <c r="BE1471" s="4" t="s">
        <v>257</v>
      </c>
      <c r="BF1471" s="4" t="s">
        <v>241</v>
      </c>
      <c r="BJ1471" s="4" t="s">
        <v>288</v>
      </c>
      <c r="BK1471" s="5" t="s">
        <v>289</v>
      </c>
      <c r="BL1471" s="4" t="s">
        <v>290</v>
      </c>
      <c r="BM1471" s="4" t="s">
        <v>290</v>
      </c>
      <c r="BN1471" s="4" t="s">
        <v>241</v>
      </c>
      <c r="BO1471" s="6">
        <f>0</f>
        <v>0</v>
      </c>
      <c r="BP1471" s="6">
        <f>-5755860</f>
        <v>-5755860</v>
      </c>
      <c r="BQ1471" s="4" t="s">
        <v>263</v>
      </c>
      <c r="BR1471" s="4" t="s">
        <v>264</v>
      </c>
      <c r="BS1471" s="4" t="s">
        <v>241</v>
      </c>
      <c r="BT1471" s="4" t="s">
        <v>241</v>
      </c>
      <c r="BU1471" s="4" t="s">
        <v>241</v>
      </c>
      <c r="BV1471" s="4" t="s">
        <v>241</v>
      </c>
      <c r="CE1471" s="4" t="s">
        <v>264</v>
      </c>
      <c r="CF1471" s="4" t="s">
        <v>241</v>
      </c>
      <c r="CG1471" s="4" t="s">
        <v>241</v>
      </c>
      <c r="CK1471" s="4" t="s">
        <v>265</v>
      </c>
      <c r="CL1471" s="4" t="s">
        <v>266</v>
      </c>
      <c r="CM1471" s="4" t="s">
        <v>241</v>
      </c>
      <c r="CO1471" s="4" t="s">
        <v>841</v>
      </c>
      <c r="CP1471" s="5" t="s">
        <v>268</v>
      </c>
      <c r="CQ1471" s="4" t="s">
        <v>269</v>
      </c>
      <c r="CR1471" s="4" t="s">
        <v>270</v>
      </c>
      <c r="CS1471" s="4" t="s">
        <v>293</v>
      </c>
      <c r="CT1471" s="4" t="s">
        <v>241</v>
      </c>
      <c r="CU1471" s="4">
        <v>2.1999999999999999E-2</v>
      </c>
      <c r="CV1471" s="4" t="s">
        <v>271</v>
      </c>
      <c r="CW1471" s="4" t="s">
        <v>655</v>
      </c>
      <c r="CX1471" s="4" t="s">
        <v>295</v>
      </c>
      <c r="CY1471" s="6">
        <f>0</f>
        <v>0</v>
      </c>
      <c r="CZ1471" s="6">
        <f>261630000</f>
        <v>261630000</v>
      </c>
      <c r="DA1471" s="6">
        <f>25639740</f>
        <v>25639740</v>
      </c>
      <c r="DC1471" s="4" t="s">
        <v>241</v>
      </c>
      <c r="DD1471" s="4" t="s">
        <v>241</v>
      </c>
      <c r="DF1471" s="4" t="s">
        <v>241</v>
      </c>
      <c r="DG1471" s="6">
        <f>0</f>
        <v>0</v>
      </c>
      <c r="DI1471" s="4" t="s">
        <v>241</v>
      </c>
      <c r="DJ1471" s="4" t="s">
        <v>241</v>
      </c>
      <c r="DK1471" s="4" t="s">
        <v>241</v>
      </c>
      <c r="DL1471" s="4" t="s">
        <v>241</v>
      </c>
      <c r="DM1471" s="4" t="s">
        <v>297</v>
      </c>
      <c r="DN1471" s="4" t="s">
        <v>278</v>
      </c>
      <c r="DO1471" s="6">
        <f>1938</f>
        <v>1938</v>
      </c>
      <c r="DP1471" s="4" t="s">
        <v>241</v>
      </c>
      <c r="DQ1471" s="4" t="s">
        <v>241</v>
      </c>
      <c r="DR1471" s="4" t="s">
        <v>241</v>
      </c>
      <c r="DS1471" s="4" t="s">
        <v>241</v>
      </c>
      <c r="DV1471" s="4" t="s">
        <v>842</v>
      </c>
      <c r="DW1471" s="4" t="s">
        <v>323</v>
      </c>
      <c r="GN1471" s="4" t="s">
        <v>843</v>
      </c>
      <c r="HO1471" s="4" t="s">
        <v>300</v>
      </c>
      <c r="HR1471" s="4" t="s">
        <v>278</v>
      </c>
      <c r="HS1471" s="4" t="s">
        <v>278</v>
      </c>
      <c r="HT1471" s="4" t="s">
        <v>241</v>
      </c>
      <c r="HU1471" s="4" t="s">
        <v>241</v>
      </c>
      <c r="HV1471" s="4" t="s">
        <v>241</v>
      </c>
      <c r="HW1471" s="4" t="s">
        <v>241</v>
      </c>
      <c r="HX1471" s="4" t="s">
        <v>241</v>
      </c>
      <c r="HY1471" s="4" t="s">
        <v>241</v>
      </c>
      <c r="HZ1471" s="4" t="s">
        <v>241</v>
      </c>
      <c r="IA1471" s="4" t="s">
        <v>241</v>
      </c>
      <c r="IB1471" s="4" t="s">
        <v>241</v>
      </c>
      <c r="IC1471" s="4" t="s">
        <v>241</v>
      </c>
      <c r="ID1471" s="4" t="s">
        <v>241</v>
      </c>
      <c r="IE1471" s="4" t="s">
        <v>241</v>
      </c>
      <c r="IF1471" s="4" t="s">
        <v>241</v>
      </c>
    </row>
    <row r="1472" spans="1:240" x14ac:dyDescent="0.4">
      <c r="A1472" s="4">
        <v>2</v>
      </c>
      <c r="B1472" s="4" t="s">
        <v>239</v>
      </c>
      <c r="C1472" s="4">
        <v>1798</v>
      </c>
      <c r="D1472" s="4">
        <v>1</v>
      </c>
      <c r="E1472" s="4">
        <v>1</v>
      </c>
      <c r="F1472" s="4" t="s">
        <v>240</v>
      </c>
      <c r="G1472" s="4" t="s">
        <v>241</v>
      </c>
      <c r="H1472" s="4" t="s">
        <v>241</v>
      </c>
      <c r="I1472" s="4" t="s">
        <v>838</v>
      </c>
      <c r="J1472" s="4" t="s">
        <v>424</v>
      </c>
      <c r="K1472" s="4" t="s">
        <v>578</v>
      </c>
      <c r="L1472" s="4" t="s">
        <v>1003</v>
      </c>
      <c r="M1472" s="5" t="s">
        <v>840</v>
      </c>
      <c r="N1472" s="4" t="s">
        <v>1003</v>
      </c>
      <c r="O1472" s="6">
        <f>464</f>
        <v>464</v>
      </c>
      <c r="P1472" s="4" t="s">
        <v>276</v>
      </c>
      <c r="Q1472" s="6">
        <f>1</f>
        <v>1</v>
      </c>
      <c r="R1472" s="6">
        <f>37120000</f>
        <v>37120000</v>
      </c>
      <c r="S1472" s="5" t="s">
        <v>748</v>
      </c>
      <c r="T1472" s="4" t="s">
        <v>357</v>
      </c>
      <c r="U1472" s="4" t="s">
        <v>835</v>
      </c>
      <c r="W1472" s="6">
        <f>37119999</f>
        <v>37119999</v>
      </c>
      <c r="X1472" s="4" t="s">
        <v>243</v>
      </c>
      <c r="Y1472" s="4" t="s">
        <v>244</v>
      </c>
      <c r="Z1472" s="4" t="s">
        <v>282</v>
      </c>
      <c r="AA1472" s="4" t="s">
        <v>241</v>
      </c>
      <c r="AD1472" s="4" t="s">
        <v>241</v>
      </c>
      <c r="AF1472" s="5" t="s">
        <v>241</v>
      </c>
      <c r="AI1472" s="5" t="s">
        <v>249</v>
      </c>
      <c r="AJ1472" s="4" t="s">
        <v>251</v>
      </c>
      <c r="AK1472" s="4" t="s">
        <v>252</v>
      </c>
      <c r="BA1472" s="4" t="s">
        <v>254</v>
      </c>
      <c r="BB1472" s="4" t="s">
        <v>241</v>
      </c>
      <c r="BC1472" s="4" t="s">
        <v>255</v>
      </c>
      <c r="BD1472" s="4" t="s">
        <v>241</v>
      </c>
      <c r="BE1472" s="4" t="s">
        <v>257</v>
      </c>
      <c r="BF1472" s="4" t="s">
        <v>241</v>
      </c>
      <c r="BJ1472" s="4" t="s">
        <v>367</v>
      </c>
      <c r="BK1472" s="5" t="s">
        <v>249</v>
      </c>
      <c r="BL1472" s="4" t="s">
        <v>261</v>
      </c>
      <c r="BM1472" s="4" t="s">
        <v>262</v>
      </c>
      <c r="BN1472" s="4" t="s">
        <v>241</v>
      </c>
      <c r="BO1472" s="6">
        <f>0</f>
        <v>0</v>
      </c>
      <c r="BP1472" s="6">
        <f>0</f>
        <v>0</v>
      </c>
      <c r="BQ1472" s="4" t="s">
        <v>263</v>
      </c>
      <c r="BR1472" s="4" t="s">
        <v>264</v>
      </c>
      <c r="CF1472" s="4" t="s">
        <v>241</v>
      </c>
      <c r="CG1472" s="4" t="s">
        <v>241</v>
      </c>
      <c r="CK1472" s="4" t="s">
        <v>265</v>
      </c>
      <c r="CL1472" s="4" t="s">
        <v>266</v>
      </c>
      <c r="CM1472" s="4" t="s">
        <v>241</v>
      </c>
      <c r="CO1472" s="4" t="s">
        <v>513</v>
      </c>
      <c r="CP1472" s="5" t="s">
        <v>268</v>
      </c>
      <c r="CQ1472" s="4" t="s">
        <v>269</v>
      </c>
      <c r="CR1472" s="4" t="s">
        <v>270</v>
      </c>
      <c r="CS1472" s="4" t="s">
        <v>241</v>
      </c>
      <c r="CT1472" s="4" t="s">
        <v>241</v>
      </c>
      <c r="CU1472" s="4">
        <v>0</v>
      </c>
      <c r="CV1472" s="4" t="s">
        <v>271</v>
      </c>
      <c r="CW1472" s="4" t="s">
        <v>1006</v>
      </c>
      <c r="CX1472" s="4" t="s">
        <v>487</v>
      </c>
      <c r="CZ1472" s="6">
        <f>37120000</f>
        <v>37120000</v>
      </c>
      <c r="DA1472" s="6">
        <f>0</f>
        <v>0</v>
      </c>
      <c r="DC1472" s="4" t="s">
        <v>241</v>
      </c>
      <c r="DD1472" s="4" t="s">
        <v>241</v>
      </c>
      <c r="DF1472" s="4" t="s">
        <v>241</v>
      </c>
      <c r="DI1472" s="4" t="s">
        <v>241</v>
      </c>
      <c r="DJ1472" s="4" t="s">
        <v>241</v>
      </c>
      <c r="DK1472" s="4" t="s">
        <v>241</v>
      </c>
      <c r="DL1472" s="4" t="s">
        <v>241</v>
      </c>
      <c r="DM1472" s="4" t="s">
        <v>277</v>
      </c>
      <c r="DN1472" s="4" t="s">
        <v>278</v>
      </c>
      <c r="DO1472" s="6">
        <f>464</f>
        <v>464</v>
      </c>
      <c r="DP1472" s="4" t="s">
        <v>241</v>
      </c>
      <c r="DQ1472" s="4" t="s">
        <v>241</v>
      </c>
      <c r="DR1472" s="4" t="s">
        <v>241</v>
      </c>
      <c r="DS1472" s="4" t="s">
        <v>241</v>
      </c>
      <c r="DV1472" s="4" t="s">
        <v>842</v>
      </c>
      <c r="DW1472" s="4" t="s">
        <v>297</v>
      </c>
      <c r="HO1472" s="4" t="s">
        <v>277</v>
      </c>
      <c r="HR1472" s="4" t="s">
        <v>278</v>
      </c>
      <c r="HS1472" s="4" t="s">
        <v>278</v>
      </c>
    </row>
    <row r="1473" spans="1:240" x14ac:dyDescent="0.4">
      <c r="A1473" s="4">
        <v>2</v>
      </c>
      <c r="B1473" s="4" t="s">
        <v>239</v>
      </c>
      <c r="C1473" s="4">
        <v>1799</v>
      </c>
      <c r="D1473" s="4">
        <v>1</v>
      </c>
      <c r="E1473" s="4">
        <v>1</v>
      </c>
      <c r="F1473" s="4" t="s">
        <v>240</v>
      </c>
      <c r="G1473" s="4" t="s">
        <v>241</v>
      </c>
      <c r="H1473" s="4" t="s">
        <v>241</v>
      </c>
      <c r="I1473" s="4" t="s">
        <v>838</v>
      </c>
      <c r="J1473" s="4" t="s">
        <v>424</v>
      </c>
      <c r="K1473" s="4" t="s">
        <v>578</v>
      </c>
      <c r="L1473" s="4" t="s">
        <v>340</v>
      </c>
      <c r="M1473" s="5" t="s">
        <v>840</v>
      </c>
      <c r="N1473" s="4" t="s">
        <v>340</v>
      </c>
      <c r="O1473" s="6">
        <f>22</f>
        <v>22</v>
      </c>
      <c r="P1473" s="4" t="s">
        <v>276</v>
      </c>
      <c r="Q1473" s="6">
        <f>1</f>
        <v>1</v>
      </c>
      <c r="R1473" s="6">
        <f>1980000</f>
        <v>1980000</v>
      </c>
      <c r="S1473" s="5" t="s">
        <v>748</v>
      </c>
      <c r="T1473" s="4" t="s">
        <v>348</v>
      </c>
      <c r="U1473" s="4" t="s">
        <v>835</v>
      </c>
      <c r="W1473" s="6">
        <f>1979999</f>
        <v>1979999</v>
      </c>
      <c r="X1473" s="4" t="s">
        <v>243</v>
      </c>
      <c r="Y1473" s="4" t="s">
        <v>244</v>
      </c>
      <c r="Z1473" s="4" t="s">
        <v>282</v>
      </c>
      <c r="AA1473" s="4" t="s">
        <v>241</v>
      </c>
      <c r="AD1473" s="4" t="s">
        <v>241</v>
      </c>
      <c r="AF1473" s="5" t="s">
        <v>241</v>
      </c>
      <c r="AI1473" s="5" t="s">
        <v>249</v>
      </c>
      <c r="AJ1473" s="4" t="s">
        <v>251</v>
      </c>
      <c r="AK1473" s="4" t="s">
        <v>252</v>
      </c>
      <c r="BA1473" s="4" t="s">
        <v>254</v>
      </c>
      <c r="BB1473" s="4" t="s">
        <v>241</v>
      </c>
      <c r="BC1473" s="4" t="s">
        <v>255</v>
      </c>
      <c r="BD1473" s="4" t="s">
        <v>241</v>
      </c>
      <c r="BE1473" s="4" t="s">
        <v>257</v>
      </c>
      <c r="BF1473" s="4" t="s">
        <v>241</v>
      </c>
      <c r="BJ1473" s="4" t="s">
        <v>367</v>
      </c>
      <c r="BK1473" s="5" t="s">
        <v>249</v>
      </c>
      <c r="BL1473" s="4" t="s">
        <v>261</v>
      </c>
      <c r="BM1473" s="4" t="s">
        <v>262</v>
      </c>
      <c r="BN1473" s="4" t="s">
        <v>241</v>
      </c>
      <c r="BO1473" s="6">
        <f>0</f>
        <v>0</v>
      </c>
      <c r="BP1473" s="6">
        <f>0</f>
        <v>0</v>
      </c>
      <c r="BQ1473" s="4" t="s">
        <v>263</v>
      </c>
      <c r="BR1473" s="4" t="s">
        <v>264</v>
      </c>
      <c r="CF1473" s="4" t="s">
        <v>241</v>
      </c>
      <c r="CG1473" s="4" t="s">
        <v>241</v>
      </c>
      <c r="CK1473" s="4" t="s">
        <v>265</v>
      </c>
      <c r="CL1473" s="4" t="s">
        <v>266</v>
      </c>
      <c r="CM1473" s="4" t="s">
        <v>241</v>
      </c>
      <c r="CO1473" s="4" t="s">
        <v>513</v>
      </c>
      <c r="CP1473" s="5" t="s">
        <v>268</v>
      </c>
      <c r="CQ1473" s="4" t="s">
        <v>269</v>
      </c>
      <c r="CR1473" s="4" t="s">
        <v>270</v>
      </c>
      <c r="CS1473" s="4" t="s">
        <v>241</v>
      </c>
      <c r="CT1473" s="4" t="s">
        <v>241</v>
      </c>
      <c r="CU1473" s="4">
        <v>0</v>
      </c>
      <c r="CV1473" s="4" t="s">
        <v>271</v>
      </c>
      <c r="CW1473" s="4" t="s">
        <v>332</v>
      </c>
      <c r="CX1473" s="4" t="s">
        <v>347</v>
      </c>
      <c r="CZ1473" s="6">
        <f>1980000</f>
        <v>1980000</v>
      </c>
      <c r="DA1473" s="6">
        <f>0</f>
        <v>0</v>
      </c>
      <c r="DC1473" s="4" t="s">
        <v>241</v>
      </c>
      <c r="DD1473" s="4" t="s">
        <v>241</v>
      </c>
      <c r="DF1473" s="4" t="s">
        <v>241</v>
      </c>
      <c r="DI1473" s="4" t="s">
        <v>241</v>
      </c>
      <c r="DJ1473" s="4" t="s">
        <v>241</v>
      </c>
      <c r="DK1473" s="4" t="s">
        <v>241</v>
      </c>
      <c r="DL1473" s="4" t="s">
        <v>241</v>
      </c>
      <c r="DM1473" s="4" t="s">
        <v>277</v>
      </c>
      <c r="DN1473" s="4" t="s">
        <v>278</v>
      </c>
      <c r="DO1473" s="6">
        <f>22</f>
        <v>22</v>
      </c>
      <c r="DP1473" s="4" t="s">
        <v>241</v>
      </c>
      <c r="DQ1473" s="4" t="s">
        <v>241</v>
      </c>
      <c r="DR1473" s="4" t="s">
        <v>241</v>
      </c>
      <c r="DS1473" s="4" t="s">
        <v>241</v>
      </c>
      <c r="DV1473" s="4" t="s">
        <v>842</v>
      </c>
      <c r="DW1473" s="4" t="s">
        <v>336</v>
      </c>
      <c r="HO1473" s="4" t="s">
        <v>277</v>
      </c>
      <c r="HR1473" s="4" t="s">
        <v>278</v>
      </c>
      <c r="HS1473" s="4" t="s">
        <v>278</v>
      </c>
    </row>
    <row r="1474" spans="1:240" x14ac:dyDescent="0.4">
      <c r="A1474" s="4">
        <v>2</v>
      </c>
      <c r="B1474" s="4" t="s">
        <v>239</v>
      </c>
      <c r="C1474" s="4">
        <v>1800</v>
      </c>
      <c r="D1474" s="4">
        <v>1</v>
      </c>
      <c r="E1474" s="4">
        <v>1</v>
      </c>
      <c r="F1474" s="4" t="s">
        <v>240</v>
      </c>
      <c r="G1474" s="4" t="s">
        <v>241</v>
      </c>
      <c r="H1474" s="4" t="s">
        <v>241</v>
      </c>
      <c r="I1474" s="4" t="s">
        <v>838</v>
      </c>
      <c r="J1474" s="4" t="s">
        <v>424</v>
      </c>
      <c r="K1474" s="4" t="s">
        <v>578</v>
      </c>
      <c r="L1474" s="4" t="s">
        <v>429</v>
      </c>
      <c r="M1474" s="5" t="s">
        <v>840</v>
      </c>
      <c r="N1474" s="4" t="s">
        <v>429</v>
      </c>
      <c r="O1474" s="6">
        <f>29</f>
        <v>29</v>
      </c>
      <c r="P1474" s="4" t="s">
        <v>276</v>
      </c>
      <c r="Q1474" s="6">
        <f>1</f>
        <v>1</v>
      </c>
      <c r="R1474" s="6">
        <f>1740000</f>
        <v>1740000</v>
      </c>
      <c r="S1474" s="5" t="s">
        <v>3300</v>
      </c>
      <c r="T1474" s="4" t="s">
        <v>348</v>
      </c>
      <c r="U1474" s="4" t="s">
        <v>357</v>
      </c>
      <c r="W1474" s="6">
        <f>1739999</f>
        <v>1739999</v>
      </c>
      <c r="X1474" s="4" t="s">
        <v>243</v>
      </c>
      <c r="Y1474" s="4" t="s">
        <v>244</v>
      </c>
      <c r="Z1474" s="4" t="s">
        <v>282</v>
      </c>
      <c r="AA1474" s="4" t="s">
        <v>241</v>
      </c>
      <c r="AD1474" s="4" t="s">
        <v>241</v>
      </c>
      <c r="AF1474" s="5" t="s">
        <v>241</v>
      </c>
      <c r="AI1474" s="5" t="s">
        <v>249</v>
      </c>
      <c r="AJ1474" s="4" t="s">
        <v>251</v>
      </c>
      <c r="AK1474" s="4" t="s">
        <v>252</v>
      </c>
      <c r="BA1474" s="4" t="s">
        <v>254</v>
      </c>
      <c r="BB1474" s="4" t="s">
        <v>241</v>
      </c>
      <c r="BC1474" s="4" t="s">
        <v>255</v>
      </c>
      <c r="BD1474" s="4" t="s">
        <v>241</v>
      </c>
      <c r="BE1474" s="4" t="s">
        <v>257</v>
      </c>
      <c r="BF1474" s="4" t="s">
        <v>241</v>
      </c>
      <c r="BJ1474" s="4" t="s">
        <v>367</v>
      </c>
      <c r="BK1474" s="5" t="s">
        <v>249</v>
      </c>
      <c r="BL1474" s="4" t="s">
        <v>261</v>
      </c>
      <c r="BM1474" s="4" t="s">
        <v>262</v>
      </c>
      <c r="BN1474" s="4" t="s">
        <v>241</v>
      </c>
      <c r="BO1474" s="6">
        <f>0</f>
        <v>0</v>
      </c>
      <c r="BP1474" s="6">
        <f>0</f>
        <v>0</v>
      </c>
      <c r="BQ1474" s="4" t="s">
        <v>263</v>
      </c>
      <c r="BR1474" s="4" t="s">
        <v>264</v>
      </c>
      <c r="CF1474" s="4" t="s">
        <v>241</v>
      </c>
      <c r="CG1474" s="4" t="s">
        <v>241</v>
      </c>
      <c r="CK1474" s="4" t="s">
        <v>265</v>
      </c>
      <c r="CL1474" s="4" t="s">
        <v>266</v>
      </c>
      <c r="CM1474" s="4" t="s">
        <v>241</v>
      </c>
      <c r="CO1474" s="4" t="s">
        <v>382</v>
      </c>
      <c r="CP1474" s="5" t="s">
        <v>268</v>
      </c>
      <c r="CQ1474" s="4" t="s">
        <v>269</v>
      </c>
      <c r="CR1474" s="4" t="s">
        <v>270</v>
      </c>
      <c r="CS1474" s="4" t="s">
        <v>241</v>
      </c>
      <c r="CT1474" s="4" t="s">
        <v>241</v>
      </c>
      <c r="CU1474" s="4">
        <v>0</v>
      </c>
      <c r="CV1474" s="4" t="s">
        <v>271</v>
      </c>
      <c r="CW1474" s="4" t="s">
        <v>272</v>
      </c>
      <c r="CX1474" s="4" t="s">
        <v>347</v>
      </c>
      <c r="CZ1474" s="6">
        <f>1740000</f>
        <v>1740000</v>
      </c>
      <c r="DA1474" s="6">
        <f>0</f>
        <v>0</v>
      </c>
      <c r="DC1474" s="4" t="s">
        <v>241</v>
      </c>
      <c r="DD1474" s="4" t="s">
        <v>241</v>
      </c>
      <c r="DF1474" s="4" t="s">
        <v>241</v>
      </c>
      <c r="DI1474" s="4" t="s">
        <v>241</v>
      </c>
      <c r="DJ1474" s="4" t="s">
        <v>241</v>
      </c>
      <c r="DK1474" s="4" t="s">
        <v>241</v>
      </c>
      <c r="DL1474" s="4" t="s">
        <v>241</v>
      </c>
      <c r="DM1474" s="4" t="s">
        <v>277</v>
      </c>
      <c r="DN1474" s="4" t="s">
        <v>278</v>
      </c>
      <c r="DO1474" s="6">
        <f>29</f>
        <v>29</v>
      </c>
      <c r="DP1474" s="4" t="s">
        <v>241</v>
      </c>
      <c r="DQ1474" s="4" t="s">
        <v>241</v>
      </c>
      <c r="DR1474" s="4" t="s">
        <v>241</v>
      </c>
      <c r="DS1474" s="4" t="s">
        <v>241</v>
      </c>
      <c r="DV1474" s="4" t="s">
        <v>842</v>
      </c>
      <c r="DW1474" s="4" t="s">
        <v>351</v>
      </c>
      <c r="HO1474" s="4" t="s">
        <v>277</v>
      </c>
      <c r="HR1474" s="4" t="s">
        <v>278</v>
      </c>
      <c r="HS1474" s="4" t="s">
        <v>278</v>
      </c>
    </row>
    <row r="1475" spans="1:240" x14ac:dyDescent="0.4">
      <c r="A1475" s="4">
        <v>2</v>
      </c>
      <c r="B1475" s="4" t="s">
        <v>239</v>
      </c>
      <c r="C1475" s="4">
        <v>1801</v>
      </c>
      <c r="D1475" s="4">
        <v>1</v>
      </c>
      <c r="E1475" s="4">
        <v>1</v>
      </c>
      <c r="F1475" s="4" t="s">
        <v>240</v>
      </c>
      <c r="G1475" s="4" t="s">
        <v>241</v>
      </c>
      <c r="H1475" s="4" t="s">
        <v>241</v>
      </c>
      <c r="I1475" s="4" t="s">
        <v>838</v>
      </c>
      <c r="J1475" s="4" t="s">
        <v>424</v>
      </c>
      <c r="K1475" s="4" t="s">
        <v>578</v>
      </c>
      <c r="L1475" s="4" t="s">
        <v>429</v>
      </c>
      <c r="M1475" s="5" t="s">
        <v>840</v>
      </c>
      <c r="N1475" s="4" t="s">
        <v>429</v>
      </c>
      <c r="O1475" s="6">
        <f>46</f>
        <v>46</v>
      </c>
      <c r="P1475" s="4" t="s">
        <v>276</v>
      </c>
      <c r="Q1475" s="6">
        <f>1</f>
        <v>1</v>
      </c>
      <c r="R1475" s="6">
        <f>4186000</f>
        <v>4186000</v>
      </c>
      <c r="S1475" s="5" t="s">
        <v>3265</v>
      </c>
      <c r="T1475" s="4" t="s">
        <v>348</v>
      </c>
      <c r="U1475" s="4" t="s">
        <v>371</v>
      </c>
      <c r="W1475" s="6">
        <f>4185999</f>
        <v>4185999</v>
      </c>
      <c r="X1475" s="4" t="s">
        <v>243</v>
      </c>
      <c r="Y1475" s="4" t="s">
        <v>244</v>
      </c>
      <c r="Z1475" s="4" t="s">
        <v>282</v>
      </c>
      <c r="AA1475" s="4" t="s">
        <v>241</v>
      </c>
      <c r="AD1475" s="4" t="s">
        <v>241</v>
      </c>
      <c r="AF1475" s="5" t="s">
        <v>241</v>
      </c>
      <c r="AI1475" s="5" t="s">
        <v>249</v>
      </c>
      <c r="AJ1475" s="4" t="s">
        <v>251</v>
      </c>
      <c r="AK1475" s="4" t="s">
        <v>252</v>
      </c>
      <c r="BA1475" s="4" t="s">
        <v>254</v>
      </c>
      <c r="BB1475" s="4" t="s">
        <v>241</v>
      </c>
      <c r="BC1475" s="4" t="s">
        <v>255</v>
      </c>
      <c r="BD1475" s="4" t="s">
        <v>241</v>
      </c>
      <c r="BE1475" s="4" t="s">
        <v>257</v>
      </c>
      <c r="BF1475" s="4" t="s">
        <v>241</v>
      </c>
      <c r="BJ1475" s="4" t="s">
        <v>367</v>
      </c>
      <c r="BK1475" s="5" t="s">
        <v>249</v>
      </c>
      <c r="BL1475" s="4" t="s">
        <v>261</v>
      </c>
      <c r="BM1475" s="4" t="s">
        <v>262</v>
      </c>
      <c r="BN1475" s="4" t="s">
        <v>241</v>
      </c>
      <c r="BO1475" s="6">
        <f>0</f>
        <v>0</v>
      </c>
      <c r="BP1475" s="6">
        <f>0</f>
        <v>0</v>
      </c>
      <c r="BQ1475" s="4" t="s">
        <v>263</v>
      </c>
      <c r="BR1475" s="4" t="s">
        <v>264</v>
      </c>
      <c r="CF1475" s="4" t="s">
        <v>241</v>
      </c>
      <c r="CG1475" s="4" t="s">
        <v>241</v>
      </c>
      <c r="CK1475" s="4" t="s">
        <v>291</v>
      </c>
      <c r="CL1475" s="4" t="s">
        <v>266</v>
      </c>
      <c r="CM1475" s="4" t="s">
        <v>241</v>
      </c>
      <c r="CO1475" s="4" t="s">
        <v>360</v>
      </c>
      <c r="CP1475" s="5" t="s">
        <v>268</v>
      </c>
      <c r="CQ1475" s="4" t="s">
        <v>269</v>
      </c>
      <c r="CR1475" s="4" t="s">
        <v>270</v>
      </c>
      <c r="CS1475" s="4" t="s">
        <v>241</v>
      </c>
      <c r="CT1475" s="4" t="s">
        <v>241</v>
      </c>
      <c r="CU1475" s="4">
        <v>0</v>
      </c>
      <c r="CV1475" s="4" t="s">
        <v>271</v>
      </c>
      <c r="CW1475" s="4" t="s">
        <v>272</v>
      </c>
      <c r="CX1475" s="4" t="s">
        <v>347</v>
      </c>
      <c r="CZ1475" s="6">
        <f>4186000</f>
        <v>4186000</v>
      </c>
      <c r="DA1475" s="6">
        <f>0</f>
        <v>0</v>
      </c>
      <c r="DC1475" s="4" t="s">
        <v>241</v>
      </c>
      <c r="DD1475" s="4" t="s">
        <v>241</v>
      </c>
      <c r="DF1475" s="4" t="s">
        <v>241</v>
      </c>
      <c r="DI1475" s="4" t="s">
        <v>241</v>
      </c>
      <c r="DJ1475" s="4" t="s">
        <v>241</v>
      </c>
      <c r="DK1475" s="4" t="s">
        <v>241</v>
      </c>
      <c r="DL1475" s="4" t="s">
        <v>241</v>
      </c>
      <c r="DM1475" s="4" t="s">
        <v>277</v>
      </c>
      <c r="DN1475" s="4" t="s">
        <v>278</v>
      </c>
      <c r="DO1475" s="6">
        <f>46</f>
        <v>46</v>
      </c>
      <c r="DP1475" s="4" t="s">
        <v>241</v>
      </c>
      <c r="DQ1475" s="4" t="s">
        <v>241</v>
      </c>
      <c r="DR1475" s="4" t="s">
        <v>241</v>
      </c>
      <c r="DS1475" s="4" t="s">
        <v>241</v>
      </c>
      <c r="DV1475" s="4" t="s">
        <v>842</v>
      </c>
      <c r="DW1475" s="4" t="s">
        <v>300</v>
      </c>
      <c r="HO1475" s="4" t="s">
        <v>277</v>
      </c>
      <c r="HR1475" s="4" t="s">
        <v>278</v>
      </c>
      <c r="HS1475" s="4" t="s">
        <v>278</v>
      </c>
    </row>
    <row r="1476" spans="1:240" x14ac:dyDescent="0.4">
      <c r="A1476" s="4">
        <v>2</v>
      </c>
      <c r="B1476" s="4" t="s">
        <v>239</v>
      </c>
      <c r="C1476" s="4">
        <v>1802</v>
      </c>
      <c r="D1476" s="4">
        <v>1</v>
      </c>
      <c r="E1476" s="4">
        <v>1</v>
      </c>
      <c r="F1476" s="4" t="s">
        <v>240</v>
      </c>
      <c r="G1476" s="4" t="s">
        <v>241</v>
      </c>
      <c r="H1476" s="4" t="s">
        <v>241</v>
      </c>
      <c r="I1476" s="4" t="s">
        <v>576</v>
      </c>
      <c r="J1476" s="4" t="s">
        <v>424</v>
      </c>
      <c r="K1476" s="4" t="s">
        <v>578</v>
      </c>
      <c r="L1476" s="4" t="s">
        <v>492</v>
      </c>
      <c r="M1476" s="5" t="s">
        <v>577</v>
      </c>
      <c r="N1476" s="4" t="s">
        <v>575</v>
      </c>
      <c r="O1476" s="6">
        <f>163.64</f>
        <v>163.63999999999999</v>
      </c>
      <c r="P1476" s="4" t="s">
        <v>276</v>
      </c>
      <c r="Q1476" s="6">
        <f>1</f>
        <v>1</v>
      </c>
      <c r="R1476" s="6">
        <f>14727600</f>
        <v>14727600</v>
      </c>
      <c r="S1476" s="5" t="s">
        <v>248</v>
      </c>
      <c r="T1476" s="4" t="s">
        <v>333</v>
      </c>
      <c r="U1476" s="4" t="s">
        <v>275</v>
      </c>
      <c r="W1476" s="6">
        <f>14727599</f>
        <v>14727599</v>
      </c>
      <c r="X1476" s="4" t="s">
        <v>243</v>
      </c>
      <c r="Y1476" s="4" t="s">
        <v>244</v>
      </c>
      <c r="Z1476" s="4" t="s">
        <v>282</v>
      </c>
      <c r="AA1476" s="4" t="s">
        <v>241</v>
      </c>
      <c r="AD1476" s="4" t="s">
        <v>241</v>
      </c>
      <c r="AF1476" s="5" t="s">
        <v>241</v>
      </c>
      <c r="AI1476" s="5" t="s">
        <v>249</v>
      </c>
      <c r="AJ1476" s="4" t="s">
        <v>251</v>
      </c>
      <c r="AK1476" s="4" t="s">
        <v>252</v>
      </c>
      <c r="BA1476" s="4" t="s">
        <v>254</v>
      </c>
      <c r="BB1476" s="4" t="s">
        <v>241</v>
      </c>
      <c r="BC1476" s="4" t="s">
        <v>255</v>
      </c>
      <c r="BD1476" s="4" t="s">
        <v>241</v>
      </c>
      <c r="BE1476" s="4" t="s">
        <v>257</v>
      </c>
      <c r="BF1476" s="4" t="s">
        <v>241</v>
      </c>
      <c r="BH1476" s="4" t="s">
        <v>579</v>
      </c>
      <c r="BJ1476" s="4" t="s">
        <v>367</v>
      </c>
      <c r="BK1476" s="5" t="s">
        <v>249</v>
      </c>
      <c r="BL1476" s="4" t="s">
        <v>261</v>
      </c>
      <c r="BM1476" s="4" t="s">
        <v>262</v>
      </c>
      <c r="BN1476" s="4" t="s">
        <v>241</v>
      </c>
      <c r="BO1476" s="6">
        <f>0</f>
        <v>0</v>
      </c>
      <c r="BP1476" s="6">
        <f>0</f>
        <v>0</v>
      </c>
      <c r="BQ1476" s="4" t="s">
        <v>263</v>
      </c>
      <c r="BR1476" s="4" t="s">
        <v>264</v>
      </c>
      <c r="CF1476" s="4" t="s">
        <v>241</v>
      </c>
      <c r="CG1476" s="4" t="s">
        <v>241</v>
      </c>
      <c r="CK1476" s="4" t="s">
        <v>265</v>
      </c>
      <c r="CL1476" s="4" t="s">
        <v>266</v>
      </c>
      <c r="CM1476" s="4" t="s">
        <v>241</v>
      </c>
      <c r="CO1476" s="4" t="s">
        <v>267</v>
      </c>
      <c r="CP1476" s="5" t="s">
        <v>268</v>
      </c>
      <c r="CQ1476" s="4" t="s">
        <v>269</v>
      </c>
      <c r="CR1476" s="4" t="s">
        <v>270</v>
      </c>
      <c r="CS1476" s="4" t="s">
        <v>241</v>
      </c>
      <c r="CT1476" s="4" t="s">
        <v>241</v>
      </c>
      <c r="CU1476" s="4">
        <v>0</v>
      </c>
      <c r="CV1476" s="4" t="s">
        <v>271</v>
      </c>
      <c r="CW1476" s="4" t="s">
        <v>495</v>
      </c>
      <c r="CX1476" s="4" t="s">
        <v>487</v>
      </c>
      <c r="CZ1476" s="6">
        <f>14727600</f>
        <v>14727600</v>
      </c>
      <c r="DA1476" s="6">
        <f>0</f>
        <v>0</v>
      </c>
      <c r="DC1476" s="4" t="s">
        <v>241</v>
      </c>
      <c r="DD1476" s="4" t="s">
        <v>241</v>
      </c>
      <c r="DF1476" s="4" t="s">
        <v>241</v>
      </c>
      <c r="DI1476" s="4" t="s">
        <v>241</v>
      </c>
      <c r="DJ1476" s="4" t="s">
        <v>241</v>
      </c>
      <c r="DK1476" s="4" t="s">
        <v>241</v>
      </c>
      <c r="DL1476" s="4" t="s">
        <v>241</v>
      </c>
      <c r="DM1476" s="4" t="s">
        <v>277</v>
      </c>
      <c r="DN1476" s="4" t="s">
        <v>278</v>
      </c>
      <c r="DO1476" s="6">
        <f>163.64</f>
        <v>163.63999999999999</v>
      </c>
      <c r="DP1476" s="4" t="s">
        <v>241</v>
      </c>
      <c r="DQ1476" s="4" t="s">
        <v>241</v>
      </c>
      <c r="DR1476" s="4" t="s">
        <v>241</v>
      </c>
      <c r="DS1476" s="4" t="s">
        <v>241</v>
      </c>
      <c r="DV1476" s="4" t="s">
        <v>580</v>
      </c>
      <c r="DW1476" s="4" t="s">
        <v>277</v>
      </c>
      <c r="HO1476" s="4" t="s">
        <v>277</v>
      </c>
      <c r="HR1476" s="4" t="s">
        <v>278</v>
      </c>
      <c r="HS1476" s="4" t="s">
        <v>278</v>
      </c>
    </row>
    <row r="1477" spans="1:240" x14ac:dyDescent="0.4">
      <c r="A1477" s="4">
        <v>2</v>
      </c>
      <c r="B1477" s="4" t="s">
        <v>239</v>
      </c>
      <c r="C1477" s="4">
        <v>1815</v>
      </c>
      <c r="D1477" s="4">
        <v>1</v>
      </c>
      <c r="E1477" s="4">
        <v>1</v>
      </c>
      <c r="F1477" s="4" t="s">
        <v>240</v>
      </c>
      <c r="G1477" s="4" t="s">
        <v>241</v>
      </c>
      <c r="H1477" s="4" t="s">
        <v>241</v>
      </c>
      <c r="I1477" s="4" t="s">
        <v>3896</v>
      </c>
      <c r="J1477" s="4" t="s">
        <v>673</v>
      </c>
      <c r="K1477" s="4" t="s">
        <v>578</v>
      </c>
      <c r="L1477" s="4" t="s">
        <v>440</v>
      </c>
      <c r="M1477" s="5" t="s">
        <v>3898</v>
      </c>
      <c r="N1477" s="4" t="s">
        <v>3922</v>
      </c>
      <c r="O1477" s="6">
        <f>81</f>
        <v>81</v>
      </c>
      <c r="P1477" s="4" t="s">
        <v>276</v>
      </c>
      <c r="Q1477" s="6">
        <f>1</f>
        <v>1</v>
      </c>
      <c r="R1477" s="6">
        <f>1</f>
        <v>1</v>
      </c>
      <c r="S1477" s="5" t="s">
        <v>3897</v>
      </c>
      <c r="T1477" s="4" t="s">
        <v>323</v>
      </c>
      <c r="U1477" s="4" t="s">
        <v>668</v>
      </c>
      <c r="W1477" s="6">
        <f>0</f>
        <v>0</v>
      </c>
      <c r="X1477" s="4" t="s">
        <v>243</v>
      </c>
      <c r="Y1477" s="4" t="s">
        <v>244</v>
      </c>
      <c r="Z1477" s="4" t="s">
        <v>282</v>
      </c>
      <c r="AA1477" s="4" t="s">
        <v>241</v>
      </c>
      <c r="AD1477" s="4" t="s">
        <v>241</v>
      </c>
      <c r="AF1477" s="5" t="s">
        <v>241</v>
      </c>
      <c r="AI1477" s="5" t="s">
        <v>249</v>
      </c>
      <c r="AJ1477" s="4" t="s">
        <v>251</v>
      </c>
      <c r="AK1477" s="4" t="s">
        <v>252</v>
      </c>
      <c r="BA1477" s="4" t="s">
        <v>254</v>
      </c>
      <c r="BB1477" s="4" t="s">
        <v>241</v>
      </c>
      <c r="BC1477" s="4" t="s">
        <v>255</v>
      </c>
      <c r="BD1477" s="4" t="s">
        <v>241</v>
      </c>
      <c r="BE1477" s="4" t="s">
        <v>257</v>
      </c>
      <c r="BF1477" s="4" t="s">
        <v>241</v>
      </c>
      <c r="BJ1477" s="4" t="s">
        <v>367</v>
      </c>
      <c r="BK1477" s="5" t="s">
        <v>3897</v>
      </c>
      <c r="BL1477" s="4" t="s">
        <v>261</v>
      </c>
      <c r="BM1477" s="4" t="s">
        <v>410</v>
      </c>
      <c r="BN1477" s="4" t="s">
        <v>241</v>
      </c>
      <c r="BO1477" s="6">
        <f>0</f>
        <v>0</v>
      </c>
      <c r="BP1477" s="6">
        <f>0</f>
        <v>0</v>
      </c>
      <c r="BQ1477" s="4" t="s">
        <v>263</v>
      </c>
      <c r="BR1477" s="4" t="s">
        <v>264</v>
      </c>
      <c r="CF1477" s="4" t="s">
        <v>241</v>
      </c>
      <c r="CG1477" s="4" t="s">
        <v>241</v>
      </c>
      <c r="CK1477" s="4" t="s">
        <v>265</v>
      </c>
      <c r="CL1477" s="4" t="s">
        <v>266</v>
      </c>
      <c r="CM1477" s="4" t="s">
        <v>241</v>
      </c>
      <c r="CO1477" s="4" t="s">
        <v>741</v>
      </c>
      <c r="CP1477" s="5" t="s">
        <v>268</v>
      </c>
      <c r="CQ1477" s="4" t="s">
        <v>269</v>
      </c>
      <c r="CR1477" s="4" t="s">
        <v>270</v>
      </c>
      <c r="CS1477" s="4" t="s">
        <v>241</v>
      </c>
      <c r="CT1477" s="4" t="s">
        <v>241</v>
      </c>
      <c r="CU1477" s="4">
        <v>0</v>
      </c>
      <c r="CV1477" s="4" t="s">
        <v>271</v>
      </c>
      <c r="CW1477" s="4" t="s">
        <v>3899</v>
      </c>
      <c r="CX1477" s="4" t="s">
        <v>3900</v>
      </c>
      <c r="CZ1477" s="6">
        <f>1</f>
        <v>1</v>
      </c>
      <c r="DA1477" s="6">
        <f>0</f>
        <v>0</v>
      </c>
      <c r="DC1477" s="4" t="s">
        <v>241</v>
      </c>
      <c r="DD1477" s="4" t="s">
        <v>241</v>
      </c>
      <c r="DF1477" s="4" t="s">
        <v>241</v>
      </c>
      <c r="DI1477" s="4" t="s">
        <v>241</v>
      </c>
      <c r="DJ1477" s="4" t="s">
        <v>241</v>
      </c>
      <c r="DK1477" s="4" t="s">
        <v>241</v>
      </c>
      <c r="DL1477" s="4" t="s">
        <v>241</v>
      </c>
      <c r="DM1477" s="4" t="s">
        <v>277</v>
      </c>
      <c r="DN1477" s="4" t="s">
        <v>278</v>
      </c>
      <c r="DO1477" s="6">
        <f>81</f>
        <v>81</v>
      </c>
      <c r="DP1477" s="4" t="s">
        <v>241</v>
      </c>
      <c r="DQ1477" s="4" t="s">
        <v>241</v>
      </c>
      <c r="DR1477" s="4" t="s">
        <v>241</v>
      </c>
      <c r="DS1477" s="4" t="s">
        <v>241</v>
      </c>
      <c r="DV1477" s="4" t="s">
        <v>3901</v>
      </c>
      <c r="DW1477" s="4" t="s">
        <v>322</v>
      </c>
      <c r="HO1477" s="4" t="s">
        <v>277</v>
      </c>
      <c r="HR1477" s="4" t="s">
        <v>278</v>
      </c>
      <c r="HS1477" s="4" t="s">
        <v>278</v>
      </c>
    </row>
    <row r="1478" spans="1:240" x14ac:dyDescent="0.4">
      <c r="A1478" s="4">
        <v>2</v>
      </c>
      <c r="B1478" s="4" t="s">
        <v>239</v>
      </c>
      <c r="C1478" s="4">
        <v>1816</v>
      </c>
      <c r="D1478" s="4">
        <v>1</v>
      </c>
      <c r="E1478" s="4">
        <v>1</v>
      </c>
      <c r="F1478" s="4" t="s">
        <v>240</v>
      </c>
      <c r="G1478" s="4" t="s">
        <v>241</v>
      </c>
      <c r="H1478" s="4" t="s">
        <v>241</v>
      </c>
      <c r="I1478" s="4" t="s">
        <v>3896</v>
      </c>
      <c r="J1478" s="4" t="s">
        <v>673</v>
      </c>
      <c r="K1478" s="4" t="s">
        <v>578</v>
      </c>
      <c r="L1478" s="4" t="s">
        <v>440</v>
      </c>
      <c r="M1478" s="5" t="s">
        <v>3898</v>
      </c>
      <c r="N1478" s="4" t="s">
        <v>3905</v>
      </c>
      <c r="O1478" s="6">
        <f>132.53</f>
        <v>132.53</v>
      </c>
      <c r="P1478" s="4" t="s">
        <v>276</v>
      </c>
      <c r="Q1478" s="6">
        <f>1</f>
        <v>1</v>
      </c>
      <c r="R1478" s="6">
        <f>1</f>
        <v>1</v>
      </c>
      <c r="S1478" s="5" t="s">
        <v>3897</v>
      </c>
      <c r="T1478" s="4" t="s">
        <v>323</v>
      </c>
      <c r="U1478" s="4" t="s">
        <v>306</v>
      </c>
      <c r="W1478" s="6">
        <f>0</f>
        <v>0</v>
      </c>
      <c r="X1478" s="4" t="s">
        <v>243</v>
      </c>
      <c r="Y1478" s="4" t="s">
        <v>244</v>
      </c>
      <c r="Z1478" s="4" t="s">
        <v>282</v>
      </c>
      <c r="AA1478" s="4" t="s">
        <v>241</v>
      </c>
      <c r="AD1478" s="4" t="s">
        <v>241</v>
      </c>
      <c r="AF1478" s="5" t="s">
        <v>241</v>
      </c>
      <c r="AI1478" s="5" t="s">
        <v>249</v>
      </c>
      <c r="AJ1478" s="4" t="s">
        <v>251</v>
      </c>
      <c r="AK1478" s="4" t="s">
        <v>252</v>
      </c>
      <c r="BA1478" s="4" t="s">
        <v>254</v>
      </c>
      <c r="BB1478" s="4" t="s">
        <v>241</v>
      </c>
      <c r="BC1478" s="4" t="s">
        <v>255</v>
      </c>
      <c r="BD1478" s="4" t="s">
        <v>241</v>
      </c>
      <c r="BE1478" s="4" t="s">
        <v>257</v>
      </c>
      <c r="BF1478" s="4" t="s">
        <v>241</v>
      </c>
      <c r="BJ1478" s="4" t="s">
        <v>367</v>
      </c>
      <c r="BK1478" s="5" t="s">
        <v>3897</v>
      </c>
      <c r="BL1478" s="4" t="s">
        <v>261</v>
      </c>
      <c r="BM1478" s="4" t="s">
        <v>410</v>
      </c>
      <c r="BN1478" s="4" t="s">
        <v>241</v>
      </c>
      <c r="BO1478" s="6">
        <f>0</f>
        <v>0</v>
      </c>
      <c r="BP1478" s="6">
        <f>0</f>
        <v>0</v>
      </c>
      <c r="BQ1478" s="4" t="s">
        <v>263</v>
      </c>
      <c r="BR1478" s="4" t="s">
        <v>264</v>
      </c>
      <c r="CF1478" s="4" t="s">
        <v>241</v>
      </c>
      <c r="CG1478" s="4" t="s">
        <v>241</v>
      </c>
      <c r="CK1478" s="4" t="s">
        <v>265</v>
      </c>
      <c r="CL1478" s="4" t="s">
        <v>266</v>
      </c>
      <c r="CM1478" s="4" t="s">
        <v>241</v>
      </c>
      <c r="CO1478" s="4" t="s">
        <v>511</v>
      </c>
      <c r="CP1478" s="5" t="s">
        <v>268</v>
      </c>
      <c r="CQ1478" s="4" t="s">
        <v>269</v>
      </c>
      <c r="CR1478" s="4" t="s">
        <v>270</v>
      </c>
      <c r="CS1478" s="4" t="s">
        <v>241</v>
      </c>
      <c r="CT1478" s="4" t="s">
        <v>241</v>
      </c>
      <c r="CU1478" s="4">
        <v>0</v>
      </c>
      <c r="CV1478" s="4" t="s">
        <v>271</v>
      </c>
      <c r="CW1478" s="4" t="s">
        <v>3899</v>
      </c>
      <c r="CX1478" s="4" t="s">
        <v>3900</v>
      </c>
      <c r="CZ1478" s="6">
        <f>1</f>
        <v>1</v>
      </c>
      <c r="DA1478" s="6">
        <f>0</f>
        <v>0</v>
      </c>
      <c r="DC1478" s="4" t="s">
        <v>241</v>
      </c>
      <c r="DD1478" s="4" t="s">
        <v>241</v>
      </c>
      <c r="DF1478" s="4" t="s">
        <v>241</v>
      </c>
      <c r="DI1478" s="4" t="s">
        <v>241</v>
      </c>
      <c r="DJ1478" s="4" t="s">
        <v>241</v>
      </c>
      <c r="DK1478" s="4" t="s">
        <v>241</v>
      </c>
      <c r="DL1478" s="4" t="s">
        <v>241</v>
      </c>
      <c r="DM1478" s="4" t="s">
        <v>277</v>
      </c>
      <c r="DN1478" s="4" t="s">
        <v>278</v>
      </c>
      <c r="DO1478" s="6">
        <f>132.53</f>
        <v>132.53</v>
      </c>
      <c r="DP1478" s="4" t="s">
        <v>241</v>
      </c>
      <c r="DQ1478" s="4" t="s">
        <v>241</v>
      </c>
      <c r="DR1478" s="4" t="s">
        <v>241</v>
      </c>
      <c r="DS1478" s="4" t="s">
        <v>241</v>
      </c>
      <c r="DV1478" s="4" t="s">
        <v>3901</v>
      </c>
      <c r="DW1478" s="4" t="s">
        <v>349</v>
      </c>
      <c r="HO1478" s="4" t="s">
        <v>277</v>
      </c>
      <c r="HR1478" s="4" t="s">
        <v>278</v>
      </c>
      <c r="HS1478" s="4" t="s">
        <v>278</v>
      </c>
    </row>
    <row r="1479" spans="1:240" x14ac:dyDescent="0.4">
      <c r="A1479" s="4">
        <v>2</v>
      </c>
      <c r="B1479" s="4" t="s">
        <v>239</v>
      </c>
      <c r="C1479" s="4">
        <v>1817</v>
      </c>
      <c r="D1479" s="4">
        <v>1</v>
      </c>
      <c r="E1479" s="4">
        <v>1</v>
      </c>
      <c r="F1479" s="4" t="s">
        <v>240</v>
      </c>
      <c r="G1479" s="4" t="s">
        <v>241</v>
      </c>
      <c r="H1479" s="4" t="s">
        <v>241</v>
      </c>
      <c r="I1479" s="4" t="s">
        <v>3896</v>
      </c>
      <c r="J1479" s="4" t="s">
        <v>673</v>
      </c>
      <c r="K1479" s="4" t="s">
        <v>578</v>
      </c>
      <c r="L1479" s="4" t="s">
        <v>440</v>
      </c>
      <c r="M1479" s="5" t="s">
        <v>3898</v>
      </c>
      <c r="N1479" s="4" t="s">
        <v>3923</v>
      </c>
      <c r="O1479" s="6">
        <f>148.98</f>
        <v>148.97999999999999</v>
      </c>
      <c r="P1479" s="4" t="s">
        <v>276</v>
      </c>
      <c r="Q1479" s="6">
        <f>1</f>
        <v>1</v>
      </c>
      <c r="R1479" s="6">
        <f>1</f>
        <v>1</v>
      </c>
      <c r="S1479" s="5" t="s">
        <v>3897</v>
      </c>
      <c r="T1479" s="4" t="s">
        <v>323</v>
      </c>
      <c r="U1479" s="4" t="s">
        <v>306</v>
      </c>
      <c r="W1479" s="6">
        <f>0</f>
        <v>0</v>
      </c>
      <c r="X1479" s="4" t="s">
        <v>243</v>
      </c>
      <c r="Y1479" s="4" t="s">
        <v>244</v>
      </c>
      <c r="Z1479" s="4" t="s">
        <v>282</v>
      </c>
      <c r="AA1479" s="4" t="s">
        <v>241</v>
      </c>
      <c r="AD1479" s="4" t="s">
        <v>241</v>
      </c>
      <c r="AF1479" s="5" t="s">
        <v>241</v>
      </c>
      <c r="AI1479" s="5" t="s">
        <v>249</v>
      </c>
      <c r="AJ1479" s="4" t="s">
        <v>251</v>
      </c>
      <c r="AK1479" s="4" t="s">
        <v>252</v>
      </c>
      <c r="BA1479" s="4" t="s">
        <v>254</v>
      </c>
      <c r="BB1479" s="4" t="s">
        <v>241</v>
      </c>
      <c r="BC1479" s="4" t="s">
        <v>255</v>
      </c>
      <c r="BD1479" s="4" t="s">
        <v>241</v>
      </c>
      <c r="BE1479" s="4" t="s">
        <v>257</v>
      </c>
      <c r="BF1479" s="4" t="s">
        <v>241</v>
      </c>
      <c r="BJ1479" s="4" t="s">
        <v>374</v>
      </c>
      <c r="BK1479" s="5" t="s">
        <v>375</v>
      </c>
      <c r="BL1479" s="4" t="s">
        <v>261</v>
      </c>
      <c r="BM1479" s="4" t="s">
        <v>410</v>
      </c>
      <c r="BN1479" s="4" t="s">
        <v>241</v>
      </c>
      <c r="BO1479" s="6">
        <f>0</f>
        <v>0</v>
      </c>
      <c r="BP1479" s="6">
        <f>0</f>
        <v>0</v>
      </c>
      <c r="BQ1479" s="4" t="s">
        <v>263</v>
      </c>
      <c r="BR1479" s="4" t="s">
        <v>264</v>
      </c>
      <c r="CF1479" s="4" t="s">
        <v>241</v>
      </c>
      <c r="CG1479" s="4" t="s">
        <v>241</v>
      </c>
      <c r="CK1479" s="4" t="s">
        <v>265</v>
      </c>
      <c r="CL1479" s="4" t="s">
        <v>266</v>
      </c>
      <c r="CM1479" s="4" t="s">
        <v>241</v>
      </c>
      <c r="CO1479" s="4" t="s">
        <v>511</v>
      </c>
      <c r="CP1479" s="5" t="s">
        <v>268</v>
      </c>
      <c r="CQ1479" s="4" t="s">
        <v>269</v>
      </c>
      <c r="CR1479" s="4" t="s">
        <v>270</v>
      </c>
      <c r="CS1479" s="4" t="s">
        <v>241</v>
      </c>
      <c r="CT1479" s="4" t="s">
        <v>241</v>
      </c>
      <c r="CU1479" s="4">
        <v>0</v>
      </c>
      <c r="CV1479" s="4" t="s">
        <v>271</v>
      </c>
      <c r="CW1479" s="4" t="s">
        <v>3899</v>
      </c>
      <c r="CX1479" s="4" t="s">
        <v>3900</v>
      </c>
      <c r="CZ1479" s="6">
        <f>1</f>
        <v>1</v>
      </c>
      <c r="DA1479" s="6">
        <f>0</f>
        <v>0</v>
      </c>
      <c r="DC1479" s="4" t="s">
        <v>241</v>
      </c>
      <c r="DD1479" s="4" t="s">
        <v>241</v>
      </c>
      <c r="DF1479" s="4" t="s">
        <v>241</v>
      </c>
      <c r="DI1479" s="4" t="s">
        <v>241</v>
      </c>
      <c r="DJ1479" s="4" t="s">
        <v>241</v>
      </c>
      <c r="DK1479" s="4" t="s">
        <v>241</v>
      </c>
      <c r="DL1479" s="4" t="s">
        <v>241</v>
      </c>
      <c r="DM1479" s="4" t="s">
        <v>277</v>
      </c>
      <c r="DN1479" s="4" t="s">
        <v>278</v>
      </c>
      <c r="DO1479" s="6">
        <f>148.98</f>
        <v>148.97999999999999</v>
      </c>
      <c r="DP1479" s="4" t="s">
        <v>241</v>
      </c>
      <c r="DQ1479" s="4" t="s">
        <v>241</v>
      </c>
      <c r="DR1479" s="4" t="s">
        <v>241</v>
      </c>
      <c r="DS1479" s="4" t="s">
        <v>241</v>
      </c>
      <c r="DV1479" s="4" t="s">
        <v>3901</v>
      </c>
      <c r="DW1479" s="4" t="s">
        <v>348</v>
      </c>
      <c r="HO1479" s="4" t="s">
        <v>277</v>
      </c>
      <c r="HR1479" s="4" t="s">
        <v>278</v>
      </c>
      <c r="HS1479" s="4" t="s">
        <v>278</v>
      </c>
    </row>
    <row r="1480" spans="1:240" x14ac:dyDescent="0.4">
      <c r="A1480" s="4">
        <v>2</v>
      </c>
      <c r="B1480" s="4" t="s">
        <v>239</v>
      </c>
      <c r="C1480" s="4">
        <v>1818</v>
      </c>
      <c r="D1480" s="4">
        <v>1</v>
      </c>
      <c r="E1480" s="4">
        <v>1</v>
      </c>
      <c r="F1480" s="4" t="s">
        <v>240</v>
      </c>
      <c r="G1480" s="4" t="s">
        <v>241</v>
      </c>
      <c r="H1480" s="4" t="s">
        <v>241</v>
      </c>
      <c r="I1480" s="4" t="s">
        <v>3896</v>
      </c>
      <c r="J1480" s="4" t="s">
        <v>673</v>
      </c>
      <c r="K1480" s="4" t="s">
        <v>578</v>
      </c>
      <c r="L1480" s="4" t="s">
        <v>1003</v>
      </c>
      <c r="M1480" s="5" t="s">
        <v>3898</v>
      </c>
      <c r="N1480" s="4" t="s">
        <v>1003</v>
      </c>
      <c r="O1480" s="6">
        <f>1657.04</f>
        <v>1657.04</v>
      </c>
      <c r="P1480" s="4" t="s">
        <v>276</v>
      </c>
      <c r="Q1480" s="6">
        <f>1</f>
        <v>1</v>
      </c>
      <c r="R1480" s="6">
        <f>1</f>
        <v>1</v>
      </c>
      <c r="S1480" s="5" t="s">
        <v>3897</v>
      </c>
      <c r="T1480" s="4" t="s">
        <v>323</v>
      </c>
      <c r="U1480" s="4" t="s">
        <v>835</v>
      </c>
      <c r="W1480" s="6">
        <f>0</f>
        <v>0</v>
      </c>
      <c r="X1480" s="4" t="s">
        <v>243</v>
      </c>
      <c r="Y1480" s="4" t="s">
        <v>244</v>
      </c>
      <c r="Z1480" s="4" t="s">
        <v>282</v>
      </c>
      <c r="AA1480" s="4" t="s">
        <v>241</v>
      </c>
      <c r="AD1480" s="4" t="s">
        <v>241</v>
      </c>
      <c r="AF1480" s="5" t="s">
        <v>241</v>
      </c>
      <c r="AI1480" s="5" t="s">
        <v>249</v>
      </c>
      <c r="AJ1480" s="4" t="s">
        <v>251</v>
      </c>
      <c r="AK1480" s="4" t="s">
        <v>252</v>
      </c>
      <c r="BA1480" s="4" t="s">
        <v>254</v>
      </c>
      <c r="BB1480" s="4" t="s">
        <v>241</v>
      </c>
      <c r="BC1480" s="4" t="s">
        <v>255</v>
      </c>
      <c r="BD1480" s="4" t="s">
        <v>241</v>
      </c>
      <c r="BE1480" s="4" t="s">
        <v>257</v>
      </c>
      <c r="BF1480" s="4" t="s">
        <v>241</v>
      </c>
      <c r="BJ1480" s="4" t="s">
        <v>367</v>
      </c>
      <c r="BK1480" s="5" t="s">
        <v>3897</v>
      </c>
      <c r="BL1480" s="4" t="s">
        <v>261</v>
      </c>
      <c r="BM1480" s="4" t="s">
        <v>410</v>
      </c>
      <c r="BN1480" s="4" t="s">
        <v>241</v>
      </c>
      <c r="BO1480" s="6">
        <f>0</f>
        <v>0</v>
      </c>
      <c r="BP1480" s="6">
        <f>0</f>
        <v>0</v>
      </c>
      <c r="BQ1480" s="4" t="s">
        <v>263</v>
      </c>
      <c r="BR1480" s="4" t="s">
        <v>264</v>
      </c>
      <c r="CF1480" s="4" t="s">
        <v>241</v>
      </c>
      <c r="CG1480" s="4" t="s">
        <v>241</v>
      </c>
      <c r="CK1480" s="4" t="s">
        <v>265</v>
      </c>
      <c r="CL1480" s="4" t="s">
        <v>266</v>
      </c>
      <c r="CM1480" s="4" t="s">
        <v>241</v>
      </c>
      <c r="CO1480" s="4" t="s">
        <v>305</v>
      </c>
      <c r="CP1480" s="5" t="s">
        <v>268</v>
      </c>
      <c r="CQ1480" s="4" t="s">
        <v>269</v>
      </c>
      <c r="CR1480" s="4" t="s">
        <v>270</v>
      </c>
      <c r="CS1480" s="4" t="s">
        <v>241</v>
      </c>
      <c r="CT1480" s="4" t="s">
        <v>241</v>
      </c>
      <c r="CU1480" s="4">
        <v>0</v>
      </c>
      <c r="CV1480" s="4" t="s">
        <v>271</v>
      </c>
      <c r="CW1480" s="4" t="s">
        <v>3899</v>
      </c>
      <c r="CX1480" s="4" t="s">
        <v>3900</v>
      </c>
      <c r="CZ1480" s="6">
        <f>1</f>
        <v>1</v>
      </c>
      <c r="DA1480" s="6">
        <f>0</f>
        <v>0</v>
      </c>
      <c r="DC1480" s="4" t="s">
        <v>241</v>
      </c>
      <c r="DD1480" s="4" t="s">
        <v>241</v>
      </c>
      <c r="DF1480" s="4" t="s">
        <v>241</v>
      </c>
      <c r="DI1480" s="4" t="s">
        <v>241</v>
      </c>
      <c r="DJ1480" s="4" t="s">
        <v>241</v>
      </c>
      <c r="DK1480" s="4" t="s">
        <v>241</v>
      </c>
      <c r="DL1480" s="4" t="s">
        <v>241</v>
      </c>
      <c r="DM1480" s="4" t="s">
        <v>277</v>
      </c>
      <c r="DN1480" s="4" t="s">
        <v>278</v>
      </c>
      <c r="DO1480" s="6">
        <f>1657.04</f>
        <v>1657.04</v>
      </c>
      <c r="DP1480" s="4" t="s">
        <v>241</v>
      </c>
      <c r="DQ1480" s="4" t="s">
        <v>241</v>
      </c>
      <c r="DR1480" s="4" t="s">
        <v>241</v>
      </c>
      <c r="DS1480" s="4" t="s">
        <v>241</v>
      </c>
      <c r="DV1480" s="4" t="s">
        <v>3901</v>
      </c>
      <c r="DW1480" s="4" t="s">
        <v>371</v>
      </c>
      <c r="HO1480" s="4" t="s">
        <v>277</v>
      </c>
      <c r="HR1480" s="4" t="s">
        <v>278</v>
      </c>
      <c r="HS1480" s="4" t="s">
        <v>278</v>
      </c>
    </row>
    <row r="1481" spans="1:240" x14ac:dyDescent="0.4">
      <c r="A1481" s="4">
        <v>2</v>
      </c>
      <c r="B1481" s="4" t="s">
        <v>239</v>
      </c>
      <c r="C1481" s="4">
        <v>1819</v>
      </c>
      <c r="D1481" s="4">
        <v>1</v>
      </c>
      <c r="E1481" s="4">
        <v>3</v>
      </c>
      <c r="F1481" s="4" t="s">
        <v>240</v>
      </c>
      <c r="G1481" s="4" t="s">
        <v>241</v>
      </c>
      <c r="H1481" s="4" t="s">
        <v>241</v>
      </c>
      <c r="I1481" s="4" t="s">
        <v>3896</v>
      </c>
      <c r="J1481" s="4" t="s">
        <v>673</v>
      </c>
      <c r="K1481" s="4" t="s">
        <v>578</v>
      </c>
      <c r="L1481" s="4" t="s">
        <v>3916</v>
      </c>
      <c r="M1481" s="5" t="s">
        <v>3898</v>
      </c>
      <c r="N1481" s="4" t="s">
        <v>651</v>
      </c>
      <c r="O1481" s="6">
        <f>4376.91</f>
        <v>4376.91</v>
      </c>
      <c r="P1481" s="4" t="s">
        <v>276</v>
      </c>
      <c r="Q1481" s="6">
        <f>68047275</f>
        <v>68047275</v>
      </c>
      <c r="R1481" s="6">
        <f>83905392</f>
        <v>83905392</v>
      </c>
      <c r="S1481" s="5" t="s">
        <v>413</v>
      </c>
      <c r="T1481" s="4" t="s">
        <v>371</v>
      </c>
      <c r="U1481" s="4" t="s">
        <v>323</v>
      </c>
      <c r="V1481" s="6">
        <f>5286039</f>
        <v>5286039</v>
      </c>
      <c r="W1481" s="6">
        <f>15858117</f>
        <v>15858117</v>
      </c>
      <c r="X1481" s="4" t="s">
        <v>243</v>
      </c>
      <c r="Y1481" s="4" t="s">
        <v>244</v>
      </c>
      <c r="Z1481" s="4" t="s">
        <v>282</v>
      </c>
      <c r="AA1481" s="4" t="s">
        <v>241</v>
      </c>
      <c r="AD1481" s="4" t="s">
        <v>241</v>
      </c>
      <c r="AE1481" s="5" t="s">
        <v>241</v>
      </c>
      <c r="AF1481" s="5" t="s">
        <v>241</v>
      </c>
      <c r="AH1481" s="5" t="s">
        <v>241</v>
      </c>
      <c r="AI1481" s="5" t="s">
        <v>249</v>
      </c>
      <c r="AJ1481" s="4" t="s">
        <v>251</v>
      </c>
      <c r="AK1481" s="4" t="s">
        <v>252</v>
      </c>
      <c r="AQ1481" s="4" t="s">
        <v>241</v>
      </c>
      <c r="AR1481" s="4" t="s">
        <v>241</v>
      </c>
      <c r="AS1481" s="4" t="s">
        <v>241</v>
      </c>
      <c r="AT1481" s="5" t="s">
        <v>241</v>
      </c>
      <c r="AU1481" s="5" t="s">
        <v>241</v>
      </c>
      <c r="AV1481" s="5" t="s">
        <v>241</v>
      </c>
      <c r="AY1481" s="4" t="s">
        <v>286</v>
      </c>
      <c r="AZ1481" s="4" t="s">
        <v>286</v>
      </c>
      <c r="BA1481" s="4" t="s">
        <v>254</v>
      </c>
      <c r="BB1481" s="4" t="s">
        <v>287</v>
      </c>
      <c r="BC1481" s="4" t="s">
        <v>255</v>
      </c>
      <c r="BD1481" s="4" t="s">
        <v>241</v>
      </c>
      <c r="BE1481" s="4" t="s">
        <v>257</v>
      </c>
      <c r="BF1481" s="4" t="s">
        <v>241</v>
      </c>
      <c r="BJ1481" s="4" t="s">
        <v>288</v>
      </c>
      <c r="BK1481" s="5" t="s">
        <v>289</v>
      </c>
      <c r="BL1481" s="4" t="s">
        <v>290</v>
      </c>
      <c r="BM1481" s="4" t="s">
        <v>290</v>
      </c>
      <c r="BN1481" s="4" t="s">
        <v>241</v>
      </c>
      <c r="BO1481" s="6">
        <f>0</f>
        <v>0</v>
      </c>
      <c r="BP1481" s="6">
        <f>-5286039</f>
        <v>-5286039</v>
      </c>
      <c r="BQ1481" s="4" t="s">
        <v>263</v>
      </c>
      <c r="BR1481" s="4" t="s">
        <v>264</v>
      </c>
      <c r="BS1481" s="4" t="s">
        <v>241</v>
      </c>
      <c r="BT1481" s="4" t="s">
        <v>241</v>
      </c>
      <c r="BU1481" s="4" t="s">
        <v>241</v>
      </c>
      <c r="BV1481" s="4" t="s">
        <v>241</v>
      </c>
      <c r="CE1481" s="4" t="s">
        <v>264</v>
      </c>
      <c r="CF1481" s="4" t="s">
        <v>241</v>
      </c>
      <c r="CG1481" s="4" t="s">
        <v>241</v>
      </c>
      <c r="CK1481" s="4" t="s">
        <v>265</v>
      </c>
      <c r="CL1481" s="4" t="s">
        <v>266</v>
      </c>
      <c r="CM1481" s="4" t="s">
        <v>241</v>
      </c>
      <c r="CO1481" s="4" t="s">
        <v>421</v>
      </c>
      <c r="CP1481" s="5" t="s">
        <v>268</v>
      </c>
      <c r="CQ1481" s="4" t="s">
        <v>269</v>
      </c>
      <c r="CR1481" s="4" t="s">
        <v>270</v>
      </c>
      <c r="CS1481" s="4" t="s">
        <v>293</v>
      </c>
      <c r="CT1481" s="4" t="s">
        <v>241</v>
      </c>
      <c r="CU1481" s="4">
        <v>6.3E-2</v>
      </c>
      <c r="CV1481" s="4" t="s">
        <v>271</v>
      </c>
      <c r="CW1481" s="4" t="s">
        <v>3899</v>
      </c>
      <c r="CX1481" s="4" t="s">
        <v>3910</v>
      </c>
      <c r="CY1481" s="6">
        <f>0</f>
        <v>0</v>
      </c>
      <c r="CZ1481" s="6">
        <f>83905392</f>
        <v>83905392</v>
      </c>
      <c r="DA1481" s="6">
        <f>68047275</f>
        <v>68047275</v>
      </c>
      <c r="DC1481" s="4" t="s">
        <v>241</v>
      </c>
      <c r="DD1481" s="4" t="s">
        <v>241</v>
      </c>
      <c r="DF1481" s="4" t="s">
        <v>241</v>
      </c>
      <c r="DG1481" s="6">
        <f>0</f>
        <v>0</v>
      </c>
      <c r="DI1481" s="4" t="s">
        <v>241</v>
      </c>
      <c r="DJ1481" s="4" t="s">
        <v>241</v>
      </c>
      <c r="DK1481" s="4" t="s">
        <v>241</v>
      </c>
      <c r="DL1481" s="4" t="s">
        <v>241</v>
      </c>
      <c r="DM1481" s="4" t="s">
        <v>297</v>
      </c>
      <c r="DN1481" s="4" t="s">
        <v>278</v>
      </c>
      <c r="DO1481" s="6">
        <f>4376.91</f>
        <v>4376.91</v>
      </c>
      <c r="DP1481" s="4" t="s">
        <v>241</v>
      </c>
      <c r="DQ1481" s="4" t="s">
        <v>241</v>
      </c>
      <c r="DR1481" s="4" t="s">
        <v>241</v>
      </c>
      <c r="DS1481" s="4" t="s">
        <v>241</v>
      </c>
      <c r="DV1481" s="4" t="s">
        <v>3901</v>
      </c>
      <c r="DW1481" s="4" t="s">
        <v>401</v>
      </c>
      <c r="GN1481" s="4" t="s">
        <v>3917</v>
      </c>
      <c r="HO1481" s="4" t="s">
        <v>336</v>
      </c>
      <c r="HR1481" s="4" t="s">
        <v>278</v>
      </c>
      <c r="HS1481" s="4" t="s">
        <v>278</v>
      </c>
      <c r="HT1481" s="4" t="s">
        <v>241</v>
      </c>
      <c r="HU1481" s="4" t="s">
        <v>241</v>
      </c>
      <c r="HV1481" s="4" t="s">
        <v>241</v>
      </c>
      <c r="HW1481" s="4" t="s">
        <v>241</v>
      </c>
      <c r="HX1481" s="4" t="s">
        <v>241</v>
      </c>
      <c r="HY1481" s="4" t="s">
        <v>241</v>
      </c>
      <c r="HZ1481" s="4" t="s">
        <v>241</v>
      </c>
      <c r="IA1481" s="4" t="s">
        <v>241</v>
      </c>
      <c r="IB1481" s="4" t="s">
        <v>241</v>
      </c>
      <c r="IC1481" s="4" t="s">
        <v>241</v>
      </c>
      <c r="ID1481" s="4" t="s">
        <v>241</v>
      </c>
      <c r="IE1481" s="4" t="s">
        <v>241</v>
      </c>
      <c r="IF1481" s="4" t="s">
        <v>241</v>
      </c>
    </row>
    <row r="1482" spans="1:240" x14ac:dyDescent="0.4">
      <c r="A1482" s="4">
        <v>2</v>
      </c>
      <c r="B1482" s="4" t="s">
        <v>239</v>
      </c>
      <c r="C1482" s="4">
        <v>1820</v>
      </c>
      <c r="D1482" s="4">
        <v>1</v>
      </c>
      <c r="E1482" s="4">
        <v>1</v>
      </c>
      <c r="F1482" s="4" t="s">
        <v>240</v>
      </c>
      <c r="G1482" s="4" t="s">
        <v>241</v>
      </c>
      <c r="H1482" s="4" t="s">
        <v>241</v>
      </c>
      <c r="I1482" s="4" t="s">
        <v>3896</v>
      </c>
      <c r="J1482" s="4" t="s">
        <v>673</v>
      </c>
      <c r="K1482" s="4" t="s">
        <v>578</v>
      </c>
      <c r="L1482" s="4" t="s">
        <v>444</v>
      </c>
      <c r="M1482" s="5" t="s">
        <v>3898</v>
      </c>
      <c r="N1482" s="4" t="s">
        <v>3918</v>
      </c>
      <c r="O1482" s="6">
        <f>409.5</f>
        <v>409.5</v>
      </c>
      <c r="P1482" s="4" t="s">
        <v>276</v>
      </c>
      <c r="Q1482" s="6">
        <f>1</f>
        <v>1</v>
      </c>
      <c r="R1482" s="6">
        <f>1</f>
        <v>1</v>
      </c>
      <c r="S1482" s="5" t="s">
        <v>3897</v>
      </c>
      <c r="T1482" s="4" t="s">
        <v>323</v>
      </c>
      <c r="U1482" s="4" t="s">
        <v>1042</v>
      </c>
      <c r="W1482" s="6">
        <f>0</f>
        <v>0</v>
      </c>
      <c r="X1482" s="4" t="s">
        <v>243</v>
      </c>
      <c r="Y1482" s="4" t="s">
        <v>244</v>
      </c>
      <c r="Z1482" s="4" t="s">
        <v>282</v>
      </c>
      <c r="AA1482" s="4" t="s">
        <v>241</v>
      </c>
      <c r="AD1482" s="4" t="s">
        <v>241</v>
      </c>
      <c r="AF1482" s="5" t="s">
        <v>241</v>
      </c>
      <c r="AI1482" s="5" t="s">
        <v>249</v>
      </c>
      <c r="AJ1482" s="4" t="s">
        <v>251</v>
      </c>
      <c r="AK1482" s="4" t="s">
        <v>252</v>
      </c>
      <c r="BA1482" s="4" t="s">
        <v>254</v>
      </c>
      <c r="BB1482" s="4" t="s">
        <v>241</v>
      </c>
      <c r="BC1482" s="4" t="s">
        <v>255</v>
      </c>
      <c r="BD1482" s="4" t="s">
        <v>241</v>
      </c>
      <c r="BE1482" s="4" t="s">
        <v>257</v>
      </c>
      <c r="BF1482" s="4" t="s">
        <v>241</v>
      </c>
      <c r="BJ1482" s="4" t="s">
        <v>377</v>
      </c>
      <c r="BK1482" s="5" t="s">
        <v>378</v>
      </c>
      <c r="BL1482" s="4" t="s">
        <v>261</v>
      </c>
      <c r="BM1482" s="4" t="s">
        <v>410</v>
      </c>
      <c r="BN1482" s="4" t="s">
        <v>241</v>
      </c>
      <c r="BO1482" s="6">
        <f>0</f>
        <v>0</v>
      </c>
      <c r="BP1482" s="6">
        <f>0</f>
        <v>0</v>
      </c>
      <c r="BQ1482" s="4" t="s">
        <v>263</v>
      </c>
      <c r="BR1482" s="4" t="s">
        <v>264</v>
      </c>
      <c r="CF1482" s="4" t="s">
        <v>241</v>
      </c>
      <c r="CG1482" s="4" t="s">
        <v>241</v>
      </c>
      <c r="CK1482" s="4" t="s">
        <v>265</v>
      </c>
      <c r="CL1482" s="4" t="s">
        <v>266</v>
      </c>
      <c r="CM1482" s="4" t="s">
        <v>241</v>
      </c>
      <c r="CO1482" s="4" t="s">
        <v>382</v>
      </c>
      <c r="CP1482" s="5" t="s">
        <v>268</v>
      </c>
      <c r="CQ1482" s="4" t="s">
        <v>269</v>
      </c>
      <c r="CR1482" s="4" t="s">
        <v>270</v>
      </c>
      <c r="CS1482" s="4" t="s">
        <v>241</v>
      </c>
      <c r="CT1482" s="4" t="s">
        <v>241</v>
      </c>
      <c r="CU1482" s="4">
        <v>0</v>
      </c>
      <c r="CV1482" s="4" t="s">
        <v>271</v>
      </c>
      <c r="CW1482" s="4" t="s">
        <v>3899</v>
      </c>
      <c r="CX1482" s="4" t="s">
        <v>3900</v>
      </c>
      <c r="CZ1482" s="6">
        <f>1</f>
        <v>1</v>
      </c>
      <c r="DA1482" s="6">
        <f>0</f>
        <v>0</v>
      </c>
      <c r="DC1482" s="4" t="s">
        <v>241</v>
      </c>
      <c r="DD1482" s="4" t="s">
        <v>241</v>
      </c>
      <c r="DF1482" s="4" t="s">
        <v>241</v>
      </c>
      <c r="DI1482" s="4" t="s">
        <v>241</v>
      </c>
      <c r="DJ1482" s="4" t="s">
        <v>241</v>
      </c>
      <c r="DK1482" s="4" t="s">
        <v>241</v>
      </c>
      <c r="DL1482" s="4" t="s">
        <v>241</v>
      </c>
      <c r="DM1482" s="4" t="s">
        <v>277</v>
      </c>
      <c r="DN1482" s="4" t="s">
        <v>278</v>
      </c>
      <c r="DO1482" s="6">
        <f>409.5</f>
        <v>409.5</v>
      </c>
      <c r="DP1482" s="4" t="s">
        <v>241</v>
      </c>
      <c r="DQ1482" s="4" t="s">
        <v>241</v>
      </c>
      <c r="DR1482" s="4" t="s">
        <v>241</v>
      </c>
      <c r="DS1482" s="4" t="s">
        <v>241</v>
      </c>
      <c r="DV1482" s="4" t="s">
        <v>3901</v>
      </c>
      <c r="DW1482" s="4" t="s">
        <v>365</v>
      </c>
      <c r="HO1482" s="4" t="s">
        <v>277</v>
      </c>
      <c r="HR1482" s="4" t="s">
        <v>278</v>
      </c>
      <c r="HS1482" s="4" t="s">
        <v>278</v>
      </c>
    </row>
    <row r="1483" spans="1:240" x14ac:dyDescent="0.4">
      <c r="A1483" s="4">
        <v>2</v>
      </c>
      <c r="B1483" s="4" t="s">
        <v>239</v>
      </c>
      <c r="C1483" s="4">
        <v>1821</v>
      </c>
      <c r="D1483" s="4">
        <v>1</v>
      </c>
      <c r="E1483" s="4">
        <v>1</v>
      </c>
      <c r="F1483" s="4" t="s">
        <v>240</v>
      </c>
      <c r="G1483" s="4" t="s">
        <v>241</v>
      </c>
      <c r="H1483" s="4" t="s">
        <v>241</v>
      </c>
      <c r="I1483" s="4" t="s">
        <v>3896</v>
      </c>
      <c r="J1483" s="4" t="s">
        <v>673</v>
      </c>
      <c r="K1483" s="4" t="s">
        <v>578</v>
      </c>
      <c r="L1483" s="4" t="s">
        <v>414</v>
      </c>
      <c r="M1483" s="5" t="s">
        <v>3898</v>
      </c>
      <c r="N1483" s="4" t="s">
        <v>414</v>
      </c>
      <c r="O1483" s="6">
        <f>60</f>
        <v>60</v>
      </c>
      <c r="P1483" s="4" t="s">
        <v>276</v>
      </c>
      <c r="Q1483" s="6">
        <f>1</f>
        <v>1</v>
      </c>
      <c r="R1483" s="6">
        <f>1</f>
        <v>1</v>
      </c>
      <c r="S1483" s="5" t="s">
        <v>3897</v>
      </c>
      <c r="T1483" s="4" t="s">
        <v>323</v>
      </c>
      <c r="U1483" s="4" t="s">
        <v>333</v>
      </c>
      <c r="W1483" s="6">
        <f>0</f>
        <v>0</v>
      </c>
      <c r="X1483" s="4" t="s">
        <v>243</v>
      </c>
      <c r="Y1483" s="4" t="s">
        <v>244</v>
      </c>
      <c r="Z1483" s="4" t="s">
        <v>282</v>
      </c>
      <c r="AA1483" s="4" t="s">
        <v>241</v>
      </c>
      <c r="AD1483" s="4" t="s">
        <v>241</v>
      </c>
      <c r="AF1483" s="5" t="s">
        <v>241</v>
      </c>
      <c r="AI1483" s="5" t="s">
        <v>249</v>
      </c>
      <c r="AJ1483" s="4" t="s">
        <v>251</v>
      </c>
      <c r="AK1483" s="4" t="s">
        <v>252</v>
      </c>
      <c r="BA1483" s="4" t="s">
        <v>254</v>
      </c>
      <c r="BB1483" s="4" t="s">
        <v>241</v>
      </c>
      <c r="BC1483" s="4" t="s">
        <v>255</v>
      </c>
      <c r="BD1483" s="4" t="s">
        <v>241</v>
      </c>
      <c r="BE1483" s="4" t="s">
        <v>257</v>
      </c>
      <c r="BF1483" s="4" t="s">
        <v>241</v>
      </c>
      <c r="BJ1483" s="4" t="s">
        <v>259</v>
      </c>
      <c r="BK1483" s="5" t="s">
        <v>260</v>
      </c>
      <c r="BL1483" s="4" t="s">
        <v>261</v>
      </c>
      <c r="BM1483" s="4" t="s">
        <v>410</v>
      </c>
      <c r="BN1483" s="4" t="s">
        <v>241</v>
      </c>
      <c r="BO1483" s="6">
        <f>0</f>
        <v>0</v>
      </c>
      <c r="BP1483" s="6">
        <f>0</f>
        <v>0</v>
      </c>
      <c r="BQ1483" s="4" t="s">
        <v>263</v>
      </c>
      <c r="BR1483" s="4" t="s">
        <v>264</v>
      </c>
      <c r="CF1483" s="4" t="s">
        <v>241</v>
      </c>
      <c r="CG1483" s="4" t="s">
        <v>241</v>
      </c>
      <c r="CK1483" s="4" t="s">
        <v>265</v>
      </c>
      <c r="CL1483" s="4" t="s">
        <v>266</v>
      </c>
      <c r="CM1483" s="4" t="s">
        <v>241</v>
      </c>
      <c r="CO1483" s="4" t="s">
        <v>914</v>
      </c>
      <c r="CP1483" s="5" t="s">
        <v>268</v>
      </c>
      <c r="CQ1483" s="4" t="s">
        <v>269</v>
      </c>
      <c r="CR1483" s="4" t="s">
        <v>270</v>
      </c>
      <c r="CS1483" s="4" t="s">
        <v>241</v>
      </c>
      <c r="CT1483" s="4" t="s">
        <v>241</v>
      </c>
      <c r="CU1483" s="4">
        <v>0</v>
      </c>
      <c r="CV1483" s="4" t="s">
        <v>271</v>
      </c>
      <c r="CW1483" s="4" t="s">
        <v>3899</v>
      </c>
      <c r="CX1483" s="4" t="s">
        <v>3900</v>
      </c>
      <c r="CZ1483" s="6">
        <f>1</f>
        <v>1</v>
      </c>
      <c r="DA1483" s="6">
        <f>0</f>
        <v>0</v>
      </c>
      <c r="DC1483" s="4" t="s">
        <v>241</v>
      </c>
      <c r="DD1483" s="4" t="s">
        <v>241</v>
      </c>
      <c r="DF1483" s="4" t="s">
        <v>241</v>
      </c>
      <c r="DI1483" s="4" t="s">
        <v>241</v>
      </c>
      <c r="DJ1483" s="4" t="s">
        <v>241</v>
      </c>
      <c r="DK1483" s="4" t="s">
        <v>241</v>
      </c>
      <c r="DL1483" s="4" t="s">
        <v>241</v>
      </c>
      <c r="DM1483" s="4" t="s">
        <v>277</v>
      </c>
      <c r="DN1483" s="4" t="s">
        <v>278</v>
      </c>
      <c r="DO1483" s="6">
        <f>60</f>
        <v>60</v>
      </c>
      <c r="DP1483" s="4" t="s">
        <v>241</v>
      </c>
      <c r="DQ1483" s="4" t="s">
        <v>241</v>
      </c>
      <c r="DR1483" s="4" t="s">
        <v>241</v>
      </c>
      <c r="DS1483" s="4" t="s">
        <v>241</v>
      </c>
      <c r="DV1483" s="4" t="s">
        <v>3901</v>
      </c>
      <c r="DW1483" s="4" t="s">
        <v>379</v>
      </c>
      <c r="HO1483" s="4" t="s">
        <v>277</v>
      </c>
      <c r="HR1483" s="4" t="s">
        <v>278</v>
      </c>
      <c r="HS1483" s="4" t="s">
        <v>278</v>
      </c>
    </row>
    <row r="1484" spans="1:240" x14ac:dyDescent="0.4">
      <c r="A1484" s="4">
        <v>2</v>
      </c>
      <c r="B1484" s="4" t="s">
        <v>239</v>
      </c>
      <c r="C1484" s="4">
        <v>1822</v>
      </c>
      <c r="D1484" s="4">
        <v>1</v>
      </c>
      <c r="E1484" s="4">
        <v>3</v>
      </c>
      <c r="F1484" s="4" t="s">
        <v>240</v>
      </c>
      <c r="G1484" s="4" t="s">
        <v>241</v>
      </c>
      <c r="H1484" s="4" t="s">
        <v>241</v>
      </c>
      <c r="I1484" s="4" t="s">
        <v>3896</v>
      </c>
      <c r="J1484" s="4" t="s">
        <v>673</v>
      </c>
      <c r="K1484" s="4" t="s">
        <v>578</v>
      </c>
      <c r="L1484" s="4" t="s">
        <v>3913</v>
      </c>
      <c r="M1484" s="5" t="s">
        <v>3898</v>
      </c>
      <c r="N1484" s="4" t="s">
        <v>3912</v>
      </c>
      <c r="O1484" s="6">
        <f>388.8</f>
        <v>388.8</v>
      </c>
      <c r="P1484" s="4" t="s">
        <v>276</v>
      </c>
      <c r="Q1484" s="6">
        <f>7084413</f>
        <v>7084413</v>
      </c>
      <c r="R1484" s="6">
        <f>8608032</f>
        <v>8608032</v>
      </c>
      <c r="S1484" s="5" t="s">
        <v>413</v>
      </c>
      <c r="T1484" s="4" t="s">
        <v>401</v>
      </c>
      <c r="U1484" s="4" t="s">
        <v>323</v>
      </c>
      <c r="V1484" s="6">
        <f>507873</f>
        <v>507873</v>
      </c>
      <c r="W1484" s="6">
        <f>1523619</f>
        <v>1523619</v>
      </c>
      <c r="X1484" s="4" t="s">
        <v>243</v>
      </c>
      <c r="Y1484" s="4" t="s">
        <v>244</v>
      </c>
      <c r="Z1484" s="4" t="s">
        <v>282</v>
      </c>
      <c r="AA1484" s="4" t="s">
        <v>241</v>
      </c>
      <c r="AD1484" s="4" t="s">
        <v>241</v>
      </c>
      <c r="AE1484" s="5" t="s">
        <v>241</v>
      </c>
      <c r="AF1484" s="5" t="s">
        <v>241</v>
      </c>
      <c r="AH1484" s="5" t="s">
        <v>241</v>
      </c>
      <c r="AI1484" s="5" t="s">
        <v>249</v>
      </c>
      <c r="AJ1484" s="4" t="s">
        <v>251</v>
      </c>
      <c r="AK1484" s="4" t="s">
        <v>252</v>
      </c>
      <c r="AQ1484" s="4" t="s">
        <v>241</v>
      </c>
      <c r="AR1484" s="4" t="s">
        <v>241</v>
      </c>
      <c r="AS1484" s="4" t="s">
        <v>241</v>
      </c>
      <c r="AT1484" s="5" t="s">
        <v>241</v>
      </c>
      <c r="AU1484" s="5" t="s">
        <v>241</v>
      </c>
      <c r="AV1484" s="5" t="s">
        <v>241</v>
      </c>
      <c r="AY1484" s="4" t="s">
        <v>286</v>
      </c>
      <c r="AZ1484" s="4" t="s">
        <v>286</v>
      </c>
      <c r="BA1484" s="4" t="s">
        <v>254</v>
      </c>
      <c r="BB1484" s="4" t="s">
        <v>287</v>
      </c>
      <c r="BC1484" s="4" t="s">
        <v>255</v>
      </c>
      <c r="BD1484" s="4" t="s">
        <v>241</v>
      </c>
      <c r="BE1484" s="4" t="s">
        <v>257</v>
      </c>
      <c r="BF1484" s="4" t="s">
        <v>241</v>
      </c>
      <c r="BJ1484" s="4" t="s">
        <v>288</v>
      </c>
      <c r="BK1484" s="5" t="s">
        <v>289</v>
      </c>
      <c r="BL1484" s="4" t="s">
        <v>290</v>
      </c>
      <c r="BM1484" s="4" t="s">
        <v>290</v>
      </c>
      <c r="BN1484" s="4" t="s">
        <v>241</v>
      </c>
      <c r="BO1484" s="6">
        <f>0</f>
        <v>0</v>
      </c>
      <c r="BP1484" s="6">
        <f>-507873</f>
        <v>-507873</v>
      </c>
      <c r="BQ1484" s="4" t="s">
        <v>263</v>
      </c>
      <c r="BR1484" s="4" t="s">
        <v>264</v>
      </c>
      <c r="BS1484" s="4" t="s">
        <v>241</v>
      </c>
      <c r="BT1484" s="4" t="s">
        <v>241</v>
      </c>
      <c r="BU1484" s="4" t="s">
        <v>241</v>
      </c>
      <c r="BV1484" s="4" t="s">
        <v>241</v>
      </c>
      <c r="CE1484" s="4" t="s">
        <v>264</v>
      </c>
      <c r="CF1484" s="4" t="s">
        <v>241</v>
      </c>
      <c r="CG1484" s="4" t="s">
        <v>241</v>
      </c>
      <c r="CK1484" s="4" t="s">
        <v>265</v>
      </c>
      <c r="CL1484" s="4" t="s">
        <v>266</v>
      </c>
      <c r="CM1484" s="4" t="s">
        <v>241</v>
      </c>
      <c r="CO1484" s="4" t="s">
        <v>421</v>
      </c>
      <c r="CP1484" s="5" t="s">
        <v>268</v>
      </c>
      <c r="CQ1484" s="4" t="s">
        <v>269</v>
      </c>
      <c r="CR1484" s="4" t="s">
        <v>270</v>
      </c>
      <c r="CS1484" s="4" t="s">
        <v>293</v>
      </c>
      <c r="CT1484" s="4" t="s">
        <v>241</v>
      </c>
      <c r="CU1484" s="4">
        <v>5.8999999999999997E-2</v>
      </c>
      <c r="CV1484" s="4" t="s">
        <v>271</v>
      </c>
      <c r="CW1484" s="4" t="s">
        <v>3899</v>
      </c>
      <c r="CX1484" s="4" t="s">
        <v>3914</v>
      </c>
      <c r="CY1484" s="6">
        <f>0</f>
        <v>0</v>
      </c>
      <c r="CZ1484" s="6">
        <f>8608032</f>
        <v>8608032</v>
      </c>
      <c r="DA1484" s="6">
        <f>7084413</f>
        <v>7084413</v>
      </c>
      <c r="DC1484" s="4" t="s">
        <v>241</v>
      </c>
      <c r="DD1484" s="4" t="s">
        <v>241</v>
      </c>
      <c r="DF1484" s="4" t="s">
        <v>241</v>
      </c>
      <c r="DG1484" s="6">
        <f>0</f>
        <v>0</v>
      </c>
      <c r="DI1484" s="4" t="s">
        <v>241</v>
      </c>
      <c r="DJ1484" s="4" t="s">
        <v>241</v>
      </c>
      <c r="DK1484" s="4" t="s">
        <v>241</v>
      </c>
      <c r="DL1484" s="4" t="s">
        <v>241</v>
      </c>
      <c r="DM1484" s="4" t="s">
        <v>323</v>
      </c>
      <c r="DN1484" s="4" t="s">
        <v>278</v>
      </c>
      <c r="DO1484" s="6">
        <f>388.8</f>
        <v>388.8</v>
      </c>
      <c r="DP1484" s="4" t="s">
        <v>241</v>
      </c>
      <c r="DQ1484" s="4" t="s">
        <v>241</v>
      </c>
      <c r="DR1484" s="4" t="s">
        <v>241</v>
      </c>
      <c r="DS1484" s="4" t="s">
        <v>241</v>
      </c>
      <c r="DV1484" s="4" t="s">
        <v>3901</v>
      </c>
      <c r="DW1484" s="4" t="s">
        <v>335</v>
      </c>
      <c r="GN1484" s="4" t="s">
        <v>3915</v>
      </c>
      <c r="HO1484" s="4" t="s">
        <v>336</v>
      </c>
      <c r="HR1484" s="4" t="s">
        <v>278</v>
      </c>
      <c r="HS1484" s="4" t="s">
        <v>278</v>
      </c>
      <c r="HT1484" s="4" t="s">
        <v>241</v>
      </c>
      <c r="HU1484" s="4" t="s">
        <v>241</v>
      </c>
      <c r="HV1484" s="4" t="s">
        <v>241</v>
      </c>
      <c r="HW1484" s="4" t="s">
        <v>241</v>
      </c>
      <c r="HX1484" s="4" t="s">
        <v>241</v>
      </c>
      <c r="HY1484" s="4" t="s">
        <v>241</v>
      </c>
      <c r="HZ1484" s="4" t="s">
        <v>241</v>
      </c>
      <c r="IA1484" s="4" t="s">
        <v>241</v>
      </c>
      <c r="IB1484" s="4" t="s">
        <v>241</v>
      </c>
      <c r="IC1484" s="4" t="s">
        <v>241</v>
      </c>
      <c r="ID1484" s="4" t="s">
        <v>241</v>
      </c>
      <c r="IE1484" s="4" t="s">
        <v>241</v>
      </c>
      <c r="IF1484" s="4" t="s">
        <v>241</v>
      </c>
    </row>
    <row r="1485" spans="1:240" x14ac:dyDescent="0.4">
      <c r="A1485" s="4">
        <v>2</v>
      </c>
      <c r="B1485" s="4" t="s">
        <v>239</v>
      </c>
      <c r="C1485" s="4">
        <v>1823</v>
      </c>
      <c r="D1485" s="4">
        <v>1</v>
      </c>
      <c r="E1485" s="4">
        <v>3</v>
      </c>
      <c r="F1485" s="4" t="s">
        <v>240</v>
      </c>
      <c r="G1485" s="4" t="s">
        <v>241</v>
      </c>
      <c r="H1485" s="4" t="s">
        <v>241</v>
      </c>
      <c r="I1485" s="4" t="s">
        <v>3896</v>
      </c>
      <c r="J1485" s="4" t="s">
        <v>673</v>
      </c>
      <c r="K1485" s="4" t="s">
        <v>578</v>
      </c>
      <c r="L1485" s="4" t="s">
        <v>3920</v>
      </c>
      <c r="M1485" s="5" t="s">
        <v>3898</v>
      </c>
      <c r="N1485" s="4" t="s">
        <v>3919</v>
      </c>
      <c r="O1485" s="6">
        <f>7.76</f>
        <v>7.76</v>
      </c>
      <c r="P1485" s="4" t="s">
        <v>276</v>
      </c>
      <c r="Q1485" s="6">
        <f>171681</f>
        <v>171681</v>
      </c>
      <c r="R1485" s="6">
        <f>233576</f>
        <v>233576</v>
      </c>
      <c r="S1485" s="5" t="s">
        <v>3897</v>
      </c>
      <c r="T1485" s="4" t="s">
        <v>379</v>
      </c>
      <c r="U1485" s="4" t="s">
        <v>336</v>
      </c>
      <c r="V1485" s="6">
        <f>12379</f>
        <v>12379</v>
      </c>
      <c r="W1485" s="6">
        <f>61895</f>
        <v>61895</v>
      </c>
      <c r="X1485" s="4" t="s">
        <v>243</v>
      </c>
      <c r="Y1485" s="4" t="s">
        <v>244</v>
      </c>
      <c r="Z1485" s="4" t="s">
        <v>282</v>
      </c>
      <c r="AA1485" s="4" t="s">
        <v>241</v>
      </c>
      <c r="AD1485" s="4" t="s">
        <v>241</v>
      </c>
      <c r="AE1485" s="5" t="s">
        <v>241</v>
      </c>
      <c r="AF1485" s="5" t="s">
        <v>241</v>
      </c>
      <c r="AH1485" s="5" t="s">
        <v>241</v>
      </c>
      <c r="AI1485" s="5" t="s">
        <v>249</v>
      </c>
      <c r="AJ1485" s="4" t="s">
        <v>251</v>
      </c>
      <c r="AK1485" s="4" t="s">
        <v>252</v>
      </c>
      <c r="AQ1485" s="4" t="s">
        <v>241</v>
      </c>
      <c r="AR1485" s="4" t="s">
        <v>241</v>
      </c>
      <c r="AS1485" s="4" t="s">
        <v>241</v>
      </c>
      <c r="AT1485" s="5" t="s">
        <v>241</v>
      </c>
      <c r="AU1485" s="5" t="s">
        <v>241</v>
      </c>
      <c r="AV1485" s="5" t="s">
        <v>241</v>
      </c>
      <c r="AY1485" s="4" t="s">
        <v>286</v>
      </c>
      <c r="AZ1485" s="4" t="s">
        <v>286</v>
      </c>
      <c r="BA1485" s="4" t="s">
        <v>254</v>
      </c>
      <c r="BB1485" s="4" t="s">
        <v>287</v>
      </c>
      <c r="BC1485" s="4" t="s">
        <v>255</v>
      </c>
      <c r="BD1485" s="4" t="s">
        <v>241</v>
      </c>
      <c r="BE1485" s="4" t="s">
        <v>257</v>
      </c>
      <c r="BF1485" s="4" t="s">
        <v>241</v>
      </c>
      <c r="BJ1485" s="4" t="s">
        <v>288</v>
      </c>
      <c r="BK1485" s="5" t="s">
        <v>289</v>
      </c>
      <c r="BL1485" s="4" t="s">
        <v>290</v>
      </c>
      <c r="BM1485" s="4" t="s">
        <v>290</v>
      </c>
      <c r="BN1485" s="4" t="s">
        <v>241</v>
      </c>
      <c r="BO1485" s="6">
        <f>0</f>
        <v>0</v>
      </c>
      <c r="BP1485" s="6">
        <f>-12379</f>
        <v>-12379</v>
      </c>
      <c r="BQ1485" s="4" t="s">
        <v>263</v>
      </c>
      <c r="BR1485" s="4" t="s">
        <v>264</v>
      </c>
      <c r="BS1485" s="4" t="s">
        <v>241</v>
      </c>
      <c r="BT1485" s="4" t="s">
        <v>241</v>
      </c>
      <c r="BU1485" s="4" t="s">
        <v>241</v>
      </c>
      <c r="BV1485" s="4" t="s">
        <v>241</v>
      </c>
      <c r="CE1485" s="4" t="s">
        <v>264</v>
      </c>
      <c r="CF1485" s="4" t="s">
        <v>241</v>
      </c>
      <c r="CG1485" s="4" t="s">
        <v>241</v>
      </c>
      <c r="CK1485" s="4" t="s">
        <v>265</v>
      </c>
      <c r="CL1485" s="4" t="s">
        <v>266</v>
      </c>
      <c r="CM1485" s="4" t="s">
        <v>241</v>
      </c>
      <c r="CO1485" s="4" t="s">
        <v>593</v>
      </c>
      <c r="CP1485" s="5" t="s">
        <v>268</v>
      </c>
      <c r="CQ1485" s="4" t="s">
        <v>269</v>
      </c>
      <c r="CR1485" s="4" t="s">
        <v>270</v>
      </c>
      <c r="CS1485" s="4" t="s">
        <v>293</v>
      </c>
      <c r="CT1485" s="4" t="s">
        <v>241</v>
      </c>
      <c r="CU1485" s="4">
        <v>5.2999999999999999E-2</v>
      </c>
      <c r="CV1485" s="4" t="s">
        <v>271</v>
      </c>
      <c r="CW1485" s="4" t="s">
        <v>3899</v>
      </c>
      <c r="CX1485" s="4" t="s">
        <v>3903</v>
      </c>
      <c r="CY1485" s="6">
        <f>0</f>
        <v>0</v>
      </c>
      <c r="CZ1485" s="6">
        <f>233576</f>
        <v>233576</v>
      </c>
      <c r="DA1485" s="6">
        <f>171681</f>
        <v>171681</v>
      </c>
      <c r="DC1485" s="4" t="s">
        <v>241</v>
      </c>
      <c r="DD1485" s="4" t="s">
        <v>241</v>
      </c>
      <c r="DF1485" s="4" t="s">
        <v>241</v>
      </c>
      <c r="DG1485" s="6">
        <f>0</f>
        <v>0</v>
      </c>
      <c r="DI1485" s="4" t="s">
        <v>241</v>
      </c>
      <c r="DJ1485" s="4" t="s">
        <v>241</v>
      </c>
      <c r="DK1485" s="4" t="s">
        <v>241</v>
      </c>
      <c r="DL1485" s="4" t="s">
        <v>241</v>
      </c>
      <c r="DM1485" s="4" t="s">
        <v>277</v>
      </c>
      <c r="DN1485" s="4" t="s">
        <v>278</v>
      </c>
      <c r="DO1485" s="6">
        <f>7.76</f>
        <v>7.76</v>
      </c>
      <c r="DP1485" s="4" t="s">
        <v>241</v>
      </c>
      <c r="DQ1485" s="4" t="s">
        <v>241</v>
      </c>
      <c r="DR1485" s="4" t="s">
        <v>241</v>
      </c>
      <c r="DS1485" s="4" t="s">
        <v>241</v>
      </c>
      <c r="DV1485" s="4" t="s">
        <v>3901</v>
      </c>
      <c r="DW1485" s="4" t="s">
        <v>361</v>
      </c>
      <c r="GN1485" s="4" t="s">
        <v>3921</v>
      </c>
      <c r="HO1485" s="4" t="s">
        <v>336</v>
      </c>
      <c r="HR1485" s="4" t="s">
        <v>278</v>
      </c>
      <c r="HS1485" s="4" t="s">
        <v>278</v>
      </c>
      <c r="HT1485" s="4" t="s">
        <v>241</v>
      </c>
      <c r="HU1485" s="4" t="s">
        <v>241</v>
      </c>
      <c r="HV1485" s="4" t="s">
        <v>241</v>
      </c>
      <c r="HW1485" s="4" t="s">
        <v>241</v>
      </c>
      <c r="HX1485" s="4" t="s">
        <v>241</v>
      </c>
      <c r="HY1485" s="4" t="s">
        <v>241</v>
      </c>
      <c r="HZ1485" s="4" t="s">
        <v>241</v>
      </c>
      <c r="IA1485" s="4" t="s">
        <v>241</v>
      </c>
      <c r="IB1485" s="4" t="s">
        <v>241</v>
      </c>
      <c r="IC1485" s="4" t="s">
        <v>241</v>
      </c>
      <c r="ID1485" s="4" t="s">
        <v>241</v>
      </c>
      <c r="IE1485" s="4" t="s">
        <v>241</v>
      </c>
      <c r="IF1485" s="4" t="s">
        <v>241</v>
      </c>
    </row>
    <row r="1486" spans="1:240" x14ac:dyDescent="0.4">
      <c r="A1486" s="4">
        <v>2</v>
      </c>
      <c r="B1486" s="4" t="s">
        <v>239</v>
      </c>
      <c r="C1486" s="4">
        <v>1824</v>
      </c>
      <c r="D1486" s="4">
        <v>1</v>
      </c>
      <c r="E1486" s="4">
        <v>3</v>
      </c>
      <c r="F1486" s="4" t="s">
        <v>240</v>
      </c>
      <c r="G1486" s="4" t="s">
        <v>241</v>
      </c>
      <c r="H1486" s="4" t="s">
        <v>241</v>
      </c>
      <c r="I1486" s="4" t="s">
        <v>3896</v>
      </c>
      <c r="J1486" s="4" t="s">
        <v>673</v>
      </c>
      <c r="K1486" s="4" t="s">
        <v>578</v>
      </c>
      <c r="L1486" s="4" t="s">
        <v>3902</v>
      </c>
      <c r="M1486" s="5" t="s">
        <v>3898</v>
      </c>
      <c r="N1486" s="4" t="s">
        <v>429</v>
      </c>
      <c r="O1486" s="6">
        <f>12.53</f>
        <v>12.53</v>
      </c>
      <c r="P1486" s="4" t="s">
        <v>276</v>
      </c>
      <c r="Q1486" s="6">
        <f>317186</f>
        <v>317186</v>
      </c>
      <c r="R1486" s="6">
        <f>377153</f>
        <v>377153</v>
      </c>
      <c r="S1486" s="5" t="s">
        <v>413</v>
      </c>
      <c r="T1486" s="4" t="s">
        <v>379</v>
      </c>
      <c r="U1486" s="4" t="s">
        <v>323</v>
      </c>
      <c r="V1486" s="6">
        <f>19989</f>
        <v>19989</v>
      </c>
      <c r="W1486" s="6">
        <f>59967</f>
        <v>59967</v>
      </c>
      <c r="X1486" s="4" t="s">
        <v>243</v>
      </c>
      <c r="Y1486" s="4" t="s">
        <v>244</v>
      </c>
      <c r="Z1486" s="4" t="s">
        <v>282</v>
      </c>
      <c r="AA1486" s="4" t="s">
        <v>241</v>
      </c>
      <c r="AD1486" s="4" t="s">
        <v>241</v>
      </c>
      <c r="AE1486" s="5" t="s">
        <v>241</v>
      </c>
      <c r="AF1486" s="5" t="s">
        <v>241</v>
      </c>
      <c r="AH1486" s="5" t="s">
        <v>241</v>
      </c>
      <c r="AI1486" s="5" t="s">
        <v>249</v>
      </c>
      <c r="AJ1486" s="4" t="s">
        <v>251</v>
      </c>
      <c r="AK1486" s="4" t="s">
        <v>252</v>
      </c>
      <c r="AQ1486" s="4" t="s">
        <v>241</v>
      </c>
      <c r="AR1486" s="4" t="s">
        <v>241</v>
      </c>
      <c r="AS1486" s="4" t="s">
        <v>241</v>
      </c>
      <c r="AT1486" s="5" t="s">
        <v>241</v>
      </c>
      <c r="AU1486" s="5" t="s">
        <v>241</v>
      </c>
      <c r="AV1486" s="5" t="s">
        <v>241</v>
      </c>
      <c r="AY1486" s="4" t="s">
        <v>286</v>
      </c>
      <c r="AZ1486" s="4" t="s">
        <v>286</v>
      </c>
      <c r="BA1486" s="4" t="s">
        <v>254</v>
      </c>
      <c r="BB1486" s="4" t="s">
        <v>287</v>
      </c>
      <c r="BC1486" s="4" t="s">
        <v>255</v>
      </c>
      <c r="BD1486" s="4" t="s">
        <v>241</v>
      </c>
      <c r="BE1486" s="4" t="s">
        <v>257</v>
      </c>
      <c r="BF1486" s="4" t="s">
        <v>241</v>
      </c>
      <c r="BJ1486" s="4" t="s">
        <v>288</v>
      </c>
      <c r="BK1486" s="5" t="s">
        <v>289</v>
      </c>
      <c r="BL1486" s="4" t="s">
        <v>290</v>
      </c>
      <c r="BM1486" s="4" t="s">
        <v>290</v>
      </c>
      <c r="BN1486" s="4" t="s">
        <v>241</v>
      </c>
      <c r="BO1486" s="6">
        <f>0</f>
        <v>0</v>
      </c>
      <c r="BP1486" s="6">
        <f>-19989</f>
        <v>-19989</v>
      </c>
      <c r="BQ1486" s="4" t="s">
        <v>263</v>
      </c>
      <c r="BR1486" s="4" t="s">
        <v>264</v>
      </c>
      <c r="BS1486" s="4" t="s">
        <v>241</v>
      </c>
      <c r="BT1486" s="4" t="s">
        <v>241</v>
      </c>
      <c r="BU1486" s="4" t="s">
        <v>241</v>
      </c>
      <c r="BV1486" s="4" t="s">
        <v>241</v>
      </c>
      <c r="CE1486" s="4" t="s">
        <v>264</v>
      </c>
      <c r="CF1486" s="4" t="s">
        <v>241</v>
      </c>
      <c r="CG1486" s="4" t="s">
        <v>241</v>
      </c>
      <c r="CK1486" s="4" t="s">
        <v>265</v>
      </c>
      <c r="CL1486" s="4" t="s">
        <v>266</v>
      </c>
      <c r="CM1486" s="4" t="s">
        <v>241</v>
      </c>
      <c r="CO1486" s="4" t="s">
        <v>421</v>
      </c>
      <c r="CP1486" s="5" t="s">
        <v>268</v>
      </c>
      <c r="CQ1486" s="4" t="s">
        <v>269</v>
      </c>
      <c r="CR1486" s="4" t="s">
        <v>270</v>
      </c>
      <c r="CS1486" s="4" t="s">
        <v>293</v>
      </c>
      <c r="CT1486" s="4" t="s">
        <v>241</v>
      </c>
      <c r="CU1486" s="4">
        <v>5.2999999999999999E-2</v>
      </c>
      <c r="CV1486" s="4" t="s">
        <v>271</v>
      </c>
      <c r="CW1486" s="4" t="s">
        <v>3899</v>
      </c>
      <c r="CX1486" s="4" t="s">
        <v>3903</v>
      </c>
      <c r="CY1486" s="6">
        <f>0</f>
        <v>0</v>
      </c>
      <c r="CZ1486" s="6">
        <f>377153</f>
        <v>377153</v>
      </c>
      <c r="DA1486" s="6">
        <f>317186</f>
        <v>317186</v>
      </c>
      <c r="DC1486" s="4" t="s">
        <v>241</v>
      </c>
      <c r="DD1486" s="4" t="s">
        <v>241</v>
      </c>
      <c r="DF1486" s="4" t="s">
        <v>241</v>
      </c>
      <c r="DG1486" s="6">
        <f>0</f>
        <v>0</v>
      </c>
      <c r="DI1486" s="4" t="s">
        <v>241</v>
      </c>
      <c r="DJ1486" s="4" t="s">
        <v>241</v>
      </c>
      <c r="DK1486" s="4" t="s">
        <v>241</v>
      </c>
      <c r="DL1486" s="4" t="s">
        <v>241</v>
      </c>
      <c r="DM1486" s="4" t="s">
        <v>277</v>
      </c>
      <c r="DN1486" s="4" t="s">
        <v>278</v>
      </c>
      <c r="DO1486" s="6">
        <f>12.53</f>
        <v>12.53</v>
      </c>
      <c r="DP1486" s="4" t="s">
        <v>241</v>
      </c>
      <c r="DQ1486" s="4" t="s">
        <v>241</v>
      </c>
      <c r="DR1486" s="4" t="s">
        <v>241</v>
      </c>
      <c r="DS1486" s="4" t="s">
        <v>241</v>
      </c>
      <c r="DV1486" s="4" t="s">
        <v>3901</v>
      </c>
      <c r="DW1486" s="4" t="s">
        <v>314</v>
      </c>
      <c r="GN1486" s="4" t="s">
        <v>3904</v>
      </c>
      <c r="HO1486" s="4" t="s">
        <v>336</v>
      </c>
      <c r="HR1486" s="4" t="s">
        <v>278</v>
      </c>
      <c r="HS1486" s="4" t="s">
        <v>278</v>
      </c>
      <c r="HT1486" s="4" t="s">
        <v>241</v>
      </c>
      <c r="HU1486" s="4" t="s">
        <v>241</v>
      </c>
      <c r="HV1486" s="4" t="s">
        <v>241</v>
      </c>
      <c r="HW1486" s="4" t="s">
        <v>241</v>
      </c>
      <c r="HX1486" s="4" t="s">
        <v>241</v>
      </c>
      <c r="HY1486" s="4" t="s">
        <v>241</v>
      </c>
      <c r="HZ1486" s="4" t="s">
        <v>241</v>
      </c>
      <c r="IA1486" s="4" t="s">
        <v>241</v>
      </c>
      <c r="IB1486" s="4" t="s">
        <v>241</v>
      </c>
      <c r="IC1486" s="4" t="s">
        <v>241</v>
      </c>
      <c r="ID1486" s="4" t="s">
        <v>241</v>
      </c>
      <c r="IE1486" s="4" t="s">
        <v>241</v>
      </c>
      <c r="IF1486" s="4" t="s">
        <v>241</v>
      </c>
    </row>
    <row r="1487" spans="1:240" x14ac:dyDescent="0.4">
      <c r="A1487" s="4">
        <v>2</v>
      </c>
      <c r="B1487" s="4" t="s">
        <v>239</v>
      </c>
      <c r="C1487" s="4">
        <v>1825</v>
      </c>
      <c r="D1487" s="4">
        <v>1</v>
      </c>
      <c r="E1487" s="4">
        <v>3</v>
      </c>
      <c r="F1487" s="4" t="s">
        <v>326</v>
      </c>
      <c r="G1487" s="4" t="s">
        <v>241</v>
      </c>
      <c r="H1487" s="4" t="s">
        <v>241</v>
      </c>
      <c r="I1487" s="4" t="s">
        <v>3896</v>
      </c>
      <c r="J1487" s="4" t="s">
        <v>673</v>
      </c>
      <c r="K1487" s="4" t="s">
        <v>578</v>
      </c>
      <c r="L1487" s="4" t="s">
        <v>3909</v>
      </c>
      <c r="M1487" s="5" t="s">
        <v>3898</v>
      </c>
      <c r="N1487" s="4" t="s">
        <v>3908</v>
      </c>
      <c r="O1487" s="6">
        <f>142.44</f>
        <v>142.44</v>
      </c>
      <c r="P1487" s="4" t="s">
        <v>276</v>
      </c>
      <c r="Q1487" s="6">
        <f>2585315</f>
        <v>2585315</v>
      </c>
      <c r="R1487" s="6">
        <f>3187811</f>
        <v>3187811</v>
      </c>
      <c r="S1487" s="5" t="s">
        <v>413</v>
      </c>
      <c r="T1487" s="4" t="s">
        <v>371</v>
      </c>
      <c r="U1487" s="4" t="s">
        <v>323</v>
      </c>
      <c r="V1487" s="6">
        <f>200832</f>
        <v>200832</v>
      </c>
      <c r="W1487" s="6">
        <f>602496</f>
        <v>602496</v>
      </c>
      <c r="X1487" s="4" t="s">
        <v>243</v>
      </c>
      <c r="Y1487" s="4" t="s">
        <v>244</v>
      </c>
      <c r="Z1487" s="4" t="s">
        <v>282</v>
      </c>
      <c r="AA1487" s="4" t="s">
        <v>241</v>
      </c>
      <c r="AD1487" s="4" t="s">
        <v>241</v>
      </c>
      <c r="AE1487" s="5" t="s">
        <v>241</v>
      </c>
      <c r="AF1487" s="5" t="s">
        <v>241</v>
      </c>
      <c r="AH1487" s="5" t="s">
        <v>241</v>
      </c>
      <c r="AI1487" s="5" t="s">
        <v>249</v>
      </c>
      <c r="AJ1487" s="4" t="s">
        <v>251</v>
      </c>
      <c r="AK1487" s="4" t="s">
        <v>252</v>
      </c>
      <c r="AQ1487" s="4" t="s">
        <v>241</v>
      </c>
      <c r="AR1487" s="4" t="s">
        <v>241</v>
      </c>
      <c r="AS1487" s="4" t="s">
        <v>241</v>
      </c>
      <c r="AT1487" s="5" t="s">
        <v>241</v>
      </c>
      <c r="AU1487" s="5" t="s">
        <v>241</v>
      </c>
      <c r="AV1487" s="5" t="s">
        <v>241</v>
      </c>
      <c r="AY1487" s="4" t="s">
        <v>286</v>
      </c>
      <c r="AZ1487" s="4" t="s">
        <v>286</v>
      </c>
      <c r="BA1487" s="4" t="s">
        <v>254</v>
      </c>
      <c r="BB1487" s="4" t="s">
        <v>287</v>
      </c>
      <c r="BC1487" s="4" t="s">
        <v>255</v>
      </c>
      <c r="BD1487" s="4" t="s">
        <v>241</v>
      </c>
      <c r="BE1487" s="4" t="s">
        <v>257</v>
      </c>
      <c r="BF1487" s="4" t="s">
        <v>241</v>
      </c>
      <c r="BJ1487" s="4" t="s">
        <v>288</v>
      </c>
      <c r="BK1487" s="5" t="s">
        <v>289</v>
      </c>
      <c r="BL1487" s="4" t="s">
        <v>290</v>
      </c>
      <c r="BM1487" s="4" t="s">
        <v>290</v>
      </c>
      <c r="BN1487" s="4" t="s">
        <v>241</v>
      </c>
      <c r="BO1487" s="6">
        <f>0</f>
        <v>0</v>
      </c>
      <c r="BP1487" s="6">
        <f>-200832</f>
        <v>-200832</v>
      </c>
      <c r="BQ1487" s="4" t="s">
        <v>263</v>
      </c>
      <c r="BR1487" s="4" t="s">
        <v>264</v>
      </c>
      <c r="BS1487" s="4" t="s">
        <v>241</v>
      </c>
      <c r="BT1487" s="4" t="s">
        <v>241</v>
      </c>
      <c r="BU1487" s="4" t="s">
        <v>241</v>
      </c>
      <c r="BV1487" s="4" t="s">
        <v>241</v>
      </c>
      <c r="CE1487" s="4" t="s">
        <v>264</v>
      </c>
      <c r="CF1487" s="4" t="s">
        <v>241</v>
      </c>
      <c r="CG1487" s="4" t="s">
        <v>241</v>
      </c>
      <c r="CK1487" s="4" t="s">
        <v>265</v>
      </c>
      <c r="CL1487" s="4" t="s">
        <v>266</v>
      </c>
      <c r="CM1487" s="4" t="s">
        <v>241</v>
      </c>
      <c r="CO1487" s="4" t="s">
        <v>421</v>
      </c>
      <c r="CP1487" s="5" t="s">
        <v>268</v>
      </c>
      <c r="CQ1487" s="4" t="s">
        <v>269</v>
      </c>
      <c r="CR1487" s="4" t="s">
        <v>270</v>
      </c>
      <c r="CS1487" s="4" t="s">
        <v>293</v>
      </c>
      <c r="CT1487" s="4" t="s">
        <v>241</v>
      </c>
      <c r="CU1487" s="4">
        <v>6.3E-2</v>
      </c>
      <c r="CV1487" s="4" t="s">
        <v>271</v>
      </c>
      <c r="CW1487" s="4" t="s">
        <v>3899</v>
      </c>
      <c r="CX1487" s="4" t="s">
        <v>3910</v>
      </c>
      <c r="CY1487" s="6">
        <f>0</f>
        <v>0</v>
      </c>
      <c r="CZ1487" s="6">
        <f>3187811</f>
        <v>3187811</v>
      </c>
      <c r="DA1487" s="6">
        <f>2585315</f>
        <v>2585315</v>
      </c>
      <c r="DC1487" s="4" t="s">
        <v>241</v>
      </c>
      <c r="DD1487" s="4" t="s">
        <v>241</v>
      </c>
      <c r="DF1487" s="4" t="s">
        <v>241</v>
      </c>
      <c r="DG1487" s="6">
        <f>0</f>
        <v>0</v>
      </c>
      <c r="DI1487" s="4" t="s">
        <v>241</v>
      </c>
      <c r="DJ1487" s="4" t="s">
        <v>241</v>
      </c>
      <c r="DK1487" s="4" t="s">
        <v>241</v>
      </c>
      <c r="DL1487" s="4" t="s">
        <v>241</v>
      </c>
      <c r="DM1487" s="4" t="s">
        <v>277</v>
      </c>
      <c r="DN1487" s="4" t="s">
        <v>278</v>
      </c>
      <c r="DO1487" s="6">
        <f>142.44</f>
        <v>142.44</v>
      </c>
      <c r="DP1487" s="4" t="s">
        <v>241</v>
      </c>
      <c r="DQ1487" s="4" t="s">
        <v>241</v>
      </c>
      <c r="DR1487" s="4" t="s">
        <v>241</v>
      </c>
      <c r="DS1487" s="4" t="s">
        <v>241</v>
      </c>
      <c r="DV1487" s="4" t="s">
        <v>3901</v>
      </c>
      <c r="DW1487" s="4" t="s">
        <v>453</v>
      </c>
      <c r="GN1487" s="4" t="s">
        <v>3911</v>
      </c>
      <c r="HO1487" s="4" t="s">
        <v>336</v>
      </c>
      <c r="HR1487" s="4" t="s">
        <v>278</v>
      </c>
      <c r="HS1487" s="4" t="s">
        <v>278</v>
      </c>
      <c r="HT1487" s="4" t="s">
        <v>241</v>
      </c>
      <c r="HU1487" s="4" t="s">
        <v>241</v>
      </c>
      <c r="HV1487" s="4" t="s">
        <v>241</v>
      </c>
      <c r="HW1487" s="4" t="s">
        <v>241</v>
      </c>
      <c r="HX1487" s="4" t="s">
        <v>241</v>
      </c>
      <c r="HY1487" s="4" t="s">
        <v>241</v>
      </c>
      <c r="HZ1487" s="4" t="s">
        <v>241</v>
      </c>
      <c r="IA1487" s="4" t="s">
        <v>241</v>
      </c>
      <c r="IB1487" s="4" t="s">
        <v>241</v>
      </c>
      <c r="IC1487" s="4" t="s">
        <v>241</v>
      </c>
      <c r="ID1487" s="4" t="s">
        <v>241</v>
      </c>
      <c r="IE1487" s="4" t="s">
        <v>241</v>
      </c>
      <c r="IF1487" s="4" t="s">
        <v>241</v>
      </c>
    </row>
    <row r="1488" spans="1:240" x14ac:dyDescent="0.4">
      <c r="A1488" s="4">
        <v>2</v>
      </c>
      <c r="B1488" s="4" t="s">
        <v>239</v>
      </c>
      <c r="C1488" s="4">
        <v>1826</v>
      </c>
      <c r="D1488" s="4">
        <v>1</v>
      </c>
      <c r="E1488" s="4">
        <v>3</v>
      </c>
      <c r="F1488" s="4" t="s">
        <v>240</v>
      </c>
      <c r="G1488" s="4" t="s">
        <v>241</v>
      </c>
      <c r="H1488" s="4" t="s">
        <v>241</v>
      </c>
      <c r="I1488" s="4" t="s">
        <v>3896</v>
      </c>
      <c r="J1488" s="4" t="s">
        <v>673</v>
      </c>
      <c r="K1488" s="4" t="s">
        <v>578</v>
      </c>
      <c r="L1488" s="4" t="s">
        <v>3906</v>
      </c>
      <c r="M1488" s="5" t="s">
        <v>3898</v>
      </c>
      <c r="N1488" s="4" t="s">
        <v>340</v>
      </c>
      <c r="O1488" s="6">
        <f>17.05</f>
        <v>17.05</v>
      </c>
      <c r="P1488" s="4" t="s">
        <v>276</v>
      </c>
      <c r="Q1488" s="6">
        <f>493265</f>
        <v>493265</v>
      </c>
      <c r="R1488" s="6">
        <f>586520</f>
        <v>586520</v>
      </c>
      <c r="S1488" s="5" t="s">
        <v>413</v>
      </c>
      <c r="T1488" s="4" t="s">
        <v>379</v>
      </c>
      <c r="U1488" s="4" t="s">
        <v>323</v>
      </c>
      <c r="V1488" s="6">
        <f>31085</f>
        <v>31085</v>
      </c>
      <c r="W1488" s="6">
        <f>93255</f>
        <v>93255</v>
      </c>
      <c r="X1488" s="4" t="s">
        <v>243</v>
      </c>
      <c r="Y1488" s="4" t="s">
        <v>244</v>
      </c>
      <c r="Z1488" s="4" t="s">
        <v>282</v>
      </c>
      <c r="AA1488" s="4" t="s">
        <v>241</v>
      </c>
      <c r="AD1488" s="4" t="s">
        <v>241</v>
      </c>
      <c r="AE1488" s="5" t="s">
        <v>241</v>
      </c>
      <c r="AF1488" s="5" t="s">
        <v>241</v>
      </c>
      <c r="AH1488" s="5" t="s">
        <v>241</v>
      </c>
      <c r="AI1488" s="5" t="s">
        <v>249</v>
      </c>
      <c r="AJ1488" s="4" t="s">
        <v>251</v>
      </c>
      <c r="AK1488" s="4" t="s">
        <v>252</v>
      </c>
      <c r="AQ1488" s="4" t="s">
        <v>241</v>
      </c>
      <c r="AR1488" s="4" t="s">
        <v>241</v>
      </c>
      <c r="AS1488" s="4" t="s">
        <v>241</v>
      </c>
      <c r="AT1488" s="5" t="s">
        <v>241</v>
      </c>
      <c r="AU1488" s="5" t="s">
        <v>241</v>
      </c>
      <c r="AV1488" s="5" t="s">
        <v>241</v>
      </c>
      <c r="AY1488" s="4" t="s">
        <v>286</v>
      </c>
      <c r="AZ1488" s="4" t="s">
        <v>286</v>
      </c>
      <c r="BA1488" s="4" t="s">
        <v>254</v>
      </c>
      <c r="BB1488" s="4" t="s">
        <v>287</v>
      </c>
      <c r="BC1488" s="4" t="s">
        <v>255</v>
      </c>
      <c r="BD1488" s="4" t="s">
        <v>241</v>
      </c>
      <c r="BE1488" s="4" t="s">
        <v>257</v>
      </c>
      <c r="BF1488" s="4" t="s">
        <v>241</v>
      </c>
      <c r="BJ1488" s="4" t="s">
        <v>288</v>
      </c>
      <c r="BK1488" s="5" t="s">
        <v>289</v>
      </c>
      <c r="BL1488" s="4" t="s">
        <v>290</v>
      </c>
      <c r="BM1488" s="4" t="s">
        <v>290</v>
      </c>
      <c r="BN1488" s="4" t="s">
        <v>241</v>
      </c>
      <c r="BO1488" s="6">
        <f>0</f>
        <v>0</v>
      </c>
      <c r="BP1488" s="6">
        <f>-31085</f>
        <v>-31085</v>
      </c>
      <c r="BQ1488" s="4" t="s">
        <v>263</v>
      </c>
      <c r="BR1488" s="4" t="s">
        <v>264</v>
      </c>
      <c r="BS1488" s="4" t="s">
        <v>241</v>
      </c>
      <c r="BT1488" s="4" t="s">
        <v>241</v>
      </c>
      <c r="BU1488" s="4" t="s">
        <v>241</v>
      </c>
      <c r="BV1488" s="4" t="s">
        <v>241</v>
      </c>
      <c r="CE1488" s="4" t="s">
        <v>264</v>
      </c>
      <c r="CF1488" s="4" t="s">
        <v>241</v>
      </c>
      <c r="CG1488" s="4" t="s">
        <v>241</v>
      </c>
      <c r="CK1488" s="4" t="s">
        <v>265</v>
      </c>
      <c r="CL1488" s="4" t="s">
        <v>266</v>
      </c>
      <c r="CM1488" s="4" t="s">
        <v>241</v>
      </c>
      <c r="CO1488" s="4" t="s">
        <v>421</v>
      </c>
      <c r="CP1488" s="5" t="s">
        <v>268</v>
      </c>
      <c r="CQ1488" s="4" t="s">
        <v>269</v>
      </c>
      <c r="CR1488" s="4" t="s">
        <v>270</v>
      </c>
      <c r="CS1488" s="4" t="s">
        <v>293</v>
      </c>
      <c r="CT1488" s="4" t="s">
        <v>241</v>
      </c>
      <c r="CU1488" s="4">
        <v>5.2999999999999999E-2</v>
      </c>
      <c r="CV1488" s="4" t="s">
        <v>271</v>
      </c>
      <c r="CW1488" s="4" t="s">
        <v>3899</v>
      </c>
      <c r="CX1488" s="4" t="s">
        <v>3903</v>
      </c>
      <c r="CY1488" s="6">
        <f>0</f>
        <v>0</v>
      </c>
      <c r="CZ1488" s="6">
        <f>586520</f>
        <v>586520</v>
      </c>
      <c r="DA1488" s="6">
        <f>493265</f>
        <v>493265</v>
      </c>
      <c r="DC1488" s="4" t="s">
        <v>241</v>
      </c>
      <c r="DD1488" s="4" t="s">
        <v>241</v>
      </c>
      <c r="DF1488" s="4" t="s">
        <v>241</v>
      </c>
      <c r="DG1488" s="6">
        <f>0</f>
        <v>0</v>
      </c>
      <c r="DI1488" s="4" t="s">
        <v>241</v>
      </c>
      <c r="DJ1488" s="4" t="s">
        <v>241</v>
      </c>
      <c r="DK1488" s="4" t="s">
        <v>241</v>
      </c>
      <c r="DL1488" s="4" t="s">
        <v>241</v>
      </c>
      <c r="DM1488" s="4" t="s">
        <v>277</v>
      </c>
      <c r="DN1488" s="4" t="s">
        <v>278</v>
      </c>
      <c r="DO1488" s="6">
        <f>17.05</f>
        <v>17.05</v>
      </c>
      <c r="DP1488" s="4" t="s">
        <v>241</v>
      </c>
      <c r="DQ1488" s="4" t="s">
        <v>241</v>
      </c>
      <c r="DR1488" s="4" t="s">
        <v>241</v>
      </c>
      <c r="DS1488" s="4" t="s">
        <v>241</v>
      </c>
      <c r="DV1488" s="4" t="s">
        <v>3901</v>
      </c>
      <c r="DW1488" s="4" t="s">
        <v>274</v>
      </c>
      <c r="GN1488" s="4" t="s">
        <v>3907</v>
      </c>
      <c r="HO1488" s="4" t="s">
        <v>336</v>
      </c>
      <c r="HR1488" s="4" t="s">
        <v>278</v>
      </c>
      <c r="HS1488" s="4" t="s">
        <v>278</v>
      </c>
      <c r="HT1488" s="4" t="s">
        <v>241</v>
      </c>
      <c r="HU1488" s="4" t="s">
        <v>241</v>
      </c>
      <c r="HV1488" s="4" t="s">
        <v>241</v>
      </c>
      <c r="HW1488" s="4" t="s">
        <v>241</v>
      </c>
      <c r="HX1488" s="4" t="s">
        <v>241</v>
      </c>
      <c r="HY1488" s="4" t="s">
        <v>241</v>
      </c>
      <c r="HZ1488" s="4" t="s">
        <v>241</v>
      </c>
      <c r="IA1488" s="4" t="s">
        <v>241</v>
      </c>
      <c r="IB1488" s="4" t="s">
        <v>241</v>
      </c>
      <c r="IC1488" s="4" t="s">
        <v>241</v>
      </c>
      <c r="ID1488" s="4" t="s">
        <v>241</v>
      </c>
      <c r="IE1488" s="4" t="s">
        <v>241</v>
      </c>
      <c r="IF1488" s="4" t="s">
        <v>241</v>
      </c>
    </row>
    <row r="1489" spans="1:240" x14ac:dyDescent="0.4">
      <c r="A1489" s="4">
        <v>2</v>
      </c>
      <c r="B1489" s="4" t="s">
        <v>239</v>
      </c>
      <c r="C1489" s="4">
        <v>1827</v>
      </c>
      <c r="D1489" s="4">
        <v>1</v>
      </c>
      <c r="E1489" s="4">
        <v>1</v>
      </c>
      <c r="F1489" s="4" t="s">
        <v>240</v>
      </c>
      <c r="G1489" s="4" t="s">
        <v>241</v>
      </c>
      <c r="H1489" s="4" t="s">
        <v>241</v>
      </c>
      <c r="I1489" s="4" t="s">
        <v>3429</v>
      </c>
      <c r="J1489" s="4" t="s">
        <v>673</v>
      </c>
      <c r="K1489" s="4" t="s">
        <v>578</v>
      </c>
      <c r="L1489" s="4" t="s">
        <v>440</v>
      </c>
      <c r="M1489" s="5" t="s">
        <v>3431</v>
      </c>
      <c r="N1489" s="4" t="s">
        <v>3428</v>
      </c>
      <c r="O1489" s="6">
        <f>104.33</f>
        <v>104.33</v>
      </c>
      <c r="P1489" s="4" t="s">
        <v>276</v>
      </c>
      <c r="Q1489" s="6">
        <f>1</f>
        <v>1</v>
      </c>
      <c r="R1489" s="6">
        <f>6259800</f>
        <v>6259800</v>
      </c>
      <c r="S1489" s="5" t="s">
        <v>3430</v>
      </c>
      <c r="T1489" s="4" t="s">
        <v>274</v>
      </c>
      <c r="U1489" s="4" t="s">
        <v>777</v>
      </c>
      <c r="W1489" s="6">
        <f>6259799</f>
        <v>6259799</v>
      </c>
      <c r="X1489" s="4" t="s">
        <v>243</v>
      </c>
      <c r="Y1489" s="4" t="s">
        <v>244</v>
      </c>
      <c r="Z1489" s="4" t="s">
        <v>282</v>
      </c>
      <c r="AA1489" s="4" t="s">
        <v>241</v>
      </c>
      <c r="AD1489" s="4" t="s">
        <v>241</v>
      </c>
      <c r="AF1489" s="5" t="s">
        <v>241</v>
      </c>
      <c r="AI1489" s="5" t="s">
        <v>249</v>
      </c>
      <c r="AJ1489" s="4" t="s">
        <v>251</v>
      </c>
      <c r="AK1489" s="4" t="s">
        <v>252</v>
      </c>
      <c r="BA1489" s="4" t="s">
        <v>254</v>
      </c>
      <c r="BB1489" s="4" t="s">
        <v>241</v>
      </c>
      <c r="BC1489" s="4" t="s">
        <v>255</v>
      </c>
      <c r="BD1489" s="4" t="s">
        <v>241</v>
      </c>
      <c r="BE1489" s="4" t="s">
        <v>257</v>
      </c>
      <c r="BF1489" s="4" t="s">
        <v>241</v>
      </c>
      <c r="BH1489" s="4" t="s">
        <v>579</v>
      </c>
      <c r="BJ1489" s="4" t="s">
        <v>374</v>
      </c>
      <c r="BK1489" s="5" t="s">
        <v>375</v>
      </c>
      <c r="BL1489" s="4" t="s">
        <v>261</v>
      </c>
      <c r="BM1489" s="4" t="s">
        <v>403</v>
      </c>
      <c r="BN1489" s="4" t="s">
        <v>241</v>
      </c>
      <c r="BO1489" s="6">
        <f>0</f>
        <v>0</v>
      </c>
      <c r="BP1489" s="6">
        <f>0</f>
        <v>0</v>
      </c>
      <c r="BQ1489" s="4" t="s">
        <v>263</v>
      </c>
      <c r="BR1489" s="4" t="s">
        <v>264</v>
      </c>
      <c r="CF1489" s="4" t="s">
        <v>241</v>
      </c>
      <c r="CG1489" s="4" t="s">
        <v>241</v>
      </c>
      <c r="CK1489" s="4" t="s">
        <v>265</v>
      </c>
      <c r="CL1489" s="4" t="s">
        <v>266</v>
      </c>
      <c r="CM1489" s="4" t="s">
        <v>241</v>
      </c>
      <c r="CO1489" s="4" t="s">
        <v>914</v>
      </c>
      <c r="CP1489" s="5" t="s">
        <v>268</v>
      </c>
      <c r="CQ1489" s="4" t="s">
        <v>269</v>
      </c>
      <c r="CR1489" s="4" t="s">
        <v>270</v>
      </c>
      <c r="CS1489" s="4" t="s">
        <v>241</v>
      </c>
      <c r="CT1489" s="4" t="s">
        <v>241</v>
      </c>
      <c r="CU1489" s="4">
        <v>0</v>
      </c>
      <c r="CV1489" s="4" t="s">
        <v>271</v>
      </c>
      <c r="CW1489" s="4" t="s">
        <v>272</v>
      </c>
      <c r="CX1489" s="4" t="s">
        <v>273</v>
      </c>
      <c r="CZ1489" s="6">
        <f>6259800</f>
        <v>6259800</v>
      </c>
      <c r="DA1489" s="6">
        <f>0</f>
        <v>0</v>
      </c>
      <c r="DC1489" s="4" t="s">
        <v>241</v>
      </c>
      <c r="DD1489" s="4" t="s">
        <v>241</v>
      </c>
      <c r="DF1489" s="4" t="s">
        <v>241</v>
      </c>
      <c r="DI1489" s="4" t="s">
        <v>241</v>
      </c>
      <c r="DJ1489" s="4" t="s">
        <v>241</v>
      </c>
      <c r="DK1489" s="4" t="s">
        <v>241</v>
      </c>
      <c r="DL1489" s="4" t="s">
        <v>241</v>
      </c>
      <c r="DM1489" s="4" t="s">
        <v>323</v>
      </c>
      <c r="DN1489" s="4" t="s">
        <v>278</v>
      </c>
      <c r="DO1489" s="6">
        <f>104.33</f>
        <v>104.33</v>
      </c>
      <c r="DP1489" s="4" t="s">
        <v>241</v>
      </c>
      <c r="DQ1489" s="4" t="s">
        <v>241</v>
      </c>
      <c r="DR1489" s="4" t="s">
        <v>241</v>
      </c>
      <c r="DS1489" s="4" t="s">
        <v>241</v>
      </c>
      <c r="DV1489" s="4" t="s">
        <v>3432</v>
      </c>
      <c r="DW1489" s="4" t="s">
        <v>277</v>
      </c>
      <c r="HO1489" s="4" t="s">
        <v>297</v>
      </c>
      <c r="HR1489" s="4" t="s">
        <v>278</v>
      </c>
      <c r="HS1489" s="4" t="s">
        <v>278</v>
      </c>
    </row>
    <row r="1490" spans="1:240" x14ac:dyDescent="0.4">
      <c r="A1490" s="4">
        <v>2</v>
      </c>
      <c r="B1490" s="4" t="s">
        <v>239</v>
      </c>
      <c r="C1490" s="4">
        <v>1828</v>
      </c>
      <c r="D1490" s="4">
        <v>1</v>
      </c>
      <c r="E1490" s="4">
        <v>3</v>
      </c>
      <c r="F1490" s="4" t="s">
        <v>240</v>
      </c>
      <c r="G1490" s="4" t="s">
        <v>241</v>
      </c>
      <c r="H1490" s="4" t="s">
        <v>241</v>
      </c>
      <c r="I1490" s="4" t="s">
        <v>1725</v>
      </c>
      <c r="J1490" s="4" t="s">
        <v>673</v>
      </c>
      <c r="K1490" s="4" t="s">
        <v>578</v>
      </c>
      <c r="L1490" s="4" t="s">
        <v>1666</v>
      </c>
      <c r="M1490" s="5" t="s">
        <v>1726</v>
      </c>
      <c r="N1490" s="4" t="s">
        <v>1666</v>
      </c>
      <c r="O1490" s="6">
        <f>627.99</f>
        <v>627.99</v>
      </c>
      <c r="P1490" s="4" t="s">
        <v>276</v>
      </c>
      <c r="Q1490" s="6">
        <f>25918103</f>
        <v>25918103</v>
      </c>
      <c r="R1490" s="6">
        <f>205699200</f>
        <v>205699200</v>
      </c>
      <c r="S1490" s="5" t="s">
        <v>815</v>
      </c>
      <c r="T1490" s="4" t="s">
        <v>314</v>
      </c>
      <c r="U1490" s="4" t="s">
        <v>365</v>
      </c>
      <c r="V1490" s="6">
        <f>9462163</f>
        <v>9462163</v>
      </c>
      <c r="W1490" s="6">
        <f>179781097</f>
        <v>179781097</v>
      </c>
      <c r="X1490" s="4" t="s">
        <v>243</v>
      </c>
      <c r="Y1490" s="4" t="s">
        <v>244</v>
      </c>
      <c r="Z1490" s="4" t="s">
        <v>874</v>
      </c>
      <c r="AA1490" s="4" t="s">
        <v>241</v>
      </c>
      <c r="AD1490" s="4" t="s">
        <v>241</v>
      </c>
      <c r="AE1490" s="5" t="s">
        <v>241</v>
      </c>
      <c r="AF1490" s="5" t="s">
        <v>241</v>
      </c>
      <c r="AH1490" s="5" t="s">
        <v>241</v>
      </c>
      <c r="AI1490" s="5" t="s">
        <v>249</v>
      </c>
      <c r="AJ1490" s="4" t="s">
        <v>251</v>
      </c>
      <c r="AK1490" s="4" t="s">
        <v>252</v>
      </c>
      <c r="AQ1490" s="4" t="s">
        <v>241</v>
      </c>
      <c r="AR1490" s="4" t="s">
        <v>241</v>
      </c>
      <c r="AS1490" s="4" t="s">
        <v>241</v>
      </c>
      <c r="AT1490" s="5" t="s">
        <v>241</v>
      </c>
      <c r="AU1490" s="5" t="s">
        <v>241</v>
      </c>
      <c r="AV1490" s="5" t="s">
        <v>241</v>
      </c>
      <c r="AY1490" s="4" t="s">
        <v>286</v>
      </c>
      <c r="AZ1490" s="4" t="s">
        <v>286</v>
      </c>
      <c r="BA1490" s="4" t="s">
        <v>254</v>
      </c>
      <c r="BB1490" s="4" t="s">
        <v>287</v>
      </c>
      <c r="BC1490" s="4" t="s">
        <v>255</v>
      </c>
      <c r="BD1490" s="4" t="s">
        <v>241</v>
      </c>
      <c r="BE1490" s="4" t="s">
        <v>257</v>
      </c>
      <c r="BF1490" s="4" t="s">
        <v>241</v>
      </c>
      <c r="BH1490" s="4" t="s">
        <v>579</v>
      </c>
      <c r="BJ1490" s="4" t="s">
        <v>288</v>
      </c>
      <c r="BK1490" s="5" t="s">
        <v>289</v>
      </c>
      <c r="BL1490" s="4" t="s">
        <v>290</v>
      </c>
      <c r="BM1490" s="4" t="s">
        <v>290</v>
      </c>
      <c r="BN1490" s="4" t="s">
        <v>241</v>
      </c>
      <c r="BO1490" s="6">
        <f>0</f>
        <v>0</v>
      </c>
      <c r="BP1490" s="6">
        <f>-9462163</f>
        <v>-9462163</v>
      </c>
      <c r="BQ1490" s="4" t="s">
        <v>263</v>
      </c>
      <c r="BR1490" s="4" t="s">
        <v>264</v>
      </c>
      <c r="BS1490" s="4" t="s">
        <v>241</v>
      </c>
      <c r="BT1490" s="4" t="s">
        <v>241</v>
      </c>
      <c r="BU1490" s="4" t="s">
        <v>241</v>
      </c>
      <c r="BV1490" s="4" t="s">
        <v>241</v>
      </c>
      <c r="CE1490" s="4" t="s">
        <v>264</v>
      </c>
      <c r="CF1490" s="4" t="s">
        <v>241</v>
      </c>
      <c r="CG1490" s="4" t="s">
        <v>241</v>
      </c>
      <c r="CK1490" s="4" t="s">
        <v>291</v>
      </c>
      <c r="CL1490" s="4" t="s">
        <v>266</v>
      </c>
      <c r="CM1490" s="4" t="s">
        <v>241</v>
      </c>
      <c r="CO1490" s="4" t="s">
        <v>364</v>
      </c>
      <c r="CP1490" s="5" t="s">
        <v>268</v>
      </c>
      <c r="CQ1490" s="4" t="s">
        <v>269</v>
      </c>
      <c r="CR1490" s="4" t="s">
        <v>270</v>
      </c>
      <c r="CS1490" s="4" t="s">
        <v>293</v>
      </c>
      <c r="CT1490" s="4" t="s">
        <v>241</v>
      </c>
      <c r="CU1490" s="4">
        <v>4.5999999999999999E-2</v>
      </c>
      <c r="CV1490" s="4" t="s">
        <v>271</v>
      </c>
      <c r="CW1490" s="4" t="s">
        <v>1671</v>
      </c>
      <c r="CX1490" s="4" t="s">
        <v>347</v>
      </c>
      <c r="CY1490" s="6">
        <f>0</f>
        <v>0</v>
      </c>
      <c r="CZ1490" s="6">
        <f>205699200</f>
        <v>205699200</v>
      </c>
      <c r="DA1490" s="6">
        <f>25918103</f>
        <v>25918103</v>
      </c>
      <c r="DC1490" s="4" t="s">
        <v>241</v>
      </c>
      <c r="DD1490" s="4" t="s">
        <v>241</v>
      </c>
      <c r="DF1490" s="4" t="s">
        <v>241</v>
      </c>
      <c r="DG1490" s="6">
        <f>0</f>
        <v>0</v>
      </c>
      <c r="DI1490" s="4" t="s">
        <v>241</v>
      </c>
      <c r="DJ1490" s="4" t="s">
        <v>241</v>
      </c>
      <c r="DK1490" s="4" t="s">
        <v>241</v>
      </c>
      <c r="DL1490" s="4" t="s">
        <v>241</v>
      </c>
      <c r="DM1490" s="4" t="s">
        <v>277</v>
      </c>
      <c r="DN1490" s="4" t="s">
        <v>278</v>
      </c>
      <c r="DO1490" s="6">
        <f>627.99</f>
        <v>627.99</v>
      </c>
      <c r="DP1490" s="4" t="s">
        <v>241</v>
      </c>
      <c r="DQ1490" s="4" t="s">
        <v>241</v>
      </c>
      <c r="DR1490" s="4" t="s">
        <v>241</v>
      </c>
      <c r="DS1490" s="4" t="s">
        <v>241</v>
      </c>
      <c r="DV1490" s="4" t="s">
        <v>1727</v>
      </c>
      <c r="DW1490" s="4" t="s">
        <v>277</v>
      </c>
      <c r="GN1490" s="4" t="s">
        <v>1728</v>
      </c>
      <c r="HO1490" s="4" t="s">
        <v>417</v>
      </c>
      <c r="HR1490" s="4" t="s">
        <v>278</v>
      </c>
      <c r="HS1490" s="4" t="s">
        <v>278</v>
      </c>
      <c r="HT1490" s="4" t="s">
        <v>241</v>
      </c>
      <c r="HU1490" s="4" t="s">
        <v>241</v>
      </c>
      <c r="HV1490" s="4" t="s">
        <v>241</v>
      </c>
      <c r="HW1490" s="4" t="s">
        <v>241</v>
      </c>
      <c r="HX1490" s="4" t="s">
        <v>241</v>
      </c>
      <c r="HY1490" s="4" t="s">
        <v>241</v>
      </c>
      <c r="HZ1490" s="4" t="s">
        <v>241</v>
      </c>
      <c r="IA1490" s="4" t="s">
        <v>241</v>
      </c>
      <c r="IB1490" s="4" t="s">
        <v>241</v>
      </c>
      <c r="IC1490" s="4" t="s">
        <v>241</v>
      </c>
      <c r="ID1490" s="4" t="s">
        <v>241</v>
      </c>
      <c r="IE1490" s="4" t="s">
        <v>241</v>
      </c>
      <c r="IF1490" s="4" t="s">
        <v>241</v>
      </c>
    </row>
    <row r="1491" spans="1:240" x14ac:dyDescent="0.4">
      <c r="A1491" s="4">
        <v>2</v>
      </c>
      <c r="B1491" s="4" t="s">
        <v>239</v>
      </c>
      <c r="C1491" s="4">
        <v>1829</v>
      </c>
      <c r="D1491" s="4">
        <v>1</v>
      </c>
      <c r="E1491" s="4">
        <v>3</v>
      </c>
      <c r="F1491" s="4" t="s">
        <v>326</v>
      </c>
      <c r="G1491" s="4" t="s">
        <v>241</v>
      </c>
      <c r="H1491" s="4" t="s">
        <v>241</v>
      </c>
      <c r="I1491" s="4" t="s">
        <v>1725</v>
      </c>
      <c r="J1491" s="4" t="s">
        <v>673</v>
      </c>
      <c r="K1491" s="4" t="s">
        <v>578</v>
      </c>
      <c r="L1491" s="4" t="s">
        <v>2535</v>
      </c>
      <c r="M1491" s="5" t="s">
        <v>1726</v>
      </c>
      <c r="N1491" s="4" t="s">
        <v>2533</v>
      </c>
      <c r="O1491" s="6">
        <f>0</f>
        <v>0</v>
      </c>
      <c r="P1491" s="4" t="s">
        <v>276</v>
      </c>
      <c r="Q1491" s="6">
        <f>1961380</f>
        <v>1961380</v>
      </c>
      <c r="R1491" s="6">
        <f>2679480</f>
        <v>2679480</v>
      </c>
      <c r="S1491" s="5" t="s">
        <v>2534</v>
      </c>
      <c r="T1491" s="4" t="s">
        <v>348</v>
      </c>
      <c r="U1491" s="4" t="s">
        <v>297</v>
      </c>
      <c r="V1491" s="6">
        <f>179525</f>
        <v>179525</v>
      </c>
      <c r="W1491" s="6">
        <f>718100</f>
        <v>718100</v>
      </c>
      <c r="X1491" s="4" t="s">
        <v>243</v>
      </c>
      <c r="Y1491" s="4" t="s">
        <v>244</v>
      </c>
      <c r="Z1491" s="4" t="s">
        <v>874</v>
      </c>
      <c r="AA1491" s="4" t="s">
        <v>241</v>
      </c>
      <c r="AD1491" s="4" t="s">
        <v>241</v>
      </c>
      <c r="AE1491" s="5" t="s">
        <v>241</v>
      </c>
      <c r="AF1491" s="5" t="s">
        <v>241</v>
      </c>
      <c r="AH1491" s="5" t="s">
        <v>241</v>
      </c>
      <c r="AI1491" s="5" t="s">
        <v>249</v>
      </c>
      <c r="AJ1491" s="4" t="s">
        <v>251</v>
      </c>
      <c r="AK1491" s="4" t="s">
        <v>252</v>
      </c>
      <c r="AQ1491" s="4" t="s">
        <v>241</v>
      </c>
      <c r="AR1491" s="4" t="s">
        <v>241</v>
      </c>
      <c r="AS1491" s="4" t="s">
        <v>241</v>
      </c>
      <c r="AT1491" s="5" t="s">
        <v>241</v>
      </c>
      <c r="AU1491" s="5" t="s">
        <v>241</v>
      </c>
      <c r="AV1491" s="5" t="s">
        <v>241</v>
      </c>
      <c r="AY1491" s="4" t="s">
        <v>286</v>
      </c>
      <c r="AZ1491" s="4" t="s">
        <v>286</v>
      </c>
      <c r="BA1491" s="4" t="s">
        <v>254</v>
      </c>
      <c r="BB1491" s="4" t="s">
        <v>287</v>
      </c>
      <c r="BC1491" s="4" t="s">
        <v>255</v>
      </c>
      <c r="BD1491" s="4" t="s">
        <v>241</v>
      </c>
      <c r="BE1491" s="4" t="s">
        <v>257</v>
      </c>
      <c r="BF1491" s="4" t="s">
        <v>241</v>
      </c>
      <c r="BJ1491" s="4" t="s">
        <v>288</v>
      </c>
      <c r="BK1491" s="5" t="s">
        <v>289</v>
      </c>
      <c r="BL1491" s="4" t="s">
        <v>290</v>
      </c>
      <c r="BM1491" s="4" t="s">
        <v>290</v>
      </c>
      <c r="BN1491" s="4" t="s">
        <v>241</v>
      </c>
      <c r="BP1491" s="6">
        <f>-179525</f>
        <v>-179525</v>
      </c>
      <c r="BQ1491" s="4" t="s">
        <v>263</v>
      </c>
      <c r="BR1491" s="4" t="s">
        <v>264</v>
      </c>
      <c r="BS1491" s="4" t="s">
        <v>241</v>
      </c>
      <c r="BT1491" s="4" t="s">
        <v>241</v>
      </c>
      <c r="BU1491" s="4" t="s">
        <v>241</v>
      </c>
      <c r="BV1491" s="4" t="s">
        <v>241</v>
      </c>
      <c r="CE1491" s="4" t="s">
        <v>264</v>
      </c>
      <c r="CF1491" s="4" t="s">
        <v>241</v>
      </c>
      <c r="CG1491" s="4" t="s">
        <v>241</v>
      </c>
      <c r="CK1491" s="4" t="s">
        <v>291</v>
      </c>
      <c r="CL1491" s="4" t="s">
        <v>266</v>
      </c>
      <c r="CM1491" s="4" t="s">
        <v>241</v>
      </c>
      <c r="CO1491" s="4" t="s">
        <v>413</v>
      </c>
      <c r="CP1491" s="5" t="s">
        <v>268</v>
      </c>
      <c r="CQ1491" s="4" t="s">
        <v>269</v>
      </c>
      <c r="CR1491" s="4" t="s">
        <v>270</v>
      </c>
      <c r="CS1491" s="4" t="s">
        <v>293</v>
      </c>
      <c r="CT1491" s="4" t="s">
        <v>241</v>
      </c>
      <c r="CU1491" s="4">
        <v>6.7000000000000004E-2</v>
      </c>
      <c r="CV1491" s="4" t="s">
        <v>271</v>
      </c>
      <c r="CW1491" s="4" t="s">
        <v>415</v>
      </c>
      <c r="CX1491" s="4" t="s">
        <v>422</v>
      </c>
      <c r="CY1491" s="6">
        <f>0</f>
        <v>0</v>
      </c>
      <c r="CZ1491" s="6">
        <f>2679480</f>
        <v>2679480</v>
      </c>
      <c r="DA1491" s="6">
        <f>1961380</f>
        <v>1961380</v>
      </c>
      <c r="DC1491" s="4" t="s">
        <v>241</v>
      </c>
      <c r="DD1491" s="4" t="s">
        <v>241</v>
      </c>
      <c r="DF1491" s="4" t="s">
        <v>241</v>
      </c>
      <c r="DG1491" s="6">
        <f>0</f>
        <v>0</v>
      </c>
      <c r="DI1491" s="4" t="s">
        <v>241</v>
      </c>
      <c r="DJ1491" s="4" t="s">
        <v>241</v>
      </c>
      <c r="DK1491" s="4" t="s">
        <v>241</v>
      </c>
      <c r="DL1491" s="4" t="s">
        <v>241</v>
      </c>
      <c r="DM1491" s="4" t="s">
        <v>278</v>
      </c>
      <c r="DN1491" s="4" t="s">
        <v>278</v>
      </c>
      <c r="DO1491" s="6" t="s">
        <v>241</v>
      </c>
      <c r="DP1491" s="4" t="s">
        <v>241</v>
      </c>
      <c r="DQ1491" s="4" t="s">
        <v>241</v>
      </c>
      <c r="DR1491" s="4" t="s">
        <v>241</v>
      </c>
      <c r="DS1491" s="4" t="s">
        <v>241</v>
      </c>
      <c r="DV1491" s="4" t="s">
        <v>1727</v>
      </c>
      <c r="DW1491" s="4" t="s">
        <v>323</v>
      </c>
      <c r="GN1491" s="4" t="s">
        <v>2536</v>
      </c>
      <c r="HO1491" s="4" t="s">
        <v>341</v>
      </c>
      <c r="HR1491" s="4" t="s">
        <v>278</v>
      </c>
      <c r="HS1491" s="4" t="s">
        <v>278</v>
      </c>
      <c r="HT1491" s="4" t="s">
        <v>241</v>
      </c>
      <c r="HU1491" s="4" t="s">
        <v>241</v>
      </c>
      <c r="HV1491" s="4" t="s">
        <v>241</v>
      </c>
      <c r="HW1491" s="4" t="s">
        <v>241</v>
      </c>
      <c r="HX1491" s="4" t="s">
        <v>241</v>
      </c>
      <c r="HY1491" s="4" t="s">
        <v>241</v>
      </c>
      <c r="HZ1491" s="4" t="s">
        <v>241</v>
      </c>
      <c r="IA1491" s="4" t="s">
        <v>241</v>
      </c>
      <c r="IB1491" s="4" t="s">
        <v>241</v>
      </c>
      <c r="IC1491" s="4" t="s">
        <v>241</v>
      </c>
      <c r="ID1491" s="4" t="s">
        <v>241</v>
      </c>
      <c r="IE1491" s="4" t="s">
        <v>241</v>
      </c>
      <c r="IF1491" s="4" t="s">
        <v>241</v>
      </c>
    </row>
    <row r="1492" spans="1:240" x14ac:dyDescent="0.4">
      <c r="A1492" s="4">
        <v>2</v>
      </c>
      <c r="B1492" s="4" t="s">
        <v>239</v>
      </c>
      <c r="C1492" s="4">
        <v>1830</v>
      </c>
      <c r="D1492" s="4">
        <v>1</v>
      </c>
      <c r="E1492" s="4">
        <v>3</v>
      </c>
      <c r="F1492" s="4" t="s">
        <v>240</v>
      </c>
      <c r="G1492" s="4" t="s">
        <v>241</v>
      </c>
      <c r="H1492" s="4" t="s">
        <v>241</v>
      </c>
      <c r="I1492" s="4" t="s">
        <v>819</v>
      </c>
      <c r="J1492" s="4" t="s">
        <v>673</v>
      </c>
      <c r="K1492" s="4" t="s">
        <v>578</v>
      </c>
      <c r="L1492" s="4" t="s">
        <v>658</v>
      </c>
      <c r="M1492" s="5" t="s">
        <v>820</v>
      </c>
      <c r="N1492" s="4" t="s">
        <v>658</v>
      </c>
      <c r="O1492" s="6">
        <f>571</f>
        <v>571</v>
      </c>
      <c r="P1492" s="4" t="s">
        <v>276</v>
      </c>
      <c r="Q1492" s="6">
        <f>15074400</f>
        <v>15074400</v>
      </c>
      <c r="R1492" s="6">
        <f>150744000</f>
        <v>150744000</v>
      </c>
      <c r="S1492" s="5" t="s">
        <v>806</v>
      </c>
      <c r="T1492" s="4" t="s">
        <v>357</v>
      </c>
      <c r="U1492" s="4" t="s">
        <v>399</v>
      </c>
      <c r="V1492" s="6">
        <f>4522320</f>
        <v>4522320</v>
      </c>
      <c r="W1492" s="6">
        <f>135669600</f>
        <v>135669600</v>
      </c>
      <c r="X1492" s="4" t="s">
        <v>243</v>
      </c>
      <c r="Y1492" s="4" t="s">
        <v>244</v>
      </c>
      <c r="Z1492" s="4" t="s">
        <v>465</v>
      </c>
      <c r="AA1492" s="4" t="s">
        <v>241</v>
      </c>
      <c r="AD1492" s="4" t="s">
        <v>241</v>
      </c>
      <c r="AE1492" s="5" t="s">
        <v>241</v>
      </c>
      <c r="AF1492" s="5" t="s">
        <v>241</v>
      </c>
      <c r="AH1492" s="5" t="s">
        <v>241</v>
      </c>
      <c r="AI1492" s="5" t="s">
        <v>249</v>
      </c>
      <c r="AJ1492" s="4" t="s">
        <v>251</v>
      </c>
      <c r="AK1492" s="4" t="s">
        <v>252</v>
      </c>
      <c r="AQ1492" s="4" t="s">
        <v>241</v>
      </c>
      <c r="AR1492" s="4" t="s">
        <v>241</v>
      </c>
      <c r="AS1492" s="4" t="s">
        <v>241</v>
      </c>
      <c r="AT1492" s="5" t="s">
        <v>241</v>
      </c>
      <c r="AU1492" s="5" t="s">
        <v>241</v>
      </c>
      <c r="AV1492" s="5" t="s">
        <v>241</v>
      </c>
      <c r="AY1492" s="4" t="s">
        <v>286</v>
      </c>
      <c r="AZ1492" s="4" t="s">
        <v>286</v>
      </c>
      <c r="BA1492" s="4" t="s">
        <v>254</v>
      </c>
      <c r="BB1492" s="4" t="s">
        <v>287</v>
      </c>
      <c r="BC1492" s="4" t="s">
        <v>255</v>
      </c>
      <c r="BD1492" s="4" t="s">
        <v>241</v>
      </c>
      <c r="BE1492" s="4" t="s">
        <v>257</v>
      </c>
      <c r="BF1492" s="4" t="s">
        <v>241</v>
      </c>
      <c r="BH1492" s="4" t="s">
        <v>787</v>
      </c>
      <c r="BJ1492" s="4" t="s">
        <v>288</v>
      </c>
      <c r="BK1492" s="5" t="s">
        <v>289</v>
      </c>
      <c r="BL1492" s="4" t="s">
        <v>290</v>
      </c>
      <c r="BM1492" s="4" t="s">
        <v>290</v>
      </c>
      <c r="BN1492" s="4" t="s">
        <v>241</v>
      </c>
      <c r="BO1492" s="6">
        <f>0</f>
        <v>0</v>
      </c>
      <c r="BP1492" s="6">
        <f>-4522320</f>
        <v>-4522320</v>
      </c>
      <c r="BQ1492" s="4" t="s">
        <v>263</v>
      </c>
      <c r="BR1492" s="4" t="s">
        <v>264</v>
      </c>
      <c r="BS1492" s="4" t="s">
        <v>241</v>
      </c>
      <c r="BT1492" s="4" t="s">
        <v>241</v>
      </c>
      <c r="BU1492" s="4" t="s">
        <v>241</v>
      </c>
      <c r="BV1492" s="4" t="s">
        <v>241</v>
      </c>
      <c r="CE1492" s="4" t="s">
        <v>264</v>
      </c>
      <c r="CF1492" s="4" t="s">
        <v>241</v>
      </c>
      <c r="CG1492" s="4" t="s">
        <v>241</v>
      </c>
      <c r="CK1492" s="4" t="s">
        <v>291</v>
      </c>
      <c r="CL1492" s="4" t="s">
        <v>266</v>
      </c>
      <c r="CM1492" s="4" t="s">
        <v>241</v>
      </c>
      <c r="CO1492" s="4" t="s">
        <v>439</v>
      </c>
      <c r="CP1492" s="5" t="s">
        <v>268</v>
      </c>
      <c r="CQ1492" s="4" t="s">
        <v>269</v>
      </c>
      <c r="CR1492" s="4" t="s">
        <v>270</v>
      </c>
      <c r="CS1492" s="4" t="s">
        <v>293</v>
      </c>
      <c r="CT1492" s="4" t="s">
        <v>241</v>
      </c>
      <c r="CU1492" s="4">
        <v>0.03</v>
      </c>
      <c r="CV1492" s="4" t="s">
        <v>271</v>
      </c>
      <c r="CW1492" s="4" t="s">
        <v>655</v>
      </c>
      <c r="CX1492" s="4" t="s">
        <v>487</v>
      </c>
      <c r="CY1492" s="6">
        <f>0</f>
        <v>0</v>
      </c>
      <c r="CZ1492" s="6">
        <f>150744000</f>
        <v>150744000</v>
      </c>
      <c r="DA1492" s="6">
        <f>15074400</f>
        <v>15074400</v>
      </c>
      <c r="DC1492" s="4" t="s">
        <v>241</v>
      </c>
      <c r="DD1492" s="4" t="s">
        <v>241</v>
      </c>
      <c r="DF1492" s="4" t="s">
        <v>241</v>
      </c>
      <c r="DG1492" s="6">
        <f>0</f>
        <v>0</v>
      </c>
      <c r="DI1492" s="4" t="s">
        <v>241</v>
      </c>
      <c r="DJ1492" s="4" t="s">
        <v>241</v>
      </c>
      <c r="DK1492" s="4" t="s">
        <v>241</v>
      </c>
      <c r="DL1492" s="4" t="s">
        <v>241</v>
      </c>
      <c r="DM1492" s="4" t="s">
        <v>277</v>
      </c>
      <c r="DN1492" s="4" t="s">
        <v>278</v>
      </c>
      <c r="DO1492" s="6">
        <f>571</f>
        <v>571</v>
      </c>
      <c r="DP1492" s="4" t="s">
        <v>241</v>
      </c>
      <c r="DQ1492" s="4" t="s">
        <v>241</v>
      </c>
      <c r="DR1492" s="4" t="s">
        <v>241</v>
      </c>
      <c r="DS1492" s="4" t="s">
        <v>241</v>
      </c>
      <c r="DV1492" s="4" t="s">
        <v>821</v>
      </c>
      <c r="DW1492" s="4" t="s">
        <v>323</v>
      </c>
      <c r="GN1492" s="4" t="s">
        <v>822</v>
      </c>
      <c r="HO1492" s="4" t="s">
        <v>409</v>
      </c>
      <c r="HR1492" s="4" t="s">
        <v>278</v>
      </c>
      <c r="HS1492" s="4" t="s">
        <v>278</v>
      </c>
      <c r="HT1492" s="4" t="s">
        <v>241</v>
      </c>
      <c r="HU1492" s="4" t="s">
        <v>241</v>
      </c>
      <c r="HV1492" s="4" t="s">
        <v>241</v>
      </c>
      <c r="HW1492" s="4" t="s">
        <v>241</v>
      </c>
      <c r="HX1492" s="4" t="s">
        <v>241</v>
      </c>
      <c r="HY1492" s="4" t="s">
        <v>241</v>
      </c>
      <c r="HZ1492" s="4" t="s">
        <v>241</v>
      </c>
      <c r="IA1492" s="4" t="s">
        <v>241</v>
      </c>
      <c r="IB1492" s="4" t="s">
        <v>241</v>
      </c>
      <c r="IC1492" s="4" t="s">
        <v>241</v>
      </c>
      <c r="ID1492" s="4" t="s">
        <v>241</v>
      </c>
      <c r="IE1492" s="4" t="s">
        <v>241</v>
      </c>
      <c r="IF1492" s="4" t="s">
        <v>241</v>
      </c>
    </row>
    <row r="1493" spans="1:240" x14ac:dyDescent="0.4">
      <c r="A1493" s="4">
        <v>2</v>
      </c>
      <c r="B1493" s="4" t="s">
        <v>239</v>
      </c>
      <c r="C1493" s="4">
        <v>1831</v>
      </c>
      <c r="D1493" s="4">
        <v>1</v>
      </c>
      <c r="E1493" s="4">
        <v>3</v>
      </c>
      <c r="F1493" s="4" t="s">
        <v>240</v>
      </c>
      <c r="G1493" s="4" t="s">
        <v>241</v>
      </c>
      <c r="H1493" s="4" t="s">
        <v>241</v>
      </c>
      <c r="I1493" s="4" t="s">
        <v>814</v>
      </c>
      <c r="J1493" s="4" t="s">
        <v>673</v>
      </c>
      <c r="K1493" s="4" t="s">
        <v>578</v>
      </c>
      <c r="L1493" s="4" t="s">
        <v>658</v>
      </c>
      <c r="M1493" s="5" t="s">
        <v>816</v>
      </c>
      <c r="N1493" s="4" t="s">
        <v>658</v>
      </c>
      <c r="O1493" s="6">
        <f>159</f>
        <v>159</v>
      </c>
      <c r="P1493" s="4" t="s">
        <v>276</v>
      </c>
      <c r="Q1493" s="6">
        <f>6390846</f>
        <v>6390846</v>
      </c>
      <c r="R1493" s="6">
        <f>50721000</f>
        <v>50721000</v>
      </c>
      <c r="S1493" s="5" t="s">
        <v>815</v>
      </c>
      <c r="T1493" s="4" t="s">
        <v>314</v>
      </c>
      <c r="U1493" s="4" t="s">
        <v>365</v>
      </c>
      <c r="V1493" s="6">
        <f>2333166</f>
        <v>2333166</v>
      </c>
      <c r="W1493" s="6">
        <f>44330154</f>
        <v>44330154</v>
      </c>
      <c r="X1493" s="4" t="s">
        <v>243</v>
      </c>
      <c r="Y1493" s="4" t="s">
        <v>244</v>
      </c>
      <c r="Z1493" s="4" t="s">
        <v>465</v>
      </c>
      <c r="AA1493" s="4" t="s">
        <v>241</v>
      </c>
      <c r="AD1493" s="4" t="s">
        <v>241</v>
      </c>
      <c r="AE1493" s="5" t="s">
        <v>241</v>
      </c>
      <c r="AF1493" s="5" t="s">
        <v>241</v>
      </c>
      <c r="AH1493" s="5" t="s">
        <v>241</v>
      </c>
      <c r="AI1493" s="5" t="s">
        <v>249</v>
      </c>
      <c r="AJ1493" s="4" t="s">
        <v>251</v>
      </c>
      <c r="AK1493" s="4" t="s">
        <v>252</v>
      </c>
      <c r="AQ1493" s="4" t="s">
        <v>241</v>
      </c>
      <c r="AR1493" s="4" t="s">
        <v>241</v>
      </c>
      <c r="AS1493" s="4" t="s">
        <v>241</v>
      </c>
      <c r="AT1493" s="5" t="s">
        <v>241</v>
      </c>
      <c r="AU1493" s="5" t="s">
        <v>241</v>
      </c>
      <c r="AV1493" s="5" t="s">
        <v>241</v>
      </c>
      <c r="AY1493" s="4" t="s">
        <v>286</v>
      </c>
      <c r="AZ1493" s="4" t="s">
        <v>286</v>
      </c>
      <c r="BA1493" s="4" t="s">
        <v>254</v>
      </c>
      <c r="BB1493" s="4" t="s">
        <v>287</v>
      </c>
      <c r="BC1493" s="4" t="s">
        <v>255</v>
      </c>
      <c r="BD1493" s="4" t="s">
        <v>241</v>
      </c>
      <c r="BE1493" s="4" t="s">
        <v>257</v>
      </c>
      <c r="BF1493" s="4" t="s">
        <v>241</v>
      </c>
      <c r="BH1493" s="4" t="s">
        <v>579</v>
      </c>
      <c r="BJ1493" s="4" t="s">
        <v>288</v>
      </c>
      <c r="BK1493" s="5" t="s">
        <v>289</v>
      </c>
      <c r="BL1493" s="4" t="s">
        <v>290</v>
      </c>
      <c r="BM1493" s="4" t="s">
        <v>290</v>
      </c>
      <c r="BN1493" s="4" t="s">
        <v>241</v>
      </c>
      <c r="BO1493" s="6">
        <f>0</f>
        <v>0</v>
      </c>
      <c r="BP1493" s="6">
        <f>-2333166</f>
        <v>-2333166</v>
      </c>
      <c r="BQ1493" s="4" t="s">
        <v>263</v>
      </c>
      <c r="BR1493" s="4" t="s">
        <v>264</v>
      </c>
      <c r="BS1493" s="4" t="s">
        <v>241</v>
      </c>
      <c r="BT1493" s="4" t="s">
        <v>241</v>
      </c>
      <c r="BU1493" s="4" t="s">
        <v>241</v>
      </c>
      <c r="BV1493" s="4" t="s">
        <v>241</v>
      </c>
      <c r="CE1493" s="4" t="s">
        <v>264</v>
      </c>
      <c r="CF1493" s="4" t="s">
        <v>241</v>
      </c>
      <c r="CG1493" s="4" t="s">
        <v>241</v>
      </c>
      <c r="CK1493" s="4" t="s">
        <v>291</v>
      </c>
      <c r="CL1493" s="4" t="s">
        <v>266</v>
      </c>
      <c r="CM1493" s="4" t="s">
        <v>241</v>
      </c>
      <c r="CO1493" s="4" t="s">
        <v>364</v>
      </c>
      <c r="CP1493" s="5" t="s">
        <v>268</v>
      </c>
      <c r="CQ1493" s="4" t="s">
        <v>269</v>
      </c>
      <c r="CR1493" s="4" t="s">
        <v>270</v>
      </c>
      <c r="CS1493" s="4" t="s">
        <v>293</v>
      </c>
      <c r="CT1493" s="4" t="s">
        <v>241</v>
      </c>
      <c r="CU1493" s="4">
        <v>4.5999999999999999E-2</v>
      </c>
      <c r="CV1493" s="4" t="s">
        <v>271</v>
      </c>
      <c r="CW1493" s="4" t="s">
        <v>655</v>
      </c>
      <c r="CX1493" s="4" t="s">
        <v>347</v>
      </c>
      <c r="CY1493" s="6">
        <f>0</f>
        <v>0</v>
      </c>
      <c r="CZ1493" s="6">
        <f>50721000</f>
        <v>50721000</v>
      </c>
      <c r="DA1493" s="6">
        <f>6390846</f>
        <v>6390846</v>
      </c>
      <c r="DC1493" s="4" t="s">
        <v>241</v>
      </c>
      <c r="DD1493" s="4" t="s">
        <v>241</v>
      </c>
      <c r="DF1493" s="4" t="s">
        <v>241</v>
      </c>
      <c r="DG1493" s="6">
        <f>0</f>
        <v>0</v>
      </c>
      <c r="DI1493" s="4" t="s">
        <v>241</v>
      </c>
      <c r="DJ1493" s="4" t="s">
        <v>241</v>
      </c>
      <c r="DK1493" s="4" t="s">
        <v>241</v>
      </c>
      <c r="DL1493" s="4" t="s">
        <v>241</v>
      </c>
      <c r="DM1493" s="4" t="s">
        <v>277</v>
      </c>
      <c r="DN1493" s="4" t="s">
        <v>278</v>
      </c>
      <c r="DO1493" s="6">
        <f>159</f>
        <v>159</v>
      </c>
      <c r="DP1493" s="4" t="s">
        <v>241</v>
      </c>
      <c r="DQ1493" s="4" t="s">
        <v>241</v>
      </c>
      <c r="DR1493" s="4" t="s">
        <v>241</v>
      </c>
      <c r="DS1493" s="4" t="s">
        <v>241</v>
      </c>
      <c r="DV1493" s="4" t="s">
        <v>817</v>
      </c>
      <c r="DW1493" s="4" t="s">
        <v>277</v>
      </c>
      <c r="GN1493" s="4" t="s">
        <v>818</v>
      </c>
      <c r="HO1493" s="4" t="s">
        <v>343</v>
      </c>
      <c r="HR1493" s="4" t="s">
        <v>278</v>
      </c>
      <c r="HS1493" s="4" t="s">
        <v>278</v>
      </c>
      <c r="HT1493" s="4" t="s">
        <v>241</v>
      </c>
      <c r="HU1493" s="4" t="s">
        <v>241</v>
      </c>
      <c r="HV1493" s="4" t="s">
        <v>241</v>
      </c>
      <c r="HW1493" s="4" t="s">
        <v>241</v>
      </c>
      <c r="HX1493" s="4" t="s">
        <v>241</v>
      </c>
      <c r="HY1493" s="4" t="s">
        <v>241</v>
      </c>
      <c r="HZ1493" s="4" t="s">
        <v>241</v>
      </c>
      <c r="IA1493" s="4" t="s">
        <v>241</v>
      </c>
      <c r="IB1493" s="4" t="s">
        <v>241</v>
      </c>
      <c r="IC1493" s="4" t="s">
        <v>241</v>
      </c>
      <c r="ID1493" s="4" t="s">
        <v>241</v>
      </c>
      <c r="IE1493" s="4" t="s">
        <v>241</v>
      </c>
      <c r="IF1493" s="4" t="s">
        <v>241</v>
      </c>
    </row>
    <row r="1494" spans="1:240" x14ac:dyDescent="0.4">
      <c r="A1494" s="4">
        <v>2</v>
      </c>
      <c r="B1494" s="4" t="s">
        <v>239</v>
      </c>
      <c r="C1494" s="4">
        <v>1833</v>
      </c>
      <c r="D1494" s="4">
        <v>1</v>
      </c>
      <c r="E1494" s="4">
        <v>1</v>
      </c>
      <c r="F1494" s="4" t="s">
        <v>240</v>
      </c>
      <c r="G1494" s="4" t="s">
        <v>241</v>
      </c>
      <c r="H1494" s="4" t="s">
        <v>241</v>
      </c>
      <c r="I1494" s="4" t="s">
        <v>3028</v>
      </c>
      <c r="J1494" s="4" t="s">
        <v>458</v>
      </c>
      <c r="K1494" s="4" t="s">
        <v>578</v>
      </c>
      <c r="L1494" s="4" t="s">
        <v>3027</v>
      </c>
      <c r="M1494" s="5" t="s">
        <v>2141</v>
      </c>
      <c r="N1494" s="4" t="s">
        <v>3027</v>
      </c>
      <c r="O1494" s="6">
        <f>63.5</f>
        <v>63.5</v>
      </c>
      <c r="P1494" s="4" t="s">
        <v>276</v>
      </c>
      <c r="Q1494" s="6">
        <f>1</f>
        <v>1</v>
      </c>
      <c r="R1494" s="6">
        <f>3810000</f>
        <v>3810000</v>
      </c>
      <c r="S1494" s="5" t="s">
        <v>926</v>
      </c>
      <c r="T1494" s="4" t="s">
        <v>348</v>
      </c>
      <c r="U1494" s="4" t="s">
        <v>2171</v>
      </c>
      <c r="W1494" s="6">
        <f>3809999</f>
        <v>3809999</v>
      </c>
      <c r="X1494" s="4" t="s">
        <v>243</v>
      </c>
      <c r="Y1494" s="4" t="s">
        <v>244</v>
      </c>
      <c r="Z1494" s="4" t="s">
        <v>282</v>
      </c>
      <c r="AA1494" s="4" t="s">
        <v>241</v>
      </c>
      <c r="AD1494" s="4" t="s">
        <v>241</v>
      </c>
      <c r="AF1494" s="5" t="s">
        <v>241</v>
      </c>
      <c r="AI1494" s="5" t="s">
        <v>249</v>
      </c>
      <c r="AJ1494" s="4" t="s">
        <v>251</v>
      </c>
      <c r="AK1494" s="4" t="s">
        <v>252</v>
      </c>
      <c r="BA1494" s="4" t="s">
        <v>254</v>
      </c>
      <c r="BB1494" s="4" t="s">
        <v>241</v>
      </c>
      <c r="BC1494" s="4" t="s">
        <v>255</v>
      </c>
      <c r="BD1494" s="4" t="s">
        <v>241</v>
      </c>
      <c r="BE1494" s="4" t="s">
        <v>257</v>
      </c>
      <c r="BF1494" s="4" t="s">
        <v>241</v>
      </c>
      <c r="BJ1494" s="4" t="s">
        <v>259</v>
      </c>
      <c r="BK1494" s="5" t="s">
        <v>260</v>
      </c>
      <c r="BL1494" s="4" t="s">
        <v>261</v>
      </c>
      <c r="BM1494" s="4" t="s">
        <v>1323</v>
      </c>
      <c r="BN1494" s="4" t="s">
        <v>241</v>
      </c>
      <c r="BO1494" s="6">
        <f>0</f>
        <v>0</v>
      </c>
      <c r="BP1494" s="6">
        <f>0</f>
        <v>0</v>
      </c>
      <c r="BQ1494" s="4" t="s">
        <v>263</v>
      </c>
      <c r="BR1494" s="4" t="s">
        <v>264</v>
      </c>
      <c r="CF1494" s="4" t="s">
        <v>241</v>
      </c>
      <c r="CG1494" s="4" t="s">
        <v>241</v>
      </c>
      <c r="CK1494" s="4" t="s">
        <v>265</v>
      </c>
      <c r="CL1494" s="4" t="s">
        <v>266</v>
      </c>
      <c r="CM1494" s="4" t="s">
        <v>241</v>
      </c>
      <c r="CO1494" s="4" t="s">
        <v>2142</v>
      </c>
      <c r="CP1494" s="5" t="s">
        <v>268</v>
      </c>
      <c r="CQ1494" s="4" t="s">
        <v>269</v>
      </c>
      <c r="CR1494" s="4" t="s">
        <v>270</v>
      </c>
      <c r="CS1494" s="4" t="s">
        <v>241</v>
      </c>
      <c r="CT1494" s="4" t="s">
        <v>241</v>
      </c>
      <c r="CU1494" s="4">
        <v>0</v>
      </c>
      <c r="CV1494" s="4" t="s">
        <v>271</v>
      </c>
      <c r="CW1494" s="4" t="s">
        <v>272</v>
      </c>
      <c r="CX1494" s="4" t="s">
        <v>347</v>
      </c>
      <c r="CZ1494" s="6">
        <f>3810000</f>
        <v>3810000</v>
      </c>
      <c r="DA1494" s="6">
        <f>0</f>
        <v>0</v>
      </c>
      <c r="DC1494" s="4" t="s">
        <v>241</v>
      </c>
      <c r="DD1494" s="4" t="s">
        <v>241</v>
      </c>
      <c r="DF1494" s="4" t="s">
        <v>241</v>
      </c>
      <c r="DI1494" s="4" t="s">
        <v>241</v>
      </c>
      <c r="DJ1494" s="4" t="s">
        <v>241</v>
      </c>
      <c r="DK1494" s="4" t="s">
        <v>241</v>
      </c>
      <c r="DL1494" s="4" t="s">
        <v>241</v>
      </c>
      <c r="DM1494" s="4" t="s">
        <v>277</v>
      </c>
      <c r="DN1494" s="4" t="s">
        <v>278</v>
      </c>
      <c r="DO1494" s="6">
        <f>63.5</f>
        <v>63.5</v>
      </c>
      <c r="DP1494" s="4" t="s">
        <v>241</v>
      </c>
      <c r="DQ1494" s="4" t="s">
        <v>241</v>
      </c>
      <c r="DR1494" s="4" t="s">
        <v>241</v>
      </c>
      <c r="DS1494" s="4" t="s">
        <v>241</v>
      </c>
      <c r="DV1494" s="4" t="s">
        <v>3029</v>
      </c>
      <c r="DW1494" s="4" t="s">
        <v>277</v>
      </c>
      <c r="HO1494" s="4" t="s">
        <v>297</v>
      </c>
      <c r="HR1494" s="4" t="s">
        <v>278</v>
      </c>
      <c r="HS1494" s="4" t="s">
        <v>278</v>
      </c>
    </row>
    <row r="1495" spans="1:240" x14ac:dyDescent="0.4">
      <c r="A1495" s="4">
        <v>2</v>
      </c>
      <c r="B1495" s="4" t="s">
        <v>239</v>
      </c>
      <c r="C1495" s="4">
        <v>1834</v>
      </c>
      <c r="D1495" s="4">
        <v>1</v>
      </c>
      <c r="E1495" s="4">
        <v>3</v>
      </c>
      <c r="F1495" s="4" t="s">
        <v>240</v>
      </c>
      <c r="G1495" s="4" t="s">
        <v>241</v>
      </c>
      <c r="H1495" s="4" t="s">
        <v>241</v>
      </c>
      <c r="I1495" s="4" t="s">
        <v>1337</v>
      </c>
      <c r="J1495" s="4" t="s">
        <v>1339</v>
      </c>
      <c r="K1495" s="4" t="s">
        <v>578</v>
      </c>
      <c r="L1495" s="4" t="s">
        <v>1336</v>
      </c>
      <c r="M1495" s="5" t="s">
        <v>1340</v>
      </c>
      <c r="N1495" s="4" t="s">
        <v>1336</v>
      </c>
      <c r="O1495" s="6">
        <f>535</f>
        <v>535</v>
      </c>
      <c r="P1495" s="4" t="s">
        <v>276</v>
      </c>
      <c r="Q1495" s="6">
        <f>52751000</f>
        <v>52751000</v>
      </c>
      <c r="R1495" s="6">
        <f>155150000</f>
        <v>155150000</v>
      </c>
      <c r="S1495" s="5" t="s">
        <v>1129</v>
      </c>
      <c r="T1495" s="4" t="s">
        <v>296</v>
      </c>
      <c r="U1495" s="4" t="s">
        <v>552</v>
      </c>
      <c r="V1495" s="6">
        <f>3103000</f>
        <v>3103000</v>
      </c>
      <c r="W1495" s="6">
        <f>102399000</f>
        <v>102399000</v>
      </c>
      <c r="X1495" s="4" t="s">
        <v>243</v>
      </c>
      <c r="Y1495" s="4" t="s">
        <v>244</v>
      </c>
      <c r="Z1495" s="4" t="s">
        <v>1338</v>
      </c>
      <c r="AA1495" s="4" t="s">
        <v>241</v>
      </c>
      <c r="AD1495" s="4" t="s">
        <v>241</v>
      </c>
      <c r="AE1495" s="5" t="s">
        <v>241</v>
      </c>
      <c r="AF1495" s="5" t="s">
        <v>241</v>
      </c>
      <c r="AH1495" s="5" t="s">
        <v>241</v>
      </c>
      <c r="AI1495" s="5" t="s">
        <v>249</v>
      </c>
      <c r="AJ1495" s="4" t="s">
        <v>251</v>
      </c>
      <c r="AK1495" s="4" t="s">
        <v>252</v>
      </c>
      <c r="AQ1495" s="4" t="s">
        <v>241</v>
      </c>
      <c r="AR1495" s="4" t="s">
        <v>241</v>
      </c>
      <c r="AS1495" s="4" t="s">
        <v>241</v>
      </c>
      <c r="AT1495" s="5" t="s">
        <v>241</v>
      </c>
      <c r="AU1495" s="5" t="s">
        <v>241</v>
      </c>
      <c r="AV1495" s="5" t="s">
        <v>241</v>
      </c>
      <c r="AY1495" s="4" t="s">
        <v>286</v>
      </c>
      <c r="AZ1495" s="4" t="s">
        <v>286</v>
      </c>
      <c r="BA1495" s="4" t="s">
        <v>254</v>
      </c>
      <c r="BB1495" s="4" t="s">
        <v>287</v>
      </c>
      <c r="BC1495" s="4" t="s">
        <v>255</v>
      </c>
      <c r="BD1495" s="4" t="s">
        <v>241</v>
      </c>
      <c r="BE1495" s="4" t="s">
        <v>257</v>
      </c>
      <c r="BF1495" s="4" t="s">
        <v>241</v>
      </c>
      <c r="BJ1495" s="4" t="s">
        <v>288</v>
      </c>
      <c r="BK1495" s="5" t="s">
        <v>289</v>
      </c>
      <c r="BL1495" s="4" t="s">
        <v>290</v>
      </c>
      <c r="BM1495" s="4" t="s">
        <v>290</v>
      </c>
      <c r="BN1495" s="4" t="s">
        <v>241</v>
      </c>
      <c r="BO1495" s="6">
        <f>0</f>
        <v>0</v>
      </c>
      <c r="BP1495" s="6">
        <f>-3103000</f>
        <v>-3103000</v>
      </c>
      <c r="BQ1495" s="4" t="s">
        <v>263</v>
      </c>
      <c r="BR1495" s="4" t="s">
        <v>264</v>
      </c>
      <c r="BS1495" s="4" t="s">
        <v>241</v>
      </c>
      <c r="BT1495" s="4" t="s">
        <v>241</v>
      </c>
      <c r="BU1495" s="4" t="s">
        <v>241</v>
      </c>
      <c r="BV1495" s="4" t="s">
        <v>241</v>
      </c>
      <c r="CE1495" s="4" t="s">
        <v>264</v>
      </c>
      <c r="CF1495" s="4" t="s">
        <v>241</v>
      </c>
      <c r="CG1495" s="4" t="s">
        <v>241</v>
      </c>
      <c r="CK1495" s="4" t="s">
        <v>291</v>
      </c>
      <c r="CL1495" s="4" t="s">
        <v>266</v>
      </c>
      <c r="CM1495" s="4" t="s">
        <v>241</v>
      </c>
      <c r="CO1495" s="4" t="s">
        <v>551</v>
      </c>
      <c r="CP1495" s="5" t="s">
        <v>268</v>
      </c>
      <c r="CQ1495" s="4" t="s">
        <v>269</v>
      </c>
      <c r="CR1495" s="4" t="s">
        <v>270</v>
      </c>
      <c r="CS1495" s="4" t="s">
        <v>293</v>
      </c>
      <c r="CT1495" s="4" t="s">
        <v>241</v>
      </c>
      <c r="CU1495" s="4">
        <v>0.02</v>
      </c>
      <c r="CV1495" s="4" t="s">
        <v>271</v>
      </c>
      <c r="CW1495" s="4" t="s">
        <v>1329</v>
      </c>
      <c r="CX1495" s="4" t="s">
        <v>295</v>
      </c>
      <c r="CY1495" s="6">
        <f>0</f>
        <v>0</v>
      </c>
      <c r="CZ1495" s="6">
        <f>155150000</f>
        <v>155150000</v>
      </c>
      <c r="DA1495" s="6">
        <f>52751000</f>
        <v>52751000</v>
      </c>
      <c r="DC1495" s="4" t="s">
        <v>241</v>
      </c>
      <c r="DD1495" s="4" t="s">
        <v>241</v>
      </c>
      <c r="DF1495" s="4" t="s">
        <v>241</v>
      </c>
      <c r="DG1495" s="6">
        <f>0</f>
        <v>0</v>
      </c>
      <c r="DI1495" s="4" t="s">
        <v>241</v>
      </c>
      <c r="DJ1495" s="4" t="s">
        <v>241</v>
      </c>
      <c r="DK1495" s="4" t="s">
        <v>241</v>
      </c>
      <c r="DL1495" s="4" t="s">
        <v>241</v>
      </c>
      <c r="DM1495" s="4" t="s">
        <v>277</v>
      </c>
      <c r="DN1495" s="4" t="s">
        <v>278</v>
      </c>
      <c r="DO1495" s="6">
        <f>535</f>
        <v>535</v>
      </c>
      <c r="DP1495" s="4" t="s">
        <v>241</v>
      </c>
      <c r="DQ1495" s="4" t="s">
        <v>241</v>
      </c>
      <c r="DR1495" s="4" t="s">
        <v>241</v>
      </c>
      <c r="DS1495" s="4" t="s">
        <v>241</v>
      </c>
      <c r="DV1495" s="4" t="s">
        <v>1341</v>
      </c>
      <c r="DW1495" s="4" t="s">
        <v>277</v>
      </c>
      <c r="GN1495" s="4" t="s">
        <v>1342</v>
      </c>
      <c r="HO1495" s="4" t="s">
        <v>343</v>
      </c>
      <c r="HR1495" s="4" t="s">
        <v>278</v>
      </c>
      <c r="HS1495" s="4" t="s">
        <v>278</v>
      </c>
      <c r="HT1495" s="4" t="s">
        <v>241</v>
      </c>
      <c r="HU1495" s="4" t="s">
        <v>241</v>
      </c>
      <c r="HV1495" s="4" t="s">
        <v>241</v>
      </c>
      <c r="HW1495" s="4" t="s">
        <v>241</v>
      </c>
      <c r="HX1495" s="4" t="s">
        <v>241</v>
      </c>
      <c r="HY1495" s="4" t="s">
        <v>241</v>
      </c>
      <c r="HZ1495" s="4" t="s">
        <v>241</v>
      </c>
      <c r="IA1495" s="4" t="s">
        <v>241</v>
      </c>
      <c r="IB1495" s="4" t="s">
        <v>241</v>
      </c>
      <c r="IC1495" s="4" t="s">
        <v>241</v>
      </c>
      <c r="ID1495" s="4" t="s">
        <v>241</v>
      </c>
      <c r="IE1495" s="4" t="s">
        <v>241</v>
      </c>
      <c r="IF1495" s="4" t="s">
        <v>241</v>
      </c>
    </row>
    <row r="1496" spans="1:240" x14ac:dyDescent="0.4">
      <c r="A1496" s="4">
        <v>2</v>
      </c>
      <c r="B1496" s="4" t="s">
        <v>239</v>
      </c>
      <c r="C1496" s="4">
        <v>1835</v>
      </c>
      <c r="D1496" s="4">
        <v>1</v>
      </c>
      <c r="E1496" s="4">
        <v>3</v>
      </c>
      <c r="F1496" s="4" t="s">
        <v>240</v>
      </c>
      <c r="G1496" s="4" t="s">
        <v>241</v>
      </c>
      <c r="H1496" s="4" t="s">
        <v>241</v>
      </c>
      <c r="I1496" s="4" t="s">
        <v>1337</v>
      </c>
      <c r="J1496" s="4" t="s">
        <v>1339</v>
      </c>
      <c r="K1496" s="4" t="s">
        <v>578</v>
      </c>
      <c r="L1496" s="4" t="s">
        <v>1981</v>
      </c>
      <c r="M1496" s="5" t="s">
        <v>1340</v>
      </c>
      <c r="N1496" s="4" t="s">
        <v>1981</v>
      </c>
      <c r="O1496" s="6">
        <f>2469.33</f>
        <v>2469.33</v>
      </c>
      <c r="P1496" s="4" t="s">
        <v>276</v>
      </c>
      <c r="Q1496" s="6">
        <f>78055551</f>
        <v>78055551</v>
      </c>
      <c r="R1496" s="6">
        <f>716105700</f>
        <v>716105700</v>
      </c>
      <c r="S1496" s="5" t="s">
        <v>1129</v>
      </c>
      <c r="T1496" s="4" t="s">
        <v>333</v>
      </c>
      <c r="U1496" s="4" t="s">
        <v>552</v>
      </c>
      <c r="V1496" s="6">
        <f>19334853</f>
        <v>19334853</v>
      </c>
      <c r="W1496" s="6">
        <f>638050149</f>
        <v>638050149</v>
      </c>
      <c r="X1496" s="4" t="s">
        <v>243</v>
      </c>
      <c r="Y1496" s="4" t="s">
        <v>244</v>
      </c>
      <c r="Z1496" s="4" t="s">
        <v>1338</v>
      </c>
      <c r="AA1496" s="4" t="s">
        <v>241</v>
      </c>
      <c r="AD1496" s="4" t="s">
        <v>241</v>
      </c>
      <c r="AE1496" s="5" t="s">
        <v>241</v>
      </c>
      <c r="AF1496" s="5" t="s">
        <v>241</v>
      </c>
      <c r="AH1496" s="5" t="s">
        <v>241</v>
      </c>
      <c r="AI1496" s="5" t="s">
        <v>249</v>
      </c>
      <c r="AJ1496" s="4" t="s">
        <v>251</v>
      </c>
      <c r="AK1496" s="4" t="s">
        <v>252</v>
      </c>
      <c r="AQ1496" s="4" t="s">
        <v>241</v>
      </c>
      <c r="AR1496" s="4" t="s">
        <v>241</v>
      </c>
      <c r="AS1496" s="4" t="s">
        <v>241</v>
      </c>
      <c r="AT1496" s="5" t="s">
        <v>241</v>
      </c>
      <c r="AU1496" s="5" t="s">
        <v>241</v>
      </c>
      <c r="AV1496" s="5" t="s">
        <v>241</v>
      </c>
      <c r="AY1496" s="4" t="s">
        <v>286</v>
      </c>
      <c r="AZ1496" s="4" t="s">
        <v>286</v>
      </c>
      <c r="BA1496" s="4" t="s">
        <v>254</v>
      </c>
      <c r="BB1496" s="4" t="s">
        <v>287</v>
      </c>
      <c r="BC1496" s="4" t="s">
        <v>255</v>
      </c>
      <c r="BD1496" s="4" t="s">
        <v>241</v>
      </c>
      <c r="BE1496" s="4" t="s">
        <v>257</v>
      </c>
      <c r="BF1496" s="4" t="s">
        <v>241</v>
      </c>
      <c r="BJ1496" s="4" t="s">
        <v>288</v>
      </c>
      <c r="BK1496" s="5" t="s">
        <v>289</v>
      </c>
      <c r="BL1496" s="4" t="s">
        <v>290</v>
      </c>
      <c r="BM1496" s="4" t="s">
        <v>290</v>
      </c>
      <c r="BN1496" s="4" t="s">
        <v>241</v>
      </c>
      <c r="BO1496" s="6">
        <f>0</f>
        <v>0</v>
      </c>
      <c r="BP1496" s="6">
        <f>-19334853</f>
        <v>-19334853</v>
      </c>
      <c r="BQ1496" s="4" t="s">
        <v>263</v>
      </c>
      <c r="BR1496" s="4" t="s">
        <v>264</v>
      </c>
      <c r="BS1496" s="4" t="s">
        <v>241</v>
      </c>
      <c r="BT1496" s="4" t="s">
        <v>241</v>
      </c>
      <c r="BU1496" s="4" t="s">
        <v>241</v>
      </c>
      <c r="BV1496" s="4" t="s">
        <v>241</v>
      </c>
      <c r="CE1496" s="4" t="s">
        <v>264</v>
      </c>
      <c r="CF1496" s="4" t="s">
        <v>241</v>
      </c>
      <c r="CG1496" s="4" t="s">
        <v>241</v>
      </c>
      <c r="CK1496" s="4" t="s">
        <v>291</v>
      </c>
      <c r="CL1496" s="4" t="s">
        <v>266</v>
      </c>
      <c r="CM1496" s="4" t="s">
        <v>241</v>
      </c>
      <c r="CO1496" s="4" t="s">
        <v>551</v>
      </c>
      <c r="CP1496" s="5" t="s">
        <v>268</v>
      </c>
      <c r="CQ1496" s="4" t="s">
        <v>269</v>
      </c>
      <c r="CR1496" s="4" t="s">
        <v>270</v>
      </c>
      <c r="CS1496" s="4" t="s">
        <v>293</v>
      </c>
      <c r="CT1496" s="4" t="s">
        <v>241</v>
      </c>
      <c r="CU1496" s="4">
        <v>2.7E-2</v>
      </c>
      <c r="CV1496" s="4" t="s">
        <v>271</v>
      </c>
      <c r="CW1496" s="4" t="s">
        <v>1920</v>
      </c>
      <c r="CX1496" s="4" t="s">
        <v>295</v>
      </c>
      <c r="CY1496" s="6">
        <f>0</f>
        <v>0</v>
      </c>
      <c r="CZ1496" s="6">
        <f>716105700</f>
        <v>716105700</v>
      </c>
      <c r="DA1496" s="6">
        <f>78055551</f>
        <v>78055551</v>
      </c>
      <c r="DC1496" s="4" t="s">
        <v>241</v>
      </c>
      <c r="DD1496" s="4" t="s">
        <v>241</v>
      </c>
      <c r="DF1496" s="4" t="s">
        <v>241</v>
      </c>
      <c r="DG1496" s="6">
        <f>0</f>
        <v>0</v>
      </c>
      <c r="DI1496" s="4" t="s">
        <v>241</v>
      </c>
      <c r="DJ1496" s="4" t="s">
        <v>241</v>
      </c>
      <c r="DK1496" s="4" t="s">
        <v>241</v>
      </c>
      <c r="DL1496" s="4" t="s">
        <v>241</v>
      </c>
      <c r="DM1496" s="4" t="s">
        <v>277</v>
      </c>
      <c r="DN1496" s="4" t="s">
        <v>278</v>
      </c>
      <c r="DO1496" s="6">
        <f>2469.33</f>
        <v>2469.33</v>
      </c>
      <c r="DP1496" s="4" t="s">
        <v>241</v>
      </c>
      <c r="DQ1496" s="4" t="s">
        <v>241</v>
      </c>
      <c r="DR1496" s="4" t="s">
        <v>241</v>
      </c>
      <c r="DS1496" s="4" t="s">
        <v>241</v>
      </c>
      <c r="DV1496" s="4" t="s">
        <v>1341</v>
      </c>
      <c r="DW1496" s="4" t="s">
        <v>323</v>
      </c>
      <c r="GN1496" s="4" t="s">
        <v>1982</v>
      </c>
      <c r="HO1496" s="4" t="s">
        <v>343</v>
      </c>
      <c r="HR1496" s="4" t="s">
        <v>278</v>
      </c>
      <c r="HS1496" s="4" t="s">
        <v>278</v>
      </c>
      <c r="HT1496" s="4" t="s">
        <v>241</v>
      </c>
      <c r="HU1496" s="4" t="s">
        <v>241</v>
      </c>
      <c r="HV1496" s="4" t="s">
        <v>241</v>
      </c>
      <c r="HW1496" s="4" t="s">
        <v>241</v>
      </c>
      <c r="HX1496" s="4" t="s">
        <v>241</v>
      </c>
      <c r="HY1496" s="4" t="s">
        <v>241</v>
      </c>
      <c r="HZ1496" s="4" t="s">
        <v>241</v>
      </c>
      <c r="IA1496" s="4" t="s">
        <v>241</v>
      </c>
      <c r="IB1496" s="4" t="s">
        <v>241</v>
      </c>
      <c r="IC1496" s="4" t="s">
        <v>241</v>
      </c>
      <c r="ID1496" s="4" t="s">
        <v>241</v>
      </c>
      <c r="IE1496" s="4" t="s">
        <v>241</v>
      </c>
      <c r="IF1496" s="4" t="s">
        <v>241</v>
      </c>
    </row>
    <row r="1497" spans="1:240" x14ac:dyDescent="0.4">
      <c r="A1497" s="4">
        <v>2</v>
      </c>
      <c r="B1497" s="4" t="s">
        <v>239</v>
      </c>
      <c r="C1497" s="4">
        <v>1836</v>
      </c>
      <c r="D1497" s="4">
        <v>1</v>
      </c>
      <c r="E1497" s="4">
        <v>3</v>
      </c>
      <c r="F1497" s="4" t="s">
        <v>240</v>
      </c>
      <c r="G1497" s="4" t="s">
        <v>241</v>
      </c>
      <c r="H1497" s="4" t="s">
        <v>241</v>
      </c>
      <c r="I1497" s="4" t="s">
        <v>1337</v>
      </c>
      <c r="J1497" s="4" t="s">
        <v>1339</v>
      </c>
      <c r="K1497" s="4" t="s">
        <v>578</v>
      </c>
      <c r="L1497" s="4" t="s">
        <v>1919</v>
      </c>
      <c r="M1497" s="5" t="s">
        <v>1340</v>
      </c>
      <c r="N1497" s="4" t="s">
        <v>1919</v>
      </c>
      <c r="O1497" s="6">
        <f>1011.56</f>
        <v>1011.56</v>
      </c>
      <c r="P1497" s="4" t="s">
        <v>276</v>
      </c>
      <c r="Q1497" s="6">
        <f>31975438</f>
        <v>31975438</v>
      </c>
      <c r="R1497" s="6">
        <f>293352400</f>
        <v>293352400</v>
      </c>
      <c r="S1497" s="5" t="s">
        <v>1129</v>
      </c>
      <c r="T1497" s="4" t="s">
        <v>333</v>
      </c>
      <c r="U1497" s="4" t="s">
        <v>552</v>
      </c>
      <c r="V1497" s="6">
        <f>7920514</f>
        <v>7920514</v>
      </c>
      <c r="W1497" s="6">
        <f>261376962</f>
        <v>261376962</v>
      </c>
      <c r="X1497" s="4" t="s">
        <v>243</v>
      </c>
      <c r="Y1497" s="4" t="s">
        <v>244</v>
      </c>
      <c r="Z1497" s="4" t="s">
        <v>1338</v>
      </c>
      <c r="AA1497" s="4" t="s">
        <v>241</v>
      </c>
      <c r="AD1497" s="4" t="s">
        <v>241</v>
      </c>
      <c r="AE1497" s="5" t="s">
        <v>241</v>
      </c>
      <c r="AF1497" s="5" t="s">
        <v>241</v>
      </c>
      <c r="AH1497" s="5" t="s">
        <v>241</v>
      </c>
      <c r="AI1497" s="5" t="s">
        <v>249</v>
      </c>
      <c r="AJ1497" s="4" t="s">
        <v>251</v>
      </c>
      <c r="AK1497" s="4" t="s">
        <v>252</v>
      </c>
      <c r="AQ1497" s="4" t="s">
        <v>241</v>
      </c>
      <c r="AR1497" s="4" t="s">
        <v>241</v>
      </c>
      <c r="AS1497" s="4" t="s">
        <v>241</v>
      </c>
      <c r="AT1497" s="5" t="s">
        <v>241</v>
      </c>
      <c r="AU1497" s="5" t="s">
        <v>241</v>
      </c>
      <c r="AV1497" s="5" t="s">
        <v>241</v>
      </c>
      <c r="AY1497" s="4" t="s">
        <v>286</v>
      </c>
      <c r="AZ1497" s="4" t="s">
        <v>286</v>
      </c>
      <c r="BA1497" s="4" t="s">
        <v>254</v>
      </c>
      <c r="BB1497" s="4" t="s">
        <v>287</v>
      </c>
      <c r="BC1497" s="4" t="s">
        <v>255</v>
      </c>
      <c r="BD1497" s="4" t="s">
        <v>241</v>
      </c>
      <c r="BE1497" s="4" t="s">
        <v>257</v>
      </c>
      <c r="BF1497" s="4" t="s">
        <v>241</v>
      </c>
      <c r="BJ1497" s="4" t="s">
        <v>288</v>
      </c>
      <c r="BK1497" s="5" t="s">
        <v>289</v>
      </c>
      <c r="BL1497" s="4" t="s">
        <v>290</v>
      </c>
      <c r="BM1497" s="4" t="s">
        <v>290</v>
      </c>
      <c r="BN1497" s="4" t="s">
        <v>241</v>
      </c>
      <c r="BO1497" s="6">
        <f>0</f>
        <v>0</v>
      </c>
      <c r="BP1497" s="6">
        <f>-7920514</f>
        <v>-7920514</v>
      </c>
      <c r="BQ1497" s="4" t="s">
        <v>263</v>
      </c>
      <c r="BR1497" s="4" t="s">
        <v>264</v>
      </c>
      <c r="BS1497" s="4" t="s">
        <v>241</v>
      </c>
      <c r="BT1497" s="4" t="s">
        <v>241</v>
      </c>
      <c r="BU1497" s="4" t="s">
        <v>241</v>
      </c>
      <c r="BV1497" s="4" t="s">
        <v>241</v>
      </c>
      <c r="CE1497" s="4" t="s">
        <v>264</v>
      </c>
      <c r="CF1497" s="4" t="s">
        <v>241</v>
      </c>
      <c r="CG1497" s="4" t="s">
        <v>241</v>
      </c>
      <c r="CK1497" s="4" t="s">
        <v>291</v>
      </c>
      <c r="CL1497" s="4" t="s">
        <v>266</v>
      </c>
      <c r="CM1497" s="4" t="s">
        <v>241</v>
      </c>
      <c r="CO1497" s="4" t="s">
        <v>551</v>
      </c>
      <c r="CP1497" s="5" t="s">
        <v>268</v>
      </c>
      <c r="CQ1497" s="4" t="s">
        <v>269</v>
      </c>
      <c r="CR1497" s="4" t="s">
        <v>270</v>
      </c>
      <c r="CS1497" s="4" t="s">
        <v>293</v>
      </c>
      <c r="CT1497" s="4" t="s">
        <v>241</v>
      </c>
      <c r="CU1497" s="4">
        <v>2.7E-2</v>
      </c>
      <c r="CV1497" s="4" t="s">
        <v>271</v>
      </c>
      <c r="CW1497" s="4" t="s">
        <v>1920</v>
      </c>
      <c r="CX1497" s="4" t="s">
        <v>295</v>
      </c>
      <c r="CY1497" s="6">
        <f>0</f>
        <v>0</v>
      </c>
      <c r="CZ1497" s="6">
        <f>293352400</f>
        <v>293352400</v>
      </c>
      <c r="DA1497" s="6">
        <f>31975438</f>
        <v>31975438</v>
      </c>
      <c r="DC1497" s="4" t="s">
        <v>241</v>
      </c>
      <c r="DD1497" s="4" t="s">
        <v>241</v>
      </c>
      <c r="DF1497" s="4" t="s">
        <v>241</v>
      </c>
      <c r="DG1497" s="6">
        <f>0</f>
        <v>0</v>
      </c>
      <c r="DI1497" s="4" t="s">
        <v>241</v>
      </c>
      <c r="DJ1497" s="4" t="s">
        <v>241</v>
      </c>
      <c r="DK1497" s="4" t="s">
        <v>241</v>
      </c>
      <c r="DL1497" s="4" t="s">
        <v>241</v>
      </c>
      <c r="DM1497" s="4" t="s">
        <v>277</v>
      </c>
      <c r="DN1497" s="4" t="s">
        <v>278</v>
      </c>
      <c r="DO1497" s="6">
        <f>1011.56</f>
        <v>1011.56</v>
      </c>
      <c r="DP1497" s="4" t="s">
        <v>241</v>
      </c>
      <c r="DQ1497" s="4" t="s">
        <v>241</v>
      </c>
      <c r="DR1497" s="4" t="s">
        <v>241</v>
      </c>
      <c r="DS1497" s="4" t="s">
        <v>241</v>
      </c>
      <c r="DV1497" s="4" t="s">
        <v>1341</v>
      </c>
      <c r="DW1497" s="4" t="s">
        <v>297</v>
      </c>
      <c r="GN1497" s="4" t="s">
        <v>1921</v>
      </c>
      <c r="HO1497" s="4" t="s">
        <v>343</v>
      </c>
      <c r="HR1497" s="4" t="s">
        <v>278</v>
      </c>
      <c r="HS1497" s="4" t="s">
        <v>278</v>
      </c>
      <c r="HT1497" s="4" t="s">
        <v>241</v>
      </c>
      <c r="HU1497" s="4" t="s">
        <v>241</v>
      </c>
      <c r="HV1497" s="4" t="s">
        <v>241</v>
      </c>
      <c r="HW1497" s="4" t="s">
        <v>241</v>
      </c>
      <c r="HX1497" s="4" t="s">
        <v>241</v>
      </c>
      <c r="HY1497" s="4" t="s">
        <v>241</v>
      </c>
      <c r="HZ1497" s="4" t="s">
        <v>241</v>
      </c>
      <c r="IA1497" s="4" t="s">
        <v>241</v>
      </c>
      <c r="IB1497" s="4" t="s">
        <v>241</v>
      </c>
      <c r="IC1497" s="4" t="s">
        <v>241</v>
      </c>
      <c r="ID1497" s="4" t="s">
        <v>241</v>
      </c>
      <c r="IE1497" s="4" t="s">
        <v>241</v>
      </c>
      <c r="IF1497" s="4" t="s">
        <v>241</v>
      </c>
    </row>
    <row r="1498" spans="1:240" x14ac:dyDescent="0.4">
      <c r="A1498" s="4">
        <v>2</v>
      </c>
      <c r="B1498" s="4" t="s">
        <v>239</v>
      </c>
      <c r="C1498" s="4">
        <v>1837</v>
      </c>
      <c r="D1498" s="4">
        <v>1</v>
      </c>
      <c r="E1498" s="4">
        <v>1</v>
      </c>
      <c r="F1498" s="4" t="s">
        <v>240</v>
      </c>
      <c r="G1498" s="4" t="s">
        <v>241</v>
      </c>
      <c r="H1498" s="4" t="s">
        <v>241</v>
      </c>
      <c r="I1498" s="4" t="s">
        <v>1337</v>
      </c>
      <c r="J1498" s="4" t="s">
        <v>1339</v>
      </c>
      <c r="K1498" s="4" t="s">
        <v>578</v>
      </c>
      <c r="L1498" s="4" t="s">
        <v>454</v>
      </c>
      <c r="M1498" s="5" t="s">
        <v>1340</v>
      </c>
      <c r="N1498" s="4" t="s">
        <v>454</v>
      </c>
      <c r="O1498" s="6">
        <f>132.21</f>
        <v>132.21</v>
      </c>
      <c r="P1498" s="4" t="s">
        <v>276</v>
      </c>
      <c r="Q1498" s="6">
        <f>1</f>
        <v>1</v>
      </c>
      <c r="R1498" s="6">
        <f>38340900</f>
        <v>38340900</v>
      </c>
      <c r="S1498" s="5" t="s">
        <v>1129</v>
      </c>
      <c r="T1498" s="4" t="s">
        <v>441</v>
      </c>
      <c r="U1498" s="4" t="s">
        <v>441</v>
      </c>
      <c r="W1498" s="6">
        <f>38340899</f>
        <v>38340899</v>
      </c>
      <c r="X1498" s="4" t="s">
        <v>243</v>
      </c>
      <c r="Y1498" s="4" t="s">
        <v>244</v>
      </c>
      <c r="Z1498" s="4" t="s">
        <v>1338</v>
      </c>
      <c r="AA1498" s="4" t="s">
        <v>241</v>
      </c>
      <c r="AD1498" s="4" t="s">
        <v>241</v>
      </c>
      <c r="AF1498" s="5" t="s">
        <v>241</v>
      </c>
      <c r="AI1498" s="5" t="s">
        <v>249</v>
      </c>
      <c r="AJ1498" s="4" t="s">
        <v>251</v>
      </c>
      <c r="AK1498" s="4" t="s">
        <v>252</v>
      </c>
      <c r="BA1498" s="4" t="s">
        <v>254</v>
      </c>
      <c r="BB1498" s="4" t="s">
        <v>241</v>
      </c>
      <c r="BC1498" s="4" t="s">
        <v>255</v>
      </c>
      <c r="BD1498" s="4" t="s">
        <v>241</v>
      </c>
      <c r="BE1498" s="4" t="s">
        <v>257</v>
      </c>
      <c r="BF1498" s="4" t="s">
        <v>241</v>
      </c>
      <c r="BJ1498" s="4" t="s">
        <v>259</v>
      </c>
      <c r="BK1498" s="5" t="s">
        <v>260</v>
      </c>
      <c r="BL1498" s="4" t="s">
        <v>261</v>
      </c>
      <c r="BM1498" s="4" t="s">
        <v>1323</v>
      </c>
      <c r="BN1498" s="4" t="s">
        <v>241</v>
      </c>
      <c r="BO1498" s="6">
        <f>0</f>
        <v>0</v>
      </c>
      <c r="BP1498" s="6">
        <f>0</f>
        <v>0</v>
      </c>
      <c r="BQ1498" s="4" t="s">
        <v>263</v>
      </c>
      <c r="BR1498" s="4" t="s">
        <v>264</v>
      </c>
      <c r="CF1498" s="4" t="s">
        <v>241</v>
      </c>
      <c r="CG1498" s="4" t="s">
        <v>241</v>
      </c>
      <c r="CK1498" s="4" t="s">
        <v>291</v>
      </c>
      <c r="CL1498" s="4" t="s">
        <v>266</v>
      </c>
      <c r="CM1498" s="4" t="s">
        <v>241</v>
      </c>
      <c r="CO1498" s="4" t="s">
        <v>551</v>
      </c>
      <c r="CP1498" s="5" t="s">
        <v>268</v>
      </c>
      <c r="CQ1498" s="4" t="s">
        <v>269</v>
      </c>
      <c r="CR1498" s="4" t="s">
        <v>270</v>
      </c>
      <c r="CS1498" s="4" t="s">
        <v>241</v>
      </c>
      <c r="CT1498" s="4" t="s">
        <v>241</v>
      </c>
      <c r="CU1498" s="4">
        <v>0</v>
      </c>
      <c r="CV1498" s="4" t="s">
        <v>271</v>
      </c>
      <c r="CW1498" s="4" t="s">
        <v>455</v>
      </c>
      <c r="CX1498" s="4" t="s">
        <v>487</v>
      </c>
      <c r="CZ1498" s="6">
        <f>38340900</f>
        <v>38340900</v>
      </c>
      <c r="DA1498" s="6">
        <f>0</f>
        <v>0</v>
      </c>
      <c r="DC1498" s="4" t="s">
        <v>241</v>
      </c>
      <c r="DD1498" s="4" t="s">
        <v>241</v>
      </c>
      <c r="DF1498" s="4" t="s">
        <v>241</v>
      </c>
      <c r="DI1498" s="4" t="s">
        <v>241</v>
      </c>
      <c r="DJ1498" s="4" t="s">
        <v>241</v>
      </c>
      <c r="DK1498" s="4" t="s">
        <v>241</v>
      </c>
      <c r="DL1498" s="4" t="s">
        <v>241</v>
      </c>
      <c r="DM1498" s="4" t="s">
        <v>277</v>
      </c>
      <c r="DN1498" s="4" t="s">
        <v>278</v>
      </c>
      <c r="DO1498" s="6">
        <f>132.21</f>
        <v>132.21</v>
      </c>
      <c r="DP1498" s="4" t="s">
        <v>241</v>
      </c>
      <c r="DQ1498" s="4" t="s">
        <v>241</v>
      </c>
      <c r="DR1498" s="4" t="s">
        <v>241</v>
      </c>
      <c r="DS1498" s="4" t="s">
        <v>241</v>
      </c>
      <c r="DV1498" s="4" t="s">
        <v>1341</v>
      </c>
      <c r="DW1498" s="4" t="s">
        <v>336</v>
      </c>
      <c r="HO1498" s="4" t="s">
        <v>341</v>
      </c>
      <c r="HR1498" s="4" t="s">
        <v>278</v>
      </c>
      <c r="HS1498" s="4" t="s">
        <v>278</v>
      </c>
    </row>
    <row r="1499" spans="1:240" x14ac:dyDescent="0.4">
      <c r="A1499" s="4">
        <v>2</v>
      </c>
      <c r="B1499" s="4" t="s">
        <v>239</v>
      </c>
      <c r="C1499" s="4">
        <v>1838</v>
      </c>
      <c r="D1499" s="4">
        <v>1</v>
      </c>
      <c r="E1499" s="4">
        <v>3</v>
      </c>
      <c r="F1499" s="4" t="s">
        <v>240</v>
      </c>
      <c r="G1499" s="4" t="s">
        <v>241</v>
      </c>
      <c r="H1499" s="4" t="s">
        <v>241</v>
      </c>
      <c r="I1499" s="4" t="s">
        <v>1337</v>
      </c>
      <c r="J1499" s="4" t="s">
        <v>1339</v>
      </c>
      <c r="K1499" s="4" t="s">
        <v>578</v>
      </c>
      <c r="L1499" s="4" t="s">
        <v>1907</v>
      </c>
      <c r="M1499" s="5" t="s">
        <v>1340</v>
      </c>
      <c r="N1499" s="4" t="s">
        <v>1907</v>
      </c>
      <c r="O1499" s="6">
        <f>315.1</f>
        <v>315.10000000000002</v>
      </c>
      <c r="P1499" s="4" t="s">
        <v>276</v>
      </c>
      <c r="Q1499" s="6">
        <f>9960311</f>
        <v>9960311</v>
      </c>
      <c r="R1499" s="6">
        <f>91379000</f>
        <v>91379000</v>
      </c>
      <c r="S1499" s="5" t="s">
        <v>1129</v>
      </c>
      <c r="T1499" s="4" t="s">
        <v>333</v>
      </c>
      <c r="U1499" s="4" t="s">
        <v>552</v>
      </c>
      <c r="V1499" s="6">
        <f>2467233</f>
        <v>2467233</v>
      </c>
      <c r="W1499" s="6">
        <f>81418689</f>
        <v>81418689</v>
      </c>
      <c r="X1499" s="4" t="s">
        <v>243</v>
      </c>
      <c r="Y1499" s="4" t="s">
        <v>244</v>
      </c>
      <c r="Z1499" s="4" t="s">
        <v>1338</v>
      </c>
      <c r="AA1499" s="4" t="s">
        <v>241</v>
      </c>
      <c r="AD1499" s="4" t="s">
        <v>241</v>
      </c>
      <c r="AE1499" s="5" t="s">
        <v>241</v>
      </c>
      <c r="AF1499" s="5" t="s">
        <v>241</v>
      </c>
      <c r="AH1499" s="5" t="s">
        <v>241</v>
      </c>
      <c r="AI1499" s="5" t="s">
        <v>249</v>
      </c>
      <c r="AJ1499" s="4" t="s">
        <v>251</v>
      </c>
      <c r="AK1499" s="4" t="s">
        <v>252</v>
      </c>
      <c r="AQ1499" s="4" t="s">
        <v>241</v>
      </c>
      <c r="AR1499" s="4" t="s">
        <v>241</v>
      </c>
      <c r="AS1499" s="4" t="s">
        <v>241</v>
      </c>
      <c r="AT1499" s="5" t="s">
        <v>241</v>
      </c>
      <c r="AU1499" s="5" t="s">
        <v>241</v>
      </c>
      <c r="AV1499" s="5" t="s">
        <v>241</v>
      </c>
      <c r="AY1499" s="4" t="s">
        <v>286</v>
      </c>
      <c r="AZ1499" s="4" t="s">
        <v>286</v>
      </c>
      <c r="BA1499" s="4" t="s">
        <v>254</v>
      </c>
      <c r="BB1499" s="4" t="s">
        <v>287</v>
      </c>
      <c r="BC1499" s="4" t="s">
        <v>255</v>
      </c>
      <c r="BD1499" s="4" t="s">
        <v>241</v>
      </c>
      <c r="BE1499" s="4" t="s">
        <v>257</v>
      </c>
      <c r="BF1499" s="4" t="s">
        <v>241</v>
      </c>
      <c r="BJ1499" s="4" t="s">
        <v>288</v>
      </c>
      <c r="BK1499" s="5" t="s">
        <v>289</v>
      </c>
      <c r="BL1499" s="4" t="s">
        <v>290</v>
      </c>
      <c r="BM1499" s="4" t="s">
        <v>290</v>
      </c>
      <c r="BN1499" s="4" t="s">
        <v>241</v>
      </c>
      <c r="BO1499" s="6">
        <f>0</f>
        <v>0</v>
      </c>
      <c r="BP1499" s="6">
        <f>-2467233</f>
        <v>-2467233</v>
      </c>
      <c r="BQ1499" s="4" t="s">
        <v>263</v>
      </c>
      <c r="BR1499" s="4" t="s">
        <v>264</v>
      </c>
      <c r="BS1499" s="4" t="s">
        <v>241</v>
      </c>
      <c r="BT1499" s="4" t="s">
        <v>241</v>
      </c>
      <c r="BU1499" s="4" t="s">
        <v>241</v>
      </c>
      <c r="BV1499" s="4" t="s">
        <v>241</v>
      </c>
      <c r="CE1499" s="4" t="s">
        <v>264</v>
      </c>
      <c r="CF1499" s="4" t="s">
        <v>241</v>
      </c>
      <c r="CG1499" s="4" t="s">
        <v>241</v>
      </c>
      <c r="CK1499" s="4" t="s">
        <v>291</v>
      </c>
      <c r="CL1499" s="4" t="s">
        <v>266</v>
      </c>
      <c r="CM1499" s="4" t="s">
        <v>241</v>
      </c>
      <c r="CO1499" s="4" t="s">
        <v>551</v>
      </c>
      <c r="CP1499" s="5" t="s">
        <v>268</v>
      </c>
      <c r="CQ1499" s="4" t="s">
        <v>269</v>
      </c>
      <c r="CR1499" s="4" t="s">
        <v>270</v>
      </c>
      <c r="CS1499" s="4" t="s">
        <v>293</v>
      </c>
      <c r="CT1499" s="4" t="s">
        <v>241</v>
      </c>
      <c r="CU1499" s="4">
        <v>2.7E-2</v>
      </c>
      <c r="CV1499" s="4" t="s">
        <v>271</v>
      </c>
      <c r="CW1499" s="4" t="s">
        <v>1920</v>
      </c>
      <c r="CX1499" s="4" t="s">
        <v>295</v>
      </c>
      <c r="CY1499" s="6">
        <f>0</f>
        <v>0</v>
      </c>
      <c r="CZ1499" s="6">
        <f>91379000</f>
        <v>91379000</v>
      </c>
      <c r="DA1499" s="6">
        <f>9960311</f>
        <v>9960311</v>
      </c>
      <c r="DC1499" s="4" t="s">
        <v>241</v>
      </c>
      <c r="DD1499" s="4" t="s">
        <v>241</v>
      </c>
      <c r="DF1499" s="4" t="s">
        <v>241</v>
      </c>
      <c r="DG1499" s="6">
        <f>0</f>
        <v>0</v>
      </c>
      <c r="DI1499" s="4" t="s">
        <v>241</v>
      </c>
      <c r="DJ1499" s="4" t="s">
        <v>241</v>
      </c>
      <c r="DK1499" s="4" t="s">
        <v>241</v>
      </c>
      <c r="DL1499" s="4" t="s">
        <v>241</v>
      </c>
      <c r="DM1499" s="4" t="s">
        <v>277</v>
      </c>
      <c r="DN1499" s="4" t="s">
        <v>278</v>
      </c>
      <c r="DO1499" s="6">
        <f>315.1</f>
        <v>315.10000000000002</v>
      </c>
      <c r="DP1499" s="4" t="s">
        <v>241</v>
      </c>
      <c r="DQ1499" s="4" t="s">
        <v>241</v>
      </c>
      <c r="DR1499" s="4" t="s">
        <v>241</v>
      </c>
      <c r="DS1499" s="4" t="s">
        <v>241</v>
      </c>
      <c r="DV1499" s="4" t="s">
        <v>1341</v>
      </c>
      <c r="DW1499" s="4" t="s">
        <v>351</v>
      </c>
      <c r="GN1499" s="4" t="s">
        <v>1980</v>
      </c>
      <c r="HO1499" s="4" t="s">
        <v>343</v>
      </c>
      <c r="HR1499" s="4" t="s">
        <v>278</v>
      </c>
      <c r="HS1499" s="4" t="s">
        <v>278</v>
      </c>
      <c r="HT1499" s="4" t="s">
        <v>241</v>
      </c>
      <c r="HU1499" s="4" t="s">
        <v>241</v>
      </c>
      <c r="HV1499" s="4" t="s">
        <v>241</v>
      </c>
      <c r="HW1499" s="4" t="s">
        <v>241</v>
      </c>
      <c r="HX1499" s="4" t="s">
        <v>241</v>
      </c>
      <c r="HY1499" s="4" t="s">
        <v>241</v>
      </c>
      <c r="HZ1499" s="4" t="s">
        <v>241</v>
      </c>
      <c r="IA1499" s="4" t="s">
        <v>241</v>
      </c>
      <c r="IB1499" s="4" t="s">
        <v>241</v>
      </c>
      <c r="IC1499" s="4" t="s">
        <v>241</v>
      </c>
      <c r="ID1499" s="4" t="s">
        <v>241</v>
      </c>
      <c r="IE1499" s="4" t="s">
        <v>241</v>
      </c>
      <c r="IF1499" s="4" t="s">
        <v>241</v>
      </c>
    </row>
    <row r="1500" spans="1:240" x14ac:dyDescent="0.4">
      <c r="A1500" s="4">
        <v>2</v>
      </c>
      <c r="B1500" s="4" t="s">
        <v>239</v>
      </c>
      <c r="C1500" s="4">
        <v>1839</v>
      </c>
      <c r="D1500" s="4">
        <v>1</v>
      </c>
      <c r="E1500" s="4">
        <v>3</v>
      </c>
      <c r="F1500" s="4" t="s">
        <v>326</v>
      </c>
      <c r="G1500" s="4" t="s">
        <v>241</v>
      </c>
      <c r="H1500" s="4" t="s">
        <v>241</v>
      </c>
      <c r="I1500" s="4" t="s">
        <v>1337</v>
      </c>
      <c r="J1500" s="4" t="s">
        <v>1339</v>
      </c>
      <c r="K1500" s="4" t="s">
        <v>578</v>
      </c>
      <c r="L1500" s="4" t="s">
        <v>2531</v>
      </c>
      <c r="M1500" s="5" t="s">
        <v>1340</v>
      </c>
      <c r="N1500" s="4" t="s">
        <v>2530</v>
      </c>
      <c r="O1500" s="6">
        <f>0</f>
        <v>0</v>
      </c>
      <c r="P1500" s="4" t="s">
        <v>276</v>
      </c>
      <c r="Q1500" s="6">
        <f>486196</f>
        <v>486196</v>
      </c>
      <c r="R1500" s="6">
        <f>664200</f>
        <v>664200</v>
      </c>
      <c r="S1500" s="5" t="s">
        <v>987</v>
      </c>
      <c r="T1500" s="4" t="s">
        <v>348</v>
      </c>
      <c r="U1500" s="4" t="s">
        <v>297</v>
      </c>
      <c r="V1500" s="6">
        <f>44501</f>
        <v>44501</v>
      </c>
      <c r="W1500" s="6">
        <f>178004</f>
        <v>178004</v>
      </c>
      <c r="X1500" s="4" t="s">
        <v>243</v>
      </c>
      <c r="Y1500" s="4" t="s">
        <v>244</v>
      </c>
      <c r="Z1500" s="4" t="s">
        <v>1338</v>
      </c>
      <c r="AA1500" s="4" t="s">
        <v>241</v>
      </c>
      <c r="AD1500" s="4" t="s">
        <v>241</v>
      </c>
      <c r="AE1500" s="5" t="s">
        <v>241</v>
      </c>
      <c r="AF1500" s="5" t="s">
        <v>241</v>
      </c>
      <c r="AH1500" s="5" t="s">
        <v>241</v>
      </c>
      <c r="AI1500" s="5" t="s">
        <v>249</v>
      </c>
      <c r="AJ1500" s="4" t="s">
        <v>251</v>
      </c>
      <c r="AK1500" s="4" t="s">
        <v>252</v>
      </c>
      <c r="AQ1500" s="4" t="s">
        <v>241</v>
      </c>
      <c r="AR1500" s="4" t="s">
        <v>241</v>
      </c>
      <c r="AS1500" s="4" t="s">
        <v>241</v>
      </c>
      <c r="AT1500" s="5" t="s">
        <v>241</v>
      </c>
      <c r="AU1500" s="5" t="s">
        <v>241</v>
      </c>
      <c r="AV1500" s="5" t="s">
        <v>241</v>
      </c>
      <c r="AY1500" s="4" t="s">
        <v>286</v>
      </c>
      <c r="AZ1500" s="4" t="s">
        <v>286</v>
      </c>
      <c r="BA1500" s="4" t="s">
        <v>254</v>
      </c>
      <c r="BB1500" s="4" t="s">
        <v>287</v>
      </c>
      <c r="BC1500" s="4" t="s">
        <v>255</v>
      </c>
      <c r="BD1500" s="4" t="s">
        <v>241</v>
      </c>
      <c r="BE1500" s="4" t="s">
        <v>257</v>
      </c>
      <c r="BF1500" s="4" t="s">
        <v>241</v>
      </c>
      <c r="BJ1500" s="4" t="s">
        <v>288</v>
      </c>
      <c r="BK1500" s="5" t="s">
        <v>289</v>
      </c>
      <c r="BL1500" s="4" t="s">
        <v>290</v>
      </c>
      <c r="BM1500" s="4" t="s">
        <v>290</v>
      </c>
      <c r="BN1500" s="4" t="s">
        <v>241</v>
      </c>
      <c r="BP1500" s="6">
        <f>-44501</f>
        <v>-44501</v>
      </c>
      <c r="BQ1500" s="4" t="s">
        <v>263</v>
      </c>
      <c r="BR1500" s="4" t="s">
        <v>264</v>
      </c>
      <c r="BS1500" s="4" t="s">
        <v>241</v>
      </c>
      <c r="BT1500" s="4" t="s">
        <v>241</v>
      </c>
      <c r="BU1500" s="4" t="s">
        <v>241</v>
      </c>
      <c r="BV1500" s="4" t="s">
        <v>241</v>
      </c>
      <c r="CE1500" s="4" t="s">
        <v>264</v>
      </c>
      <c r="CF1500" s="4" t="s">
        <v>241</v>
      </c>
      <c r="CG1500" s="4" t="s">
        <v>241</v>
      </c>
      <c r="CK1500" s="4" t="s">
        <v>291</v>
      </c>
      <c r="CL1500" s="4" t="s">
        <v>266</v>
      </c>
      <c r="CM1500" s="4" t="s">
        <v>241</v>
      </c>
      <c r="CO1500" s="4" t="s">
        <v>413</v>
      </c>
      <c r="CP1500" s="5" t="s">
        <v>268</v>
      </c>
      <c r="CQ1500" s="4" t="s">
        <v>269</v>
      </c>
      <c r="CR1500" s="4" t="s">
        <v>270</v>
      </c>
      <c r="CS1500" s="4" t="s">
        <v>293</v>
      </c>
      <c r="CT1500" s="4" t="s">
        <v>241</v>
      </c>
      <c r="CU1500" s="4">
        <v>6.7000000000000004E-2</v>
      </c>
      <c r="CV1500" s="4" t="s">
        <v>271</v>
      </c>
      <c r="CW1500" s="4" t="s">
        <v>415</v>
      </c>
      <c r="CX1500" s="4" t="s">
        <v>422</v>
      </c>
      <c r="CY1500" s="6">
        <f>0</f>
        <v>0</v>
      </c>
      <c r="CZ1500" s="6">
        <f>664200</f>
        <v>664200</v>
      </c>
      <c r="DA1500" s="6">
        <f>486196</f>
        <v>486196</v>
      </c>
      <c r="DC1500" s="4" t="s">
        <v>241</v>
      </c>
      <c r="DD1500" s="4" t="s">
        <v>241</v>
      </c>
      <c r="DF1500" s="4" t="s">
        <v>241</v>
      </c>
      <c r="DG1500" s="6">
        <f>0</f>
        <v>0</v>
      </c>
      <c r="DI1500" s="4" t="s">
        <v>241</v>
      </c>
      <c r="DJ1500" s="4" t="s">
        <v>241</v>
      </c>
      <c r="DK1500" s="4" t="s">
        <v>241</v>
      </c>
      <c r="DL1500" s="4" t="s">
        <v>241</v>
      </c>
      <c r="DM1500" s="4" t="s">
        <v>278</v>
      </c>
      <c r="DN1500" s="4" t="s">
        <v>278</v>
      </c>
      <c r="DO1500" s="6" t="s">
        <v>241</v>
      </c>
      <c r="DP1500" s="4" t="s">
        <v>241</v>
      </c>
      <c r="DQ1500" s="4" t="s">
        <v>241</v>
      </c>
      <c r="DR1500" s="4" t="s">
        <v>241</v>
      </c>
      <c r="DS1500" s="4" t="s">
        <v>241</v>
      </c>
      <c r="DV1500" s="4" t="s">
        <v>1341</v>
      </c>
      <c r="DW1500" s="4" t="s">
        <v>300</v>
      </c>
      <c r="GN1500" s="4" t="s">
        <v>2532</v>
      </c>
      <c r="HO1500" s="4" t="s">
        <v>341</v>
      </c>
      <c r="HR1500" s="4" t="s">
        <v>278</v>
      </c>
      <c r="HS1500" s="4" t="s">
        <v>278</v>
      </c>
      <c r="HT1500" s="4" t="s">
        <v>241</v>
      </c>
      <c r="HU1500" s="4" t="s">
        <v>241</v>
      </c>
      <c r="HV1500" s="4" t="s">
        <v>241</v>
      </c>
      <c r="HW1500" s="4" t="s">
        <v>241</v>
      </c>
      <c r="HX1500" s="4" t="s">
        <v>241</v>
      </c>
      <c r="HY1500" s="4" t="s">
        <v>241</v>
      </c>
      <c r="HZ1500" s="4" t="s">
        <v>241</v>
      </c>
      <c r="IA1500" s="4" t="s">
        <v>241</v>
      </c>
      <c r="IB1500" s="4" t="s">
        <v>241</v>
      </c>
      <c r="IC1500" s="4" t="s">
        <v>241</v>
      </c>
      <c r="ID1500" s="4" t="s">
        <v>241</v>
      </c>
      <c r="IE1500" s="4" t="s">
        <v>241</v>
      </c>
      <c r="IF1500" s="4" t="s">
        <v>241</v>
      </c>
    </row>
    <row r="1501" spans="1:240" x14ac:dyDescent="0.4">
      <c r="A1501" s="4">
        <v>2</v>
      </c>
      <c r="B1501" s="4" t="s">
        <v>239</v>
      </c>
      <c r="C1501" s="4">
        <v>1842</v>
      </c>
      <c r="D1501" s="4">
        <v>1</v>
      </c>
      <c r="E1501" s="4">
        <v>1</v>
      </c>
      <c r="F1501" s="4" t="s">
        <v>240</v>
      </c>
      <c r="G1501" s="4" t="s">
        <v>241</v>
      </c>
      <c r="H1501" s="4" t="s">
        <v>241</v>
      </c>
      <c r="I1501" s="4" t="s">
        <v>1188</v>
      </c>
      <c r="J1501" s="4" t="s">
        <v>283</v>
      </c>
      <c r="K1501" s="4" t="s">
        <v>578</v>
      </c>
      <c r="L1501" s="4" t="s">
        <v>1174</v>
      </c>
      <c r="M1501" s="5" t="s">
        <v>1190</v>
      </c>
      <c r="N1501" s="4" t="s">
        <v>1172</v>
      </c>
      <c r="O1501" s="6">
        <f>84</f>
        <v>84</v>
      </c>
      <c r="P1501" s="4" t="s">
        <v>276</v>
      </c>
      <c r="Q1501" s="6">
        <f>1</f>
        <v>1</v>
      </c>
      <c r="R1501" s="6">
        <f>7560000</f>
        <v>7560000</v>
      </c>
      <c r="S1501" s="5" t="s">
        <v>1189</v>
      </c>
      <c r="T1501" s="4" t="s">
        <v>314</v>
      </c>
      <c r="U1501" s="4" t="s">
        <v>1191</v>
      </c>
      <c r="W1501" s="6">
        <f>7559999</f>
        <v>7559999</v>
      </c>
      <c r="X1501" s="4" t="s">
        <v>243</v>
      </c>
      <c r="Y1501" s="4" t="s">
        <v>244</v>
      </c>
      <c r="Z1501" s="4" t="s">
        <v>282</v>
      </c>
      <c r="AA1501" s="4" t="s">
        <v>241</v>
      </c>
      <c r="AD1501" s="4" t="s">
        <v>241</v>
      </c>
      <c r="AF1501" s="5" t="s">
        <v>241</v>
      </c>
      <c r="AI1501" s="5" t="s">
        <v>249</v>
      </c>
      <c r="AJ1501" s="4" t="s">
        <v>251</v>
      </c>
      <c r="AK1501" s="4" t="s">
        <v>252</v>
      </c>
      <c r="BA1501" s="4" t="s">
        <v>254</v>
      </c>
      <c r="BB1501" s="4" t="s">
        <v>241</v>
      </c>
      <c r="BC1501" s="4" t="s">
        <v>255</v>
      </c>
      <c r="BD1501" s="4" t="s">
        <v>241</v>
      </c>
      <c r="BE1501" s="4" t="s">
        <v>257</v>
      </c>
      <c r="BF1501" s="4" t="s">
        <v>241</v>
      </c>
      <c r="BJ1501" s="4" t="s">
        <v>367</v>
      </c>
      <c r="BK1501" s="5" t="s">
        <v>249</v>
      </c>
      <c r="BL1501" s="4" t="s">
        <v>261</v>
      </c>
      <c r="BM1501" s="4" t="s">
        <v>262</v>
      </c>
      <c r="BN1501" s="4" t="s">
        <v>241</v>
      </c>
      <c r="BO1501" s="6">
        <f>0</f>
        <v>0</v>
      </c>
      <c r="BP1501" s="6">
        <f>0</f>
        <v>0</v>
      </c>
      <c r="BQ1501" s="4" t="s">
        <v>263</v>
      </c>
      <c r="BR1501" s="4" t="s">
        <v>264</v>
      </c>
      <c r="CF1501" s="4" t="s">
        <v>241</v>
      </c>
      <c r="CG1501" s="4" t="s">
        <v>241</v>
      </c>
      <c r="CK1501" s="4" t="s">
        <v>265</v>
      </c>
      <c r="CL1501" s="4" t="s">
        <v>266</v>
      </c>
      <c r="CM1501" s="4" t="s">
        <v>241</v>
      </c>
      <c r="CO1501" s="4" t="s">
        <v>793</v>
      </c>
      <c r="CP1501" s="5" t="s">
        <v>268</v>
      </c>
      <c r="CQ1501" s="4" t="s">
        <v>269</v>
      </c>
      <c r="CR1501" s="4" t="s">
        <v>270</v>
      </c>
      <c r="CS1501" s="4" t="s">
        <v>241</v>
      </c>
      <c r="CT1501" s="4" t="s">
        <v>241</v>
      </c>
      <c r="CU1501" s="4">
        <v>0</v>
      </c>
      <c r="CV1501" s="4" t="s">
        <v>271</v>
      </c>
      <c r="CW1501" s="4" t="s">
        <v>1176</v>
      </c>
      <c r="CX1501" s="4" t="s">
        <v>347</v>
      </c>
      <c r="CZ1501" s="6">
        <f>7560000</f>
        <v>7560000</v>
      </c>
      <c r="DA1501" s="6">
        <f>0</f>
        <v>0</v>
      </c>
      <c r="DC1501" s="4" t="s">
        <v>241</v>
      </c>
      <c r="DD1501" s="4" t="s">
        <v>241</v>
      </c>
      <c r="DF1501" s="4" t="s">
        <v>241</v>
      </c>
      <c r="DI1501" s="4" t="s">
        <v>241</v>
      </c>
      <c r="DJ1501" s="4" t="s">
        <v>241</v>
      </c>
      <c r="DK1501" s="4" t="s">
        <v>241</v>
      </c>
      <c r="DL1501" s="4" t="s">
        <v>241</v>
      </c>
      <c r="DM1501" s="4" t="s">
        <v>277</v>
      </c>
      <c r="DN1501" s="4" t="s">
        <v>278</v>
      </c>
      <c r="DO1501" s="6">
        <f>84</f>
        <v>84</v>
      </c>
      <c r="DP1501" s="4" t="s">
        <v>241</v>
      </c>
      <c r="DQ1501" s="4" t="s">
        <v>241</v>
      </c>
      <c r="DR1501" s="4" t="s">
        <v>241</v>
      </c>
      <c r="DS1501" s="4" t="s">
        <v>241</v>
      </c>
      <c r="DV1501" s="4" t="s">
        <v>1192</v>
      </c>
      <c r="DW1501" s="4" t="s">
        <v>277</v>
      </c>
      <c r="HO1501" s="4" t="s">
        <v>277</v>
      </c>
      <c r="HR1501" s="4" t="s">
        <v>278</v>
      </c>
      <c r="HS1501" s="4" t="s">
        <v>278</v>
      </c>
    </row>
    <row r="1502" spans="1:240" x14ac:dyDescent="0.4">
      <c r="A1502" s="4">
        <v>2</v>
      </c>
      <c r="B1502" s="4" t="s">
        <v>239</v>
      </c>
      <c r="C1502" s="4">
        <v>1843</v>
      </c>
      <c r="D1502" s="4">
        <v>1</v>
      </c>
      <c r="E1502" s="4">
        <v>1</v>
      </c>
      <c r="F1502" s="4" t="s">
        <v>240</v>
      </c>
      <c r="G1502" s="4" t="s">
        <v>241</v>
      </c>
      <c r="H1502" s="4" t="s">
        <v>241</v>
      </c>
      <c r="I1502" s="4" t="s">
        <v>1188</v>
      </c>
      <c r="J1502" s="4" t="s">
        <v>283</v>
      </c>
      <c r="K1502" s="4" t="s">
        <v>578</v>
      </c>
      <c r="L1502" s="4" t="s">
        <v>1174</v>
      </c>
      <c r="M1502" s="5" t="s">
        <v>1190</v>
      </c>
      <c r="N1502" s="4" t="s">
        <v>1172</v>
      </c>
      <c r="O1502" s="6">
        <f>132</f>
        <v>132</v>
      </c>
      <c r="P1502" s="4" t="s">
        <v>276</v>
      </c>
      <c r="Q1502" s="6">
        <f>1</f>
        <v>1</v>
      </c>
      <c r="R1502" s="6">
        <f>11880000</f>
        <v>11880000</v>
      </c>
      <c r="S1502" s="5" t="s">
        <v>1291</v>
      </c>
      <c r="T1502" s="4" t="s">
        <v>314</v>
      </c>
      <c r="U1502" s="4" t="s">
        <v>1293</v>
      </c>
      <c r="W1502" s="6">
        <f>11879999</f>
        <v>11879999</v>
      </c>
      <c r="X1502" s="4" t="s">
        <v>243</v>
      </c>
      <c r="Y1502" s="4" t="s">
        <v>244</v>
      </c>
      <c r="Z1502" s="4" t="s">
        <v>282</v>
      </c>
      <c r="AA1502" s="4" t="s">
        <v>241</v>
      </c>
      <c r="AD1502" s="4" t="s">
        <v>241</v>
      </c>
      <c r="AF1502" s="5" t="s">
        <v>241</v>
      </c>
      <c r="AI1502" s="5" t="s">
        <v>249</v>
      </c>
      <c r="AJ1502" s="4" t="s">
        <v>251</v>
      </c>
      <c r="AK1502" s="4" t="s">
        <v>252</v>
      </c>
      <c r="BA1502" s="4" t="s">
        <v>254</v>
      </c>
      <c r="BB1502" s="4" t="s">
        <v>241</v>
      </c>
      <c r="BC1502" s="4" t="s">
        <v>255</v>
      </c>
      <c r="BD1502" s="4" t="s">
        <v>241</v>
      </c>
      <c r="BE1502" s="4" t="s">
        <v>257</v>
      </c>
      <c r="BF1502" s="4" t="s">
        <v>241</v>
      </c>
      <c r="BJ1502" s="4" t="s">
        <v>374</v>
      </c>
      <c r="BK1502" s="5" t="s">
        <v>375</v>
      </c>
      <c r="BL1502" s="4" t="s">
        <v>261</v>
      </c>
      <c r="BM1502" s="4" t="s">
        <v>262</v>
      </c>
      <c r="BN1502" s="4" t="s">
        <v>241</v>
      </c>
      <c r="BO1502" s="6">
        <f>0</f>
        <v>0</v>
      </c>
      <c r="BP1502" s="6">
        <f>0</f>
        <v>0</v>
      </c>
      <c r="BQ1502" s="4" t="s">
        <v>263</v>
      </c>
      <c r="BR1502" s="4" t="s">
        <v>264</v>
      </c>
      <c r="CF1502" s="4" t="s">
        <v>241</v>
      </c>
      <c r="CG1502" s="4" t="s">
        <v>241</v>
      </c>
      <c r="CK1502" s="4" t="s">
        <v>265</v>
      </c>
      <c r="CL1502" s="4" t="s">
        <v>266</v>
      </c>
      <c r="CM1502" s="4" t="s">
        <v>241</v>
      </c>
      <c r="CO1502" s="4" t="s">
        <v>1292</v>
      </c>
      <c r="CP1502" s="5" t="s">
        <v>268</v>
      </c>
      <c r="CQ1502" s="4" t="s">
        <v>269</v>
      </c>
      <c r="CR1502" s="4" t="s">
        <v>270</v>
      </c>
      <c r="CS1502" s="4" t="s">
        <v>241</v>
      </c>
      <c r="CT1502" s="4" t="s">
        <v>241</v>
      </c>
      <c r="CU1502" s="4">
        <v>0</v>
      </c>
      <c r="CV1502" s="4" t="s">
        <v>271</v>
      </c>
      <c r="CW1502" s="4" t="s">
        <v>1176</v>
      </c>
      <c r="CX1502" s="4" t="s">
        <v>347</v>
      </c>
      <c r="CZ1502" s="6">
        <f>11880000</f>
        <v>11880000</v>
      </c>
      <c r="DA1502" s="6">
        <f>0</f>
        <v>0</v>
      </c>
      <c r="DC1502" s="4" t="s">
        <v>241</v>
      </c>
      <c r="DD1502" s="4" t="s">
        <v>241</v>
      </c>
      <c r="DF1502" s="4" t="s">
        <v>241</v>
      </c>
      <c r="DI1502" s="4" t="s">
        <v>241</v>
      </c>
      <c r="DJ1502" s="4" t="s">
        <v>241</v>
      </c>
      <c r="DK1502" s="4" t="s">
        <v>241</v>
      </c>
      <c r="DL1502" s="4" t="s">
        <v>241</v>
      </c>
      <c r="DM1502" s="4" t="s">
        <v>277</v>
      </c>
      <c r="DN1502" s="4" t="s">
        <v>278</v>
      </c>
      <c r="DO1502" s="6">
        <f>132</f>
        <v>132</v>
      </c>
      <c r="DP1502" s="4" t="s">
        <v>241</v>
      </c>
      <c r="DQ1502" s="4" t="s">
        <v>241</v>
      </c>
      <c r="DR1502" s="4" t="s">
        <v>241</v>
      </c>
      <c r="DS1502" s="4" t="s">
        <v>241</v>
      </c>
      <c r="DV1502" s="4" t="s">
        <v>1192</v>
      </c>
      <c r="DW1502" s="4" t="s">
        <v>323</v>
      </c>
      <c r="HO1502" s="4" t="s">
        <v>277</v>
      </c>
      <c r="HR1502" s="4" t="s">
        <v>278</v>
      </c>
      <c r="HS1502" s="4" t="s">
        <v>278</v>
      </c>
    </row>
    <row r="1503" spans="1:240" x14ac:dyDescent="0.4">
      <c r="A1503" s="4">
        <v>2</v>
      </c>
      <c r="B1503" s="4" t="s">
        <v>239</v>
      </c>
      <c r="C1503" s="4">
        <v>1850</v>
      </c>
      <c r="D1503" s="4">
        <v>1</v>
      </c>
      <c r="E1503" s="4">
        <v>1</v>
      </c>
      <c r="F1503" s="4" t="s">
        <v>240</v>
      </c>
      <c r="G1503" s="4" t="s">
        <v>241</v>
      </c>
      <c r="H1503" s="4" t="s">
        <v>241</v>
      </c>
      <c r="I1503" s="4" t="s">
        <v>730</v>
      </c>
      <c r="J1503" s="4" t="s">
        <v>318</v>
      </c>
      <c r="K1503" s="4" t="s">
        <v>578</v>
      </c>
      <c r="L1503" s="4" t="s">
        <v>440</v>
      </c>
      <c r="M1503" s="5" t="s">
        <v>732</v>
      </c>
      <c r="N1503" s="4" t="s">
        <v>729</v>
      </c>
      <c r="O1503" s="6">
        <f>216</f>
        <v>216</v>
      </c>
      <c r="P1503" s="4" t="s">
        <v>276</v>
      </c>
      <c r="Q1503" s="6">
        <f>1</f>
        <v>1</v>
      </c>
      <c r="R1503" s="6">
        <f>17280000</f>
        <v>17280000</v>
      </c>
      <c r="S1503" s="5" t="s">
        <v>731</v>
      </c>
      <c r="T1503" s="4" t="s">
        <v>357</v>
      </c>
      <c r="U1503" s="4" t="s">
        <v>296</v>
      </c>
      <c r="W1503" s="6">
        <f>17279999</f>
        <v>17279999</v>
      </c>
      <c r="X1503" s="4" t="s">
        <v>243</v>
      </c>
      <c r="Y1503" s="4" t="s">
        <v>244</v>
      </c>
      <c r="Z1503" s="4" t="s">
        <v>282</v>
      </c>
      <c r="AA1503" s="4" t="s">
        <v>241</v>
      </c>
      <c r="AD1503" s="4" t="s">
        <v>241</v>
      </c>
      <c r="AF1503" s="5" t="s">
        <v>241</v>
      </c>
      <c r="AI1503" s="5" t="s">
        <v>249</v>
      </c>
      <c r="AJ1503" s="4" t="s">
        <v>251</v>
      </c>
      <c r="AK1503" s="4" t="s">
        <v>252</v>
      </c>
      <c r="BA1503" s="4" t="s">
        <v>254</v>
      </c>
      <c r="BB1503" s="4" t="s">
        <v>241</v>
      </c>
      <c r="BC1503" s="4" t="s">
        <v>255</v>
      </c>
      <c r="BD1503" s="4" t="s">
        <v>241</v>
      </c>
      <c r="BE1503" s="4" t="s">
        <v>257</v>
      </c>
      <c r="BF1503" s="4" t="s">
        <v>241</v>
      </c>
      <c r="BH1503" s="4" t="s">
        <v>579</v>
      </c>
      <c r="BJ1503" s="4" t="s">
        <v>367</v>
      </c>
      <c r="BK1503" s="5" t="s">
        <v>249</v>
      </c>
      <c r="BL1503" s="4" t="s">
        <v>261</v>
      </c>
      <c r="BM1503" s="4" t="s">
        <v>262</v>
      </c>
      <c r="BN1503" s="4" t="s">
        <v>241</v>
      </c>
      <c r="BO1503" s="6">
        <f>0</f>
        <v>0</v>
      </c>
      <c r="BP1503" s="6">
        <f>0</f>
        <v>0</v>
      </c>
      <c r="BQ1503" s="4" t="s">
        <v>263</v>
      </c>
      <c r="BR1503" s="4" t="s">
        <v>264</v>
      </c>
      <c r="CF1503" s="4" t="s">
        <v>241</v>
      </c>
      <c r="CG1503" s="4" t="s">
        <v>241</v>
      </c>
      <c r="CK1503" s="4" t="s">
        <v>265</v>
      </c>
      <c r="CL1503" s="4" t="s">
        <v>266</v>
      </c>
      <c r="CM1503" s="4" t="s">
        <v>241</v>
      </c>
      <c r="CO1503" s="4" t="s">
        <v>733</v>
      </c>
      <c r="CP1503" s="5" t="s">
        <v>268</v>
      </c>
      <c r="CQ1503" s="4" t="s">
        <v>269</v>
      </c>
      <c r="CR1503" s="4" t="s">
        <v>270</v>
      </c>
      <c r="CS1503" s="4" t="s">
        <v>241</v>
      </c>
      <c r="CT1503" s="4" t="s">
        <v>241</v>
      </c>
      <c r="CU1503" s="4">
        <v>0</v>
      </c>
      <c r="CV1503" s="4" t="s">
        <v>271</v>
      </c>
      <c r="CW1503" s="4" t="s">
        <v>655</v>
      </c>
      <c r="CX1503" s="4" t="s">
        <v>487</v>
      </c>
      <c r="CZ1503" s="6">
        <f>17280000</f>
        <v>17280000</v>
      </c>
      <c r="DA1503" s="6">
        <f>0</f>
        <v>0</v>
      </c>
      <c r="DC1503" s="4" t="s">
        <v>241</v>
      </c>
      <c r="DD1503" s="4" t="s">
        <v>241</v>
      </c>
      <c r="DF1503" s="4" t="s">
        <v>241</v>
      </c>
      <c r="DI1503" s="4" t="s">
        <v>241</v>
      </c>
      <c r="DJ1503" s="4" t="s">
        <v>241</v>
      </c>
      <c r="DK1503" s="4" t="s">
        <v>241</v>
      </c>
      <c r="DL1503" s="4" t="s">
        <v>241</v>
      </c>
      <c r="DM1503" s="4" t="s">
        <v>277</v>
      </c>
      <c r="DN1503" s="4" t="s">
        <v>278</v>
      </c>
      <c r="DO1503" s="6">
        <f>216</f>
        <v>216</v>
      </c>
      <c r="DP1503" s="4" t="s">
        <v>241</v>
      </c>
      <c r="DQ1503" s="4" t="s">
        <v>241</v>
      </c>
      <c r="DR1503" s="4" t="s">
        <v>241</v>
      </c>
      <c r="DS1503" s="4" t="s">
        <v>241</v>
      </c>
      <c r="DV1503" s="4" t="s">
        <v>734</v>
      </c>
      <c r="DW1503" s="4" t="s">
        <v>277</v>
      </c>
      <c r="HO1503" s="4" t="s">
        <v>277</v>
      </c>
      <c r="HR1503" s="4" t="s">
        <v>278</v>
      </c>
      <c r="HS1503" s="4" t="s">
        <v>278</v>
      </c>
    </row>
    <row r="1504" spans="1:240" x14ac:dyDescent="0.4">
      <c r="A1504" s="4">
        <v>2</v>
      </c>
      <c r="B1504" s="4" t="s">
        <v>239</v>
      </c>
      <c r="C1504" s="4">
        <v>1863</v>
      </c>
      <c r="D1504" s="4">
        <v>1</v>
      </c>
      <c r="E1504" s="4">
        <v>2</v>
      </c>
      <c r="F1504" s="4" t="s">
        <v>241</v>
      </c>
      <c r="I1504" s="4" t="s">
        <v>713</v>
      </c>
      <c r="J1504" s="4" t="s">
        <v>653</v>
      </c>
      <c r="K1504" s="4" t="s">
        <v>256</v>
      </c>
      <c r="L1504" s="4" t="s">
        <v>3993</v>
      </c>
      <c r="M1504" s="5" t="s">
        <v>3983</v>
      </c>
      <c r="N1504" s="4" t="s">
        <v>2765</v>
      </c>
      <c r="O1504" s="6">
        <f>1</f>
        <v>1</v>
      </c>
      <c r="P1504" s="4" t="s">
        <v>3937</v>
      </c>
      <c r="Q1504" s="6">
        <f>178750</f>
        <v>178750</v>
      </c>
      <c r="R1504" s="6">
        <f>178750</f>
        <v>178750</v>
      </c>
      <c r="S1504" s="5" t="s">
        <v>3992</v>
      </c>
      <c r="T1504" s="4" t="s">
        <v>322</v>
      </c>
      <c r="U1504" s="4" t="s">
        <v>241</v>
      </c>
      <c r="V1504" s="6">
        <f>0</f>
        <v>0</v>
      </c>
      <c r="W1504" s="6">
        <f>0</f>
        <v>0</v>
      </c>
      <c r="X1504" s="4" t="s">
        <v>243</v>
      </c>
      <c r="Y1504" s="4" t="s">
        <v>241</v>
      </c>
      <c r="Z1504" s="4" t="s">
        <v>241</v>
      </c>
      <c r="AA1504" s="4" t="s">
        <v>241</v>
      </c>
      <c r="AD1504" s="4" t="s">
        <v>653</v>
      </c>
      <c r="AE1504" s="5" t="s">
        <v>241</v>
      </c>
      <c r="AF1504" s="5" t="s">
        <v>241</v>
      </c>
      <c r="AG1504" s="4" t="s">
        <v>241</v>
      </c>
      <c r="AH1504" s="5" t="s">
        <v>241</v>
      </c>
      <c r="AI1504" s="5" t="s">
        <v>3992</v>
      </c>
      <c r="AJ1504" s="4" t="s">
        <v>251</v>
      </c>
      <c r="AK1504" s="4" t="s">
        <v>241</v>
      </c>
      <c r="AQ1504" s="4" t="s">
        <v>241</v>
      </c>
      <c r="AR1504" s="4" t="s">
        <v>241</v>
      </c>
      <c r="AS1504" s="4" t="s">
        <v>241</v>
      </c>
      <c r="AT1504" s="5" t="s">
        <v>241</v>
      </c>
      <c r="AU1504" s="5" t="s">
        <v>241</v>
      </c>
      <c r="AV1504" s="5" t="s">
        <v>241</v>
      </c>
      <c r="AY1504" s="4" t="s">
        <v>286</v>
      </c>
      <c r="AZ1504" s="4" t="s">
        <v>286</v>
      </c>
      <c r="BA1504" s="4" t="s">
        <v>254</v>
      </c>
      <c r="BB1504" s="4" t="s">
        <v>3924</v>
      </c>
      <c r="BC1504" s="4" t="s">
        <v>255</v>
      </c>
      <c r="BD1504" s="4" t="s">
        <v>241</v>
      </c>
      <c r="BE1504" s="4" t="s">
        <v>257</v>
      </c>
      <c r="BF1504" s="4" t="s">
        <v>3926</v>
      </c>
      <c r="BJ1504" s="4" t="s">
        <v>288</v>
      </c>
      <c r="BK1504" s="5" t="s">
        <v>3992</v>
      </c>
      <c r="BL1504" s="4" t="s">
        <v>3927</v>
      </c>
      <c r="BM1504" s="4" t="s">
        <v>3928</v>
      </c>
      <c r="BN1504" s="4" t="s">
        <v>241</v>
      </c>
      <c r="BO1504" s="6">
        <f>0</f>
        <v>0</v>
      </c>
      <c r="BP1504" s="6">
        <f>178750</f>
        <v>178750</v>
      </c>
      <c r="BQ1504" s="4" t="s">
        <v>263</v>
      </c>
      <c r="BR1504" s="4" t="s">
        <v>264</v>
      </c>
      <c r="BS1504" s="4" t="s">
        <v>427</v>
      </c>
      <c r="BT1504" s="4" t="s">
        <v>3929</v>
      </c>
      <c r="BU1504" s="4" t="s">
        <v>264</v>
      </c>
      <c r="BV1504" s="4" t="s">
        <v>241</v>
      </c>
      <c r="BW1504" s="4" t="s">
        <v>3931</v>
      </c>
      <c r="BX1504" s="4" t="s">
        <v>3932</v>
      </c>
      <c r="BY1504" s="4" t="s">
        <v>3932</v>
      </c>
      <c r="CA1504" s="5" t="s">
        <v>3994</v>
      </c>
      <c r="CB1504" s="4" t="s">
        <v>263</v>
      </c>
      <c r="CC1504" s="4" t="s">
        <v>241</v>
      </c>
      <c r="CD1504" s="4" t="s">
        <v>241</v>
      </c>
      <c r="CE1504" s="4" t="s">
        <v>264</v>
      </c>
      <c r="CF1504" s="4" t="s">
        <v>241</v>
      </c>
      <c r="CG1504" s="4" t="s">
        <v>241</v>
      </c>
      <c r="CK1504" s="4" t="s">
        <v>241</v>
      </c>
      <c r="CL1504" s="4" t="s">
        <v>241</v>
      </c>
      <c r="CM1504" s="4" t="s">
        <v>278</v>
      </c>
      <c r="CO1504" s="4" t="s">
        <v>241</v>
      </c>
      <c r="CP1504" s="5" t="s">
        <v>268</v>
      </c>
      <c r="CQ1504" s="4" t="s">
        <v>269</v>
      </c>
      <c r="CR1504" s="4" t="s">
        <v>270</v>
      </c>
      <c r="CS1504" s="4" t="s">
        <v>293</v>
      </c>
      <c r="CT1504" s="4" t="s">
        <v>241</v>
      </c>
      <c r="CU1504" s="4">
        <v>0</v>
      </c>
      <c r="CV1504" s="4" t="s">
        <v>271</v>
      </c>
      <c r="CW1504" s="4" t="s">
        <v>415</v>
      </c>
      <c r="CX1504" s="4" t="s">
        <v>428</v>
      </c>
      <c r="CY1504" s="6">
        <f>178750</f>
        <v>178750</v>
      </c>
      <c r="CZ1504" s="6">
        <f>178750</f>
        <v>178750</v>
      </c>
      <c r="DA1504" s="6">
        <f>178750</f>
        <v>178750</v>
      </c>
      <c r="DB1504" s="6" t="s">
        <v>241</v>
      </c>
      <c r="DC1504" s="4" t="s">
        <v>241</v>
      </c>
      <c r="DD1504" s="4" t="s">
        <v>241</v>
      </c>
      <c r="DF1504" s="4" t="s">
        <v>241</v>
      </c>
      <c r="DG1504" s="6">
        <f>0</f>
        <v>0</v>
      </c>
      <c r="DH1504" s="5" t="s">
        <v>241</v>
      </c>
      <c r="DI1504" s="4" t="s">
        <v>241</v>
      </c>
      <c r="DJ1504" s="4" t="s">
        <v>241</v>
      </c>
      <c r="DK1504" s="4" t="s">
        <v>241</v>
      </c>
      <c r="DL1504" s="4" t="s">
        <v>241</v>
      </c>
      <c r="DM1504" s="4" t="s">
        <v>241</v>
      </c>
      <c r="DN1504" s="4" t="s">
        <v>241</v>
      </c>
      <c r="DO1504" s="6" t="s">
        <v>241</v>
      </c>
      <c r="DP1504" s="4" t="s">
        <v>241</v>
      </c>
      <c r="DQ1504" s="4" t="s">
        <v>251</v>
      </c>
      <c r="DR1504" s="4" t="s">
        <v>3926</v>
      </c>
      <c r="DS1504" s="4" t="s">
        <v>3926</v>
      </c>
      <c r="DT1504" s="4" t="s">
        <v>241</v>
      </c>
      <c r="DU1504" s="4" t="s">
        <v>241</v>
      </c>
      <c r="GN1504" s="4" t="s">
        <v>3995</v>
      </c>
      <c r="HR1504" s="4" t="s">
        <v>241</v>
      </c>
      <c r="HS1504" s="4" t="s">
        <v>241</v>
      </c>
      <c r="HT1504" s="4" t="s">
        <v>241</v>
      </c>
      <c r="HU1504" s="4" t="s">
        <v>241</v>
      </c>
      <c r="HV1504" s="4" t="s">
        <v>241</v>
      </c>
      <c r="HW1504" s="4" t="s">
        <v>241</v>
      </c>
      <c r="HX1504" s="4" t="s">
        <v>241</v>
      </c>
      <c r="HY1504" s="4" t="s">
        <v>241</v>
      </c>
      <c r="HZ1504" s="4" t="s">
        <v>241</v>
      </c>
      <c r="IA1504" s="4" t="s">
        <v>241</v>
      </c>
      <c r="IB1504" s="4" t="s">
        <v>241</v>
      </c>
      <c r="IC1504" s="4" t="s">
        <v>241</v>
      </c>
      <c r="ID1504" s="4" t="s">
        <v>241</v>
      </c>
      <c r="IE1504" s="4" t="s">
        <v>241</v>
      </c>
      <c r="IF1504" s="4" t="s">
        <v>241</v>
      </c>
    </row>
    <row r="1505" spans="1:240" x14ac:dyDescent="0.4">
      <c r="A1505" s="4">
        <v>2</v>
      </c>
      <c r="B1505" s="4" t="s">
        <v>239</v>
      </c>
      <c r="C1505" s="4">
        <v>1864</v>
      </c>
      <c r="D1505" s="4">
        <v>1</v>
      </c>
      <c r="E1505" s="4">
        <v>2</v>
      </c>
      <c r="F1505" s="4" t="s">
        <v>241</v>
      </c>
      <c r="I1505" s="4" t="s">
        <v>702</v>
      </c>
      <c r="J1505" s="4" t="s">
        <v>653</v>
      </c>
      <c r="K1505" s="4" t="s">
        <v>256</v>
      </c>
      <c r="L1505" s="4" t="s">
        <v>4048</v>
      </c>
      <c r="M1505" s="5" t="s">
        <v>4049</v>
      </c>
      <c r="N1505" s="4" t="s">
        <v>2765</v>
      </c>
      <c r="O1505" s="6">
        <f>1</f>
        <v>1</v>
      </c>
      <c r="P1505" s="4" t="s">
        <v>3937</v>
      </c>
      <c r="Q1505" s="6">
        <f>2068000</f>
        <v>2068000</v>
      </c>
      <c r="R1505" s="6">
        <f>2068000</f>
        <v>2068000</v>
      </c>
      <c r="S1505" s="5" t="s">
        <v>4047</v>
      </c>
      <c r="T1505" s="4" t="s">
        <v>322</v>
      </c>
      <c r="U1505" s="4" t="s">
        <v>241</v>
      </c>
      <c r="V1505" s="6">
        <f>0</f>
        <v>0</v>
      </c>
      <c r="W1505" s="6">
        <f>0</f>
        <v>0</v>
      </c>
      <c r="X1505" s="4" t="s">
        <v>243</v>
      </c>
      <c r="Y1505" s="4" t="s">
        <v>241</v>
      </c>
      <c r="Z1505" s="4" t="s">
        <v>241</v>
      </c>
      <c r="AA1505" s="4" t="s">
        <v>241</v>
      </c>
      <c r="AD1505" s="4" t="s">
        <v>653</v>
      </c>
      <c r="AE1505" s="5" t="s">
        <v>241</v>
      </c>
      <c r="AF1505" s="5" t="s">
        <v>241</v>
      </c>
      <c r="AG1505" s="4" t="s">
        <v>241</v>
      </c>
      <c r="AH1505" s="5" t="s">
        <v>241</v>
      </c>
      <c r="AI1505" s="5" t="s">
        <v>4047</v>
      </c>
      <c r="AJ1505" s="4" t="s">
        <v>251</v>
      </c>
      <c r="AK1505" s="4" t="s">
        <v>241</v>
      </c>
      <c r="AQ1505" s="4" t="s">
        <v>241</v>
      </c>
      <c r="AR1505" s="4" t="s">
        <v>241</v>
      </c>
      <c r="AS1505" s="4" t="s">
        <v>241</v>
      </c>
      <c r="AT1505" s="5" t="s">
        <v>241</v>
      </c>
      <c r="AU1505" s="5" t="s">
        <v>241</v>
      </c>
      <c r="AV1505" s="5" t="s">
        <v>241</v>
      </c>
      <c r="AY1505" s="4" t="s">
        <v>286</v>
      </c>
      <c r="AZ1505" s="4" t="s">
        <v>286</v>
      </c>
      <c r="BA1505" s="4" t="s">
        <v>254</v>
      </c>
      <c r="BB1505" s="4" t="s">
        <v>3924</v>
      </c>
      <c r="BC1505" s="4" t="s">
        <v>255</v>
      </c>
      <c r="BD1505" s="4" t="s">
        <v>241</v>
      </c>
      <c r="BE1505" s="4" t="s">
        <v>257</v>
      </c>
      <c r="BF1505" s="4" t="s">
        <v>3926</v>
      </c>
      <c r="BJ1505" s="4" t="s">
        <v>288</v>
      </c>
      <c r="BK1505" s="5" t="s">
        <v>4047</v>
      </c>
      <c r="BL1505" s="4" t="s">
        <v>3927</v>
      </c>
      <c r="BM1505" s="4" t="s">
        <v>3928</v>
      </c>
      <c r="BN1505" s="4" t="s">
        <v>241</v>
      </c>
      <c r="BO1505" s="6">
        <f>0</f>
        <v>0</v>
      </c>
      <c r="BP1505" s="6">
        <f>2068000</f>
        <v>2068000</v>
      </c>
      <c r="BQ1505" s="4" t="s">
        <v>263</v>
      </c>
      <c r="BR1505" s="4" t="s">
        <v>264</v>
      </c>
      <c r="BS1505" s="4" t="s">
        <v>427</v>
      </c>
      <c r="BT1505" s="4" t="s">
        <v>3948</v>
      </c>
      <c r="BU1505" s="4" t="s">
        <v>264</v>
      </c>
      <c r="BV1505" s="4" t="s">
        <v>241</v>
      </c>
      <c r="BW1505" s="4" t="s">
        <v>3931</v>
      </c>
      <c r="BX1505" s="4" t="s">
        <v>3932</v>
      </c>
      <c r="BY1505" s="4" t="s">
        <v>3932</v>
      </c>
      <c r="CA1505" s="5" t="s">
        <v>4050</v>
      </c>
      <c r="CB1505" s="4" t="s">
        <v>263</v>
      </c>
      <c r="CC1505" s="4" t="s">
        <v>241</v>
      </c>
      <c r="CD1505" s="4" t="s">
        <v>241</v>
      </c>
      <c r="CE1505" s="4" t="s">
        <v>264</v>
      </c>
      <c r="CF1505" s="4" t="s">
        <v>241</v>
      </c>
      <c r="CG1505" s="4" t="s">
        <v>241</v>
      </c>
      <c r="CK1505" s="4" t="s">
        <v>241</v>
      </c>
      <c r="CL1505" s="4" t="s">
        <v>241</v>
      </c>
      <c r="CM1505" s="4" t="s">
        <v>278</v>
      </c>
      <c r="CO1505" s="4" t="s">
        <v>241</v>
      </c>
      <c r="CP1505" s="5" t="s">
        <v>268</v>
      </c>
      <c r="CQ1505" s="4" t="s">
        <v>269</v>
      </c>
      <c r="CR1505" s="4" t="s">
        <v>270</v>
      </c>
      <c r="CS1505" s="4" t="s">
        <v>293</v>
      </c>
      <c r="CT1505" s="4" t="s">
        <v>241</v>
      </c>
      <c r="CU1505" s="4">
        <v>0</v>
      </c>
      <c r="CV1505" s="4" t="s">
        <v>271</v>
      </c>
      <c r="CW1505" s="4" t="s">
        <v>415</v>
      </c>
      <c r="CX1505" s="4" t="s">
        <v>428</v>
      </c>
      <c r="CY1505" s="6">
        <f>2068000</f>
        <v>2068000</v>
      </c>
      <c r="CZ1505" s="6">
        <f>2068000</f>
        <v>2068000</v>
      </c>
      <c r="DA1505" s="6">
        <f>2068000</f>
        <v>2068000</v>
      </c>
      <c r="DB1505" s="6" t="s">
        <v>241</v>
      </c>
      <c r="DC1505" s="4" t="s">
        <v>241</v>
      </c>
      <c r="DD1505" s="4" t="s">
        <v>241</v>
      </c>
      <c r="DF1505" s="4" t="s">
        <v>241</v>
      </c>
      <c r="DG1505" s="6">
        <f>0</f>
        <v>0</v>
      </c>
      <c r="DH1505" s="5" t="s">
        <v>241</v>
      </c>
      <c r="DI1505" s="4" t="s">
        <v>241</v>
      </c>
      <c r="DJ1505" s="4" t="s">
        <v>241</v>
      </c>
      <c r="DK1505" s="4" t="s">
        <v>241</v>
      </c>
      <c r="DL1505" s="4" t="s">
        <v>241</v>
      </c>
      <c r="DM1505" s="4" t="s">
        <v>241</v>
      </c>
      <c r="DN1505" s="4" t="s">
        <v>241</v>
      </c>
      <c r="DO1505" s="6" t="s">
        <v>241</v>
      </c>
      <c r="DP1505" s="4" t="s">
        <v>241</v>
      </c>
      <c r="DQ1505" s="4" t="s">
        <v>251</v>
      </c>
      <c r="DR1505" s="4" t="s">
        <v>3926</v>
      </c>
      <c r="DS1505" s="4" t="s">
        <v>3926</v>
      </c>
      <c r="DT1505" s="4" t="s">
        <v>241</v>
      </c>
      <c r="DU1505" s="4" t="s">
        <v>241</v>
      </c>
      <c r="GN1505" s="4" t="s">
        <v>4051</v>
      </c>
      <c r="HR1505" s="4" t="s">
        <v>241</v>
      </c>
      <c r="HS1505" s="4" t="s">
        <v>241</v>
      </c>
      <c r="HT1505" s="4" t="s">
        <v>241</v>
      </c>
      <c r="HU1505" s="4" t="s">
        <v>241</v>
      </c>
      <c r="HV1505" s="4" t="s">
        <v>241</v>
      </c>
      <c r="HW1505" s="4" t="s">
        <v>241</v>
      </c>
      <c r="HX1505" s="4" t="s">
        <v>241</v>
      </c>
      <c r="HY1505" s="4" t="s">
        <v>241</v>
      </c>
      <c r="HZ1505" s="4" t="s">
        <v>241</v>
      </c>
      <c r="IA1505" s="4" t="s">
        <v>241</v>
      </c>
      <c r="IB1505" s="4" t="s">
        <v>241</v>
      </c>
      <c r="IC1505" s="4" t="s">
        <v>241</v>
      </c>
      <c r="ID1505" s="4" t="s">
        <v>241</v>
      </c>
      <c r="IE1505" s="4" t="s">
        <v>241</v>
      </c>
      <c r="IF1505" s="4" t="s">
        <v>241</v>
      </c>
    </row>
    <row r="1506" spans="1:240" x14ac:dyDescent="0.4">
      <c r="A1506" s="4">
        <v>2</v>
      </c>
      <c r="B1506" s="4" t="s">
        <v>239</v>
      </c>
      <c r="C1506" s="4">
        <v>1865</v>
      </c>
      <c r="D1506" s="4">
        <v>1</v>
      </c>
      <c r="E1506" s="4">
        <v>3</v>
      </c>
      <c r="F1506" s="4" t="s">
        <v>241</v>
      </c>
      <c r="I1506" s="4" t="s">
        <v>780</v>
      </c>
      <c r="J1506" s="4" t="s">
        <v>653</v>
      </c>
      <c r="K1506" s="4" t="s">
        <v>256</v>
      </c>
      <c r="L1506" s="4" t="s">
        <v>4042</v>
      </c>
      <c r="M1506" s="5" t="s">
        <v>3978</v>
      </c>
      <c r="N1506" s="4" t="s">
        <v>2749</v>
      </c>
      <c r="O1506" s="6">
        <f>1</f>
        <v>1</v>
      </c>
      <c r="P1506" s="4" t="s">
        <v>3937</v>
      </c>
      <c r="Q1506" s="6">
        <f>1554000</f>
        <v>1554000</v>
      </c>
      <c r="R1506" s="6">
        <f>1554000</f>
        <v>1554000</v>
      </c>
      <c r="S1506" s="5" t="s">
        <v>4041</v>
      </c>
      <c r="T1506" s="4" t="s">
        <v>348</v>
      </c>
      <c r="U1506" s="4" t="s">
        <v>241</v>
      </c>
      <c r="V1506" s="6">
        <f>0</f>
        <v>0</v>
      </c>
      <c r="W1506" s="6">
        <f>0</f>
        <v>0</v>
      </c>
      <c r="X1506" s="4" t="s">
        <v>243</v>
      </c>
      <c r="Y1506" s="4" t="s">
        <v>241</v>
      </c>
      <c r="Z1506" s="4" t="s">
        <v>241</v>
      </c>
      <c r="AA1506" s="4" t="s">
        <v>241</v>
      </c>
      <c r="AD1506" s="4" t="s">
        <v>653</v>
      </c>
      <c r="AE1506" s="5" t="s">
        <v>241</v>
      </c>
      <c r="AF1506" s="5" t="s">
        <v>241</v>
      </c>
      <c r="AG1506" s="4" t="s">
        <v>241</v>
      </c>
      <c r="AH1506" s="5" t="s">
        <v>241</v>
      </c>
      <c r="AI1506" s="5" t="s">
        <v>4041</v>
      </c>
      <c r="AJ1506" s="4" t="s">
        <v>251</v>
      </c>
      <c r="AK1506" s="4" t="s">
        <v>241</v>
      </c>
      <c r="AQ1506" s="4" t="s">
        <v>241</v>
      </c>
      <c r="AR1506" s="4" t="s">
        <v>241</v>
      </c>
      <c r="AS1506" s="4" t="s">
        <v>241</v>
      </c>
      <c r="AT1506" s="5" t="s">
        <v>241</v>
      </c>
      <c r="AU1506" s="5" t="s">
        <v>241</v>
      </c>
      <c r="AV1506" s="5" t="s">
        <v>241</v>
      </c>
      <c r="AY1506" s="4" t="s">
        <v>286</v>
      </c>
      <c r="AZ1506" s="4" t="s">
        <v>286</v>
      </c>
      <c r="BA1506" s="4" t="s">
        <v>254</v>
      </c>
      <c r="BB1506" s="4" t="s">
        <v>3924</v>
      </c>
      <c r="BC1506" s="4" t="s">
        <v>255</v>
      </c>
      <c r="BD1506" s="4" t="s">
        <v>241</v>
      </c>
      <c r="BE1506" s="4" t="s">
        <v>257</v>
      </c>
      <c r="BF1506" s="4" t="s">
        <v>3926</v>
      </c>
      <c r="BJ1506" s="4" t="s">
        <v>288</v>
      </c>
      <c r="BK1506" s="5" t="s">
        <v>4028</v>
      </c>
      <c r="BL1506" s="4" t="s">
        <v>3927</v>
      </c>
      <c r="BM1506" s="4" t="s">
        <v>3928</v>
      </c>
      <c r="BN1506" s="4" t="s">
        <v>241</v>
      </c>
      <c r="BO1506" s="6">
        <f>0</f>
        <v>0</v>
      </c>
      <c r="BP1506" s="6">
        <f>870000</f>
        <v>870000</v>
      </c>
      <c r="BQ1506" s="4" t="s">
        <v>263</v>
      </c>
      <c r="BR1506" s="4" t="s">
        <v>264</v>
      </c>
      <c r="BS1506" s="4" t="s">
        <v>427</v>
      </c>
      <c r="BT1506" s="4" t="s">
        <v>3948</v>
      </c>
      <c r="BU1506" s="4" t="s">
        <v>264</v>
      </c>
      <c r="BV1506" s="4" t="s">
        <v>241</v>
      </c>
      <c r="BW1506" s="4" t="s">
        <v>3931</v>
      </c>
      <c r="BX1506" s="4" t="s">
        <v>3932</v>
      </c>
      <c r="BY1506" s="4" t="s">
        <v>3932</v>
      </c>
      <c r="CA1506" s="5" t="s">
        <v>4043</v>
      </c>
      <c r="CB1506" s="4" t="s">
        <v>263</v>
      </c>
      <c r="CC1506" s="4" t="s">
        <v>241</v>
      </c>
      <c r="CD1506" s="4" t="s">
        <v>241</v>
      </c>
      <c r="CE1506" s="4" t="s">
        <v>264</v>
      </c>
      <c r="CF1506" s="4" t="s">
        <v>241</v>
      </c>
      <c r="CG1506" s="4" t="s">
        <v>241</v>
      </c>
      <c r="CK1506" s="4" t="s">
        <v>241</v>
      </c>
      <c r="CL1506" s="4" t="s">
        <v>241</v>
      </c>
      <c r="CM1506" s="4" t="s">
        <v>278</v>
      </c>
      <c r="CO1506" s="4" t="s">
        <v>241</v>
      </c>
      <c r="CP1506" s="5" t="s">
        <v>268</v>
      </c>
      <c r="CQ1506" s="4" t="s">
        <v>269</v>
      </c>
      <c r="CR1506" s="4" t="s">
        <v>270</v>
      </c>
      <c r="CS1506" s="4" t="s">
        <v>293</v>
      </c>
      <c r="CT1506" s="4" t="s">
        <v>241</v>
      </c>
      <c r="CU1506" s="4">
        <v>0</v>
      </c>
      <c r="CV1506" s="4" t="s">
        <v>271</v>
      </c>
      <c r="CW1506" s="4" t="s">
        <v>415</v>
      </c>
      <c r="CX1506" s="4" t="s">
        <v>422</v>
      </c>
      <c r="CY1506" s="6">
        <f>1554000</f>
        <v>1554000</v>
      </c>
      <c r="CZ1506" s="6">
        <f>1554000</f>
        <v>1554000</v>
      </c>
      <c r="DA1506" s="6">
        <f>1554000</f>
        <v>1554000</v>
      </c>
      <c r="DB1506" s="6" t="s">
        <v>241</v>
      </c>
      <c r="DC1506" s="4" t="s">
        <v>241</v>
      </c>
      <c r="DD1506" s="4" t="s">
        <v>241</v>
      </c>
      <c r="DF1506" s="4" t="s">
        <v>241</v>
      </c>
      <c r="DG1506" s="6">
        <f>0</f>
        <v>0</v>
      </c>
      <c r="DH1506" s="5" t="s">
        <v>241</v>
      </c>
      <c r="DI1506" s="4" t="s">
        <v>241</v>
      </c>
      <c r="DJ1506" s="4" t="s">
        <v>241</v>
      </c>
      <c r="DK1506" s="4" t="s">
        <v>241</v>
      </c>
      <c r="DL1506" s="4" t="s">
        <v>241</v>
      </c>
      <c r="DM1506" s="4" t="s">
        <v>241</v>
      </c>
      <c r="DN1506" s="4" t="s">
        <v>241</v>
      </c>
      <c r="DO1506" s="6" t="s">
        <v>241</v>
      </c>
      <c r="DP1506" s="4" t="s">
        <v>241</v>
      </c>
      <c r="DQ1506" s="4" t="s">
        <v>251</v>
      </c>
      <c r="DR1506" s="4" t="s">
        <v>3926</v>
      </c>
      <c r="DS1506" s="4" t="s">
        <v>3926</v>
      </c>
      <c r="DT1506" s="4" t="s">
        <v>241</v>
      </c>
      <c r="DU1506" s="4" t="s">
        <v>241</v>
      </c>
      <c r="GN1506" s="4" t="s">
        <v>4044</v>
      </c>
      <c r="HR1506" s="4" t="s">
        <v>241</v>
      </c>
      <c r="HS1506" s="4" t="s">
        <v>241</v>
      </c>
      <c r="HT1506" s="4" t="s">
        <v>241</v>
      </c>
      <c r="HU1506" s="4" t="s">
        <v>241</v>
      </c>
      <c r="HV1506" s="4" t="s">
        <v>241</v>
      </c>
      <c r="HW1506" s="4" t="s">
        <v>241</v>
      </c>
      <c r="HX1506" s="4" t="s">
        <v>241</v>
      </c>
      <c r="HY1506" s="4" t="s">
        <v>241</v>
      </c>
      <c r="HZ1506" s="4" t="s">
        <v>241</v>
      </c>
      <c r="IA1506" s="4" t="s">
        <v>241</v>
      </c>
      <c r="IB1506" s="4" t="s">
        <v>241</v>
      </c>
      <c r="IC1506" s="4" t="s">
        <v>241</v>
      </c>
      <c r="ID1506" s="4" t="s">
        <v>241</v>
      </c>
      <c r="IE1506" s="4" t="s">
        <v>241</v>
      </c>
      <c r="IF1506" s="4" t="s">
        <v>241</v>
      </c>
    </row>
    <row r="1507" spans="1:240" x14ac:dyDescent="0.4">
      <c r="A1507" s="4">
        <v>2</v>
      </c>
      <c r="B1507" s="4" t="s">
        <v>239</v>
      </c>
      <c r="C1507" s="4">
        <v>1866</v>
      </c>
      <c r="D1507" s="4">
        <v>1</v>
      </c>
      <c r="E1507" s="4">
        <v>2</v>
      </c>
      <c r="F1507" s="4" t="s">
        <v>241</v>
      </c>
      <c r="I1507" s="4" t="s">
        <v>867</v>
      </c>
      <c r="J1507" s="4" t="s">
        <v>653</v>
      </c>
      <c r="K1507" s="4" t="s">
        <v>256</v>
      </c>
      <c r="L1507" s="4" t="s">
        <v>4029</v>
      </c>
      <c r="M1507" s="5" t="s">
        <v>3959</v>
      </c>
      <c r="N1507" s="4" t="s">
        <v>2749</v>
      </c>
      <c r="O1507" s="6">
        <f>1</f>
        <v>1</v>
      </c>
      <c r="P1507" s="4" t="s">
        <v>3937</v>
      </c>
      <c r="Q1507" s="6">
        <f>1876000</f>
        <v>1876000</v>
      </c>
      <c r="R1507" s="6">
        <f>1876000</f>
        <v>1876000</v>
      </c>
      <c r="S1507" s="5" t="s">
        <v>4028</v>
      </c>
      <c r="T1507" s="4" t="s">
        <v>348</v>
      </c>
      <c r="U1507" s="4" t="s">
        <v>241</v>
      </c>
      <c r="V1507" s="6">
        <f>0</f>
        <v>0</v>
      </c>
      <c r="W1507" s="6">
        <f>0</f>
        <v>0</v>
      </c>
      <c r="X1507" s="4" t="s">
        <v>243</v>
      </c>
      <c r="Y1507" s="4" t="s">
        <v>241</v>
      </c>
      <c r="Z1507" s="4" t="s">
        <v>241</v>
      </c>
      <c r="AA1507" s="4" t="s">
        <v>241</v>
      </c>
      <c r="AD1507" s="4" t="s">
        <v>653</v>
      </c>
      <c r="AE1507" s="5" t="s">
        <v>241</v>
      </c>
      <c r="AF1507" s="5" t="s">
        <v>241</v>
      </c>
      <c r="AG1507" s="4" t="s">
        <v>241</v>
      </c>
      <c r="AH1507" s="5" t="s">
        <v>241</v>
      </c>
      <c r="AI1507" s="5" t="s">
        <v>4028</v>
      </c>
      <c r="AJ1507" s="4" t="s">
        <v>251</v>
      </c>
      <c r="AK1507" s="4" t="s">
        <v>241</v>
      </c>
      <c r="AQ1507" s="4" t="s">
        <v>241</v>
      </c>
      <c r="AR1507" s="4" t="s">
        <v>241</v>
      </c>
      <c r="AS1507" s="4" t="s">
        <v>241</v>
      </c>
      <c r="AT1507" s="5" t="s">
        <v>241</v>
      </c>
      <c r="AU1507" s="5" t="s">
        <v>241</v>
      </c>
      <c r="AV1507" s="5" t="s">
        <v>241</v>
      </c>
      <c r="AY1507" s="4" t="s">
        <v>286</v>
      </c>
      <c r="AZ1507" s="4" t="s">
        <v>286</v>
      </c>
      <c r="BA1507" s="4" t="s">
        <v>254</v>
      </c>
      <c r="BB1507" s="4" t="s">
        <v>3924</v>
      </c>
      <c r="BC1507" s="4" t="s">
        <v>255</v>
      </c>
      <c r="BD1507" s="4" t="s">
        <v>241</v>
      </c>
      <c r="BE1507" s="4" t="s">
        <v>257</v>
      </c>
      <c r="BF1507" s="4" t="s">
        <v>3926</v>
      </c>
      <c r="BJ1507" s="4" t="s">
        <v>288</v>
      </c>
      <c r="BK1507" s="5" t="s">
        <v>4028</v>
      </c>
      <c r="BL1507" s="4" t="s">
        <v>3927</v>
      </c>
      <c r="BM1507" s="4" t="s">
        <v>3928</v>
      </c>
      <c r="BN1507" s="4" t="s">
        <v>241</v>
      </c>
      <c r="BO1507" s="6">
        <f>0</f>
        <v>0</v>
      </c>
      <c r="BP1507" s="6">
        <f>1876000</f>
        <v>1876000</v>
      </c>
      <c r="BQ1507" s="4" t="s">
        <v>263</v>
      </c>
      <c r="BR1507" s="4" t="s">
        <v>264</v>
      </c>
      <c r="BS1507" s="4" t="s">
        <v>427</v>
      </c>
      <c r="BT1507" s="4" t="s">
        <v>3929</v>
      </c>
      <c r="BU1507" s="4" t="s">
        <v>264</v>
      </c>
      <c r="BV1507" s="4" t="s">
        <v>241</v>
      </c>
      <c r="BW1507" s="4" t="s">
        <v>3931</v>
      </c>
      <c r="BX1507" s="4" t="s">
        <v>3932</v>
      </c>
      <c r="BY1507" s="4" t="s">
        <v>3932</v>
      </c>
      <c r="CA1507" s="5" t="s">
        <v>4030</v>
      </c>
      <c r="CB1507" s="4" t="s">
        <v>263</v>
      </c>
      <c r="CC1507" s="4" t="s">
        <v>241</v>
      </c>
      <c r="CD1507" s="4" t="s">
        <v>241</v>
      </c>
      <c r="CE1507" s="4" t="s">
        <v>264</v>
      </c>
      <c r="CF1507" s="4" t="s">
        <v>241</v>
      </c>
      <c r="CG1507" s="4" t="s">
        <v>241</v>
      </c>
      <c r="CK1507" s="4" t="s">
        <v>241</v>
      </c>
      <c r="CL1507" s="4" t="s">
        <v>241</v>
      </c>
      <c r="CM1507" s="4" t="s">
        <v>278</v>
      </c>
      <c r="CO1507" s="4" t="s">
        <v>241</v>
      </c>
      <c r="CP1507" s="5" t="s">
        <v>268</v>
      </c>
      <c r="CQ1507" s="4" t="s">
        <v>269</v>
      </c>
      <c r="CR1507" s="4" t="s">
        <v>270</v>
      </c>
      <c r="CS1507" s="4" t="s">
        <v>293</v>
      </c>
      <c r="CT1507" s="4" t="s">
        <v>241</v>
      </c>
      <c r="CU1507" s="4">
        <v>0</v>
      </c>
      <c r="CV1507" s="4" t="s">
        <v>271</v>
      </c>
      <c r="CW1507" s="4" t="s">
        <v>415</v>
      </c>
      <c r="CX1507" s="4" t="s">
        <v>422</v>
      </c>
      <c r="CY1507" s="6">
        <f>1876000</f>
        <v>1876000</v>
      </c>
      <c r="CZ1507" s="6">
        <f>1876000</f>
        <v>1876000</v>
      </c>
      <c r="DA1507" s="6">
        <f>1876000</f>
        <v>1876000</v>
      </c>
      <c r="DB1507" s="6" t="s">
        <v>241</v>
      </c>
      <c r="DC1507" s="4" t="s">
        <v>241</v>
      </c>
      <c r="DD1507" s="4" t="s">
        <v>241</v>
      </c>
      <c r="DF1507" s="4" t="s">
        <v>241</v>
      </c>
      <c r="DG1507" s="6">
        <f>0</f>
        <v>0</v>
      </c>
      <c r="DH1507" s="5" t="s">
        <v>241</v>
      </c>
      <c r="DI1507" s="4" t="s">
        <v>241</v>
      </c>
      <c r="DJ1507" s="4" t="s">
        <v>241</v>
      </c>
      <c r="DK1507" s="4" t="s">
        <v>241</v>
      </c>
      <c r="DL1507" s="4" t="s">
        <v>241</v>
      </c>
      <c r="DM1507" s="4" t="s">
        <v>241</v>
      </c>
      <c r="DN1507" s="4" t="s">
        <v>241</v>
      </c>
      <c r="DO1507" s="6" t="s">
        <v>241</v>
      </c>
      <c r="DP1507" s="4" t="s">
        <v>241</v>
      </c>
      <c r="DQ1507" s="4" t="s">
        <v>251</v>
      </c>
      <c r="DR1507" s="4" t="s">
        <v>3926</v>
      </c>
      <c r="DS1507" s="4" t="s">
        <v>3926</v>
      </c>
      <c r="DT1507" s="4" t="s">
        <v>241</v>
      </c>
      <c r="DU1507" s="4" t="s">
        <v>241</v>
      </c>
      <c r="GN1507" s="4" t="s">
        <v>4031</v>
      </c>
      <c r="HR1507" s="4" t="s">
        <v>241</v>
      </c>
      <c r="HS1507" s="4" t="s">
        <v>241</v>
      </c>
      <c r="HT1507" s="4" t="s">
        <v>241</v>
      </c>
      <c r="HU1507" s="4" t="s">
        <v>241</v>
      </c>
      <c r="HV1507" s="4" t="s">
        <v>241</v>
      </c>
      <c r="HW1507" s="4" t="s">
        <v>241</v>
      </c>
      <c r="HX1507" s="4" t="s">
        <v>241</v>
      </c>
      <c r="HY1507" s="4" t="s">
        <v>241</v>
      </c>
      <c r="HZ1507" s="4" t="s">
        <v>241</v>
      </c>
      <c r="IA1507" s="4" t="s">
        <v>241</v>
      </c>
      <c r="IB1507" s="4" t="s">
        <v>241</v>
      </c>
      <c r="IC1507" s="4" t="s">
        <v>241</v>
      </c>
      <c r="ID1507" s="4" t="s">
        <v>241</v>
      </c>
      <c r="IE1507" s="4" t="s">
        <v>241</v>
      </c>
      <c r="IF1507" s="4" t="s">
        <v>241</v>
      </c>
    </row>
    <row r="1508" spans="1:240" x14ac:dyDescent="0.4">
      <c r="A1508" s="4">
        <v>2</v>
      </c>
      <c r="B1508" s="4" t="s">
        <v>239</v>
      </c>
      <c r="C1508" s="4">
        <v>1867</v>
      </c>
      <c r="D1508" s="4">
        <v>1</v>
      </c>
      <c r="E1508" s="4">
        <v>2</v>
      </c>
      <c r="F1508" s="4" t="s">
        <v>241</v>
      </c>
      <c r="I1508" s="4" t="s">
        <v>707</v>
      </c>
      <c r="J1508" s="4" t="s">
        <v>653</v>
      </c>
      <c r="K1508" s="4" t="s">
        <v>256</v>
      </c>
      <c r="L1508" s="4" t="s">
        <v>3988</v>
      </c>
      <c r="M1508" s="5" t="s">
        <v>3989</v>
      </c>
      <c r="N1508" s="4" t="s">
        <v>3986</v>
      </c>
      <c r="O1508" s="6">
        <f>1</f>
        <v>1</v>
      </c>
      <c r="P1508" s="4" t="s">
        <v>3937</v>
      </c>
      <c r="Q1508" s="6">
        <f>198000</f>
        <v>198000</v>
      </c>
      <c r="R1508" s="6">
        <f>198000</f>
        <v>198000</v>
      </c>
      <c r="S1508" s="5" t="s">
        <v>3987</v>
      </c>
      <c r="T1508" s="4" t="s">
        <v>322</v>
      </c>
      <c r="U1508" s="4" t="s">
        <v>241</v>
      </c>
      <c r="V1508" s="6">
        <f>0</f>
        <v>0</v>
      </c>
      <c r="W1508" s="6">
        <f>0</f>
        <v>0</v>
      </c>
      <c r="X1508" s="4" t="s">
        <v>243</v>
      </c>
      <c r="Y1508" s="4" t="s">
        <v>241</v>
      </c>
      <c r="Z1508" s="4" t="s">
        <v>241</v>
      </c>
      <c r="AA1508" s="4" t="s">
        <v>241</v>
      </c>
      <c r="AD1508" s="4" t="s">
        <v>653</v>
      </c>
      <c r="AE1508" s="5" t="s">
        <v>241</v>
      </c>
      <c r="AF1508" s="5" t="s">
        <v>241</v>
      </c>
      <c r="AG1508" s="4" t="s">
        <v>241</v>
      </c>
      <c r="AH1508" s="5" t="s">
        <v>241</v>
      </c>
      <c r="AI1508" s="5" t="s">
        <v>3987</v>
      </c>
      <c r="AJ1508" s="4" t="s">
        <v>251</v>
      </c>
      <c r="AK1508" s="4" t="s">
        <v>241</v>
      </c>
      <c r="AQ1508" s="4" t="s">
        <v>241</v>
      </c>
      <c r="AR1508" s="4" t="s">
        <v>241</v>
      </c>
      <c r="AS1508" s="4" t="s">
        <v>241</v>
      </c>
      <c r="AT1508" s="5" t="s">
        <v>241</v>
      </c>
      <c r="AU1508" s="5" t="s">
        <v>241</v>
      </c>
      <c r="AV1508" s="5" t="s">
        <v>241</v>
      </c>
      <c r="AY1508" s="4" t="s">
        <v>286</v>
      </c>
      <c r="AZ1508" s="4" t="s">
        <v>286</v>
      </c>
      <c r="BA1508" s="4" t="s">
        <v>254</v>
      </c>
      <c r="BB1508" s="4" t="s">
        <v>3924</v>
      </c>
      <c r="BC1508" s="4" t="s">
        <v>255</v>
      </c>
      <c r="BD1508" s="4" t="s">
        <v>241</v>
      </c>
      <c r="BE1508" s="4" t="s">
        <v>257</v>
      </c>
      <c r="BF1508" s="4" t="s">
        <v>3926</v>
      </c>
      <c r="BJ1508" s="4" t="s">
        <v>288</v>
      </c>
      <c r="BK1508" s="5" t="s">
        <v>3987</v>
      </c>
      <c r="BL1508" s="4" t="s">
        <v>3927</v>
      </c>
      <c r="BM1508" s="4" t="s">
        <v>3928</v>
      </c>
      <c r="BN1508" s="4" t="s">
        <v>241</v>
      </c>
      <c r="BO1508" s="6">
        <f>0</f>
        <v>0</v>
      </c>
      <c r="BP1508" s="6">
        <f>198000</f>
        <v>198000</v>
      </c>
      <c r="BQ1508" s="4" t="s">
        <v>263</v>
      </c>
      <c r="BR1508" s="4" t="s">
        <v>264</v>
      </c>
      <c r="BS1508" s="4" t="s">
        <v>427</v>
      </c>
      <c r="BT1508" s="4" t="s">
        <v>3948</v>
      </c>
      <c r="BU1508" s="4" t="s">
        <v>264</v>
      </c>
      <c r="BV1508" s="4" t="s">
        <v>241</v>
      </c>
      <c r="BW1508" s="4" t="s">
        <v>3931</v>
      </c>
      <c r="BX1508" s="4" t="s">
        <v>3932</v>
      </c>
      <c r="BY1508" s="4" t="s">
        <v>3932</v>
      </c>
      <c r="CA1508" s="5" t="s">
        <v>3990</v>
      </c>
      <c r="CB1508" s="4" t="s">
        <v>263</v>
      </c>
      <c r="CC1508" s="4" t="s">
        <v>241</v>
      </c>
      <c r="CD1508" s="4" t="s">
        <v>241</v>
      </c>
      <c r="CE1508" s="4" t="s">
        <v>264</v>
      </c>
      <c r="CF1508" s="4" t="s">
        <v>241</v>
      </c>
      <c r="CG1508" s="4" t="s">
        <v>241</v>
      </c>
      <c r="CK1508" s="4" t="s">
        <v>241</v>
      </c>
      <c r="CL1508" s="4" t="s">
        <v>241</v>
      </c>
      <c r="CM1508" s="4" t="s">
        <v>278</v>
      </c>
      <c r="CO1508" s="4" t="s">
        <v>241</v>
      </c>
      <c r="CP1508" s="5" t="s">
        <v>268</v>
      </c>
      <c r="CQ1508" s="4" t="s">
        <v>269</v>
      </c>
      <c r="CR1508" s="4" t="s">
        <v>270</v>
      </c>
      <c r="CS1508" s="4" t="s">
        <v>293</v>
      </c>
      <c r="CT1508" s="4" t="s">
        <v>241</v>
      </c>
      <c r="CU1508" s="4">
        <v>0</v>
      </c>
      <c r="CV1508" s="4" t="s">
        <v>271</v>
      </c>
      <c r="CW1508" s="4" t="s">
        <v>415</v>
      </c>
      <c r="CX1508" s="4" t="s">
        <v>428</v>
      </c>
      <c r="CY1508" s="6">
        <f>198000</f>
        <v>198000</v>
      </c>
      <c r="CZ1508" s="6">
        <f>198000</f>
        <v>198000</v>
      </c>
      <c r="DA1508" s="6">
        <f>198000</f>
        <v>198000</v>
      </c>
      <c r="DB1508" s="6" t="s">
        <v>241</v>
      </c>
      <c r="DC1508" s="4" t="s">
        <v>241</v>
      </c>
      <c r="DD1508" s="4" t="s">
        <v>241</v>
      </c>
      <c r="DF1508" s="4" t="s">
        <v>241</v>
      </c>
      <c r="DG1508" s="6">
        <f>0</f>
        <v>0</v>
      </c>
      <c r="DH1508" s="5" t="s">
        <v>241</v>
      </c>
      <c r="DI1508" s="4" t="s">
        <v>241</v>
      </c>
      <c r="DJ1508" s="4" t="s">
        <v>241</v>
      </c>
      <c r="DK1508" s="4" t="s">
        <v>241</v>
      </c>
      <c r="DL1508" s="4" t="s">
        <v>241</v>
      </c>
      <c r="DM1508" s="4" t="s">
        <v>241</v>
      </c>
      <c r="DN1508" s="4" t="s">
        <v>241</v>
      </c>
      <c r="DO1508" s="6" t="s">
        <v>241</v>
      </c>
      <c r="DP1508" s="4" t="s">
        <v>241</v>
      </c>
      <c r="DQ1508" s="4" t="s">
        <v>251</v>
      </c>
      <c r="DR1508" s="4" t="s">
        <v>3926</v>
      </c>
      <c r="DS1508" s="4" t="s">
        <v>3926</v>
      </c>
      <c r="DT1508" s="4" t="s">
        <v>241</v>
      </c>
      <c r="DU1508" s="4" t="s">
        <v>241</v>
      </c>
      <c r="GN1508" s="4" t="s">
        <v>3991</v>
      </c>
      <c r="HR1508" s="4" t="s">
        <v>241</v>
      </c>
      <c r="HS1508" s="4" t="s">
        <v>241</v>
      </c>
      <c r="HT1508" s="4" t="s">
        <v>241</v>
      </c>
      <c r="HU1508" s="4" t="s">
        <v>241</v>
      </c>
      <c r="HV1508" s="4" t="s">
        <v>241</v>
      </c>
      <c r="HW1508" s="4" t="s">
        <v>241</v>
      </c>
      <c r="HX1508" s="4" t="s">
        <v>241</v>
      </c>
      <c r="HY1508" s="4" t="s">
        <v>241</v>
      </c>
      <c r="HZ1508" s="4" t="s">
        <v>241</v>
      </c>
      <c r="IA1508" s="4" t="s">
        <v>241</v>
      </c>
      <c r="IB1508" s="4" t="s">
        <v>241</v>
      </c>
      <c r="IC1508" s="4" t="s">
        <v>241</v>
      </c>
      <c r="ID1508" s="4" t="s">
        <v>241</v>
      </c>
      <c r="IE1508" s="4" t="s">
        <v>241</v>
      </c>
      <c r="IF1508" s="4" t="s">
        <v>241</v>
      </c>
    </row>
    <row r="1509" spans="1:240" x14ac:dyDescent="0.4">
      <c r="A1509" s="4">
        <v>2</v>
      </c>
      <c r="B1509" s="4" t="s">
        <v>239</v>
      </c>
      <c r="C1509" s="4">
        <v>1868</v>
      </c>
      <c r="D1509" s="4">
        <v>1</v>
      </c>
      <c r="E1509" s="4">
        <v>2</v>
      </c>
      <c r="F1509" s="4" t="s">
        <v>241</v>
      </c>
      <c r="I1509" s="4" t="s">
        <v>713</v>
      </c>
      <c r="J1509" s="4" t="s">
        <v>653</v>
      </c>
      <c r="K1509" s="4" t="s">
        <v>256</v>
      </c>
      <c r="L1509" s="4" t="s">
        <v>3982</v>
      </c>
      <c r="M1509" s="5" t="s">
        <v>3983</v>
      </c>
      <c r="N1509" s="4" t="s">
        <v>2765</v>
      </c>
      <c r="O1509" s="6">
        <f>1</f>
        <v>1</v>
      </c>
      <c r="P1509" s="4" t="s">
        <v>3937</v>
      </c>
      <c r="Q1509" s="6">
        <f>129250</f>
        <v>129250</v>
      </c>
      <c r="R1509" s="6">
        <f>129250</f>
        <v>129250</v>
      </c>
      <c r="S1509" s="5" t="s">
        <v>3981</v>
      </c>
      <c r="T1509" s="4" t="s">
        <v>322</v>
      </c>
      <c r="U1509" s="4" t="s">
        <v>241</v>
      </c>
      <c r="V1509" s="6">
        <f>0</f>
        <v>0</v>
      </c>
      <c r="W1509" s="6">
        <f>0</f>
        <v>0</v>
      </c>
      <c r="X1509" s="4" t="s">
        <v>243</v>
      </c>
      <c r="Y1509" s="4" t="s">
        <v>241</v>
      </c>
      <c r="Z1509" s="4" t="s">
        <v>241</v>
      </c>
      <c r="AA1509" s="4" t="s">
        <v>241</v>
      </c>
      <c r="AD1509" s="4" t="s">
        <v>653</v>
      </c>
      <c r="AE1509" s="5" t="s">
        <v>241</v>
      </c>
      <c r="AF1509" s="5" t="s">
        <v>241</v>
      </c>
      <c r="AG1509" s="4" t="s">
        <v>241</v>
      </c>
      <c r="AH1509" s="5" t="s">
        <v>241</v>
      </c>
      <c r="AI1509" s="5" t="s">
        <v>3981</v>
      </c>
      <c r="AJ1509" s="4" t="s">
        <v>251</v>
      </c>
      <c r="AK1509" s="4" t="s">
        <v>241</v>
      </c>
      <c r="AQ1509" s="4" t="s">
        <v>241</v>
      </c>
      <c r="AR1509" s="4" t="s">
        <v>241</v>
      </c>
      <c r="AS1509" s="4" t="s">
        <v>241</v>
      </c>
      <c r="AT1509" s="5" t="s">
        <v>241</v>
      </c>
      <c r="AU1509" s="5" t="s">
        <v>241</v>
      </c>
      <c r="AV1509" s="5" t="s">
        <v>241</v>
      </c>
      <c r="AY1509" s="4" t="s">
        <v>286</v>
      </c>
      <c r="AZ1509" s="4" t="s">
        <v>286</v>
      </c>
      <c r="BA1509" s="4" t="s">
        <v>254</v>
      </c>
      <c r="BB1509" s="4" t="s">
        <v>3924</v>
      </c>
      <c r="BC1509" s="4" t="s">
        <v>255</v>
      </c>
      <c r="BD1509" s="4" t="s">
        <v>241</v>
      </c>
      <c r="BE1509" s="4" t="s">
        <v>257</v>
      </c>
      <c r="BF1509" s="4" t="s">
        <v>3926</v>
      </c>
      <c r="BJ1509" s="4" t="s">
        <v>288</v>
      </c>
      <c r="BK1509" s="5" t="s">
        <v>3981</v>
      </c>
      <c r="BL1509" s="4" t="s">
        <v>3927</v>
      </c>
      <c r="BM1509" s="4" t="s">
        <v>3928</v>
      </c>
      <c r="BN1509" s="4" t="s">
        <v>241</v>
      </c>
      <c r="BO1509" s="6">
        <f>0</f>
        <v>0</v>
      </c>
      <c r="BP1509" s="6">
        <f>129250</f>
        <v>129250</v>
      </c>
      <c r="BQ1509" s="4" t="s">
        <v>263</v>
      </c>
      <c r="BR1509" s="4" t="s">
        <v>264</v>
      </c>
      <c r="BS1509" s="4" t="s">
        <v>427</v>
      </c>
      <c r="BT1509" s="4" t="s">
        <v>3929</v>
      </c>
      <c r="BU1509" s="4" t="s">
        <v>264</v>
      </c>
      <c r="BV1509" s="4" t="s">
        <v>241</v>
      </c>
      <c r="BW1509" s="4" t="s">
        <v>3931</v>
      </c>
      <c r="BX1509" s="4" t="s">
        <v>3932</v>
      </c>
      <c r="BY1509" s="4" t="s">
        <v>3932</v>
      </c>
      <c r="CA1509" s="5" t="s">
        <v>3984</v>
      </c>
      <c r="CB1509" s="4" t="s">
        <v>263</v>
      </c>
      <c r="CC1509" s="4" t="s">
        <v>241</v>
      </c>
      <c r="CD1509" s="4" t="s">
        <v>241</v>
      </c>
      <c r="CE1509" s="4" t="s">
        <v>264</v>
      </c>
      <c r="CF1509" s="4" t="s">
        <v>241</v>
      </c>
      <c r="CG1509" s="4" t="s">
        <v>241</v>
      </c>
      <c r="CK1509" s="4" t="s">
        <v>241</v>
      </c>
      <c r="CL1509" s="4" t="s">
        <v>241</v>
      </c>
      <c r="CM1509" s="4" t="s">
        <v>278</v>
      </c>
      <c r="CO1509" s="4" t="s">
        <v>241</v>
      </c>
      <c r="CP1509" s="5" t="s">
        <v>268</v>
      </c>
      <c r="CQ1509" s="4" t="s">
        <v>269</v>
      </c>
      <c r="CR1509" s="4" t="s">
        <v>270</v>
      </c>
      <c r="CS1509" s="4" t="s">
        <v>293</v>
      </c>
      <c r="CT1509" s="4" t="s">
        <v>241</v>
      </c>
      <c r="CU1509" s="4">
        <v>0</v>
      </c>
      <c r="CV1509" s="4" t="s">
        <v>271</v>
      </c>
      <c r="CW1509" s="4" t="s">
        <v>415</v>
      </c>
      <c r="CX1509" s="4" t="s">
        <v>428</v>
      </c>
      <c r="CY1509" s="6">
        <f>129250</f>
        <v>129250</v>
      </c>
      <c r="CZ1509" s="6">
        <f>129250</f>
        <v>129250</v>
      </c>
      <c r="DA1509" s="6">
        <f>129250</f>
        <v>129250</v>
      </c>
      <c r="DB1509" s="6" t="s">
        <v>241</v>
      </c>
      <c r="DC1509" s="4" t="s">
        <v>241</v>
      </c>
      <c r="DD1509" s="4" t="s">
        <v>241</v>
      </c>
      <c r="DF1509" s="4" t="s">
        <v>241</v>
      </c>
      <c r="DG1509" s="6">
        <f>0</f>
        <v>0</v>
      </c>
      <c r="DH1509" s="5" t="s">
        <v>241</v>
      </c>
      <c r="DI1509" s="4" t="s">
        <v>241</v>
      </c>
      <c r="DJ1509" s="4" t="s">
        <v>241</v>
      </c>
      <c r="DK1509" s="4" t="s">
        <v>241</v>
      </c>
      <c r="DL1509" s="4" t="s">
        <v>241</v>
      </c>
      <c r="DM1509" s="4" t="s">
        <v>241</v>
      </c>
      <c r="DN1509" s="4" t="s">
        <v>241</v>
      </c>
      <c r="DO1509" s="6" t="s">
        <v>241</v>
      </c>
      <c r="DP1509" s="4" t="s">
        <v>241</v>
      </c>
      <c r="DQ1509" s="4" t="s">
        <v>251</v>
      </c>
      <c r="DR1509" s="4" t="s">
        <v>3926</v>
      </c>
      <c r="DS1509" s="4" t="s">
        <v>3926</v>
      </c>
      <c r="DT1509" s="4" t="s">
        <v>241</v>
      </c>
      <c r="DU1509" s="4" t="s">
        <v>241</v>
      </c>
      <c r="GN1509" s="4" t="s">
        <v>3985</v>
      </c>
      <c r="HR1509" s="4" t="s">
        <v>241</v>
      </c>
      <c r="HS1509" s="4" t="s">
        <v>241</v>
      </c>
      <c r="HT1509" s="4" t="s">
        <v>241</v>
      </c>
      <c r="HU1509" s="4" t="s">
        <v>241</v>
      </c>
      <c r="HV1509" s="4" t="s">
        <v>241</v>
      </c>
      <c r="HW1509" s="4" t="s">
        <v>241</v>
      </c>
      <c r="HX1509" s="4" t="s">
        <v>241</v>
      </c>
      <c r="HY1509" s="4" t="s">
        <v>241</v>
      </c>
      <c r="HZ1509" s="4" t="s">
        <v>241</v>
      </c>
      <c r="IA1509" s="4" t="s">
        <v>241</v>
      </c>
      <c r="IB1509" s="4" t="s">
        <v>241</v>
      </c>
      <c r="IC1509" s="4" t="s">
        <v>241</v>
      </c>
      <c r="ID1509" s="4" t="s">
        <v>241</v>
      </c>
      <c r="IE1509" s="4" t="s">
        <v>241</v>
      </c>
      <c r="IF1509" s="4" t="s">
        <v>241</v>
      </c>
    </row>
    <row r="1510" spans="1:240" x14ac:dyDescent="0.4">
      <c r="A1510" s="4">
        <v>2</v>
      </c>
      <c r="B1510" s="4" t="s">
        <v>239</v>
      </c>
      <c r="C1510" s="4">
        <v>1869</v>
      </c>
      <c r="D1510" s="4">
        <v>1</v>
      </c>
      <c r="E1510" s="4">
        <v>2</v>
      </c>
      <c r="F1510" s="4" t="s">
        <v>241</v>
      </c>
      <c r="I1510" s="4" t="s">
        <v>911</v>
      </c>
      <c r="J1510" s="4" t="s">
        <v>653</v>
      </c>
      <c r="K1510" s="4" t="s">
        <v>256</v>
      </c>
      <c r="L1510" s="4" t="s">
        <v>4024</v>
      </c>
      <c r="M1510" s="5" t="s">
        <v>4025</v>
      </c>
      <c r="N1510" s="4" t="s">
        <v>3966</v>
      </c>
      <c r="O1510" s="6">
        <f>1</f>
        <v>1</v>
      </c>
      <c r="P1510" s="4" t="s">
        <v>3937</v>
      </c>
      <c r="Q1510" s="6">
        <f>400400</f>
        <v>400400</v>
      </c>
      <c r="R1510" s="6">
        <f>400400</f>
        <v>400400</v>
      </c>
      <c r="S1510" s="5" t="s">
        <v>289</v>
      </c>
      <c r="T1510" s="4" t="s">
        <v>348</v>
      </c>
      <c r="U1510" s="4" t="s">
        <v>241</v>
      </c>
      <c r="V1510" s="6">
        <f>0</f>
        <v>0</v>
      </c>
      <c r="W1510" s="6">
        <f>0</f>
        <v>0</v>
      </c>
      <c r="X1510" s="4" t="s">
        <v>243</v>
      </c>
      <c r="Y1510" s="4" t="s">
        <v>241</v>
      </c>
      <c r="Z1510" s="4" t="s">
        <v>241</v>
      </c>
      <c r="AA1510" s="4" t="s">
        <v>241</v>
      </c>
      <c r="AD1510" s="4" t="s">
        <v>653</v>
      </c>
      <c r="AE1510" s="5" t="s">
        <v>241</v>
      </c>
      <c r="AF1510" s="5" t="s">
        <v>241</v>
      </c>
      <c r="AG1510" s="4" t="s">
        <v>241</v>
      </c>
      <c r="AH1510" s="5" t="s">
        <v>241</v>
      </c>
      <c r="AI1510" s="5" t="s">
        <v>3967</v>
      </c>
      <c r="AJ1510" s="4" t="s">
        <v>251</v>
      </c>
      <c r="AK1510" s="4" t="s">
        <v>241</v>
      </c>
      <c r="AQ1510" s="4" t="s">
        <v>241</v>
      </c>
      <c r="AR1510" s="4" t="s">
        <v>241</v>
      </c>
      <c r="AS1510" s="4" t="s">
        <v>241</v>
      </c>
      <c r="AT1510" s="5" t="s">
        <v>241</v>
      </c>
      <c r="AU1510" s="5" t="s">
        <v>241</v>
      </c>
      <c r="AV1510" s="5" t="s">
        <v>241</v>
      </c>
      <c r="AY1510" s="4" t="s">
        <v>286</v>
      </c>
      <c r="AZ1510" s="4" t="s">
        <v>286</v>
      </c>
      <c r="BA1510" s="4" t="s">
        <v>254</v>
      </c>
      <c r="BB1510" s="4" t="s">
        <v>3924</v>
      </c>
      <c r="BC1510" s="4" t="s">
        <v>255</v>
      </c>
      <c r="BD1510" s="4" t="s">
        <v>241</v>
      </c>
      <c r="BE1510" s="4" t="s">
        <v>257</v>
      </c>
      <c r="BF1510" s="4" t="s">
        <v>3926</v>
      </c>
      <c r="BJ1510" s="4" t="s">
        <v>288</v>
      </c>
      <c r="BK1510" s="5" t="s">
        <v>3967</v>
      </c>
      <c r="BL1510" s="4" t="s">
        <v>3927</v>
      </c>
      <c r="BM1510" s="4" t="s">
        <v>3928</v>
      </c>
      <c r="BN1510" s="4" t="s">
        <v>241</v>
      </c>
      <c r="BO1510" s="6">
        <f>0</f>
        <v>0</v>
      </c>
      <c r="BP1510" s="6">
        <f>400400</f>
        <v>400400</v>
      </c>
      <c r="BQ1510" s="4" t="s">
        <v>263</v>
      </c>
      <c r="BR1510" s="4" t="s">
        <v>264</v>
      </c>
      <c r="BS1510" s="4" t="s">
        <v>427</v>
      </c>
      <c r="BT1510" s="4" t="s">
        <v>3929</v>
      </c>
      <c r="BU1510" s="4" t="s">
        <v>264</v>
      </c>
      <c r="BV1510" s="4" t="s">
        <v>241</v>
      </c>
      <c r="BW1510" s="4" t="s">
        <v>3931</v>
      </c>
      <c r="BX1510" s="4" t="s">
        <v>3932</v>
      </c>
      <c r="BY1510" s="4" t="s">
        <v>3932</v>
      </c>
      <c r="CA1510" s="5" t="s">
        <v>4026</v>
      </c>
      <c r="CB1510" s="4" t="s">
        <v>263</v>
      </c>
      <c r="CC1510" s="4" t="s">
        <v>241</v>
      </c>
      <c r="CD1510" s="4" t="s">
        <v>241</v>
      </c>
      <c r="CE1510" s="4" t="s">
        <v>264</v>
      </c>
      <c r="CF1510" s="4" t="s">
        <v>241</v>
      </c>
      <c r="CG1510" s="4" t="s">
        <v>241</v>
      </c>
      <c r="CK1510" s="4" t="s">
        <v>241</v>
      </c>
      <c r="CL1510" s="4" t="s">
        <v>241</v>
      </c>
      <c r="CM1510" s="4" t="s">
        <v>278</v>
      </c>
      <c r="CO1510" s="4" t="s">
        <v>241</v>
      </c>
      <c r="CP1510" s="5" t="s">
        <v>268</v>
      </c>
      <c r="CQ1510" s="4" t="s">
        <v>269</v>
      </c>
      <c r="CR1510" s="4" t="s">
        <v>270</v>
      </c>
      <c r="CS1510" s="4" t="s">
        <v>293</v>
      </c>
      <c r="CT1510" s="4" t="s">
        <v>241</v>
      </c>
      <c r="CU1510" s="4">
        <v>0</v>
      </c>
      <c r="CV1510" s="4" t="s">
        <v>271</v>
      </c>
      <c r="CW1510" s="4" t="s">
        <v>415</v>
      </c>
      <c r="CX1510" s="4" t="s">
        <v>422</v>
      </c>
      <c r="CY1510" s="6">
        <f t="shared" ref="CY1510:DA1511" si="101">400400</f>
        <v>400400</v>
      </c>
      <c r="CZ1510" s="6">
        <f t="shared" si="101"/>
        <v>400400</v>
      </c>
      <c r="DA1510" s="6">
        <f t="shared" si="101"/>
        <v>400400</v>
      </c>
      <c r="DB1510" s="6" t="s">
        <v>241</v>
      </c>
      <c r="DC1510" s="4" t="s">
        <v>241</v>
      </c>
      <c r="DD1510" s="4" t="s">
        <v>241</v>
      </c>
      <c r="DF1510" s="4" t="s">
        <v>241</v>
      </c>
      <c r="DG1510" s="6">
        <f>0</f>
        <v>0</v>
      </c>
      <c r="DH1510" s="5" t="s">
        <v>241</v>
      </c>
      <c r="DI1510" s="4" t="s">
        <v>241</v>
      </c>
      <c r="DJ1510" s="4" t="s">
        <v>241</v>
      </c>
      <c r="DK1510" s="4" t="s">
        <v>241</v>
      </c>
      <c r="DL1510" s="4" t="s">
        <v>241</v>
      </c>
      <c r="DM1510" s="4" t="s">
        <v>241</v>
      </c>
      <c r="DN1510" s="4" t="s">
        <v>241</v>
      </c>
      <c r="DO1510" s="6" t="s">
        <v>241</v>
      </c>
      <c r="DP1510" s="4" t="s">
        <v>241</v>
      </c>
      <c r="DQ1510" s="4" t="s">
        <v>251</v>
      </c>
      <c r="DR1510" s="4" t="s">
        <v>3926</v>
      </c>
      <c r="DS1510" s="4" t="s">
        <v>3926</v>
      </c>
      <c r="DT1510" s="4" t="s">
        <v>241</v>
      </c>
      <c r="DU1510" s="4" t="s">
        <v>241</v>
      </c>
      <c r="GN1510" s="4" t="s">
        <v>4027</v>
      </c>
      <c r="HR1510" s="4" t="s">
        <v>241</v>
      </c>
      <c r="HS1510" s="4" t="s">
        <v>241</v>
      </c>
      <c r="HT1510" s="4" t="s">
        <v>241</v>
      </c>
      <c r="HU1510" s="4" t="s">
        <v>241</v>
      </c>
      <c r="HV1510" s="4" t="s">
        <v>241</v>
      </c>
      <c r="HW1510" s="4" t="s">
        <v>241</v>
      </c>
      <c r="HX1510" s="4" t="s">
        <v>241</v>
      </c>
      <c r="HY1510" s="4" t="s">
        <v>241</v>
      </c>
      <c r="HZ1510" s="4" t="s">
        <v>241</v>
      </c>
      <c r="IA1510" s="4" t="s">
        <v>241</v>
      </c>
      <c r="IB1510" s="4" t="s">
        <v>241</v>
      </c>
      <c r="IC1510" s="4" t="s">
        <v>241</v>
      </c>
      <c r="ID1510" s="4" t="s">
        <v>241</v>
      </c>
      <c r="IE1510" s="4" t="s">
        <v>241</v>
      </c>
      <c r="IF1510" s="4" t="s">
        <v>241</v>
      </c>
    </row>
    <row r="1511" spans="1:240" x14ac:dyDescent="0.4">
      <c r="A1511" s="4">
        <v>2</v>
      </c>
      <c r="B1511" s="4" t="s">
        <v>239</v>
      </c>
      <c r="C1511" s="4">
        <v>1870</v>
      </c>
      <c r="D1511" s="4">
        <v>1</v>
      </c>
      <c r="E1511" s="4">
        <v>2</v>
      </c>
      <c r="F1511" s="4" t="s">
        <v>241</v>
      </c>
      <c r="I1511" s="4" t="s">
        <v>932</v>
      </c>
      <c r="J1511" s="4" t="s">
        <v>653</v>
      </c>
      <c r="K1511" s="4" t="s">
        <v>256</v>
      </c>
      <c r="L1511" s="4" t="s">
        <v>3972</v>
      </c>
      <c r="M1511" s="5" t="s">
        <v>3973</v>
      </c>
      <c r="N1511" s="4" t="s">
        <v>3966</v>
      </c>
      <c r="O1511" s="6">
        <f>1</f>
        <v>1</v>
      </c>
      <c r="P1511" s="4" t="s">
        <v>3937</v>
      </c>
      <c r="Q1511" s="6">
        <f>400400</f>
        <v>400400</v>
      </c>
      <c r="R1511" s="6">
        <f>400400</f>
        <v>400400</v>
      </c>
      <c r="S1511" s="5" t="s">
        <v>289</v>
      </c>
      <c r="T1511" s="4" t="s">
        <v>348</v>
      </c>
      <c r="U1511" s="4" t="s">
        <v>241</v>
      </c>
      <c r="V1511" s="6">
        <f>0</f>
        <v>0</v>
      </c>
      <c r="W1511" s="6">
        <f>0</f>
        <v>0</v>
      </c>
      <c r="X1511" s="4" t="s">
        <v>243</v>
      </c>
      <c r="Y1511" s="4" t="s">
        <v>241</v>
      </c>
      <c r="Z1511" s="4" t="s">
        <v>241</v>
      </c>
      <c r="AA1511" s="4" t="s">
        <v>241</v>
      </c>
      <c r="AD1511" s="4" t="s">
        <v>653</v>
      </c>
      <c r="AE1511" s="5" t="s">
        <v>241</v>
      </c>
      <c r="AF1511" s="5" t="s">
        <v>241</v>
      </c>
      <c r="AG1511" s="4" t="s">
        <v>241</v>
      </c>
      <c r="AH1511" s="5" t="s">
        <v>241</v>
      </c>
      <c r="AI1511" s="5" t="s">
        <v>3967</v>
      </c>
      <c r="AJ1511" s="4" t="s">
        <v>251</v>
      </c>
      <c r="AK1511" s="4" t="s">
        <v>241</v>
      </c>
      <c r="AQ1511" s="4" t="s">
        <v>241</v>
      </c>
      <c r="AR1511" s="4" t="s">
        <v>241</v>
      </c>
      <c r="AS1511" s="4" t="s">
        <v>241</v>
      </c>
      <c r="AT1511" s="5" t="s">
        <v>241</v>
      </c>
      <c r="AU1511" s="5" t="s">
        <v>241</v>
      </c>
      <c r="AV1511" s="5" t="s">
        <v>241</v>
      </c>
      <c r="AY1511" s="4" t="s">
        <v>286</v>
      </c>
      <c r="AZ1511" s="4" t="s">
        <v>286</v>
      </c>
      <c r="BA1511" s="4" t="s">
        <v>254</v>
      </c>
      <c r="BB1511" s="4" t="s">
        <v>3924</v>
      </c>
      <c r="BC1511" s="4" t="s">
        <v>255</v>
      </c>
      <c r="BD1511" s="4" t="s">
        <v>241</v>
      </c>
      <c r="BE1511" s="4" t="s">
        <v>257</v>
      </c>
      <c r="BF1511" s="4" t="s">
        <v>3926</v>
      </c>
      <c r="BJ1511" s="4" t="s">
        <v>288</v>
      </c>
      <c r="BK1511" s="5" t="s">
        <v>3967</v>
      </c>
      <c r="BL1511" s="4" t="s">
        <v>3927</v>
      </c>
      <c r="BM1511" s="4" t="s">
        <v>3928</v>
      </c>
      <c r="BN1511" s="4" t="s">
        <v>241</v>
      </c>
      <c r="BO1511" s="6">
        <f>0</f>
        <v>0</v>
      </c>
      <c r="BP1511" s="6">
        <f>400400</f>
        <v>400400</v>
      </c>
      <c r="BQ1511" s="4" t="s">
        <v>263</v>
      </c>
      <c r="BR1511" s="4" t="s">
        <v>264</v>
      </c>
      <c r="BS1511" s="4" t="s">
        <v>427</v>
      </c>
      <c r="BT1511" s="4" t="s">
        <v>3929</v>
      </c>
      <c r="BU1511" s="4" t="s">
        <v>264</v>
      </c>
      <c r="BV1511" s="4" t="s">
        <v>241</v>
      </c>
      <c r="BW1511" s="4" t="s">
        <v>3931</v>
      </c>
      <c r="BX1511" s="4" t="s">
        <v>3932</v>
      </c>
      <c r="BY1511" s="4" t="s">
        <v>3932</v>
      </c>
      <c r="CA1511" s="5" t="s">
        <v>3974</v>
      </c>
      <c r="CB1511" s="4" t="s">
        <v>263</v>
      </c>
      <c r="CC1511" s="4" t="s">
        <v>241</v>
      </c>
      <c r="CD1511" s="4" t="s">
        <v>241</v>
      </c>
      <c r="CE1511" s="4" t="s">
        <v>264</v>
      </c>
      <c r="CF1511" s="4" t="s">
        <v>241</v>
      </c>
      <c r="CG1511" s="4" t="s">
        <v>241</v>
      </c>
      <c r="CK1511" s="4" t="s">
        <v>241</v>
      </c>
      <c r="CL1511" s="4" t="s">
        <v>241</v>
      </c>
      <c r="CM1511" s="4" t="s">
        <v>278</v>
      </c>
      <c r="CO1511" s="4" t="s">
        <v>241</v>
      </c>
      <c r="CP1511" s="5" t="s">
        <v>268</v>
      </c>
      <c r="CQ1511" s="4" t="s">
        <v>269</v>
      </c>
      <c r="CR1511" s="4" t="s">
        <v>270</v>
      </c>
      <c r="CS1511" s="4" t="s">
        <v>293</v>
      </c>
      <c r="CT1511" s="4" t="s">
        <v>241</v>
      </c>
      <c r="CU1511" s="4">
        <v>0</v>
      </c>
      <c r="CV1511" s="4" t="s">
        <v>271</v>
      </c>
      <c r="CW1511" s="4" t="s">
        <v>415</v>
      </c>
      <c r="CX1511" s="4" t="s">
        <v>422</v>
      </c>
      <c r="CY1511" s="6">
        <f t="shared" si="101"/>
        <v>400400</v>
      </c>
      <c r="CZ1511" s="6">
        <f t="shared" si="101"/>
        <v>400400</v>
      </c>
      <c r="DA1511" s="6">
        <f t="shared" si="101"/>
        <v>400400</v>
      </c>
      <c r="DB1511" s="6" t="s">
        <v>241</v>
      </c>
      <c r="DC1511" s="4" t="s">
        <v>241</v>
      </c>
      <c r="DD1511" s="4" t="s">
        <v>241</v>
      </c>
      <c r="DF1511" s="4" t="s">
        <v>241</v>
      </c>
      <c r="DG1511" s="6">
        <f>0</f>
        <v>0</v>
      </c>
      <c r="DH1511" s="5" t="s">
        <v>241</v>
      </c>
      <c r="DI1511" s="4" t="s">
        <v>241</v>
      </c>
      <c r="DJ1511" s="4" t="s">
        <v>241</v>
      </c>
      <c r="DK1511" s="4" t="s">
        <v>241</v>
      </c>
      <c r="DL1511" s="4" t="s">
        <v>241</v>
      </c>
      <c r="DM1511" s="4" t="s">
        <v>241</v>
      </c>
      <c r="DN1511" s="4" t="s">
        <v>241</v>
      </c>
      <c r="DO1511" s="6" t="s">
        <v>241</v>
      </c>
      <c r="DP1511" s="4" t="s">
        <v>241</v>
      </c>
      <c r="DQ1511" s="4" t="s">
        <v>251</v>
      </c>
      <c r="DR1511" s="4" t="s">
        <v>3926</v>
      </c>
      <c r="DS1511" s="4" t="s">
        <v>3926</v>
      </c>
      <c r="DT1511" s="4" t="s">
        <v>241</v>
      </c>
      <c r="DU1511" s="4" t="s">
        <v>241</v>
      </c>
      <c r="GN1511" s="4" t="s">
        <v>3975</v>
      </c>
      <c r="HR1511" s="4" t="s">
        <v>241</v>
      </c>
      <c r="HS1511" s="4" t="s">
        <v>241</v>
      </c>
      <c r="HT1511" s="4" t="s">
        <v>241</v>
      </c>
      <c r="HU1511" s="4" t="s">
        <v>241</v>
      </c>
      <c r="HV1511" s="4" t="s">
        <v>241</v>
      </c>
      <c r="HW1511" s="4" t="s">
        <v>241</v>
      </c>
      <c r="HX1511" s="4" t="s">
        <v>241</v>
      </c>
      <c r="HY1511" s="4" t="s">
        <v>241</v>
      </c>
      <c r="HZ1511" s="4" t="s">
        <v>241</v>
      </c>
      <c r="IA1511" s="4" t="s">
        <v>241</v>
      </c>
      <c r="IB1511" s="4" t="s">
        <v>241</v>
      </c>
      <c r="IC1511" s="4" t="s">
        <v>241</v>
      </c>
      <c r="ID1511" s="4" t="s">
        <v>241</v>
      </c>
      <c r="IE1511" s="4" t="s">
        <v>241</v>
      </c>
      <c r="IF1511" s="4" t="s">
        <v>241</v>
      </c>
    </row>
    <row r="1512" spans="1:240" x14ac:dyDescent="0.4">
      <c r="A1512" s="4">
        <v>2</v>
      </c>
      <c r="B1512" s="4" t="s">
        <v>239</v>
      </c>
      <c r="C1512" s="4">
        <v>1872</v>
      </c>
      <c r="D1512" s="4">
        <v>1</v>
      </c>
      <c r="E1512" s="4">
        <v>2</v>
      </c>
      <c r="F1512" s="4" t="s">
        <v>241</v>
      </c>
      <c r="I1512" s="4" t="s">
        <v>953</v>
      </c>
      <c r="J1512" s="4" t="s">
        <v>653</v>
      </c>
      <c r="K1512" s="4" t="s">
        <v>256</v>
      </c>
      <c r="L1512" s="4" t="s">
        <v>3968</v>
      </c>
      <c r="M1512" s="5" t="s">
        <v>3969</v>
      </c>
      <c r="N1512" s="4" t="s">
        <v>3966</v>
      </c>
      <c r="O1512" s="6">
        <f>1</f>
        <v>1</v>
      </c>
      <c r="P1512" s="4" t="s">
        <v>3937</v>
      </c>
      <c r="Q1512" s="6">
        <f>495000</f>
        <v>495000</v>
      </c>
      <c r="R1512" s="6">
        <f>495000</f>
        <v>495000</v>
      </c>
      <c r="S1512" s="5" t="s">
        <v>289</v>
      </c>
      <c r="T1512" s="4" t="s">
        <v>348</v>
      </c>
      <c r="U1512" s="4" t="s">
        <v>241</v>
      </c>
      <c r="V1512" s="6">
        <f>0</f>
        <v>0</v>
      </c>
      <c r="W1512" s="6">
        <f>0</f>
        <v>0</v>
      </c>
      <c r="X1512" s="4" t="s">
        <v>243</v>
      </c>
      <c r="Y1512" s="4" t="s">
        <v>241</v>
      </c>
      <c r="Z1512" s="4" t="s">
        <v>241</v>
      </c>
      <c r="AA1512" s="4" t="s">
        <v>241</v>
      </c>
      <c r="AD1512" s="4" t="s">
        <v>653</v>
      </c>
      <c r="AE1512" s="5" t="s">
        <v>241</v>
      </c>
      <c r="AF1512" s="5" t="s">
        <v>241</v>
      </c>
      <c r="AG1512" s="4" t="s">
        <v>241</v>
      </c>
      <c r="AH1512" s="5" t="s">
        <v>241</v>
      </c>
      <c r="AI1512" s="5" t="s">
        <v>3967</v>
      </c>
      <c r="AJ1512" s="4" t="s">
        <v>251</v>
      </c>
      <c r="AK1512" s="4" t="s">
        <v>241</v>
      </c>
      <c r="AQ1512" s="4" t="s">
        <v>241</v>
      </c>
      <c r="AR1512" s="4" t="s">
        <v>241</v>
      </c>
      <c r="AS1512" s="4" t="s">
        <v>241</v>
      </c>
      <c r="AT1512" s="5" t="s">
        <v>241</v>
      </c>
      <c r="AU1512" s="5" t="s">
        <v>241</v>
      </c>
      <c r="AV1512" s="5" t="s">
        <v>241</v>
      </c>
      <c r="AY1512" s="4" t="s">
        <v>286</v>
      </c>
      <c r="AZ1512" s="4" t="s">
        <v>286</v>
      </c>
      <c r="BA1512" s="4" t="s">
        <v>254</v>
      </c>
      <c r="BB1512" s="4" t="s">
        <v>3924</v>
      </c>
      <c r="BC1512" s="4" t="s">
        <v>255</v>
      </c>
      <c r="BD1512" s="4" t="s">
        <v>241</v>
      </c>
      <c r="BE1512" s="4" t="s">
        <v>257</v>
      </c>
      <c r="BF1512" s="4" t="s">
        <v>3926</v>
      </c>
      <c r="BJ1512" s="4" t="s">
        <v>288</v>
      </c>
      <c r="BK1512" s="5" t="s">
        <v>3967</v>
      </c>
      <c r="BL1512" s="4" t="s">
        <v>3927</v>
      </c>
      <c r="BM1512" s="4" t="s">
        <v>3928</v>
      </c>
      <c r="BN1512" s="4" t="s">
        <v>241</v>
      </c>
      <c r="BO1512" s="6">
        <f>0</f>
        <v>0</v>
      </c>
      <c r="BP1512" s="6">
        <f>495000</f>
        <v>495000</v>
      </c>
      <c r="BQ1512" s="4" t="s">
        <v>263</v>
      </c>
      <c r="BR1512" s="4" t="s">
        <v>264</v>
      </c>
      <c r="BS1512" s="4" t="s">
        <v>427</v>
      </c>
      <c r="BT1512" s="4" t="s">
        <v>3929</v>
      </c>
      <c r="BU1512" s="4" t="s">
        <v>264</v>
      </c>
      <c r="BV1512" s="4" t="s">
        <v>241</v>
      </c>
      <c r="BW1512" s="4" t="s">
        <v>3931</v>
      </c>
      <c r="BX1512" s="4" t="s">
        <v>3932</v>
      </c>
      <c r="BY1512" s="4" t="s">
        <v>3932</v>
      </c>
      <c r="CA1512" s="5" t="s">
        <v>3970</v>
      </c>
      <c r="CB1512" s="4" t="s">
        <v>263</v>
      </c>
      <c r="CC1512" s="4" t="s">
        <v>241</v>
      </c>
      <c r="CD1512" s="4" t="s">
        <v>241</v>
      </c>
      <c r="CE1512" s="4" t="s">
        <v>264</v>
      </c>
      <c r="CF1512" s="4" t="s">
        <v>241</v>
      </c>
      <c r="CG1512" s="4" t="s">
        <v>241</v>
      </c>
      <c r="CK1512" s="4" t="s">
        <v>241</v>
      </c>
      <c r="CL1512" s="4" t="s">
        <v>241</v>
      </c>
      <c r="CM1512" s="4" t="s">
        <v>278</v>
      </c>
      <c r="CO1512" s="4" t="s">
        <v>241</v>
      </c>
      <c r="CP1512" s="5" t="s">
        <v>268</v>
      </c>
      <c r="CQ1512" s="4" t="s">
        <v>269</v>
      </c>
      <c r="CR1512" s="4" t="s">
        <v>270</v>
      </c>
      <c r="CS1512" s="4" t="s">
        <v>293</v>
      </c>
      <c r="CT1512" s="4" t="s">
        <v>241</v>
      </c>
      <c r="CU1512" s="4">
        <v>0</v>
      </c>
      <c r="CV1512" s="4" t="s">
        <v>271</v>
      </c>
      <c r="CW1512" s="4" t="s">
        <v>415</v>
      </c>
      <c r="CX1512" s="4" t="s">
        <v>422</v>
      </c>
      <c r="CY1512" s="6">
        <f>495000</f>
        <v>495000</v>
      </c>
      <c r="CZ1512" s="6">
        <f>495000</f>
        <v>495000</v>
      </c>
      <c r="DA1512" s="6">
        <f>495000</f>
        <v>495000</v>
      </c>
      <c r="DB1512" s="6" t="s">
        <v>241</v>
      </c>
      <c r="DC1512" s="4" t="s">
        <v>241</v>
      </c>
      <c r="DD1512" s="4" t="s">
        <v>241</v>
      </c>
      <c r="DF1512" s="4" t="s">
        <v>241</v>
      </c>
      <c r="DG1512" s="6">
        <f>0</f>
        <v>0</v>
      </c>
      <c r="DH1512" s="5" t="s">
        <v>241</v>
      </c>
      <c r="DI1512" s="4" t="s">
        <v>241</v>
      </c>
      <c r="DJ1512" s="4" t="s">
        <v>241</v>
      </c>
      <c r="DK1512" s="4" t="s">
        <v>241</v>
      </c>
      <c r="DL1512" s="4" t="s">
        <v>241</v>
      </c>
      <c r="DM1512" s="4" t="s">
        <v>241</v>
      </c>
      <c r="DN1512" s="4" t="s">
        <v>241</v>
      </c>
      <c r="DO1512" s="6" t="s">
        <v>241</v>
      </c>
      <c r="DP1512" s="4" t="s">
        <v>241</v>
      </c>
      <c r="DQ1512" s="4" t="s">
        <v>251</v>
      </c>
      <c r="DR1512" s="4" t="s">
        <v>3926</v>
      </c>
      <c r="DS1512" s="4" t="s">
        <v>3926</v>
      </c>
      <c r="DT1512" s="4" t="s">
        <v>241</v>
      </c>
      <c r="DU1512" s="4" t="s">
        <v>241</v>
      </c>
      <c r="GN1512" s="4" t="s">
        <v>3971</v>
      </c>
      <c r="HR1512" s="4" t="s">
        <v>241</v>
      </c>
      <c r="HS1512" s="4" t="s">
        <v>241</v>
      </c>
      <c r="HT1512" s="4" t="s">
        <v>241</v>
      </c>
      <c r="HU1512" s="4" t="s">
        <v>241</v>
      </c>
      <c r="HV1512" s="4" t="s">
        <v>241</v>
      </c>
      <c r="HW1512" s="4" t="s">
        <v>241</v>
      </c>
      <c r="HX1512" s="4" t="s">
        <v>241</v>
      </c>
      <c r="HY1512" s="4" t="s">
        <v>241</v>
      </c>
      <c r="HZ1512" s="4" t="s">
        <v>241</v>
      </c>
      <c r="IA1512" s="4" t="s">
        <v>241</v>
      </c>
      <c r="IB1512" s="4" t="s">
        <v>241</v>
      </c>
      <c r="IC1512" s="4" t="s">
        <v>241</v>
      </c>
      <c r="ID1512" s="4" t="s">
        <v>241</v>
      </c>
      <c r="IE1512" s="4" t="s">
        <v>241</v>
      </c>
      <c r="IF1512" s="4" t="s">
        <v>241</v>
      </c>
    </row>
    <row r="1513" spans="1:240" x14ac:dyDescent="0.4">
      <c r="A1513" s="4">
        <v>2</v>
      </c>
      <c r="B1513" s="4" t="s">
        <v>239</v>
      </c>
      <c r="C1513" s="4">
        <v>1873</v>
      </c>
      <c r="D1513" s="4">
        <v>1</v>
      </c>
      <c r="E1513" s="4">
        <v>2</v>
      </c>
      <c r="F1513" s="4" t="s">
        <v>241</v>
      </c>
      <c r="I1513" s="4" t="s">
        <v>713</v>
      </c>
      <c r="J1513" s="4" t="s">
        <v>653</v>
      </c>
      <c r="K1513" s="4" t="s">
        <v>256</v>
      </c>
      <c r="L1513" s="4" t="s">
        <v>4021</v>
      </c>
      <c r="M1513" s="5" t="s">
        <v>3983</v>
      </c>
      <c r="N1513" s="4" t="s">
        <v>3966</v>
      </c>
      <c r="O1513" s="6">
        <f>1</f>
        <v>1</v>
      </c>
      <c r="P1513" s="4" t="s">
        <v>3937</v>
      </c>
      <c r="Q1513" s="6">
        <f>400400</f>
        <v>400400</v>
      </c>
      <c r="R1513" s="6">
        <f>400400</f>
        <v>400400</v>
      </c>
      <c r="S1513" s="5" t="s">
        <v>289</v>
      </c>
      <c r="T1513" s="4" t="s">
        <v>348</v>
      </c>
      <c r="U1513" s="4" t="s">
        <v>241</v>
      </c>
      <c r="V1513" s="6">
        <f>0</f>
        <v>0</v>
      </c>
      <c r="W1513" s="6">
        <f>0</f>
        <v>0</v>
      </c>
      <c r="X1513" s="4" t="s">
        <v>243</v>
      </c>
      <c r="Y1513" s="4" t="s">
        <v>241</v>
      </c>
      <c r="Z1513" s="4" t="s">
        <v>241</v>
      </c>
      <c r="AA1513" s="4" t="s">
        <v>241</v>
      </c>
      <c r="AD1513" s="4" t="s">
        <v>653</v>
      </c>
      <c r="AE1513" s="5" t="s">
        <v>241</v>
      </c>
      <c r="AF1513" s="5" t="s">
        <v>241</v>
      </c>
      <c r="AG1513" s="4" t="s">
        <v>241</v>
      </c>
      <c r="AH1513" s="5" t="s">
        <v>241</v>
      </c>
      <c r="AI1513" s="5" t="s">
        <v>3967</v>
      </c>
      <c r="AJ1513" s="4" t="s">
        <v>251</v>
      </c>
      <c r="AK1513" s="4" t="s">
        <v>241</v>
      </c>
      <c r="AQ1513" s="4" t="s">
        <v>241</v>
      </c>
      <c r="AR1513" s="4" t="s">
        <v>241</v>
      </c>
      <c r="AS1513" s="4" t="s">
        <v>241</v>
      </c>
      <c r="AT1513" s="5" t="s">
        <v>241</v>
      </c>
      <c r="AU1513" s="5" t="s">
        <v>241</v>
      </c>
      <c r="AV1513" s="5" t="s">
        <v>241</v>
      </c>
      <c r="AY1513" s="4" t="s">
        <v>286</v>
      </c>
      <c r="AZ1513" s="4" t="s">
        <v>286</v>
      </c>
      <c r="BA1513" s="4" t="s">
        <v>254</v>
      </c>
      <c r="BB1513" s="4" t="s">
        <v>3924</v>
      </c>
      <c r="BC1513" s="4" t="s">
        <v>255</v>
      </c>
      <c r="BD1513" s="4" t="s">
        <v>241</v>
      </c>
      <c r="BE1513" s="4" t="s">
        <v>257</v>
      </c>
      <c r="BF1513" s="4" t="s">
        <v>3926</v>
      </c>
      <c r="BJ1513" s="4" t="s">
        <v>288</v>
      </c>
      <c r="BK1513" s="5" t="s">
        <v>3967</v>
      </c>
      <c r="BL1513" s="4" t="s">
        <v>3927</v>
      </c>
      <c r="BM1513" s="4" t="s">
        <v>3928</v>
      </c>
      <c r="BN1513" s="4" t="s">
        <v>241</v>
      </c>
      <c r="BO1513" s="6">
        <f>0</f>
        <v>0</v>
      </c>
      <c r="BP1513" s="6">
        <f>400400</f>
        <v>400400</v>
      </c>
      <c r="BQ1513" s="4" t="s">
        <v>263</v>
      </c>
      <c r="BR1513" s="4" t="s">
        <v>264</v>
      </c>
      <c r="BS1513" s="4" t="s">
        <v>427</v>
      </c>
      <c r="BT1513" s="4" t="s">
        <v>3929</v>
      </c>
      <c r="BU1513" s="4" t="s">
        <v>264</v>
      </c>
      <c r="BV1513" s="4" t="s">
        <v>241</v>
      </c>
      <c r="BW1513" s="4" t="s">
        <v>3931</v>
      </c>
      <c r="BX1513" s="4" t="s">
        <v>3932</v>
      </c>
      <c r="BY1513" s="4" t="s">
        <v>3932</v>
      </c>
      <c r="CA1513" s="5" t="s">
        <v>4022</v>
      </c>
      <c r="CB1513" s="4" t="s">
        <v>263</v>
      </c>
      <c r="CC1513" s="4" t="s">
        <v>241</v>
      </c>
      <c r="CD1513" s="4" t="s">
        <v>241</v>
      </c>
      <c r="CE1513" s="4" t="s">
        <v>264</v>
      </c>
      <c r="CF1513" s="4" t="s">
        <v>241</v>
      </c>
      <c r="CG1513" s="4" t="s">
        <v>241</v>
      </c>
      <c r="CK1513" s="4" t="s">
        <v>241</v>
      </c>
      <c r="CL1513" s="4" t="s">
        <v>241</v>
      </c>
      <c r="CM1513" s="4" t="s">
        <v>278</v>
      </c>
      <c r="CO1513" s="4" t="s">
        <v>241</v>
      </c>
      <c r="CP1513" s="5" t="s">
        <v>268</v>
      </c>
      <c r="CQ1513" s="4" t="s">
        <v>269</v>
      </c>
      <c r="CR1513" s="4" t="s">
        <v>270</v>
      </c>
      <c r="CS1513" s="4" t="s">
        <v>293</v>
      </c>
      <c r="CT1513" s="4" t="s">
        <v>241</v>
      </c>
      <c r="CU1513" s="4">
        <v>0</v>
      </c>
      <c r="CV1513" s="4" t="s">
        <v>271</v>
      </c>
      <c r="CW1513" s="4" t="s">
        <v>415</v>
      </c>
      <c r="CX1513" s="4" t="s">
        <v>422</v>
      </c>
      <c r="CY1513" s="6">
        <f>400400</f>
        <v>400400</v>
      </c>
      <c r="CZ1513" s="6">
        <f>400400</f>
        <v>400400</v>
      </c>
      <c r="DA1513" s="6">
        <f>400400</f>
        <v>400400</v>
      </c>
      <c r="DB1513" s="6" t="s">
        <v>241</v>
      </c>
      <c r="DC1513" s="4" t="s">
        <v>241</v>
      </c>
      <c r="DD1513" s="4" t="s">
        <v>241</v>
      </c>
      <c r="DF1513" s="4" t="s">
        <v>241</v>
      </c>
      <c r="DG1513" s="6">
        <f>0</f>
        <v>0</v>
      </c>
      <c r="DH1513" s="5" t="s">
        <v>241</v>
      </c>
      <c r="DI1513" s="4" t="s">
        <v>241</v>
      </c>
      <c r="DJ1513" s="4" t="s">
        <v>241</v>
      </c>
      <c r="DK1513" s="4" t="s">
        <v>241</v>
      </c>
      <c r="DL1513" s="4" t="s">
        <v>241</v>
      </c>
      <c r="DM1513" s="4" t="s">
        <v>241</v>
      </c>
      <c r="DN1513" s="4" t="s">
        <v>241</v>
      </c>
      <c r="DO1513" s="6" t="s">
        <v>241</v>
      </c>
      <c r="DP1513" s="4" t="s">
        <v>241</v>
      </c>
      <c r="DQ1513" s="4" t="s">
        <v>251</v>
      </c>
      <c r="DR1513" s="4" t="s">
        <v>3926</v>
      </c>
      <c r="DS1513" s="4" t="s">
        <v>3926</v>
      </c>
      <c r="DT1513" s="4" t="s">
        <v>241</v>
      </c>
      <c r="DU1513" s="4" t="s">
        <v>241</v>
      </c>
      <c r="GN1513" s="4" t="s">
        <v>4023</v>
      </c>
      <c r="HR1513" s="4" t="s">
        <v>241</v>
      </c>
      <c r="HS1513" s="4" t="s">
        <v>241</v>
      </c>
      <c r="HT1513" s="4" t="s">
        <v>241</v>
      </c>
      <c r="HU1513" s="4" t="s">
        <v>241</v>
      </c>
      <c r="HV1513" s="4" t="s">
        <v>241</v>
      </c>
      <c r="HW1513" s="4" t="s">
        <v>241</v>
      </c>
      <c r="HX1513" s="4" t="s">
        <v>241</v>
      </c>
      <c r="HY1513" s="4" t="s">
        <v>241</v>
      </c>
      <c r="HZ1513" s="4" t="s">
        <v>241</v>
      </c>
      <c r="IA1513" s="4" t="s">
        <v>241</v>
      </c>
      <c r="IB1513" s="4" t="s">
        <v>241</v>
      </c>
      <c r="IC1513" s="4" t="s">
        <v>241</v>
      </c>
      <c r="ID1513" s="4" t="s">
        <v>241</v>
      </c>
      <c r="IE1513" s="4" t="s">
        <v>241</v>
      </c>
      <c r="IF1513" s="4" t="s">
        <v>241</v>
      </c>
    </row>
    <row r="1514" spans="1:240" x14ac:dyDescent="0.4">
      <c r="A1514" s="4">
        <v>2</v>
      </c>
      <c r="B1514" s="4" t="s">
        <v>239</v>
      </c>
      <c r="C1514" s="4">
        <v>1874</v>
      </c>
      <c r="D1514" s="4">
        <v>1</v>
      </c>
      <c r="E1514" s="4">
        <v>2</v>
      </c>
      <c r="F1514" s="4" t="s">
        <v>241</v>
      </c>
      <c r="I1514" s="4" t="s">
        <v>904</v>
      </c>
      <c r="J1514" s="4" t="s">
        <v>653</v>
      </c>
      <c r="K1514" s="4" t="s">
        <v>256</v>
      </c>
      <c r="L1514" s="4" t="s">
        <v>4098</v>
      </c>
      <c r="M1514" s="5" t="s">
        <v>3939</v>
      </c>
      <c r="N1514" s="4" t="s">
        <v>3956</v>
      </c>
      <c r="O1514" s="6">
        <f>1</f>
        <v>1</v>
      </c>
      <c r="P1514" s="4" t="s">
        <v>3937</v>
      </c>
      <c r="Q1514" s="6">
        <f>512600</f>
        <v>512600</v>
      </c>
      <c r="R1514" s="6">
        <f>512600</f>
        <v>512600</v>
      </c>
      <c r="S1514" s="5" t="s">
        <v>289</v>
      </c>
      <c r="T1514" s="4" t="s">
        <v>668</v>
      </c>
      <c r="U1514" s="4" t="s">
        <v>241</v>
      </c>
      <c r="V1514" s="6">
        <f>0</f>
        <v>0</v>
      </c>
      <c r="W1514" s="6">
        <f>0</f>
        <v>0</v>
      </c>
      <c r="X1514" s="4" t="s">
        <v>243</v>
      </c>
      <c r="Y1514" s="4" t="s">
        <v>241</v>
      </c>
      <c r="Z1514" s="4" t="s">
        <v>241</v>
      </c>
      <c r="AA1514" s="4" t="s">
        <v>241</v>
      </c>
      <c r="AD1514" s="4" t="s">
        <v>653</v>
      </c>
      <c r="AE1514" s="5" t="s">
        <v>241</v>
      </c>
      <c r="AF1514" s="5" t="s">
        <v>241</v>
      </c>
      <c r="AG1514" s="4" t="s">
        <v>241</v>
      </c>
      <c r="AH1514" s="5" t="s">
        <v>241</v>
      </c>
      <c r="AI1514" s="5" t="s">
        <v>3957</v>
      </c>
      <c r="AJ1514" s="4" t="s">
        <v>251</v>
      </c>
      <c r="AK1514" s="4" t="s">
        <v>241</v>
      </c>
      <c r="AQ1514" s="4" t="s">
        <v>241</v>
      </c>
      <c r="AR1514" s="4" t="s">
        <v>241</v>
      </c>
      <c r="AS1514" s="4" t="s">
        <v>241</v>
      </c>
      <c r="AT1514" s="5" t="s">
        <v>241</v>
      </c>
      <c r="AU1514" s="5" t="s">
        <v>241</v>
      </c>
      <c r="AV1514" s="5" t="s">
        <v>241</v>
      </c>
      <c r="AY1514" s="4" t="s">
        <v>286</v>
      </c>
      <c r="AZ1514" s="4" t="s">
        <v>286</v>
      </c>
      <c r="BA1514" s="4" t="s">
        <v>254</v>
      </c>
      <c r="BB1514" s="4" t="s">
        <v>3924</v>
      </c>
      <c r="BC1514" s="4" t="s">
        <v>255</v>
      </c>
      <c r="BD1514" s="4" t="s">
        <v>241</v>
      </c>
      <c r="BE1514" s="4" t="s">
        <v>257</v>
      </c>
      <c r="BF1514" s="4" t="s">
        <v>3926</v>
      </c>
      <c r="BJ1514" s="4" t="s">
        <v>288</v>
      </c>
      <c r="BK1514" s="5" t="s">
        <v>3957</v>
      </c>
      <c r="BL1514" s="4" t="s">
        <v>3927</v>
      </c>
      <c r="BM1514" s="4" t="s">
        <v>3928</v>
      </c>
      <c r="BN1514" s="4" t="s">
        <v>241</v>
      </c>
      <c r="BO1514" s="6">
        <f>0</f>
        <v>0</v>
      </c>
      <c r="BP1514" s="6">
        <f>512600</f>
        <v>512600</v>
      </c>
      <c r="BQ1514" s="4" t="s">
        <v>263</v>
      </c>
      <c r="BR1514" s="4" t="s">
        <v>264</v>
      </c>
      <c r="BS1514" s="4" t="s">
        <v>427</v>
      </c>
      <c r="BT1514" s="4" t="s">
        <v>3929</v>
      </c>
      <c r="BU1514" s="4" t="s">
        <v>264</v>
      </c>
      <c r="BV1514" s="4" t="s">
        <v>241</v>
      </c>
      <c r="BW1514" s="4" t="s">
        <v>3931</v>
      </c>
      <c r="BX1514" s="4" t="s">
        <v>3932</v>
      </c>
      <c r="BY1514" s="4" t="s">
        <v>3932</v>
      </c>
      <c r="CA1514" s="5" t="s">
        <v>4099</v>
      </c>
      <c r="CB1514" s="4" t="s">
        <v>263</v>
      </c>
      <c r="CC1514" s="4" t="s">
        <v>241</v>
      </c>
      <c r="CD1514" s="4" t="s">
        <v>241</v>
      </c>
      <c r="CE1514" s="4" t="s">
        <v>264</v>
      </c>
      <c r="CF1514" s="4" t="s">
        <v>241</v>
      </c>
      <c r="CG1514" s="4" t="s">
        <v>241</v>
      </c>
      <c r="CK1514" s="4" t="s">
        <v>241</v>
      </c>
      <c r="CL1514" s="4" t="s">
        <v>241</v>
      </c>
      <c r="CM1514" s="4" t="s">
        <v>278</v>
      </c>
      <c r="CO1514" s="4" t="s">
        <v>241</v>
      </c>
      <c r="CP1514" s="5" t="s">
        <v>268</v>
      </c>
      <c r="CQ1514" s="4" t="s">
        <v>269</v>
      </c>
      <c r="CR1514" s="4" t="s">
        <v>270</v>
      </c>
      <c r="CS1514" s="4" t="s">
        <v>293</v>
      </c>
      <c r="CT1514" s="4" t="s">
        <v>241</v>
      </c>
      <c r="CU1514" s="4">
        <v>0</v>
      </c>
      <c r="CV1514" s="4" t="s">
        <v>271</v>
      </c>
      <c r="CW1514" s="4" t="s">
        <v>655</v>
      </c>
      <c r="CX1514" s="4" t="s">
        <v>295</v>
      </c>
      <c r="CY1514" s="6">
        <f>512600</f>
        <v>512600</v>
      </c>
      <c r="CZ1514" s="6">
        <f>512600</f>
        <v>512600</v>
      </c>
      <c r="DA1514" s="6">
        <f>512600</f>
        <v>512600</v>
      </c>
      <c r="DB1514" s="6" t="s">
        <v>241</v>
      </c>
      <c r="DC1514" s="4" t="s">
        <v>241</v>
      </c>
      <c r="DD1514" s="4" t="s">
        <v>241</v>
      </c>
      <c r="DF1514" s="4" t="s">
        <v>241</v>
      </c>
      <c r="DG1514" s="6">
        <f>0</f>
        <v>0</v>
      </c>
      <c r="DH1514" s="5" t="s">
        <v>241</v>
      </c>
      <c r="DI1514" s="4" t="s">
        <v>241</v>
      </c>
      <c r="DJ1514" s="4" t="s">
        <v>241</v>
      </c>
      <c r="DK1514" s="4" t="s">
        <v>241</v>
      </c>
      <c r="DL1514" s="4" t="s">
        <v>241</v>
      </c>
      <c r="DM1514" s="4" t="s">
        <v>241</v>
      </c>
      <c r="DN1514" s="4" t="s">
        <v>241</v>
      </c>
      <c r="DO1514" s="6" t="s">
        <v>241</v>
      </c>
      <c r="DP1514" s="4" t="s">
        <v>241</v>
      </c>
      <c r="DQ1514" s="4" t="s">
        <v>251</v>
      </c>
      <c r="DR1514" s="4" t="s">
        <v>3926</v>
      </c>
      <c r="DS1514" s="4" t="s">
        <v>3926</v>
      </c>
      <c r="DT1514" s="4" t="s">
        <v>241</v>
      </c>
      <c r="DU1514" s="4" t="s">
        <v>241</v>
      </c>
      <c r="GN1514" s="4" t="s">
        <v>4100</v>
      </c>
      <c r="HR1514" s="4" t="s">
        <v>241</v>
      </c>
      <c r="HS1514" s="4" t="s">
        <v>241</v>
      </c>
      <c r="HT1514" s="4" t="s">
        <v>241</v>
      </c>
      <c r="HU1514" s="4" t="s">
        <v>241</v>
      </c>
      <c r="HV1514" s="4" t="s">
        <v>241</v>
      </c>
      <c r="HW1514" s="4" t="s">
        <v>241</v>
      </c>
      <c r="HX1514" s="4" t="s">
        <v>241</v>
      </c>
      <c r="HY1514" s="4" t="s">
        <v>241</v>
      </c>
      <c r="HZ1514" s="4" t="s">
        <v>241</v>
      </c>
      <c r="IA1514" s="4" t="s">
        <v>241</v>
      </c>
      <c r="IB1514" s="4" t="s">
        <v>241</v>
      </c>
      <c r="IC1514" s="4" t="s">
        <v>241</v>
      </c>
      <c r="ID1514" s="4" t="s">
        <v>241</v>
      </c>
      <c r="IE1514" s="4" t="s">
        <v>241</v>
      </c>
      <c r="IF1514" s="4" t="s">
        <v>241</v>
      </c>
    </row>
    <row r="1515" spans="1:240" x14ac:dyDescent="0.4">
      <c r="A1515" s="4">
        <v>2</v>
      </c>
      <c r="B1515" s="4" t="s">
        <v>239</v>
      </c>
      <c r="C1515" s="4">
        <v>1875</v>
      </c>
      <c r="D1515" s="4">
        <v>1</v>
      </c>
      <c r="E1515" s="4">
        <v>2</v>
      </c>
      <c r="F1515" s="4" t="s">
        <v>241</v>
      </c>
      <c r="I1515" s="4" t="s">
        <v>241</v>
      </c>
      <c r="J1515" s="4" t="s">
        <v>1203</v>
      </c>
      <c r="K1515" s="4" t="s">
        <v>256</v>
      </c>
      <c r="L1515" s="4" t="s">
        <v>4126</v>
      </c>
      <c r="N1515" s="4" t="s">
        <v>4123</v>
      </c>
      <c r="O1515" s="6">
        <f>1</f>
        <v>1</v>
      </c>
      <c r="P1515" s="4" t="s">
        <v>3937</v>
      </c>
      <c r="Q1515" s="6">
        <f>8049800</f>
        <v>8049800</v>
      </c>
      <c r="R1515" s="6">
        <f>8049800</f>
        <v>8049800</v>
      </c>
      <c r="S1515" s="5" t="s">
        <v>4124</v>
      </c>
      <c r="T1515" s="4" t="s">
        <v>333</v>
      </c>
      <c r="U1515" s="4" t="s">
        <v>241</v>
      </c>
      <c r="V1515" s="6">
        <f>0</f>
        <v>0</v>
      </c>
      <c r="W1515" s="6">
        <f>0</f>
        <v>0</v>
      </c>
      <c r="X1515" s="4" t="s">
        <v>243</v>
      </c>
      <c r="Y1515" s="4" t="s">
        <v>241</v>
      </c>
      <c r="Z1515" s="4" t="s">
        <v>241</v>
      </c>
      <c r="AA1515" s="4" t="s">
        <v>241</v>
      </c>
      <c r="AD1515" s="4" t="s">
        <v>673</v>
      </c>
      <c r="AE1515" s="5" t="s">
        <v>241</v>
      </c>
      <c r="AF1515" s="5" t="s">
        <v>241</v>
      </c>
      <c r="AG1515" s="4" t="s">
        <v>241</v>
      </c>
      <c r="AH1515" s="5" t="s">
        <v>241</v>
      </c>
      <c r="AI1515" s="5" t="s">
        <v>4125</v>
      </c>
      <c r="AJ1515" s="4" t="s">
        <v>251</v>
      </c>
      <c r="AK1515" s="4" t="s">
        <v>241</v>
      </c>
      <c r="AQ1515" s="4" t="s">
        <v>241</v>
      </c>
      <c r="AR1515" s="4" t="s">
        <v>241</v>
      </c>
      <c r="AS1515" s="4" t="s">
        <v>241</v>
      </c>
      <c r="AT1515" s="5" t="s">
        <v>241</v>
      </c>
      <c r="AU1515" s="5" t="s">
        <v>241</v>
      </c>
      <c r="AV1515" s="5" t="s">
        <v>241</v>
      </c>
      <c r="AY1515" s="4" t="s">
        <v>286</v>
      </c>
      <c r="AZ1515" s="4" t="s">
        <v>286</v>
      </c>
      <c r="BA1515" s="4" t="s">
        <v>254</v>
      </c>
      <c r="BB1515" s="4" t="s">
        <v>3924</v>
      </c>
      <c r="BC1515" s="4" t="s">
        <v>255</v>
      </c>
      <c r="BD1515" s="4" t="s">
        <v>241</v>
      </c>
      <c r="BE1515" s="4" t="s">
        <v>257</v>
      </c>
      <c r="BF1515" s="4" t="s">
        <v>3926</v>
      </c>
      <c r="BJ1515" s="4" t="s">
        <v>288</v>
      </c>
      <c r="BK1515" s="5" t="s">
        <v>4125</v>
      </c>
      <c r="BL1515" s="4" t="s">
        <v>3927</v>
      </c>
      <c r="BM1515" s="4" t="s">
        <v>3928</v>
      </c>
      <c r="BN1515" s="4" t="s">
        <v>241</v>
      </c>
      <c r="BO1515" s="6">
        <f>0</f>
        <v>0</v>
      </c>
      <c r="BP1515" s="6">
        <f>8049800</f>
        <v>8049800</v>
      </c>
      <c r="BQ1515" s="4" t="s">
        <v>263</v>
      </c>
      <c r="BR1515" s="4" t="s">
        <v>264</v>
      </c>
      <c r="BS1515" s="4" t="s">
        <v>3929</v>
      </c>
      <c r="BT1515" s="4" t="s">
        <v>264</v>
      </c>
      <c r="BU1515" s="4" t="s">
        <v>3930</v>
      </c>
      <c r="BV1515" s="4" t="s">
        <v>241</v>
      </c>
      <c r="BW1515" s="4" t="s">
        <v>3931</v>
      </c>
      <c r="BX1515" s="4" t="s">
        <v>3932</v>
      </c>
      <c r="BY1515" s="4" t="s">
        <v>3932</v>
      </c>
      <c r="CA1515" s="5" t="s">
        <v>4127</v>
      </c>
      <c r="CB1515" s="4" t="s">
        <v>263</v>
      </c>
      <c r="CC1515" s="4" t="s">
        <v>241</v>
      </c>
      <c r="CD1515" s="4" t="s">
        <v>241</v>
      </c>
      <c r="CE1515" s="4" t="s">
        <v>264</v>
      </c>
      <c r="CF1515" s="4" t="s">
        <v>241</v>
      </c>
      <c r="CG1515" s="4" t="s">
        <v>241</v>
      </c>
      <c r="CK1515" s="4" t="s">
        <v>241</v>
      </c>
      <c r="CL1515" s="4" t="s">
        <v>241</v>
      </c>
      <c r="CM1515" s="4" t="s">
        <v>278</v>
      </c>
      <c r="CO1515" s="4" t="s">
        <v>241</v>
      </c>
      <c r="CP1515" s="5" t="s">
        <v>268</v>
      </c>
      <c r="CQ1515" s="4" t="s">
        <v>269</v>
      </c>
      <c r="CR1515" s="4" t="s">
        <v>270</v>
      </c>
      <c r="CS1515" s="4" t="s">
        <v>293</v>
      </c>
      <c r="CT1515" s="4" t="s">
        <v>241</v>
      </c>
      <c r="CU1515" s="4">
        <v>0</v>
      </c>
      <c r="CV1515" s="4" t="s">
        <v>241</v>
      </c>
      <c r="CW1515" s="4" t="s">
        <v>241</v>
      </c>
      <c r="CX1515" s="4" t="s">
        <v>241</v>
      </c>
      <c r="CY1515" s="6">
        <f>0</f>
        <v>0</v>
      </c>
      <c r="CZ1515" s="6">
        <f>8049800</f>
        <v>8049800</v>
      </c>
      <c r="DA1515" s="6">
        <f>8049800</f>
        <v>8049800</v>
      </c>
      <c r="DB1515" s="6" t="s">
        <v>241</v>
      </c>
      <c r="DC1515" s="4" t="s">
        <v>241</v>
      </c>
      <c r="DD1515" s="4" t="s">
        <v>241</v>
      </c>
      <c r="DF1515" s="4" t="s">
        <v>241</v>
      </c>
      <c r="DG1515" s="6">
        <f>0</f>
        <v>0</v>
      </c>
      <c r="DH1515" s="5" t="s">
        <v>241</v>
      </c>
      <c r="DI1515" s="4" t="s">
        <v>241</v>
      </c>
      <c r="DJ1515" s="4" t="s">
        <v>241</v>
      </c>
      <c r="DK1515" s="4" t="s">
        <v>241</v>
      </c>
      <c r="DL1515" s="4" t="s">
        <v>241</v>
      </c>
      <c r="DM1515" s="4" t="s">
        <v>241</v>
      </c>
      <c r="DN1515" s="4" t="s">
        <v>241</v>
      </c>
      <c r="DO1515" s="6" t="s">
        <v>241</v>
      </c>
      <c r="DP1515" s="4" t="s">
        <v>241</v>
      </c>
      <c r="DQ1515" s="4" t="s">
        <v>251</v>
      </c>
      <c r="DR1515" s="4" t="s">
        <v>3926</v>
      </c>
      <c r="DS1515" s="4" t="s">
        <v>3926</v>
      </c>
      <c r="DT1515" s="4" t="s">
        <v>241</v>
      </c>
      <c r="DU1515" s="4" t="s">
        <v>241</v>
      </c>
      <c r="GN1515" s="4" t="s">
        <v>4128</v>
      </c>
      <c r="HR1515" s="4" t="s">
        <v>241</v>
      </c>
      <c r="HS1515" s="4" t="s">
        <v>241</v>
      </c>
      <c r="HT1515" s="4" t="s">
        <v>241</v>
      </c>
      <c r="HU1515" s="4" t="s">
        <v>241</v>
      </c>
      <c r="HV1515" s="4" t="s">
        <v>241</v>
      </c>
      <c r="HW1515" s="4" t="s">
        <v>241</v>
      </c>
      <c r="HX1515" s="4" t="s">
        <v>241</v>
      </c>
      <c r="HY1515" s="4" t="s">
        <v>241</v>
      </c>
      <c r="HZ1515" s="4" t="s">
        <v>241</v>
      </c>
      <c r="IA1515" s="4" t="s">
        <v>241</v>
      </c>
      <c r="IB1515" s="4" t="s">
        <v>241</v>
      </c>
      <c r="IC1515" s="4" t="s">
        <v>241</v>
      </c>
      <c r="ID1515" s="4" t="s">
        <v>241</v>
      </c>
      <c r="IE1515" s="4" t="s">
        <v>241</v>
      </c>
      <c r="IF1515" s="4" t="s">
        <v>241</v>
      </c>
    </row>
    <row r="1516" spans="1:240" x14ac:dyDescent="0.4">
      <c r="A1516" s="4">
        <v>2</v>
      </c>
      <c r="B1516" s="4" t="s">
        <v>239</v>
      </c>
      <c r="C1516" s="4">
        <v>1876</v>
      </c>
      <c r="D1516" s="4">
        <v>1</v>
      </c>
      <c r="E1516" s="4">
        <v>2</v>
      </c>
      <c r="F1516" s="4" t="s">
        <v>241</v>
      </c>
      <c r="I1516" s="4" t="s">
        <v>867</v>
      </c>
      <c r="J1516" s="4" t="s">
        <v>653</v>
      </c>
      <c r="K1516" s="4" t="s">
        <v>256</v>
      </c>
      <c r="L1516" s="4" t="s">
        <v>3958</v>
      </c>
      <c r="M1516" s="5" t="s">
        <v>3959</v>
      </c>
      <c r="N1516" s="4" t="s">
        <v>3956</v>
      </c>
      <c r="O1516" s="6">
        <f>1</f>
        <v>1</v>
      </c>
      <c r="P1516" s="4" t="s">
        <v>3937</v>
      </c>
      <c r="Q1516" s="6">
        <f>682000</f>
        <v>682000</v>
      </c>
      <c r="R1516" s="6">
        <f>682000</f>
        <v>682000</v>
      </c>
      <c r="S1516" s="5" t="s">
        <v>289</v>
      </c>
      <c r="T1516" s="4" t="s">
        <v>314</v>
      </c>
      <c r="U1516" s="4" t="s">
        <v>241</v>
      </c>
      <c r="V1516" s="6">
        <f>0</f>
        <v>0</v>
      </c>
      <c r="W1516" s="6">
        <f>0</f>
        <v>0</v>
      </c>
      <c r="X1516" s="4" t="s">
        <v>243</v>
      </c>
      <c r="Y1516" s="4" t="s">
        <v>241</v>
      </c>
      <c r="Z1516" s="4" t="s">
        <v>241</v>
      </c>
      <c r="AA1516" s="4" t="s">
        <v>241</v>
      </c>
      <c r="AD1516" s="4" t="s">
        <v>653</v>
      </c>
      <c r="AE1516" s="5" t="s">
        <v>241</v>
      </c>
      <c r="AF1516" s="5" t="s">
        <v>241</v>
      </c>
      <c r="AG1516" s="4" t="s">
        <v>241</v>
      </c>
      <c r="AH1516" s="5" t="s">
        <v>241</v>
      </c>
      <c r="AI1516" s="5" t="s">
        <v>3957</v>
      </c>
      <c r="AJ1516" s="4" t="s">
        <v>251</v>
      </c>
      <c r="AK1516" s="4" t="s">
        <v>241</v>
      </c>
      <c r="AQ1516" s="4" t="s">
        <v>241</v>
      </c>
      <c r="AR1516" s="4" t="s">
        <v>241</v>
      </c>
      <c r="AS1516" s="4" t="s">
        <v>241</v>
      </c>
      <c r="AT1516" s="5" t="s">
        <v>241</v>
      </c>
      <c r="AU1516" s="5" t="s">
        <v>241</v>
      </c>
      <c r="AV1516" s="5" t="s">
        <v>241</v>
      </c>
      <c r="AY1516" s="4" t="s">
        <v>286</v>
      </c>
      <c r="AZ1516" s="4" t="s">
        <v>286</v>
      </c>
      <c r="BA1516" s="4" t="s">
        <v>254</v>
      </c>
      <c r="BB1516" s="4" t="s">
        <v>3924</v>
      </c>
      <c r="BC1516" s="4" t="s">
        <v>255</v>
      </c>
      <c r="BD1516" s="4" t="s">
        <v>241</v>
      </c>
      <c r="BE1516" s="4" t="s">
        <v>257</v>
      </c>
      <c r="BF1516" s="4" t="s">
        <v>3926</v>
      </c>
      <c r="BJ1516" s="4" t="s">
        <v>288</v>
      </c>
      <c r="BK1516" s="5" t="s">
        <v>3957</v>
      </c>
      <c r="BL1516" s="4" t="s">
        <v>3927</v>
      </c>
      <c r="BM1516" s="4" t="s">
        <v>3928</v>
      </c>
      <c r="BN1516" s="4" t="s">
        <v>241</v>
      </c>
      <c r="BO1516" s="6">
        <f>0</f>
        <v>0</v>
      </c>
      <c r="BP1516" s="6">
        <f>682000</f>
        <v>682000</v>
      </c>
      <c r="BQ1516" s="4" t="s">
        <v>263</v>
      </c>
      <c r="BR1516" s="4" t="s">
        <v>264</v>
      </c>
      <c r="BS1516" s="4" t="s">
        <v>427</v>
      </c>
      <c r="BT1516" s="4" t="s">
        <v>3929</v>
      </c>
      <c r="BU1516" s="4" t="s">
        <v>264</v>
      </c>
      <c r="BV1516" s="4" t="s">
        <v>241</v>
      </c>
      <c r="BW1516" s="4" t="s">
        <v>3931</v>
      </c>
      <c r="BX1516" s="4" t="s">
        <v>3932</v>
      </c>
      <c r="BY1516" s="4" t="s">
        <v>3932</v>
      </c>
      <c r="CA1516" s="5" t="s">
        <v>3960</v>
      </c>
      <c r="CB1516" s="4" t="s">
        <v>263</v>
      </c>
      <c r="CC1516" s="4" t="s">
        <v>241</v>
      </c>
      <c r="CD1516" s="4" t="s">
        <v>241</v>
      </c>
      <c r="CE1516" s="4" t="s">
        <v>264</v>
      </c>
      <c r="CF1516" s="4" t="s">
        <v>241</v>
      </c>
      <c r="CG1516" s="4" t="s">
        <v>241</v>
      </c>
      <c r="CK1516" s="4" t="s">
        <v>241</v>
      </c>
      <c r="CL1516" s="4" t="s">
        <v>241</v>
      </c>
      <c r="CM1516" s="4" t="s">
        <v>278</v>
      </c>
      <c r="CO1516" s="4" t="s">
        <v>241</v>
      </c>
      <c r="CP1516" s="5" t="s">
        <v>268</v>
      </c>
      <c r="CQ1516" s="4" t="s">
        <v>269</v>
      </c>
      <c r="CR1516" s="4" t="s">
        <v>270</v>
      </c>
      <c r="CS1516" s="4" t="s">
        <v>293</v>
      </c>
      <c r="CT1516" s="4" t="s">
        <v>241</v>
      </c>
      <c r="CU1516" s="4">
        <v>0</v>
      </c>
      <c r="CV1516" s="4" t="s">
        <v>271</v>
      </c>
      <c r="CW1516" s="4" t="s">
        <v>655</v>
      </c>
      <c r="CX1516" s="4" t="s">
        <v>347</v>
      </c>
      <c r="CY1516" s="6">
        <f>682000</f>
        <v>682000</v>
      </c>
      <c r="CZ1516" s="6">
        <f>682000</f>
        <v>682000</v>
      </c>
      <c r="DA1516" s="6">
        <f>682000</f>
        <v>682000</v>
      </c>
      <c r="DB1516" s="6" t="s">
        <v>241</v>
      </c>
      <c r="DC1516" s="4" t="s">
        <v>241</v>
      </c>
      <c r="DD1516" s="4" t="s">
        <v>241</v>
      </c>
      <c r="DF1516" s="4" t="s">
        <v>241</v>
      </c>
      <c r="DG1516" s="6">
        <f>0</f>
        <v>0</v>
      </c>
      <c r="DH1516" s="5" t="s">
        <v>241</v>
      </c>
      <c r="DI1516" s="4" t="s">
        <v>241</v>
      </c>
      <c r="DJ1516" s="4" t="s">
        <v>241</v>
      </c>
      <c r="DK1516" s="4" t="s">
        <v>241</v>
      </c>
      <c r="DL1516" s="4" t="s">
        <v>241</v>
      </c>
      <c r="DM1516" s="4" t="s">
        <v>241</v>
      </c>
      <c r="DN1516" s="4" t="s">
        <v>241</v>
      </c>
      <c r="DO1516" s="6" t="s">
        <v>241</v>
      </c>
      <c r="DP1516" s="4" t="s">
        <v>241</v>
      </c>
      <c r="DQ1516" s="4" t="s">
        <v>251</v>
      </c>
      <c r="DR1516" s="4" t="s">
        <v>3926</v>
      </c>
      <c r="DS1516" s="4" t="s">
        <v>3926</v>
      </c>
      <c r="DT1516" s="4" t="s">
        <v>241</v>
      </c>
      <c r="DU1516" s="4" t="s">
        <v>241</v>
      </c>
      <c r="GN1516" s="4" t="s">
        <v>3961</v>
      </c>
      <c r="HR1516" s="4" t="s">
        <v>241</v>
      </c>
      <c r="HS1516" s="4" t="s">
        <v>241</v>
      </c>
      <c r="HT1516" s="4" t="s">
        <v>241</v>
      </c>
      <c r="HU1516" s="4" t="s">
        <v>241</v>
      </c>
      <c r="HV1516" s="4" t="s">
        <v>241</v>
      </c>
      <c r="HW1516" s="4" t="s">
        <v>241</v>
      </c>
      <c r="HX1516" s="4" t="s">
        <v>241</v>
      </c>
      <c r="HY1516" s="4" t="s">
        <v>241</v>
      </c>
      <c r="HZ1516" s="4" t="s">
        <v>241</v>
      </c>
      <c r="IA1516" s="4" t="s">
        <v>241</v>
      </c>
      <c r="IB1516" s="4" t="s">
        <v>241</v>
      </c>
      <c r="IC1516" s="4" t="s">
        <v>241</v>
      </c>
      <c r="ID1516" s="4" t="s">
        <v>241</v>
      </c>
      <c r="IE1516" s="4" t="s">
        <v>241</v>
      </c>
      <c r="IF1516" s="4" t="s">
        <v>241</v>
      </c>
    </row>
    <row r="1517" spans="1:240" x14ac:dyDescent="0.4">
      <c r="A1517" s="4">
        <v>2</v>
      </c>
      <c r="B1517" s="4" t="s">
        <v>239</v>
      </c>
      <c r="C1517" s="4">
        <v>1878</v>
      </c>
      <c r="D1517" s="4">
        <v>1</v>
      </c>
      <c r="E1517" s="4">
        <v>2</v>
      </c>
      <c r="F1517" s="4" t="s">
        <v>241</v>
      </c>
      <c r="I1517" s="4" t="s">
        <v>899</v>
      </c>
      <c r="J1517" s="4" t="s">
        <v>653</v>
      </c>
      <c r="K1517" s="4" t="s">
        <v>256</v>
      </c>
      <c r="L1517" s="4" t="s">
        <v>3935</v>
      </c>
      <c r="M1517" s="5" t="s">
        <v>4054</v>
      </c>
      <c r="N1517" s="4" t="s">
        <v>3933</v>
      </c>
      <c r="O1517" s="6">
        <f>1</f>
        <v>1</v>
      </c>
      <c r="P1517" s="4" t="s">
        <v>3937</v>
      </c>
      <c r="Q1517" s="6">
        <f>702036</f>
        <v>702036</v>
      </c>
      <c r="R1517" s="6">
        <f>702036</f>
        <v>702036</v>
      </c>
      <c r="S1517" s="5" t="s">
        <v>3934</v>
      </c>
      <c r="T1517" s="4" t="s">
        <v>333</v>
      </c>
      <c r="U1517" s="4" t="s">
        <v>241</v>
      </c>
      <c r="V1517" s="6">
        <f>0</f>
        <v>0</v>
      </c>
      <c r="W1517" s="6">
        <f>0</f>
        <v>0</v>
      </c>
      <c r="X1517" s="4" t="s">
        <v>243</v>
      </c>
      <c r="Y1517" s="4" t="s">
        <v>241</v>
      </c>
      <c r="Z1517" s="4" t="s">
        <v>241</v>
      </c>
      <c r="AA1517" s="4" t="s">
        <v>241</v>
      </c>
      <c r="AD1517" s="4" t="s">
        <v>653</v>
      </c>
      <c r="AE1517" s="5" t="s">
        <v>241</v>
      </c>
      <c r="AF1517" s="5" t="s">
        <v>241</v>
      </c>
      <c r="AG1517" s="4" t="s">
        <v>241</v>
      </c>
      <c r="AH1517" s="5" t="s">
        <v>241</v>
      </c>
      <c r="AI1517" s="5" t="s">
        <v>3934</v>
      </c>
      <c r="AJ1517" s="4" t="s">
        <v>251</v>
      </c>
      <c r="AK1517" s="4" t="s">
        <v>241</v>
      </c>
      <c r="AQ1517" s="4" t="s">
        <v>241</v>
      </c>
      <c r="AR1517" s="4" t="s">
        <v>241</v>
      </c>
      <c r="AS1517" s="4" t="s">
        <v>241</v>
      </c>
      <c r="AT1517" s="5" t="s">
        <v>241</v>
      </c>
      <c r="AU1517" s="5" t="s">
        <v>241</v>
      </c>
      <c r="AV1517" s="5" t="s">
        <v>241</v>
      </c>
      <c r="AY1517" s="4" t="s">
        <v>286</v>
      </c>
      <c r="AZ1517" s="4" t="s">
        <v>286</v>
      </c>
      <c r="BA1517" s="4" t="s">
        <v>254</v>
      </c>
      <c r="BB1517" s="4" t="s">
        <v>3924</v>
      </c>
      <c r="BC1517" s="4" t="s">
        <v>255</v>
      </c>
      <c r="BD1517" s="4" t="s">
        <v>241</v>
      </c>
      <c r="BE1517" s="4" t="s">
        <v>257</v>
      </c>
      <c r="BF1517" s="4" t="s">
        <v>3926</v>
      </c>
      <c r="BJ1517" s="4" t="s">
        <v>288</v>
      </c>
      <c r="BK1517" s="5" t="s">
        <v>3934</v>
      </c>
      <c r="BL1517" s="4" t="s">
        <v>3927</v>
      </c>
      <c r="BM1517" s="4" t="s">
        <v>3928</v>
      </c>
      <c r="BN1517" s="4" t="s">
        <v>241</v>
      </c>
      <c r="BO1517" s="6">
        <f>0</f>
        <v>0</v>
      </c>
      <c r="BP1517" s="6">
        <f>702036</f>
        <v>702036</v>
      </c>
      <c r="BQ1517" s="4" t="s">
        <v>263</v>
      </c>
      <c r="BR1517" s="4" t="s">
        <v>264</v>
      </c>
      <c r="BS1517" s="4" t="s">
        <v>427</v>
      </c>
      <c r="BT1517" s="4" t="s">
        <v>3929</v>
      </c>
      <c r="BU1517" s="4" t="s">
        <v>264</v>
      </c>
      <c r="BV1517" s="4" t="s">
        <v>241</v>
      </c>
      <c r="BW1517" s="4" t="s">
        <v>3931</v>
      </c>
      <c r="BX1517" s="4" t="s">
        <v>3932</v>
      </c>
      <c r="BY1517" s="4" t="s">
        <v>3932</v>
      </c>
      <c r="CA1517" s="5" t="s">
        <v>3936</v>
      </c>
      <c r="CB1517" s="4" t="s">
        <v>263</v>
      </c>
      <c r="CC1517" s="4" t="s">
        <v>241</v>
      </c>
      <c r="CD1517" s="4" t="s">
        <v>241</v>
      </c>
      <c r="CE1517" s="4" t="s">
        <v>264</v>
      </c>
      <c r="CF1517" s="4" t="s">
        <v>241</v>
      </c>
      <c r="CG1517" s="4" t="s">
        <v>241</v>
      </c>
      <c r="CK1517" s="4" t="s">
        <v>241</v>
      </c>
      <c r="CL1517" s="4" t="s">
        <v>241</v>
      </c>
      <c r="CM1517" s="4" t="s">
        <v>278</v>
      </c>
      <c r="CO1517" s="4" t="s">
        <v>241</v>
      </c>
      <c r="CP1517" s="5" t="s">
        <v>268</v>
      </c>
      <c r="CQ1517" s="4" t="s">
        <v>269</v>
      </c>
      <c r="CR1517" s="4" t="s">
        <v>270</v>
      </c>
      <c r="CS1517" s="4" t="s">
        <v>293</v>
      </c>
      <c r="CT1517" s="4" t="s">
        <v>241</v>
      </c>
      <c r="CU1517" s="4">
        <v>0</v>
      </c>
      <c r="CV1517" s="4" t="s">
        <v>271</v>
      </c>
      <c r="CW1517" s="4" t="s">
        <v>332</v>
      </c>
      <c r="CX1517" s="4" t="s">
        <v>295</v>
      </c>
      <c r="CY1517" s="6">
        <f>1415472</f>
        <v>1415472</v>
      </c>
      <c r="CZ1517" s="6">
        <f>1415472</f>
        <v>1415472</v>
      </c>
      <c r="DA1517" s="6">
        <f>702036</f>
        <v>702036</v>
      </c>
      <c r="DB1517" s="6" t="s">
        <v>241</v>
      </c>
      <c r="DC1517" s="4" t="s">
        <v>241</v>
      </c>
      <c r="DD1517" s="4" t="s">
        <v>241</v>
      </c>
      <c r="DF1517" s="4" t="s">
        <v>241</v>
      </c>
      <c r="DG1517" s="6">
        <f>0</f>
        <v>0</v>
      </c>
      <c r="DH1517" s="5" t="s">
        <v>241</v>
      </c>
      <c r="DI1517" s="4" t="s">
        <v>241</v>
      </c>
      <c r="DJ1517" s="4" t="s">
        <v>241</v>
      </c>
      <c r="DK1517" s="4" t="s">
        <v>241</v>
      </c>
      <c r="DL1517" s="4" t="s">
        <v>241</v>
      </c>
      <c r="DM1517" s="4" t="s">
        <v>241</v>
      </c>
      <c r="DN1517" s="4" t="s">
        <v>241</v>
      </c>
      <c r="DO1517" s="6" t="s">
        <v>241</v>
      </c>
      <c r="DP1517" s="4" t="s">
        <v>241</v>
      </c>
      <c r="DQ1517" s="4" t="s">
        <v>251</v>
      </c>
      <c r="DR1517" s="4" t="s">
        <v>3926</v>
      </c>
      <c r="DS1517" s="4" t="s">
        <v>3926</v>
      </c>
      <c r="DT1517" s="4" t="s">
        <v>241</v>
      </c>
      <c r="DU1517" s="4" t="s">
        <v>241</v>
      </c>
      <c r="GN1517" s="4" t="s">
        <v>4107</v>
      </c>
      <c r="HR1517" s="4" t="s">
        <v>241</v>
      </c>
      <c r="HS1517" s="4" t="s">
        <v>241</v>
      </c>
      <c r="HT1517" s="4" t="s">
        <v>241</v>
      </c>
      <c r="HU1517" s="4" t="s">
        <v>241</v>
      </c>
      <c r="HV1517" s="4" t="s">
        <v>241</v>
      </c>
      <c r="HW1517" s="4" t="s">
        <v>241</v>
      </c>
      <c r="HX1517" s="4" t="s">
        <v>241</v>
      </c>
      <c r="HY1517" s="4" t="s">
        <v>241</v>
      </c>
      <c r="HZ1517" s="4" t="s">
        <v>241</v>
      </c>
      <c r="IA1517" s="4" t="s">
        <v>241</v>
      </c>
      <c r="IB1517" s="4" t="s">
        <v>241</v>
      </c>
      <c r="IC1517" s="4" t="s">
        <v>241</v>
      </c>
      <c r="ID1517" s="4" t="s">
        <v>241</v>
      </c>
      <c r="IE1517" s="4" t="s">
        <v>241</v>
      </c>
      <c r="IF1517" s="4" t="s">
        <v>241</v>
      </c>
    </row>
    <row r="1518" spans="1:240" x14ac:dyDescent="0.4">
      <c r="A1518" s="4">
        <v>2</v>
      </c>
      <c r="B1518" s="4" t="s">
        <v>239</v>
      </c>
      <c r="C1518" s="4">
        <v>1879</v>
      </c>
      <c r="D1518" s="4">
        <v>1</v>
      </c>
      <c r="E1518" s="4">
        <v>2</v>
      </c>
      <c r="F1518" s="4" t="s">
        <v>241</v>
      </c>
      <c r="I1518" s="4" t="s">
        <v>904</v>
      </c>
      <c r="J1518" s="4" t="s">
        <v>653</v>
      </c>
      <c r="K1518" s="4" t="s">
        <v>256</v>
      </c>
      <c r="L1518" s="4" t="s">
        <v>3935</v>
      </c>
      <c r="M1518" s="5" t="s">
        <v>3939</v>
      </c>
      <c r="N1518" s="4" t="s">
        <v>3933</v>
      </c>
      <c r="O1518" s="6">
        <f>1</f>
        <v>1</v>
      </c>
      <c r="P1518" s="4" t="s">
        <v>3937</v>
      </c>
      <c r="Q1518" s="6">
        <f>69176</f>
        <v>69176</v>
      </c>
      <c r="R1518" s="6">
        <f>69176</f>
        <v>69176</v>
      </c>
      <c r="S1518" s="5" t="s">
        <v>3934</v>
      </c>
      <c r="T1518" s="4" t="s">
        <v>333</v>
      </c>
      <c r="U1518" s="4" t="s">
        <v>241</v>
      </c>
      <c r="V1518" s="6">
        <f>0</f>
        <v>0</v>
      </c>
      <c r="W1518" s="6">
        <f>0</f>
        <v>0</v>
      </c>
      <c r="X1518" s="4" t="s">
        <v>243</v>
      </c>
      <c r="Y1518" s="4" t="s">
        <v>241</v>
      </c>
      <c r="Z1518" s="4" t="s">
        <v>241</v>
      </c>
      <c r="AA1518" s="4" t="s">
        <v>241</v>
      </c>
      <c r="AD1518" s="4" t="s">
        <v>653</v>
      </c>
      <c r="AE1518" s="5" t="s">
        <v>241</v>
      </c>
      <c r="AF1518" s="5" t="s">
        <v>241</v>
      </c>
      <c r="AG1518" s="4" t="s">
        <v>241</v>
      </c>
      <c r="AH1518" s="5" t="s">
        <v>241</v>
      </c>
      <c r="AI1518" s="5" t="s">
        <v>3934</v>
      </c>
      <c r="AJ1518" s="4" t="s">
        <v>251</v>
      </c>
      <c r="AK1518" s="4" t="s">
        <v>241</v>
      </c>
      <c r="AQ1518" s="4" t="s">
        <v>241</v>
      </c>
      <c r="AR1518" s="4" t="s">
        <v>241</v>
      </c>
      <c r="AS1518" s="4" t="s">
        <v>241</v>
      </c>
      <c r="AT1518" s="5" t="s">
        <v>241</v>
      </c>
      <c r="AU1518" s="5" t="s">
        <v>241</v>
      </c>
      <c r="AV1518" s="5" t="s">
        <v>241</v>
      </c>
      <c r="AY1518" s="4" t="s">
        <v>286</v>
      </c>
      <c r="AZ1518" s="4" t="s">
        <v>286</v>
      </c>
      <c r="BA1518" s="4" t="s">
        <v>254</v>
      </c>
      <c r="BB1518" s="4" t="s">
        <v>3924</v>
      </c>
      <c r="BC1518" s="4" t="s">
        <v>255</v>
      </c>
      <c r="BD1518" s="4" t="s">
        <v>241</v>
      </c>
      <c r="BE1518" s="4" t="s">
        <v>257</v>
      </c>
      <c r="BF1518" s="4" t="s">
        <v>3926</v>
      </c>
      <c r="BJ1518" s="4" t="s">
        <v>288</v>
      </c>
      <c r="BK1518" s="5" t="s">
        <v>3934</v>
      </c>
      <c r="BL1518" s="4" t="s">
        <v>3927</v>
      </c>
      <c r="BM1518" s="4" t="s">
        <v>3928</v>
      </c>
      <c r="BN1518" s="4" t="s">
        <v>241</v>
      </c>
      <c r="BO1518" s="6">
        <f>0</f>
        <v>0</v>
      </c>
      <c r="BP1518" s="6">
        <f>69176</f>
        <v>69176</v>
      </c>
      <c r="BQ1518" s="4" t="s">
        <v>263</v>
      </c>
      <c r="BR1518" s="4" t="s">
        <v>264</v>
      </c>
      <c r="BS1518" s="4" t="s">
        <v>427</v>
      </c>
      <c r="BT1518" s="4" t="s">
        <v>3929</v>
      </c>
      <c r="BU1518" s="4" t="s">
        <v>264</v>
      </c>
      <c r="BV1518" s="4" t="s">
        <v>241</v>
      </c>
      <c r="BW1518" s="4" t="s">
        <v>3931</v>
      </c>
      <c r="BX1518" s="4" t="s">
        <v>3932</v>
      </c>
      <c r="BY1518" s="4" t="s">
        <v>3932</v>
      </c>
      <c r="CA1518" s="5" t="s">
        <v>3936</v>
      </c>
      <c r="CB1518" s="4" t="s">
        <v>263</v>
      </c>
      <c r="CC1518" s="4" t="s">
        <v>241</v>
      </c>
      <c r="CD1518" s="4" t="s">
        <v>241</v>
      </c>
      <c r="CE1518" s="4" t="s">
        <v>264</v>
      </c>
      <c r="CF1518" s="4" t="s">
        <v>241</v>
      </c>
      <c r="CG1518" s="4" t="s">
        <v>241</v>
      </c>
      <c r="CK1518" s="4" t="s">
        <v>241</v>
      </c>
      <c r="CL1518" s="4" t="s">
        <v>241</v>
      </c>
      <c r="CM1518" s="4" t="s">
        <v>278</v>
      </c>
      <c r="CO1518" s="4" t="s">
        <v>241</v>
      </c>
      <c r="CP1518" s="5" t="s">
        <v>268</v>
      </c>
      <c r="CQ1518" s="4" t="s">
        <v>269</v>
      </c>
      <c r="CR1518" s="4" t="s">
        <v>270</v>
      </c>
      <c r="CS1518" s="4" t="s">
        <v>293</v>
      </c>
      <c r="CT1518" s="4" t="s">
        <v>241</v>
      </c>
      <c r="CU1518" s="4">
        <v>0</v>
      </c>
      <c r="CV1518" s="4" t="s">
        <v>271</v>
      </c>
      <c r="CW1518" s="4" t="s">
        <v>332</v>
      </c>
      <c r="CX1518" s="4" t="s">
        <v>295</v>
      </c>
      <c r="CY1518" s="6">
        <f>334052</f>
        <v>334052</v>
      </c>
      <c r="CZ1518" s="6">
        <f>334052</f>
        <v>334052</v>
      </c>
      <c r="DA1518" s="6">
        <f>69176</f>
        <v>69176</v>
      </c>
      <c r="DB1518" s="6" t="s">
        <v>241</v>
      </c>
      <c r="DC1518" s="4" t="s">
        <v>241</v>
      </c>
      <c r="DD1518" s="4" t="s">
        <v>241</v>
      </c>
      <c r="DF1518" s="4" t="s">
        <v>241</v>
      </c>
      <c r="DG1518" s="6">
        <f>0</f>
        <v>0</v>
      </c>
      <c r="DH1518" s="5" t="s">
        <v>241</v>
      </c>
      <c r="DI1518" s="4" t="s">
        <v>241</v>
      </c>
      <c r="DJ1518" s="4" t="s">
        <v>241</v>
      </c>
      <c r="DK1518" s="4" t="s">
        <v>241</v>
      </c>
      <c r="DL1518" s="4" t="s">
        <v>241</v>
      </c>
      <c r="DM1518" s="4" t="s">
        <v>241</v>
      </c>
      <c r="DN1518" s="4" t="s">
        <v>241</v>
      </c>
      <c r="DO1518" s="6" t="s">
        <v>241</v>
      </c>
      <c r="DP1518" s="4" t="s">
        <v>241</v>
      </c>
      <c r="DQ1518" s="4" t="s">
        <v>251</v>
      </c>
      <c r="DR1518" s="4" t="s">
        <v>3926</v>
      </c>
      <c r="DS1518" s="4" t="s">
        <v>3926</v>
      </c>
      <c r="DT1518" s="4" t="s">
        <v>241</v>
      </c>
      <c r="DU1518" s="4" t="s">
        <v>241</v>
      </c>
      <c r="GN1518" s="4" t="s">
        <v>3940</v>
      </c>
      <c r="HR1518" s="4" t="s">
        <v>241</v>
      </c>
      <c r="HS1518" s="4" t="s">
        <v>241</v>
      </c>
      <c r="HT1518" s="4" t="s">
        <v>241</v>
      </c>
      <c r="HU1518" s="4" t="s">
        <v>241</v>
      </c>
      <c r="HV1518" s="4" t="s">
        <v>241</v>
      </c>
      <c r="HW1518" s="4" t="s">
        <v>241</v>
      </c>
      <c r="HX1518" s="4" t="s">
        <v>241</v>
      </c>
      <c r="HY1518" s="4" t="s">
        <v>241</v>
      </c>
      <c r="HZ1518" s="4" t="s">
        <v>241</v>
      </c>
      <c r="IA1518" s="4" t="s">
        <v>241</v>
      </c>
      <c r="IB1518" s="4" t="s">
        <v>241</v>
      </c>
      <c r="IC1518" s="4" t="s">
        <v>241</v>
      </c>
      <c r="ID1518" s="4" t="s">
        <v>241</v>
      </c>
      <c r="IE1518" s="4" t="s">
        <v>241</v>
      </c>
      <c r="IF1518" s="4" t="s">
        <v>241</v>
      </c>
    </row>
    <row r="1519" spans="1:240" x14ac:dyDescent="0.4">
      <c r="A1519" s="4">
        <v>2</v>
      </c>
      <c r="B1519" s="4" t="s">
        <v>239</v>
      </c>
      <c r="C1519" s="4">
        <v>1880</v>
      </c>
      <c r="D1519" s="4">
        <v>1</v>
      </c>
      <c r="E1519" s="4">
        <v>2</v>
      </c>
      <c r="F1519" s="4" t="s">
        <v>241</v>
      </c>
      <c r="I1519" s="4" t="s">
        <v>911</v>
      </c>
      <c r="J1519" s="4" t="s">
        <v>653</v>
      </c>
      <c r="K1519" s="4" t="s">
        <v>256</v>
      </c>
      <c r="L1519" s="4" t="s">
        <v>3935</v>
      </c>
      <c r="M1519" s="5" t="s">
        <v>4025</v>
      </c>
      <c r="N1519" s="4" t="s">
        <v>3933</v>
      </c>
      <c r="O1519" s="6">
        <f>1</f>
        <v>1</v>
      </c>
      <c r="P1519" s="4" t="s">
        <v>3937</v>
      </c>
      <c r="Q1519" s="6">
        <f>1009787</f>
        <v>1009787</v>
      </c>
      <c r="R1519" s="6">
        <f>1009787</f>
        <v>1009787</v>
      </c>
      <c r="S1519" s="5" t="s">
        <v>3934</v>
      </c>
      <c r="T1519" s="4" t="s">
        <v>333</v>
      </c>
      <c r="U1519" s="4" t="s">
        <v>241</v>
      </c>
      <c r="V1519" s="6">
        <f>0</f>
        <v>0</v>
      </c>
      <c r="W1519" s="6">
        <f>0</f>
        <v>0</v>
      </c>
      <c r="X1519" s="4" t="s">
        <v>243</v>
      </c>
      <c r="Y1519" s="4" t="s">
        <v>241</v>
      </c>
      <c r="Z1519" s="4" t="s">
        <v>241</v>
      </c>
      <c r="AA1519" s="4" t="s">
        <v>241</v>
      </c>
      <c r="AD1519" s="4" t="s">
        <v>653</v>
      </c>
      <c r="AE1519" s="5" t="s">
        <v>241</v>
      </c>
      <c r="AF1519" s="5" t="s">
        <v>241</v>
      </c>
      <c r="AG1519" s="4" t="s">
        <v>241</v>
      </c>
      <c r="AH1519" s="5" t="s">
        <v>241</v>
      </c>
      <c r="AI1519" s="5" t="s">
        <v>3934</v>
      </c>
      <c r="AJ1519" s="4" t="s">
        <v>251</v>
      </c>
      <c r="AK1519" s="4" t="s">
        <v>241</v>
      </c>
      <c r="AQ1519" s="4" t="s">
        <v>241</v>
      </c>
      <c r="AR1519" s="4" t="s">
        <v>241</v>
      </c>
      <c r="AS1519" s="4" t="s">
        <v>241</v>
      </c>
      <c r="AT1519" s="5" t="s">
        <v>241</v>
      </c>
      <c r="AU1519" s="5" t="s">
        <v>241</v>
      </c>
      <c r="AV1519" s="5" t="s">
        <v>241</v>
      </c>
      <c r="AY1519" s="4" t="s">
        <v>286</v>
      </c>
      <c r="AZ1519" s="4" t="s">
        <v>286</v>
      </c>
      <c r="BA1519" s="4" t="s">
        <v>254</v>
      </c>
      <c r="BB1519" s="4" t="s">
        <v>3924</v>
      </c>
      <c r="BC1519" s="4" t="s">
        <v>255</v>
      </c>
      <c r="BD1519" s="4" t="s">
        <v>241</v>
      </c>
      <c r="BE1519" s="4" t="s">
        <v>257</v>
      </c>
      <c r="BF1519" s="4" t="s">
        <v>3926</v>
      </c>
      <c r="BJ1519" s="4" t="s">
        <v>288</v>
      </c>
      <c r="BK1519" s="5" t="s">
        <v>3934</v>
      </c>
      <c r="BL1519" s="4" t="s">
        <v>3927</v>
      </c>
      <c r="BM1519" s="4" t="s">
        <v>3928</v>
      </c>
      <c r="BN1519" s="4" t="s">
        <v>241</v>
      </c>
      <c r="BO1519" s="6">
        <f>0</f>
        <v>0</v>
      </c>
      <c r="BP1519" s="6">
        <f>1009787</f>
        <v>1009787</v>
      </c>
      <c r="BQ1519" s="4" t="s">
        <v>263</v>
      </c>
      <c r="BR1519" s="4" t="s">
        <v>264</v>
      </c>
      <c r="BS1519" s="4" t="s">
        <v>427</v>
      </c>
      <c r="BT1519" s="4" t="s">
        <v>3929</v>
      </c>
      <c r="BU1519" s="4" t="s">
        <v>264</v>
      </c>
      <c r="BV1519" s="4" t="s">
        <v>241</v>
      </c>
      <c r="BW1519" s="4" t="s">
        <v>3931</v>
      </c>
      <c r="BX1519" s="4" t="s">
        <v>3932</v>
      </c>
      <c r="BY1519" s="4" t="s">
        <v>3932</v>
      </c>
      <c r="CA1519" s="5" t="s">
        <v>3936</v>
      </c>
      <c r="CB1519" s="4" t="s">
        <v>263</v>
      </c>
      <c r="CC1519" s="4" t="s">
        <v>241</v>
      </c>
      <c r="CD1519" s="4" t="s">
        <v>241</v>
      </c>
      <c r="CE1519" s="4" t="s">
        <v>264</v>
      </c>
      <c r="CF1519" s="4" t="s">
        <v>241</v>
      </c>
      <c r="CG1519" s="4" t="s">
        <v>241</v>
      </c>
      <c r="CK1519" s="4" t="s">
        <v>241</v>
      </c>
      <c r="CL1519" s="4" t="s">
        <v>241</v>
      </c>
      <c r="CM1519" s="4" t="s">
        <v>278</v>
      </c>
      <c r="CO1519" s="4" t="s">
        <v>241</v>
      </c>
      <c r="CP1519" s="5" t="s">
        <v>268</v>
      </c>
      <c r="CQ1519" s="4" t="s">
        <v>269</v>
      </c>
      <c r="CR1519" s="4" t="s">
        <v>270</v>
      </c>
      <c r="CS1519" s="4" t="s">
        <v>293</v>
      </c>
      <c r="CT1519" s="4" t="s">
        <v>241</v>
      </c>
      <c r="CU1519" s="4">
        <v>0</v>
      </c>
      <c r="CV1519" s="4" t="s">
        <v>271</v>
      </c>
      <c r="CW1519" s="4" t="s">
        <v>332</v>
      </c>
      <c r="CX1519" s="4" t="s">
        <v>295</v>
      </c>
      <c r="CY1519" s="6">
        <f>1568771</f>
        <v>1568771</v>
      </c>
      <c r="CZ1519" s="6">
        <f>1568771</f>
        <v>1568771</v>
      </c>
      <c r="DA1519" s="6">
        <f>1009787</f>
        <v>1009787</v>
      </c>
      <c r="DB1519" s="6" t="s">
        <v>241</v>
      </c>
      <c r="DC1519" s="4" t="s">
        <v>241</v>
      </c>
      <c r="DD1519" s="4" t="s">
        <v>241</v>
      </c>
      <c r="DF1519" s="4" t="s">
        <v>241</v>
      </c>
      <c r="DG1519" s="6">
        <f>0</f>
        <v>0</v>
      </c>
      <c r="DH1519" s="5" t="s">
        <v>241</v>
      </c>
      <c r="DI1519" s="4" t="s">
        <v>241</v>
      </c>
      <c r="DJ1519" s="4" t="s">
        <v>241</v>
      </c>
      <c r="DK1519" s="4" t="s">
        <v>241</v>
      </c>
      <c r="DL1519" s="4" t="s">
        <v>241</v>
      </c>
      <c r="DM1519" s="4" t="s">
        <v>241</v>
      </c>
      <c r="DN1519" s="4" t="s">
        <v>241</v>
      </c>
      <c r="DO1519" s="6" t="s">
        <v>241</v>
      </c>
      <c r="DP1519" s="4" t="s">
        <v>241</v>
      </c>
      <c r="DQ1519" s="4" t="s">
        <v>251</v>
      </c>
      <c r="DR1519" s="4" t="s">
        <v>3926</v>
      </c>
      <c r="DS1519" s="4" t="s">
        <v>3926</v>
      </c>
      <c r="DT1519" s="4" t="s">
        <v>241</v>
      </c>
      <c r="DU1519" s="4" t="s">
        <v>241</v>
      </c>
      <c r="GN1519" s="4" t="s">
        <v>4084</v>
      </c>
      <c r="HR1519" s="4" t="s">
        <v>241</v>
      </c>
      <c r="HS1519" s="4" t="s">
        <v>241</v>
      </c>
      <c r="HT1519" s="4" t="s">
        <v>241</v>
      </c>
      <c r="HU1519" s="4" t="s">
        <v>241</v>
      </c>
      <c r="HV1519" s="4" t="s">
        <v>241</v>
      </c>
      <c r="HW1519" s="4" t="s">
        <v>241</v>
      </c>
      <c r="HX1519" s="4" t="s">
        <v>241</v>
      </c>
      <c r="HY1519" s="4" t="s">
        <v>241</v>
      </c>
      <c r="HZ1519" s="4" t="s">
        <v>241</v>
      </c>
      <c r="IA1519" s="4" t="s">
        <v>241</v>
      </c>
      <c r="IB1519" s="4" t="s">
        <v>241</v>
      </c>
      <c r="IC1519" s="4" t="s">
        <v>241</v>
      </c>
      <c r="ID1519" s="4" t="s">
        <v>241</v>
      </c>
      <c r="IE1519" s="4" t="s">
        <v>241</v>
      </c>
      <c r="IF1519" s="4" t="s">
        <v>241</v>
      </c>
    </row>
    <row r="1520" spans="1:240" x14ac:dyDescent="0.4">
      <c r="A1520" s="4">
        <v>2</v>
      </c>
      <c r="B1520" s="4" t="s">
        <v>239</v>
      </c>
      <c r="C1520" s="4">
        <v>1881</v>
      </c>
      <c r="D1520" s="4">
        <v>1</v>
      </c>
      <c r="E1520" s="4">
        <v>2</v>
      </c>
      <c r="F1520" s="4" t="s">
        <v>241</v>
      </c>
      <c r="I1520" s="4" t="s">
        <v>917</v>
      </c>
      <c r="J1520" s="4" t="s">
        <v>653</v>
      </c>
      <c r="K1520" s="4" t="s">
        <v>256</v>
      </c>
      <c r="L1520" s="4" t="s">
        <v>3935</v>
      </c>
      <c r="M1520" s="5" t="s">
        <v>4108</v>
      </c>
      <c r="N1520" s="4" t="s">
        <v>3933</v>
      </c>
      <c r="O1520" s="6">
        <f>1</f>
        <v>1</v>
      </c>
      <c r="P1520" s="4" t="s">
        <v>3937</v>
      </c>
      <c r="Q1520" s="6">
        <f>15734</f>
        <v>15734</v>
      </c>
      <c r="R1520" s="6">
        <f>15734</f>
        <v>15734</v>
      </c>
      <c r="S1520" s="5" t="s">
        <v>3934</v>
      </c>
      <c r="T1520" s="4" t="s">
        <v>333</v>
      </c>
      <c r="U1520" s="4" t="s">
        <v>241</v>
      </c>
      <c r="V1520" s="6">
        <f>0</f>
        <v>0</v>
      </c>
      <c r="W1520" s="6">
        <f>0</f>
        <v>0</v>
      </c>
      <c r="X1520" s="4" t="s">
        <v>243</v>
      </c>
      <c r="Y1520" s="4" t="s">
        <v>241</v>
      </c>
      <c r="Z1520" s="4" t="s">
        <v>241</v>
      </c>
      <c r="AA1520" s="4" t="s">
        <v>241</v>
      </c>
      <c r="AD1520" s="4" t="s">
        <v>653</v>
      </c>
      <c r="AE1520" s="5" t="s">
        <v>241</v>
      </c>
      <c r="AF1520" s="5" t="s">
        <v>241</v>
      </c>
      <c r="AG1520" s="4" t="s">
        <v>241</v>
      </c>
      <c r="AH1520" s="5" t="s">
        <v>241</v>
      </c>
      <c r="AI1520" s="5" t="s">
        <v>3934</v>
      </c>
      <c r="AJ1520" s="4" t="s">
        <v>251</v>
      </c>
      <c r="AK1520" s="4" t="s">
        <v>241</v>
      </c>
      <c r="AQ1520" s="4" t="s">
        <v>241</v>
      </c>
      <c r="AR1520" s="4" t="s">
        <v>241</v>
      </c>
      <c r="AS1520" s="4" t="s">
        <v>241</v>
      </c>
      <c r="AT1520" s="5" t="s">
        <v>241</v>
      </c>
      <c r="AU1520" s="5" t="s">
        <v>241</v>
      </c>
      <c r="AV1520" s="5" t="s">
        <v>241</v>
      </c>
      <c r="AY1520" s="4" t="s">
        <v>286</v>
      </c>
      <c r="AZ1520" s="4" t="s">
        <v>286</v>
      </c>
      <c r="BA1520" s="4" t="s">
        <v>254</v>
      </c>
      <c r="BB1520" s="4" t="s">
        <v>3924</v>
      </c>
      <c r="BC1520" s="4" t="s">
        <v>255</v>
      </c>
      <c r="BD1520" s="4" t="s">
        <v>241</v>
      </c>
      <c r="BE1520" s="4" t="s">
        <v>257</v>
      </c>
      <c r="BF1520" s="4" t="s">
        <v>3926</v>
      </c>
      <c r="BJ1520" s="4" t="s">
        <v>288</v>
      </c>
      <c r="BK1520" s="5" t="s">
        <v>3934</v>
      </c>
      <c r="BL1520" s="4" t="s">
        <v>3927</v>
      </c>
      <c r="BM1520" s="4" t="s">
        <v>3928</v>
      </c>
      <c r="BN1520" s="4" t="s">
        <v>241</v>
      </c>
      <c r="BO1520" s="6">
        <f>0</f>
        <v>0</v>
      </c>
      <c r="BP1520" s="6">
        <f>15734</f>
        <v>15734</v>
      </c>
      <c r="BQ1520" s="4" t="s">
        <v>263</v>
      </c>
      <c r="BR1520" s="4" t="s">
        <v>264</v>
      </c>
      <c r="BS1520" s="4" t="s">
        <v>427</v>
      </c>
      <c r="BT1520" s="4" t="s">
        <v>3929</v>
      </c>
      <c r="BU1520" s="4" t="s">
        <v>264</v>
      </c>
      <c r="BV1520" s="4" t="s">
        <v>241</v>
      </c>
      <c r="BW1520" s="4" t="s">
        <v>3931</v>
      </c>
      <c r="BX1520" s="4" t="s">
        <v>3932</v>
      </c>
      <c r="BY1520" s="4" t="s">
        <v>3932</v>
      </c>
      <c r="CA1520" s="5" t="s">
        <v>3936</v>
      </c>
      <c r="CB1520" s="4" t="s">
        <v>263</v>
      </c>
      <c r="CC1520" s="4" t="s">
        <v>241</v>
      </c>
      <c r="CD1520" s="4" t="s">
        <v>241</v>
      </c>
      <c r="CE1520" s="4" t="s">
        <v>264</v>
      </c>
      <c r="CF1520" s="4" t="s">
        <v>241</v>
      </c>
      <c r="CG1520" s="4" t="s">
        <v>241</v>
      </c>
      <c r="CK1520" s="4" t="s">
        <v>241</v>
      </c>
      <c r="CL1520" s="4" t="s">
        <v>241</v>
      </c>
      <c r="CM1520" s="4" t="s">
        <v>278</v>
      </c>
      <c r="CO1520" s="4" t="s">
        <v>241</v>
      </c>
      <c r="CP1520" s="5" t="s">
        <v>268</v>
      </c>
      <c r="CQ1520" s="4" t="s">
        <v>269</v>
      </c>
      <c r="CR1520" s="4" t="s">
        <v>270</v>
      </c>
      <c r="CS1520" s="4" t="s">
        <v>293</v>
      </c>
      <c r="CT1520" s="4" t="s">
        <v>241</v>
      </c>
      <c r="CU1520" s="4">
        <v>0</v>
      </c>
      <c r="CV1520" s="4" t="s">
        <v>271</v>
      </c>
      <c r="CW1520" s="4" t="s">
        <v>332</v>
      </c>
      <c r="CX1520" s="4" t="s">
        <v>295</v>
      </c>
      <c r="CY1520" s="6">
        <f>92767</f>
        <v>92767</v>
      </c>
      <c r="CZ1520" s="6">
        <f>92767</f>
        <v>92767</v>
      </c>
      <c r="DA1520" s="6">
        <f>15734</f>
        <v>15734</v>
      </c>
      <c r="DB1520" s="6" t="s">
        <v>241</v>
      </c>
      <c r="DC1520" s="4" t="s">
        <v>241</v>
      </c>
      <c r="DD1520" s="4" t="s">
        <v>241</v>
      </c>
      <c r="DF1520" s="4" t="s">
        <v>241</v>
      </c>
      <c r="DG1520" s="6">
        <f>0</f>
        <v>0</v>
      </c>
      <c r="DH1520" s="5" t="s">
        <v>241</v>
      </c>
      <c r="DI1520" s="4" t="s">
        <v>241</v>
      </c>
      <c r="DJ1520" s="4" t="s">
        <v>241</v>
      </c>
      <c r="DK1520" s="4" t="s">
        <v>241</v>
      </c>
      <c r="DL1520" s="4" t="s">
        <v>241</v>
      </c>
      <c r="DM1520" s="4" t="s">
        <v>241</v>
      </c>
      <c r="DN1520" s="4" t="s">
        <v>241</v>
      </c>
      <c r="DO1520" s="6" t="s">
        <v>241</v>
      </c>
      <c r="DP1520" s="4" t="s">
        <v>241</v>
      </c>
      <c r="DQ1520" s="4" t="s">
        <v>251</v>
      </c>
      <c r="DR1520" s="4" t="s">
        <v>3926</v>
      </c>
      <c r="DS1520" s="4" t="s">
        <v>3926</v>
      </c>
      <c r="DT1520" s="4" t="s">
        <v>241</v>
      </c>
      <c r="DU1520" s="4" t="s">
        <v>241</v>
      </c>
      <c r="GN1520" s="4" t="s">
        <v>4109</v>
      </c>
      <c r="HR1520" s="4" t="s">
        <v>241</v>
      </c>
      <c r="HS1520" s="4" t="s">
        <v>241</v>
      </c>
      <c r="HT1520" s="4" t="s">
        <v>241</v>
      </c>
      <c r="HU1520" s="4" t="s">
        <v>241</v>
      </c>
      <c r="HV1520" s="4" t="s">
        <v>241</v>
      </c>
      <c r="HW1520" s="4" t="s">
        <v>241</v>
      </c>
      <c r="HX1520" s="4" t="s">
        <v>241</v>
      </c>
      <c r="HY1520" s="4" t="s">
        <v>241</v>
      </c>
      <c r="HZ1520" s="4" t="s">
        <v>241</v>
      </c>
      <c r="IA1520" s="4" t="s">
        <v>241</v>
      </c>
      <c r="IB1520" s="4" t="s">
        <v>241</v>
      </c>
      <c r="IC1520" s="4" t="s">
        <v>241</v>
      </c>
      <c r="ID1520" s="4" t="s">
        <v>241</v>
      </c>
      <c r="IE1520" s="4" t="s">
        <v>241</v>
      </c>
      <c r="IF1520" s="4" t="s">
        <v>241</v>
      </c>
    </row>
    <row r="1521" spans="1:240" x14ac:dyDescent="0.4">
      <c r="A1521" s="4">
        <v>2</v>
      </c>
      <c r="B1521" s="4" t="s">
        <v>239</v>
      </c>
      <c r="C1521" s="4">
        <v>1882</v>
      </c>
      <c r="D1521" s="4">
        <v>1</v>
      </c>
      <c r="E1521" s="4">
        <v>2</v>
      </c>
      <c r="F1521" s="4" t="s">
        <v>241</v>
      </c>
      <c r="I1521" s="4" t="s">
        <v>932</v>
      </c>
      <c r="J1521" s="4" t="s">
        <v>653</v>
      </c>
      <c r="K1521" s="4" t="s">
        <v>256</v>
      </c>
      <c r="L1521" s="4" t="s">
        <v>3935</v>
      </c>
      <c r="N1521" s="4" t="s">
        <v>3933</v>
      </c>
      <c r="O1521" s="6">
        <f>1</f>
        <v>1</v>
      </c>
      <c r="P1521" s="4" t="s">
        <v>3937</v>
      </c>
      <c r="Q1521" s="6">
        <f>955313</f>
        <v>955313</v>
      </c>
      <c r="R1521" s="6">
        <f>955313</f>
        <v>955313</v>
      </c>
      <c r="S1521" s="5" t="s">
        <v>3934</v>
      </c>
      <c r="T1521" s="4" t="s">
        <v>333</v>
      </c>
      <c r="U1521" s="4" t="s">
        <v>241</v>
      </c>
      <c r="V1521" s="6">
        <f>0</f>
        <v>0</v>
      </c>
      <c r="W1521" s="6">
        <f>0</f>
        <v>0</v>
      </c>
      <c r="X1521" s="4" t="s">
        <v>243</v>
      </c>
      <c r="Y1521" s="4" t="s">
        <v>241</v>
      </c>
      <c r="Z1521" s="4" t="s">
        <v>241</v>
      </c>
      <c r="AA1521" s="4" t="s">
        <v>241</v>
      </c>
      <c r="AD1521" s="4" t="s">
        <v>653</v>
      </c>
      <c r="AE1521" s="5" t="s">
        <v>241</v>
      </c>
      <c r="AF1521" s="5" t="s">
        <v>241</v>
      </c>
      <c r="AG1521" s="4" t="s">
        <v>241</v>
      </c>
      <c r="AH1521" s="5" t="s">
        <v>241</v>
      </c>
      <c r="AI1521" s="5" t="s">
        <v>3934</v>
      </c>
      <c r="AJ1521" s="4" t="s">
        <v>251</v>
      </c>
      <c r="AK1521" s="4" t="s">
        <v>241</v>
      </c>
      <c r="AQ1521" s="4" t="s">
        <v>241</v>
      </c>
      <c r="AR1521" s="4" t="s">
        <v>241</v>
      </c>
      <c r="AS1521" s="4" t="s">
        <v>241</v>
      </c>
      <c r="AT1521" s="5" t="s">
        <v>241</v>
      </c>
      <c r="AU1521" s="5" t="s">
        <v>241</v>
      </c>
      <c r="AV1521" s="5" t="s">
        <v>241</v>
      </c>
      <c r="AY1521" s="4" t="s">
        <v>286</v>
      </c>
      <c r="AZ1521" s="4" t="s">
        <v>286</v>
      </c>
      <c r="BA1521" s="4" t="s">
        <v>254</v>
      </c>
      <c r="BB1521" s="4" t="s">
        <v>3924</v>
      </c>
      <c r="BC1521" s="4" t="s">
        <v>255</v>
      </c>
      <c r="BD1521" s="4" t="s">
        <v>241</v>
      </c>
      <c r="BE1521" s="4" t="s">
        <v>257</v>
      </c>
      <c r="BF1521" s="4" t="s">
        <v>3926</v>
      </c>
      <c r="BJ1521" s="4" t="s">
        <v>288</v>
      </c>
      <c r="BK1521" s="5" t="s">
        <v>3934</v>
      </c>
      <c r="BL1521" s="4" t="s">
        <v>3927</v>
      </c>
      <c r="BM1521" s="4" t="s">
        <v>3928</v>
      </c>
      <c r="BN1521" s="4" t="s">
        <v>241</v>
      </c>
      <c r="BO1521" s="6">
        <f>0</f>
        <v>0</v>
      </c>
      <c r="BP1521" s="6">
        <f>955313</f>
        <v>955313</v>
      </c>
      <c r="BQ1521" s="4" t="s">
        <v>263</v>
      </c>
      <c r="BR1521" s="4" t="s">
        <v>264</v>
      </c>
      <c r="BS1521" s="4" t="s">
        <v>427</v>
      </c>
      <c r="BT1521" s="4" t="s">
        <v>3929</v>
      </c>
      <c r="BU1521" s="4" t="s">
        <v>264</v>
      </c>
      <c r="BV1521" s="4" t="s">
        <v>241</v>
      </c>
      <c r="BW1521" s="4" t="s">
        <v>3931</v>
      </c>
      <c r="BX1521" s="4" t="s">
        <v>3932</v>
      </c>
      <c r="BY1521" s="4" t="s">
        <v>3932</v>
      </c>
      <c r="CA1521" s="5" t="s">
        <v>3936</v>
      </c>
      <c r="CB1521" s="4" t="s">
        <v>263</v>
      </c>
      <c r="CC1521" s="4" t="s">
        <v>241</v>
      </c>
      <c r="CD1521" s="4" t="s">
        <v>241</v>
      </c>
      <c r="CE1521" s="4" t="s">
        <v>264</v>
      </c>
      <c r="CF1521" s="4" t="s">
        <v>241</v>
      </c>
      <c r="CG1521" s="4" t="s">
        <v>241</v>
      </c>
      <c r="CK1521" s="4" t="s">
        <v>241</v>
      </c>
      <c r="CL1521" s="4" t="s">
        <v>241</v>
      </c>
      <c r="CM1521" s="4" t="s">
        <v>278</v>
      </c>
      <c r="CO1521" s="4" t="s">
        <v>241</v>
      </c>
      <c r="CP1521" s="5" t="s">
        <v>268</v>
      </c>
      <c r="CQ1521" s="4" t="s">
        <v>269</v>
      </c>
      <c r="CR1521" s="4" t="s">
        <v>270</v>
      </c>
      <c r="CS1521" s="4" t="s">
        <v>293</v>
      </c>
      <c r="CT1521" s="4" t="s">
        <v>241</v>
      </c>
      <c r="CU1521" s="4">
        <v>0</v>
      </c>
      <c r="CV1521" s="4" t="s">
        <v>271</v>
      </c>
      <c r="CW1521" s="4" t="s">
        <v>332</v>
      </c>
      <c r="CX1521" s="4" t="s">
        <v>295</v>
      </c>
      <c r="CY1521" s="6">
        <f>1552425</f>
        <v>1552425</v>
      </c>
      <c r="CZ1521" s="6">
        <f>1552425</f>
        <v>1552425</v>
      </c>
      <c r="DA1521" s="6">
        <f>955313</f>
        <v>955313</v>
      </c>
      <c r="DB1521" s="6" t="s">
        <v>241</v>
      </c>
      <c r="DC1521" s="4" t="s">
        <v>241</v>
      </c>
      <c r="DD1521" s="4" t="s">
        <v>241</v>
      </c>
      <c r="DF1521" s="4" t="s">
        <v>241</v>
      </c>
      <c r="DG1521" s="6">
        <f>0</f>
        <v>0</v>
      </c>
      <c r="DH1521" s="5" t="s">
        <v>241</v>
      </c>
      <c r="DI1521" s="4" t="s">
        <v>241</v>
      </c>
      <c r="DJ1521" s="4" t="s">
        <v>241</v>
      </c>
      <c r="DK1521" s="4" t="s">
        <v>241</v>
      </c>
      <c r="DL1521" s="4" t="s">
        <v>241</v>
      </c>
      <c r="DM1521" s="4" t="s">
        <v>241</v>
      </c>
      <c r="DN1521" s="4" t="s">
        <v>241</v>
      </c>
      <c r="DO1521" s="6" t="s">
        <v>241</v>
      </c>
      <c r="DP1521" s="4" t="s">
        <v>241</v>
      </c>
      <c r="DQ1521" s="4" t="s">
        <v>251</v>
      </c>
      <c r="DR1521" s="4" t="s">
        <v>3926</v>
      </c>
      <c r="DS1521" s="4" t="s">
        <v>3926</v>
      </c>
      <c r="DT1521" s="4" t="s">
        <v>241</v>
      </c>
      <c r="DU1521" s="4" t="s">
        <v>241</v>
      </c>
      <c r="GN1521" s="4" t="s">
        <v>3938</v>
      </c>
      <c r="HR1521" s="4" t="s">
        <v>241</v>
      </c>
      <c r="HS1521" s="4" t="s">
        <v>241</v>
      </c>
      <c r="HT1521" s="4" t="s">
        <v>241</v>
      </c>
      <c r="HU1521" s="4" t="s">
        <v>241</v>
      </c>
      <c r="HV1521" s="4" t="s">
        <v>241</v>
      </c>
      <c r="HW1521" s="4" t="s">
        <v>241</v>
      </c>
      <c r="HX1521" s="4" t="s">
        <v>241</v>
      </c>
      <c r="HY1521" s="4" t="s">
        <v>241</v>
      </c>
      <c r="HZ1521" s="4" t="s">
        <v>241</v>
      </c>
      <c r="IA1521" s="4" t="s">
        <v>241</v>
      </c>
      <c r="IB1521" s="4" t="s">
        <v>241</v>
      </c>
      <c r="IC1521" s="4" t="s">
        <v>241</v>
      </c>
      <c r="ID1521" s="4" t="s">
        <v>241</v>
      </c>
      <c r="IE1521" s="4" t="s">
        <v>241</v>
      </c>
      <c r="IF1521" s="4" t="s">
        <v>241</v>
      </c>
    </row>
    <row r="1522" spans="1:240" x14ac:dyDescent="0.4">
      <c r="A1522" s="4">
        <v>2</v>
      </c>
      <c r="B1522" s="4" t="s">
        <v>239</v>
      </c>
      <c r="C1522" s="4">
        <v>1883</v>
      </c>
      <c r="D1522" s="4">
        <v>1</v>
      </c>
      <c r="E1522" s="4">
        <v>2</v>
      </c>
      <c r="F1522" s="4" t="s">
        <v>241</v>
      </c>
      <c r="I1522" s="4" t="s">
        <v>696</v>
      </c>
      <c r="J1522" s="4" t="s">
        <v>653</v>
      </c>
      <c r="K1522" s="4" t="s">
        <v>256</v>
      </c>
      <c r="L1522" s="4" t="s">
        <v>4095</v>
      </c>
      <c r="M1522" s="5" t="s">
        <v>4058</v>
      </c>
      <c r="N1522" s="4" t="s">
        <v>3933</v>
      </c>
      <c r="O1522" s="6">
        <f>1</f>
        <v>1</v>
      </c>
      <c r="P1522" s="4" t="s">
        <v>3937</v>
      </c>
      <c r="Q1522" s="6">
        <f>1132477</f>
        <v>1132477</v>
      </c>
      <c r="R1522" s="6">
        <f>1132477</f>
        <v>1132477</v>
      </c>
      <c r="S1522" s="5" t="s">
        <v>3934</v>
      </c>
      <c r="T1522" s="4" t="s">
        <v>333</v>
      </c>
      <c r="U1522" s="4" t="s">
        <v>241</v>
      </c>
      <c r="V1522" s="6">
        <f>0</f>
        <v>0</v>
      </c>
      <c r="W1522" s="6">
        <f>0</f>
        <v>0</v>
      </c>
      <c r="X1522" s="4" t="s">
        <v>243</v>
      </c>
      <c r="Y1522" s="4" t="s">
        <v>241</v>
      </c>
      <c r="Z1522" s="4" t="s">
        <v>241</v>
      </c>
      <c r="AA1522" s="4" t="s">
        <v>241</v>
      </c>
      <c r="AD1522" s="4" t="s">
        <v>653</v>
      </c>
      <c r="AE1522" s="5" t="s">
        <v>241</v>
      </c>
      <c r="AF1522" s="5" t="s">
        <v>241</v>
      </c>
      <c r="AG1522" s="4" t="s">
        <v>241</v>
      </c>
      <c r="AH1522" s="5" t="s">
        <v>241</v>
      </c>
      <c r="AI1522" s="5" t="s">
        <v>3934</v>
      </c>
      <c r="AJ1522" s="4" t="s">
        <v>251</v>
      </c>
      <c r="AK1522" s="4" t="s">
        <v>241</v>
      </c>
      <c r="AQ1522" s="4" t="s">
        <v>241</v>
      </c>
      <c r="AR1522" s="4" t="s">
        <v>241</v>
      </c>
      <c r="AS1522" s="4" t="s">
        <v>241</v>
      </c>
      <c r="AT1522" s="5" t="s">
        <v>241</v>
      </c>
      <c r="AU1522" s="5" t="s">
        <v>241</v>
      </c>
      <c r="AV1522" s="5" t="s">
        <v>241</v>
      </c>
      <c r="AY1522" s="4" t="s">
        <v>286</v>
      </c>
      <c r="AZ1522" s="4" t="s">
        <v>286</v>
      </c>
      <c r="BA1522" s="4" t="s">
        <v>254</v>
      </c>
      <c r="BB1522" s="4" t="s">
        <v>3924</v>
      </c>
      <c r="BC1522" s="4" t="s">
        <v>255</v>
      </c>
      <c r="BD1522" s="4" t="s">
        <v>241</v>
      </c>
      <c r="BE1522" s="4" t="s">
        <v>257</v>
      </c>
      <c r="BF1522" s="4" t="s">
        <v>3926</v>
      </c>
      <c r="BJ1522" s="4" t="s">
        <v>288</v>
      </c>
      <c r="BK1522" s="5" t="s">
        <v>3934</v>
      </c>
      <c r="BL1522" s="4" t="s">
        <v>3927</v>
      </c>
      <c r="BM1522" s="4" t="s">
        <v>3928</v>
      </c>
      <c r="BN1522" s="4" t="s">
        <v>241</v>
      </c>
      <c r="BO1522" s="6">
        <f>0</f>
        <v>0</v>
      </c>
      <c r="BP1522" s="6">
        <f>1132477</f>
        <v>1132477</v>
      </c>
      <c r="BQ1522" s="4" t="s">
        <v>263</v>
      </c>
      <c r="BR1522" s="4" t="s">
        <v>264</v>
      </c>
      <c r="BS1522" s="4" t="s">
        <v>427</v>
      </c>
      <c r="BT1522" s="4" t="s">
        <v>3948</v>
      </c>
      <c r="BU1522" s="4" t="s">
        <v>264</v>
      </c>
      <c r="BV1522" s="4" t="s">
        <v>241</v>
      </c>
      <c r="BW1522" s="4" t="s">
        <v>3931</v>
      </c>
      <c r="BX1522" s="4" t="s">
        <v>3932</v>
      </c>
      <c r="BY1522" s="4" t="s">
        <v>3932</v>
      </c>
      <c r="CA1522" s="5" t="s">
        <v>4096</v>
      </c>
      <c r="CB1522" s="4" t="s">
        <v>263</v>
      </c>
      <c r="CC1522" s="4" t="s">
        <v>241</v>
      </c>
      <c r="CD1522" s="4" t="s">
        <v>241</v>
      </c>
      <c r="CE1522" s="4" t="s">
        <v>264</v>
      </c>
      <c r="CF1522" s="4" t="s">
        <v>241</v>
      </c>
      <c r="CG1522" s="4" t="s">
        <v>241</v>
      </c>
      <c r="CK1522" s="4" t="s">
        <v>241</v>
      </c>
      <c r="CL1522" s="4" t="s">
        <v>241</v>
      </c>
      <c r="CM1522" s="4" t="s">
        <v>278</v>
      </c>
      <c r="CO1522" s="4" t="s">
        <v>241</v>
      </c>
      <c r="CP1522" s="5" t="s">
        <v>268</v>
      </c>
      <c r="CQ1522" s="4" t="s">
        <v>269</v>
      </c>
      <c r="CR1522" s="4" t="s">
        <v>270</v>
      </c>
      <c r="CS1522" s="4" t="s">
        <v>293</v>
      </c>
      <c r="CT1522" s="4" t="s">
        <v>241</v>
      </c>
      <c r="CU1522" s="4">
        <v>0</v>
      </c>
      <c r="CV1522" s="4" t="s">
        <v>271</v>
      </c>
      <c r="CW1522" s="4" t="s">
        <v>332</v>
      </c>
      <c r="CX1522" s="4" t="s">
        <v>295</v>
      </c>
      <c r="CY1522" s="6">
        <f>1132477</f>
        <v>1132477</v>
      </c>
      <c r="CZ1522" s="6">
        <f>1132477</f>
        <v>1132477</v>
      </c>
      <c r="DA1522" s="6">
        <f>1132477</f>
        <v>1132477</v>
      </c>
      <c r="DB1522" s="6" t="s">
        <v>241</v>
      </c>
      <c r="DC1522" s="4" t="s">
        <v>241</v>
      </c>
      <c r="DD1522" s="4" t="s">
        <v>241</v>
      </c>
      <c r="DF1522" s="4" t="s">
        <v>241</v>
      </c>
      <c r="DG1522" s="6">
        <f>0</f>
        <v>0</v>
      </c>
      <c r="DH1522" s="5" t="s">
        <v>241</v>
      </c>
      <c r="DI1522" s="4" t="s">
        <v>241</v>
      </c>
      <c r="DJ1522" s="4" t="s">
        <v>241</v>
      </c>
      <c r="DK1522" s="4" t="s">
        <v>241</v>
      </c>
      <c r="DL1522" s="4" t="s">
        <v>241</v>
      </c>
      <c r="DM1522" s="4" t="s">
        <v>241</v>
      </c>
      <c r="DN1522" s="4" t="s">
        <v>241</v>
      </c>
      <c r="DO1522" s="6" t="s">
        <v>241</v>
      </c>
      <c r="DP1522" s="4" t="s">
        <v>241</v>
      </c>
      <c r="DQ1522" s="4" t="s">
        <v>251</v>
      </c>
      <c r="DR1522" s="4" t="s">
        <v>3926</v>
      </c>
      <c r="DS1522" s="4" t="s">
        <v>3926</v>
      </c>
      <c r="DT1522" s="4" t="s">
        <v>241</v>
      </c>
      <c r="DU1522" s="4" t="s">
        <v>241</v>
      </c>
      <c r="GN1522" s="4" t="s">
        <v>4097</v>
      </c>
      <c r="HR1522" s="4" t="s">
        <v>241</v>
      </c>
      <c r="HS1522" s="4" t="s">
        <v>241</v>
      </c>
      <c r="HT1522" s="4" t="s">
        <v>241</v>
      </c>
      <c r="HU1522" s="4" t="s">
        <v>241</v>
      </c>
      <c r="HV1522" s="4" t="s">
        <v>241</v>
      </c>
      <c r="HW1522" s="4" t="s">
        <v>241</v>
      </c>
      <c r="HX1522" s="4" t="s">
        <v>241</v>
      </c>
      <c r="HY1522" s="4" t="s">
        <v>241</v>
      </c>
      <c r="HZ1522" s="4" t="s">
        <v>241</v>
      </c>
      <c r="IA1522" s="4" t="s">
        <v>241</v>
      </c>
      <c r="IB1522" s="4" t="s">
        <v>241</v>
      </c>
      <c r="IC1522" s="4" t="s">
        <v>241</v>
      </c>
      <c r="ID1522" s="4" t="s">
        <v>241</v>
      </c>
      <c r="IE1522" s="4" t="s">
        <v>241</v>
      </c>
      <c r="IF1522" s="4" t="s">
        <v>241</v>
      </c>
    </row>
    <row r="1523" spans="1:240" x14ac:dyDescent="0.4">
      <c r="A1523" s="4">
        <v>2</v>
      </c>
      <c r="B1523" s="4" t="s">
        <v>239</v>
      </c>
      <c r="C1523" s="4">
        <v>1884</v>
      </c>
      <c r="D1523" s="4">
        <v>1</v>
      </c>
      <c r="E1523" s="4">
        <v>2</v>
      </c>
      <c r="F1523" s="4" t="s">
        <v>241</v>
      </c>
      <c r="I1523" s="4" t="s">
        <v>823</v>
      </c>
      <c r="J1523" s="4" t="s">
        <v>653</v>
      </c>
      <c r="K1523" s="4" t="s">
        <v>256</v>
      </c>
      <c r="L1523" s="4" t="s">
        <v>4068</v>
      </c>
      <c r="M1523" s="5" t="s">
        <v>4012</v>
      </c>
      <c r="N1523" s="4" t="s">
        <v>4067</v>
      </c>
      <c r="O1523" s="6">
        <f>1</f>
        <v>1</v>
      </c>
      <c r="P1523" s="4" t="s">
        <v>3937</v>
      </c>
      <c r="Q1523" s="6">
        <f>3017997</f>
        <v>3017997</v>
      </c>
      <c r="R1523" s="6">
        <f>3017997</f>
        <v>3017997</v>
      </c>
      <c r="S1523" s="5" t="s">
        <v>3934</v>
      </c>
      <c r="T1523" s="4" t="s">
        <v>333</v>
      </c>
      <c r="U1523" s="4" t="s">
        <v>241</v>
      </c>
      <c r="V1523" s="6">
        <f>0</f>
        <v>0</v>
      </c>
      <c r="W1523" s="6">
        <f>0</f>
        <v>0</v>
      </c>
      <c r="X1523" s="4" t="s">
        <v>243</v>
      </c>
      <c r="Y1523" s="4" t="s">
        <v>241</v>
      </c>
      <c r="Z1523" s="4" t="s">
        <v>241</v>
      </c>
      <c r="AA1523" s="4" t="s">
        <v>241</v>
      </c>
      <c r="AD1523" s="4" t="s">
        <v>653</v>
      </c>
      <c r="AE1523" s="5" t="s">
        <v>241</v>
      </c>
      <c r="AF1523" s="5" t="s">
        <v>241</v>
      </c>
      <c r="AG1523" s="4" t="s">
        <v>241</v>
      </c>
      <c r="AH1523" s="5" t="s">
        <v>241</v>
      </c>
      <c r="AI1523" s="5" t="s">
        <v>3934</v>
      </c>
      <c r="AJ1523" s="4" t="s">
        <v>251</v>
      </c>
      <c r="AK1523" s="4" t="s">
        <v>241</v>
      </c>
      <c r="AQ1523" s="4" t="s">
        <v>241</v>
      </c>
      <c r="AR1523" s="4" t="s">
        <v>241</v>
      </c>
      <c r="AS1523" s="4" t="s">
        <v>241</v>
      </c>
      <c r="AT1523" s="5" t="s">
        <v>241</v>
      </c>
      <c r="AU1523" s="5" t="s">
        <v>241</v>
      </c>
      <c r="AV1523" s="5" t="s">
        <v>241</v>
      </c>
      <c r="AY1523" s="4" t="s">
        <v>286</v>
      </c>
      <c r="AZ1523" s="4" t="s">
        <v>286</v>
      </c>
      <c r="BA1523" s="4" t="s">
        <v>254</v>
      </c>
      <c r="BB1523" s="4" t="s">
        <v>3924</v>
      </c>
      <c r="BC1523" s="4" t="s">
        <v>255</v>
      </c>
      <c r="BD1523" s="4" t="s">
        <v>241</v>
      </c>
      <c r="BE1523" s="4" t="s">
        <v>257</v>
      </c>
      <c r="BF1523" s="4" t="s">
        <v>3926</v>
      </c>
      <c r="BJ1523" s="4" t="s">
        <v>288</v>
      </c>
      <c r="BK1523" s="5" t="s">
        <v>3934</v>
      </c>
      <c r="BL1523" s="4" t="s">
        <v>3927</v>
      </c>
      <c r="BM1523" s="4" t="s">
        <v>3928</v>
      </c>
      <c r="BN1523" s="4" t="s">
        <v>241</v>
      </c>
      <c r="BO1523" s="6">
        <f>0</f>
        <v>0</v>
      </c>
      <c r="BP1523" s="6">
        <f>3017997</f>
        <v>3017997</v>
      </c>
      <c r="BQ1523" s="4" t="s">
        <v>263</v>
      </c>
      <c r="BR1523" s="4" t="s">
        <v>264</v>
      </c>
      <c r="BS1523" s="4" t="s">
        <v>427</v>
      </c>
      <c r="BT1523" s="4" t="s">
        <v>3929</v>
      </c>
      <c r="BU1523" s="4" t="s">
        <v>264</v>
      </c>
      <c r="BV1523" s="4" t="s">
        <v>241</v>
      </c>
      <c r="BW1523" s="4" t="s">
        <v>3931</v>
      </c>
      <c r="BX1523" s="4" t="s">
        <v>3932</v>
      </c>
      <c r="BY1523" s="4" t="s">
        <v>3932</v>
      </c>
      <c r="CA1523" s="5" t="s">
        <v>4069</v>
      </c>
      <c r="CB1523" s="4" t="s">
        <v>263</v>
      </c>
      <c r="CC1523" s="4" t="s">
        <v>241</v>
      </c>
      <c r="CD1523" s="4" t="s">
        <v>241</v>
      </c>
      <c r="CE1523" s="4" t="s">
        <v>264</v>
      </c>
      <c r="CF1523" s="4" t="s">
        <v>241</v>
      </c>
      <c r="CG1523" s="4" t="s">
        <v>241</v>
      </c>
      <c r="CK1523" s="4" t="s">
        <v>241</v>
      </c>
      <c r="CL1523" s="4" t="s">
        <v>241</v>
      </c>
      <c r="CM1523" s="4" t="s">
        <v>278</v>
      </c>
      <c r="CO1523" s="4" t="s">
        <v>241</v>
      </c>
      <c r="CP1523" s="5" t="s">
        <v>268</v>
      </c>
      <c r="CQ1523" s="4" t="s">
        <v>269</v>
      </c>
      <c r="CR1523" s="4" t="s">
        <v>270</v>
      </c>
      <c r="CS1523" s="4" t="s">
        <v>293</v>
      </c>
      <c r="CT1523" s="4" t="s">
        <v>241</v>
      </c>
      <c r="CU1523" s="4">
        <v>0</v>
      </c>
      <c r="CV1523" s="4" t="s">
        <v>271</v>
      </c>
      <c r="CW1523" s="4" t="s">
        <v>332</v>
      </c>
      <c r="CX1523" s="4" t="s">
        <v>295</v>
      </c>
      <c r="CY1523" s="6">
        <f>6035993</f>
        <v>6035993</v>
      </c>
      <c r="CZ1523" s="6">
        <f>6035993</f>
        <v>6035993</v>
      </c>
      <c r="DA1523" s="6">
        <f>3017997</f>
        <v>3017997</v>
      </c>
      <c r="DB1523" s="6" t="s">
        <v>241</v>
      </c>
      <c r="DC1523" s="4" t="s">
        <v>241</v>
      </c>
      <c r="DD1523" s="4" t="s">
        <v>241</v>
      </c>
      <c r="DF1523" s="4" t="s">
        <v>241</v>
      </c>
      <c r="DG1523" s="6">
        <f>0</f>
        <v>0</v>
      </c>
      <c r="DH1523" s="5" t="s">
        <v>241</v>
      </c>
      <c r="DI1523" s="4" t="s">
        <v>241</v>
      </c>
      <c r="DJ1523" s="4" t="s">
        <v>241</v>
      </c>
      <c r="DK1523" s="4" t="s">
        <v>241</v>
      </c>
      <c r="DL1523" s="4" t="s">
        <v>241</v>
      </c>
      <c r="DM1523" s="4" t="s">
        <v>241</v>
      </c>
      <c r="DN1523" s="4" t="s">
        <v>241</v>
      </c>
      <c r="DO1523" s="6" t="s">
        <v>241</v>
      </c>
      <c r="DP1523" s="4" t="s">
        <v>241</v>
      </c>
      <c r="DQ1523" s="4" t="s">
        <v>251</v>
      </c>
      <c r="DR1523" s="4" t="s">
        <v>3926</v>
      </c>
      <c r="DS1523" s="4" t="s">
        <v>3926</v>
      </c>
      <c r="DT1523" s="4" t="s">
        <v>241</v>
      </c>
      <c r="DU1523" s="4" t="s">
        <v>241</v>
      </c>
      <c r="GN1523" s="4" t="s">
        <v>4072</v>
      </c>
      <c r="HR1523" s="4" t="s">
        <v>241</v>
      </c>
      <c r="HS1523" s="4" t="s">
        <v>241</v>
      </c>
      <c r="HT1523" s="4" t="s">
        <v>241</v>
      </c>
      <c r="HU1523" s="4" t="s">
        <v>241</v>
      </c>
      <c r="HV1523" s="4" t="s">
        <v>241</v>
      </c>
      <c r="HW1523" s="4" t="s">
        <v>241</v>
      </c>
      <c r="HX1523" s="4" t="s">
        <v>241</v>
      </c>
      <c r="HY1523" s="4" t="s">
        <v>241</v>
      </c>
      <c r="HZ1523" s="4" t="s">
        <v>241</v>
      </c>
      <c r="IA1523" s="4" t="s">
        <v>241</v>
      </c>
      <c r="IB1523" s="4" t="s">
        <v>241</v>
      </c>
      <c r="IC1523" s="4" t="s">
        <v>241</v>
      </c>
      <c r="ID1523" s="4" t="s">
        <v>241</v>
      </c>
      <c r="IE1523" s="4" t="s">
        <v>241</v>
      </c>
      <c r="IF1523" s="4" t="s">
        <v>241</v>
      </c>
    </row>
    <row r="1524" spans="1:240" x14ac:dyDescent="0.4">
      <c r="A1524" s="4">
        <v>2</v>
      </c>
      <c r="B1524" s="4" t="s">
        <v>239</v>
      </c>
      <c r="C1524" s="4">
        <v>1885</v>
      </c>
      <c r="D1524" s="4">
        <v>1</v>
      </c>
      <c r="E1524" s="4">
        <v>2</v>
      </c>
      <c r="F1524" s="4" t="s">
        <v>241</v>
      </c>
      <c r="I1524" s="4" t="s">
        <v>829</v>
      </c>
      <c r="J1524" s="4" t="s">
        <v>653</v>
      </c>
      <c r="K1524" s="4" t="s">
        <v>256</v>
      </c>
      <c r="L1524" s="4" t="s">
        <v>4068</v>
      </c>
      <c r="M1524" s="5" t="s">
        <v>4039</v>
      </c>
      <c r="N1524" s="4" t="s">
        <v>4067</v>
      </c>
      <c r="O1524" s="6">
        <f>1</f>
        <v>1</v>
      </c>
      <c r="P1524" s="4" t="s">
        <v>3937</v>
      </c>
      <c r="Q1524" s="6">
        <f>562583</f>
        <v>562583</v>
      </c>
      <c r="R1524" s="6">
        <f>562583</f>
        <v>562583</v>
      </c>
      <c r="S1524" s="5" t="s">
        <v>3934</v>
      </c>
      <c r="T1524" s="4" t="s">
        <v>333</v>
      </c>
      <c r="U1524" s="4" t="s">
        <v>241</v>
      </c>
      <c r="V1524" s="6">
        <f>0</f>
        <v>0</v>
      </c>
      <c r="W1524" s="6">
        <f>0</f>
        <v>0</v>
      </c>
      <c r="X1524" s="4" t="s">
        <v>243</v>
      </c>
      <c r="Y1524" s="4" t="s">
        <v>241</v>
      </c>
      <c r="Z1524" s="4" t="s">
        <v>241</v>
      </c>
      <c r="AA1524" s="4" t="s">
        <v>241</v>
      </c>
      <c r="AD1524" s="4" t="s">
        <v>653</v>
      </c>
      <c r="AE1524" s="5" t="s">
        <v>241</v>
      </c>
      <c r="AF1524" s="5" t="s">
        <v>241</v>
      </c>
      <c r="AG1524" s="4" t="s">
        <v>241</v>
      </c>
      <c r="AH1524" s="5" t="s">
        <v>241</v>
      </c>
      <c r="AI1524" s="5" t="s">
        <v>3934</v>
      </c>
      <c r="AJ1524" s="4" t="s">
        <v>251</v>
      </c>
      <c r="AK1524" s="4" t="s">
        <v>241</v>
      </c>
      <c r="AQ1524" s="4" t="s">
        <v>241</v>
      </c>
      <c r="AR1524" s="4" t="s">
        <v>241</v>
      </c>
      <c r="AS1524" s="4" t="s">
        <v>241</v>
      </c>
      <c r="AT1524" s="5" t="s">
        <v>241</v>
      </c>
      <c r="AU1524" s="5" t="s">
        <v>241</v>
      </c>
      <c r="AV1524" s="5" t="s">
        <v>241</v>
      </c>
      <c r="AY1524" s="4" t="s">
        <v>286</v>
      </c>
      <c r="AZ1524" s="4" t="s">
        <v>286</v>
      </c>
      <c r="BA1524" s="4" t="s">
        <v>254</v>
      </c>
      <c r="BB1524" s="4" t="s">
        <v>3924</v>
      </c>
      <c r="BC1524" s="4" t="s">
        <v>255</v>
      </c>
      <c r="BD1524" s="4" t="s">
        <v>241</v>
      </c>
      <c r="BE1524" s="4" t="s">
        <v>257</v>
      </c>
      <c r="BF1524" s="4" t="s">
        <v>3926</v>
      </c>
      <c r="BJ1524" s="4" t="s">
        <v>288</v>
      </c>
      <c r="BK1524" s="5" t="s">
        <v>3934</v>
      </c>
      <c r="BL1524" s="4" t="s">
        <v>3927</v>
      </c>
      <c r="BM1524" s="4" t="s">
        <v>3928</v>
      </c>
      <c r="BN1524" s="4" t="s">
        <v>241</v>
      </c>
      <c r="BO1524" s="6">
        <f>0</f>
        <v>0</v>
      </c>
      <c r="BP1524" s="6">
        <f>562583</f>
        <v>562583</v>
      </c>
      <c r="BQ1524" s="4" t="s">
        <v>263</v>
      </c>
      <c r="BR1524" s="4" t="s">
        <v>264</v>
      </c>
      <c r="BS1524" s="4" t="s">
        <v>427</v>
      </c>
      <c r="BT1524" s="4" t="s">
        <v>3929</v>
      </c>
      <c r="BU1524" s="4" t="s">
        <v>264</v>
      </c>
      <c r="BV1524" s="4" t="s">
        <v>241</v>
      </c>
      <c r="BW1524" s="4" t="s">
        <v>3931</v>
      </c>
      <c r="BX1524" s="4" t="s">
        <v>3932</v>
      </c>
      <c r="BY1524" s="4" t="s">
        <v>3932</v>
      </c>
      <c r="CA1524" s="5" t="s">
        <v>4069</v>
      </c>
      <c r="CB1524" s="4" t="s">
        <v>263</v>
      </c>
      <c r="CC1524" s="4" t="s">
        <v>241</v>
      </c>
      <c r="CD1524" s="4" t="s">
        <v>241</v>
      </c>
      <c r="CE1524" s="4" t="s">
        <v>264</v>
      </c>
      <c r="CF1524" s="4" t="s">
        <v>241</v>
      </c>
      <c r="CG1524" s="4" t="s">
        <v>241</v>
      </c>
      <c r="CK1524" s="4" t="s">
        <v>241</v>
      </c>
      <c r="CL1524" s="4" t="s">
        <v>241</v>
      </c>
      <c r="CM1524" s="4" t="s">
        <v>278</v>
      </c>
      <c r="CO1524" s="4" t="s">
        <v>241</v>
      </c>
      <c r="CP1524" s="5" t="s">
        <v>268</v>
      </c>
      <c r="CQ1524" s="4" t="s">
        <v>269</v>
      </c>
      <c r="CR1524" s="4" t="s">
        <v>270</v>
      </c>
      <c r="CS1524" s="4" t="s">
        <v>293</v>
      </c>
      <c r="CT1524" s="4" t="s">
        <v>241</v>
      </c>
      <c r="CU1524" s="4">
        <v>0</v>
      </c>
      <c r="CV1524" s="4" t="s">
        <v>271</v>
      </c>
      <c r="CW1524" s="4" t="s">
        <v>332</v>
      </c>
      <c r="CX1524" s="4" t="s">
        <v>295</v>
      </c>
      <c r="CY1524" s="6">
        <f>1125167</f>
        <v>1125167</v>
      </c>
      <c r="CZ1524" s="6">
        <f>1125167</f>
        <v>1125167</v>
      </c>
      <c r="DA1524" s="6">
        <f>562583</f>
        <v>562583</v>
      </c>
      <c r="DB1524" s="6" t="s">
        <v>241</v>
      </c>
      <c r="DC1524" s="4" t="s">
        <v>241</v>
      </c>
      <c r="DD1524" s="4" t="s">
        <v>241</v>
      </c>
      <c r="DF1524" s="4" t="s">
        <v>241</v>
      </c>
      <c r="DG1524" s="6">
        <f>0</f>
        <v>0</v>
      </c>
      <c r="DH1524" s="5" t="s">
        <v>241</v>
      </c>
      <c r="DI1524" s="4" t="s">
        <v>241</v>
      </c>
      <c r="DJ1524" s="4" t="s">
        <v>241</v>
      </c>
      <c r="DK1524" s="4" t="s">
        <v>241</v>
      </c>
      <c r="DL1524" s="4" t="s">
        <v>241</v>
      </c>
      <c r="DM1524" s="4" t="s">
        <v>241</v>
      </c>
      <c r="DN1524" s="4" t="s">
        <v>241</v>
      </c>
      <c r="DO1524" s="6" t="s">
        <v>241</v>
      </c>
      <c r="DP1524" s="4" t="s">
        <v>241</v>
      </c>
      <c r="DQ1524" s="4" t="s">
        <v>251</v>
      </c>
      <c r="DR1524" s="4" t="s">
        <v>3926</v>
      </c>
      <c r="DS1524" s="4" t="s">
        <v>3926</v>
      </c>
      <c r="DT1524" s="4" t="s">
        <v>241</v>
      </c>
      <c r="DU1524" s="4" t="s">
        <v>241</v>
      </c>
      <c r="GN1524" s="4" t="s">
        <v>4071</v>
      </c>
      <c r="HR1524" s="4" t="s">
        <v>241</v>
      </c>
      <c r="HS1524" s="4" t="s">
        <v>241</v>
      </c>
      <c r="HT1524" s="4" t="s">
        <v>241</v>
      </c>
      <c r="HU1524" s="4" t="s">
        <v>241</v>
      </c>
      <c r="HV1524" s="4" t="s">
        <v>241</v>
      </c>
      <c r="HW1524" s="4" t="s">
        <v>241</v>
      </c>
      <c r="HX1524" s="4" t="s">
        <v>241</v>
      </c>
      <c r="HY1524" s="4" t="s">
        <v>241</v>
      </c>
      <c r="HZ1524" s="4" t="s">
        <v>241</v>
      </c>
      <c r="IA1524" s="4" t="s">
        <v>241</v>
      </c>
      <c r="IB1524" s="4" t="s">
        <v>241</v>
      </c>
      <c r="IC1524" s="4" t="s">
        <v>241</v>
      </c>
      <c r="ID1524" s="4" t="s">
        <v>241</v>
      </c>
      <c r="IE1524" s="4" t="s">
        <v>241</v>
      </c>
      <c r="IF1524" s="4" t="s">
        <v>241</v>
      </c>
    </row>
    <row r="1525" spans="1:240" x14ac:dyDescent="0.4">
      <c r="A1525" s="4">
        <v>2</v>
      </c>
      <c r="B1525" s="4" t="s">
        <v>239</v>
      </c>
      <c r="C1525" s="4">
        <v>1886</v>
      </c>
      <c r="D1525" s="4">
        <v>1</v>
      </c>
      <c r="E1525" s="4">
        <v>2</v>
      </c>
      <c r="F1525" s="4" t="s">
        <v>241</v>
      </c>
      <c r="I1525" s="4" t="s">
        <v>752</v>
      </c>
      <c r="J1525" s="4" t="s">
        <v>653</v>
      </c>
      <c r="K1525" s="4" t="s">
        <v>256</v>
      </c>
      <c r="L1525" s="4" t="s">
        <v>4068</v>
      </c>
      <c r="M1525" s="5" t="s">
        <v>4015</v>
      </c>
      <c r="N1525" s="4" t="s">
        <v>4067</v>
      </c>
      <c r="O1525" s="6">
        <f>1</f>
        <v>1</v>
      </c>
      <c r="P1525" s="4" t="s">
        <v>3937</v>
      </c>
      <c r="Q1525" s="6">
        <f>748493</f>
        <v>748493</v>
      </c>
      <c r="R1525" s="6">
        <f>748493</f>
        <v>748493</v>
      </c>
      <c r="S1525" s="5" t="s">
        <v>3934</v>
      </c>
      <c r="T1525" s="4" t="s">
        <v>333</v>
      </c>
      <c r="U1525" s="4" t="s">
        <v>241</v>
      </c>
      <c r="V1525" s="6">
        <f>0</f>
        <v>0</v>
      </c>
      <c r="W1525" s="6">
        <f>0</f>
        <v>0</v>
      </c>
      <c r="X1525" s="4" t="s">
        <v>243</v>
      </c>
      <c r="Y1525" s="4" t="s">
        <v>241</v>
      </c>
      <c r="Z1525" s="4" t="s">
        <v>241</v>
      </c>
      <c r="AA1525" s="4" t="s">
        <v>241</v>
      </c>
      <c r="AD1525" s="4" t="s">
        <v>653</v>
      </c>
      <c r="AE1525" s="5" t="s">
        <v>241</v>
      </c>
      <c r="AF1525" s="5" t="s">
        <v>241</v>
      </c>
      <c r="AG1525" s="4" t="s">
        <v>241</v>
      </c>
      <c r="AH1525" s="5" t="s">
        <v>241</v>
      </c>
      <c r="AI1525" s="5" t="s">
        <v>3934</v>
      </c>
      <c r="AJ1525" s="4" t="s">
        <v>251</v>
      </c>
      <c r="AK1525" s="4" t="s">
        <v>241</v>
      </c>
      <c r="AQ1525" s="4" t="s">
        <v>241</v>
      </c>
      <c r="AR1525" s="4" t="s">
        <v>241</v>
      </c>
      <c r="AS1525" s="4" t="s">
        <v>241</v>
      </c>
      <c r="AT1525" s="5" t="s">
        <v>241</v>
      </c>
      <c r="AU1525" s="5" t="s">
        <v>241</v>
      </c>
      <c r="AV1525" s="5" t="s">
        <v>241</v>
      </c>
      <c r="AY1525" s="4" t="s">
        <v>286</v>
      </c>
      <c r="AZ1525" s="4" t="s">
        <v>286</v>
      </c>
      <c r="BA1525" s="4" t="s">
        <v>254</v>
      </c>
      <c r="BB1525" s="4" t="s">
        <v>3924</v>
      </c>
      <c r="BC1525" s="4" t="s">
        <v>255</v>
      </c>
      <c r="BD1525" s="4" t="s">
        <v>241</v>
      </c>
      <c r="BE1525" s="4" t="s">
        <v>257</v>
      </c>
      <c r="BF1525" s="4" t="s">
        <v>3926</v>
      </c>
      <c r="BJ1525" s="4" t="s">
        <v>288</v>
      </c>
      <c r="BK1525" s="5" t="s">
        <v>3934</v>
      </c>
      <c r="BL1525" s="4" t="s">
        <v>3927</v>
      </c>
      <c r="BM1525" s="4" t="s">
        <v>3928</v>
      </c>
      <c r="BN1525" s="4" t="s">
        <v>241</v>
      </c>
      <c r="BO1525" s="6">
        <f>0</f>
        <v>0</v>
      </c>
      <c r="BP1525" s="6">
        <f>748493</f>
        <v>748493</v>
      </c>
      <c r="BQ1525" s="4" t="s">
        <v>263</v>
      </c>
      <c r="BR1525" s="4" t="s">
        <v>264</v>
      </c>
      <c r="BS1525" s="4" t="s">
        <v>427</v>
      </c>
      <c r="BT1525" s="4" t="s">
        <v>3929</v>
      </c>
      <c r="BU1525" s="4" t="s">
        <v>264</v>
      </c>
      <c r="BV1525" s="4" t="s">
        <v>241</v>
      </c>
      <c r="BW1525" s="4" t="s">
        <v>3931</v>
      </c>
      <c r="BX1525" s="4" t="s">
        <v>3932</v>
      </c>
      <c r="BY1525" s="4" t="s">
        <v>3932</v>
      </c>
      <c r="CA1525" s="5" t="s">
        <v>4069</v>
      </c>
      <c r="CB1525" s="4" t="s">
        <v>263</v>
      </c>
      <c r="CC1525" s="4" t="s">
        <v>241</v>
      </c>
      <c r="CD1525" s="4" t="s">
        <v>241</v>
      </c>
      <c r="CE1525" s="4" t="s">
        <v>264</v>
      </c>
      <c r="CF1525" s="4" t="s">
        <v>241</v>
      </c>
      <c r="CG1525" s="4" t="s">
        <v>241</v>
      </c>
      <c r="CK1525" s="4" t="s">
        <v>241</v>
      </c>
      <c r="CL1525" s="4" t="s">
        <v>241</v>
      </c>
      <c r="CM1525" s="4" t="s">
        <v>278</v>
      </c>
      <c r="CO1525" s="4" t="s">
        <v>241</v>
      </c>
      <c r="CP1525" s="5" t="s">
        <v>268</v>
      </c>
      <c r="CQ1525" s="4" t="s">
        <v>269</v>
      </c>
      <c r="CR1525" s="4" t="s">
        <v>270</v>
      </c>
      <c r="CS1525" s="4" t="s">
        <v>293</v>
      </c>
      <c r="CT1525" s="4" t="s">
        <v>241</v>
      </c>
      <c r="CU1525" s="4">
        <v>0</v>
      </c>
      <c r="CV1525" s="4" t="s">
        <v>271</v>
      </c>
      <c r="CW1525" s="4" t="s">
        <v>332</v>
      </c>
      <c r="CX1525" s="4" t="s">
        <v>295</v>
      </c>
      <c r="CY1525" s="6">
        <f>1496987</f>
        <v>1496987</v>
      </c>
      <c r="CZ1525" s="6">
        <f>1496987</f>
        <v>1496987</v>
      </c>
      <c r="DA1525" s="6">
        <f>748493</f>
        <v>748493</v>
      </c>
      <c r="DB1525" s="6" t="s">
        <v>241</v>
      </c>
      <c r="DC1525" s="4" t="s">
        <v>241</v>
      </c>
      <c r="DD1525" s="4" t="s">
        <v>241</v>
      </c>
      <c r="DF1525" s="4" t="s">
        <v>241</v>
      </c>
      <c r="DG1525" s="6">
        <f>0</f>
        <v>0</v>
      </c>
      <c r="DH1525" s="5" t="s">
        <v>241</v>
      </c>
      <c r="DI1525" s="4" t="s">
        <v>241</v>
      </c>
      <c r="DJ1525" s="4" t="s">
        <v>241</v>
      </c>
      <c r="DK1525" s="4" t="s">
        <v>241</v>
      </c>
      <c r="DL1525" s="4" t="s">
        <v>241</v>
      </c>
      <c r="DM1525" s="4" t="s">
        <v>241</v>
      </c>
      <c r="DN1525" s="4" t="s">
        <v>241</v>
      </c>
      <c r="DO1525" s="6" t="s">
        <v>241</v>
      </c>
      <c r="DP1525" s="4" t="s">
        <v>241</v>
      </c>
      <c r="DQ1525" s="4" t="s">
        <v>251</v>
      </c>
      <c r="DR1525" s="4" t="s">
        <v>3926</v>
      </c>
      <c r="DS1525" s="4" t="s">
        <v>3926</v>
      </c>
      <c r="DT1525" s="4" t="s">
        <v>241</v>
      </c>
      <c r="DU1525" s="4" t="s">
        <v>241</v>
      </c>
      <c r="GN1525" s="4" t="s">
        <v>4070</v>
      </c>
      <c r="HR1525" s="4" t="s">
        <v>241</v>
      </c>
      <c r="HS1525" s="4" t="s">
        <v>241</v>
      </c>
      <c r="HT1525" s="4" t="s">
        <v>241</v>
      </c>
      <c r="HU1525" s="4" t="s">
        <v>241</v>
      </c>
      <c r="HV1525" s="4" t="s">
        <v>241</v>
      </c>
      <c r="HW1525" s="4" t="s">
        <v>241</v>
      </c>
      <c r="HX1525" s="4" t="s">
        <v>241</v>
      </c>
      <c r="HY1525" s="4" t="s">
        <v>241</v>
      </c>
      <c r="HZ1525" s="4" t="s">
        <v>241</v>
      </c>
      <c r="IA1525" s="4" t="s">
        <v>241</v>
      </c>
      <c r="IB1525" s="4" t="s">
        <v>241</v>
      </c>
      <c r="IC1525" s="4" t="s">
        <v>241</v>
      </c>
      <c r="ID1525" s="4" t="s">
        <v>241</v>
      </c>
      <c r="IE1525" s="4" t="s">
        <v>241</v>
      </c>
      <c r="IF1525" s="4" t="s">
        <v>241</v>
      </c>
    </row>
    <row r="1526" spans="1:240" x14ac:dyDescent="0.4">
      <c r="A1526" s="4">
        <v>2</v>
      </c>
      <c r="B1526" s="4" t="s">
        <v>239</v>
      </c>
      <c r="C1526" s="4">
        <v>1887</v>
      </c>
      <c r="D1526" s="4">
        <v>1</v>
      </c>
      <c r="E1526" s="4">
        <v>2</v>
      </c>
      <c r="F1526" s="4" t="s">
        <v>241</v>
      </c>
      <c r="I1526" s="4" t="s">
        <v>985</v>
      </c>
      <c r="J1526" s="4" t="s">
        <v>653</v>
      </c>
      <c r="K1526" s="4" t="s">
        <v>256</v>
      </c>
      <c r="L1526" s="4" t="s">
        <v>4087</v>
      </c>
      <c r="M1526" s="5" t="s">
        <v>4036</v>
      </c>
      <c r="N1526" s="4" t="s">
        <v>4067</v>
      </c>
      <c r="O1526" s="6">
        <f>1</f>
        <v>1</v>
      </c>
      <c r="P1526" s="4" t="s">
        <v>3937</v>
      </c>
      <c r="Q1526" s="6">
        <f>726542</f>
        <v>726542</v>
      </c>
      <c r="R1526" s="6">
        <f>726542</f>
        <v>726542</v>
      </c>
      <c r="S1526" s="5" t="s">
        <v>3934</v>
      </c>
      <c r="T1526" s="4" t="s">
        <v>333</v>
      </c>
      <c r="U1526" s="4" t="s">
        <v>241</v>
      </c>
      <c r="V1526" s="6">
        <f>0</f>
        <v>0</v>
      </c>
      <c r="W1526" s="6">
        <f>0</f>
        <v>0</v>
      </c>
      <c r="X1526" s="4" t="s">
        <v>243</v>
      </c>
      <c r="Y1526" s="4" t="s">
        <v>241</v>
      </c>
      <c r="Z1526" s="4" t="s">
        <v>241</v>
      </c>
      <c r="AA1526" s="4" t="s">
        <v>241</v>
      </c>
      <c r="AD1526" s="4" t="s">
        <v>653</v>
      </c>
      <c r="AE1526" s="5" t="s">
        <v>241</v>
      </c>
      <c r="AF1526" s="5" t="s">
        <v>241</v>
      </c>
      <c r="AG1526" s="4" t="s">
        <v>241</v>
      </c>
      <c r="AH1526" s="5" t="s">
        <v>241</v>
      </c>
      <c r="AI1526" s="5" t="s">
        <v>3934</v>
      </c>
      <c r="AJ1526" s="4" t="s">
        <v>251</v>
      </c>
      <c r="AK1526" s="4" t="s">
        <v>241</v>
      </c>
      <c r="AQ1526" s="4" t="s">
        <v>241</v>
      </c>
      <c r="AR1526" s="4" t="s">
        <v>241</v>
      </c>
      <c r="AS1526" s="4" t="s">
        <v>241</v>
      </c>
      <c r="AT1526" s="5" t="s">
        <v>241</v>
      </c>
      <c r="AU1526" s="5" t="s">
        <v>241</v>
      </c>
      <c r="AV1526" s="5" t="s">
        <v>241</v>
      </c>
      <c r="AY1526" s="4" t="s">
        <v>286</v>
      </c>
      <c r="AZ1526" s="4" t="s">
        <v>286</v>
      </c>
      <c r="BA1526" s="4" t="s">
        <v>254</v>
      </c>
      <c r="BB1526" s="4" t="s">
        <v>3924</v>
      </c>
      <c r="BC1526" s="4" t="s">
        <v>255</v>
      </c>
      <c r="BD1526" s="4" t="s">
        <v>241</v>
      </c>
      <c r="BE1526" s="4" t="s">
        <v>257</v>
      </c>
      <c r="BF1526" s="4" t="s">
        <v>3926</v>
      </c>
      <c r="BJ1526" s="4" t="s">
        <v>288</v>
      </c>
      <c r="BK1526" s="5" t="s">
        <v>3934</v>
      </c>
      <c r="BL1526" s="4" t="s">
        <v>3927</v>
      </c>
      <c r="BM1526" s="4" t="s">
        <v>3928</v>
      </c>
      <c r="BN1526" s="4" t="s">
        <v>241</v>
      </c>
      <c r="BO1526" s="6">
        <f>0</f>
        <v>0</v>
      </c>
      <c r="BP1526" s="6">
        <f>726542</f>
        <v>726542</v>
      </c>
      <c r="BQ1526" s="4" t="s">
        <v>263</v>
      </c>
      <c r="BR1526" s="4" t="s">
        <v>264</v>
      </c>
      <c r="BS1526" s="4" t="s">
        <v>427</v>
      </c>
      <c r="BT1526" s="4" t="s">
        <v>3948</v>
      </c>
      <c r="BU1526" s="4" t="s">
        <v>264</v>
      </c>
      <c r="BV1526" s="4" t="s">
        <v>241</v>
      </c>
      <c r="BW1526" s="4" t="s">
        <v>3931</v>
      </c>
      <c r="BX1526" s="4" t="s">
        <v>3932</v>
      </c>
      <c r="BY1526" s="4" t="s">
        <v>3932</v>
      </c>
      <c r="CA1526" s="5" t="s">
        <v>4088</v>
      </c>
      <c r="CB1526" s="4" t="s">
        <v>263</v>
      </c>
      <c r="CC1526" s="4" t="s">
        <v>241</v>
      </c>
      <c r="CD1526" s="4" t="s">
        <v>241</v>
      </c>
      <c r="CE1526" s="4" t="s">
        <v>264</v>
      </c>
      <c r="CF1526" s="4" t="s">
        <v>241</v>
      </c>
      <c r="CG1526" s="4" t="s">
        <v>241</v>
      </c>
      <c r="CK1526" s="4" t="s">
        <v>241</v>
      </c>
      <c r="CL1526" s="4" t="s">
        <v>241</v>
      </c>
      <c r="CM1526" s="4" t="s">
        <v>278</v>
      </c>
      <c r="CO1526" s="4" t="s">
        <v>241</v>
      </c>
      <c r="CP1526" s="5" t="s">
        <v>268</v>
      </c>
      <c r="CQ1526" s="4" t="s">
        <v>269</v>
      </c>
      <c r="CR1526" s="4" t="s">
        <v>270</v>
      </c>
      <c r="CS1526" s="4" t="s">
        <v>293</v>
      </c>
      <c r="CT1526" s="4" t="s">
        <v>241</v>
      </c>
      <c r="CU1526" s="4">
        <v>0</v>
      </c>
      <c r="CV1526" s="4" t="s">
        <v>271</v>
      </c>
      <c r="CW1526" s="4" t="s">
        <v>332</v>
      </c>
      <c r="CX1526" s="4" t="s">
        <v>295</v>
      </c>
      <c r="CY1526" s="6">
        <f>1453082</f>
        <v>1453082</v>
      </c>
      <c r="CZ1526" s="6">
        <f>1453082</f>
        <v>1453082</v>
      </c>
      <c r="DA1526" s="6">
        <f>726542</f>
        <v>726542</v>
      </c>
      <c r="DB1526" s="6" t="s">
        <v>241</v>
      </c>
      <c r="DC1526" s="4" t="s">
        <v>241</v>
      </c>
      <c r="DD1526" s="4" t="s">
        <v>241</v>
      </c>
      <c r="DF1526" s="4" t="s">
        <v>241</v>
      </c>
      <c r="DG1526" s="6">
        <f>0</f>
        <v>0</v>
      </c>
      <c r="DH1526" s="5" t="s">
        <v>241</v>
      </c>
      <c r="DI1526" s="4" t="s">
        <v>241</v>
      </c>
      <c r="DJ1526" s="4" t="s">
        <v>241</v>
      </c>
      <c r="DK1526" s="4" t="s">
        <v>241</v>
      </c>
      <c r="DL1526" s="4" t="s">
        <v>241</v>
      </c>
      <c r="DM1526" s="4" t="s">
        <v>241</v>
      </c>
      <c r="DN1526" s="4" t="s">
        <v>241</v>
      </c>
      <c r="DO1526" s="6" t="s">
        <v>241</v>
      </c>
      <c r="DP1526" s="4" t="s">
        <v>241</v>
      </c>
      <c r="DQ1526" s="4" t="s">
        <v>251</v>
      </c>
      <c r="DR1526" s="4" t="s">
        <v>3926</v>
      </c>
      <c r="DS1526" s="4" t="s">
        <v>3926</v>
      </c>
      <c r="DT1526" s="4" t="s">
        <v>241</v>
      </c>
      <c r="DU1526" s="4" t="s">
        <v>241</v>
      </c>
      <c r="GN1526" s="4" t="s">
        <v>4090</v>
      </c>
      <c r="HR1526" s="4" t="s">
        <v>241</v>
      </c>
      <c r="HS1526" s="4" t="s">
        <v>241</v>
      </c>
      <c r="HT1526" s="4" t="s">
        <v>241</v>
      </c>
      <c r="HU1526" s="4" t="s">
        <v>241</v>
      </c>
      <c r="HV1526" s="4" t="s">
        <v>241</v>
      </c>
      <c r="HW1526" s="4" t="s">
        <v>241</v>
      </c>
      <c r="HX1526" s="4" t="s">
        <v>241</v>
      </c>
      <c r="HY1526" s="4" t="s">
        <v>241</v>
      </c>
      <c r="HZ1526" s="4" t="s">
        <v>241</v>
      </c>
      <c r="IA1526" s="4" t="s">
        <v>241</v>
      </c>
      <c r="IB1526" s="4" t="s">
        <v>241</v>
      </c>
      <c r="IC1526" s="4" t="s">
        <v>241</v>
      </c>
      <c r="ID1526" s="4" t="s">
        <v>241</v>
      </c>
      <c r="IE1526" s="4" t="s">
        <v>241</v>
      </c>
      <c r="IF1526" s="4" t="s">
        <v>241</v>
      </c>
    </row>
    <row r="1527" spans="1:240" x14ac:dyDescent="0.4">
      <c r="A1527" s="4">
        <v>2</v>
      </c>
      <c r="B1527" s="4" t="s">
        <v>239</v>
      </c>
      <c r="C1527" s="4">
        <v>1888</v>
      </c>
      <c r="D1527" s="4">
        <v>1</v>
      </c>
      <c r="E1527" s="4">
        <v>2</v>
      </c>
      <c r="F1527" s="4" t="s">
        <v>241</v>
      </c>
      <c r="I1527" s="4" t="s">
        <v>652</v>
      </c>
      <c r="J1527" s="4" t="s">
        <v>653</v>
      </c>
      <c r="K1527" s="4" t="s">
        <v>256</v>
      </c>
      <c r="L1527" s="4" t="s">
        <v>4087</v>
      </c>
      <c r="M1527" s="5" t="s">
        <v>4045</v>
      </c>
      <c r="N1527" s="4" t="s">
        <v>4067</v>
      </c>
      <c r="O1527" s="6">
        <f>1</f>
        <v>1</v>
      </c>
      <c r="P1527" s="4" t="s">
        <v>3937</v>
      </c>
      <c r="Q1527" s="6">
        <f>1033410</f>
        <v>1033410</v>
      </c>
      <c r="R1527" s="6">
        <f>1033410</f>
        <v>1033410</v>
      </c>
      <c r="S1527" s="5" t="s">
        <v>3934</v>
      </c>
      <c r="T1527" s="4" t="s">
        <v>333</v>
      </c>
      <c r="U1527" s="4" t="s">
        <v>241</v>
      </c>
      <c r="V1527" s="6">
        <f>0</f>
        <v>0</v>
      </c>
      <c r="W1527" s="6">
        <f>0</f>
        <v>0</v>
      </c>
      <c r="X1527" s="4" t="s">
        <v>243</v>
      </c>
      <c r="Y1527" s="4" t="s">
        <v>241</v>
      </c>
      <c r="Z1527" s="4" t="s">
        <v>241</v>
      </c>
      <c r="AA1527" s="4" t="s">
        <v>241</v>
      </c>
      <c r="AD1527" s="4" t="s">
        <v>653</v>
      </c>
      <c r="AE1527" s="5" t="s">
        <v>241</v>
      </c>
      <c r="AF1527" s="5" t="s">
        <v>241</v>
      </c>
      <c r="AG1527" s="4" t="s">
        <v>241</v>
      </c>
      <c r="AH1527" s="5" t="s">
        <v>241</v>
      </c>
      <c r="AI1527" s="5" t="s">
        <v>3934</v>
      </c>
      <c r="AJ1527" s="4" t="s">
        <v>251</v>
      </c>
      <c r="AK1527" s="4" t="s">
        <v>241</v>
      </c>
      <c r="AQ1527" s="4" t="s">
        <v>241</v>
      </c>
      <c r="AR1527" s="4" t="s">
        <v>241</v>
      </c>
      <c r="AS1527" s="4" t="s">
        <v>241</v>
      </c>
      <c r="AT1527" s="5" t="s">
        <v>241</v>
      </c>
      <c r="AU1527" s="5" t="s">
        <v>241</v>
      </c>
      <c r="AV1527" s="5" t="s">
        <v>241</v>
      </c>
      <c r="AY1527" s="4" t="s">
        <v>286</v>
      </c>
      <c r="AZ1527" s="4" t="s">
        <v>286</v>
      </c>
      <c r="BA1527" s="4" t="s">
        <v>254</v>
      </c>
      <c r="BB1527" s="4" t="s">
        <v>3924</v>
      </c>
      <c r="BC1527" s="4" t="s">
        <v>255</v>
      </c>
      <c r="BD1527" s="4" t="s">
        <v>241</v>
      </c>
      <c r="BE1527" s="4" t="s">
        <v>257</v>
      </c>
      <c r="BF1527" s="4" t="s">
        <v>3926</v>
      </c>
      <c r="BJ1527" s="4" t="s">
        <v>288</v>
      </c>
      <c r="BK1527" s="5" t="s">
        <v>3934</v>
      </c>
      <c r="BL1527" s="4" t="s">
        <v>3927</v>
      </c>
      <c r="BM1527" s="4" t="s">
        <v>3928</v>
      </c>
      <c r="BN1527" s="4" t="s">
        <v>241</v>
      </c>
      <c r="BO1527" s="6">
        <f>0</f>
        <v>0</v>
      </c>
      <c r="BP1527" s="6">
        <f>1033410</f>
        <v>1033410</v>
      </c>
      <c r="BQ1527" s="4" t="s">
        <v>263</v>
      </c>
      <c r="BR1527" s="4" t="s">
        <v>264</v>
      </c>
      <c r="BS1527" s="4" t="s">
        <v>427</v>
      </c>
      <c r="BT1527" s="4" t="s">
        <v>3948</v>
      </c>
      <c r="BU1527" s="4" t="s">
        <v>264</v>
      </c>
      <c r="BV1527" s="4" t="s">
        <v>241</v>
      </c>
      <c r="BW1527" s="4" t="s">
        <v>3931</v>
      </c>
      <c r="BX1527" s="4" t="s">
        <v>3932</v>
      </c>
      <c r="BY1527" s="4" t="s">
        <v>3932</v>
      </c>
      <c r="CA1527" s="5" t="s">
        <v>4088</v>
      </c>
      <c r="CB1527" s="4" t="s">
        <v>263</v>
      </c>
      <c r="CC1527" s="4" t="s">
        <v>241</v>
      </c>
      <c r="CD1527" s="4" t="s">
        <v>241</v>
      </c>
      <c r="CE1527" s="4" t="s">
        <v>264</v>
      </c>
      <c r="CF1527" s="4" t="s">
        <v>241</v>
      </c>
      <c r="CG1527" s="4" t="s">
        <v>241</v>
      </c>
      <c r="CK1527" s="4" t="s">
        <v>241</v>
      </c>
      <c r="CL1527" s="4" t="s">
        <v>241</v>
      </c>
      <c r="CM1527" s="4" t="s">
        <v>278</v>
      </c>
      <c r="CO1527" s="4" t="s">
        <v>241</v>
      </c>
      <c r="CP1527" s="5" t="s">
        <v>268</v>
      </c>
      <c r="CQ1527" s="4" t="s">
        <v>269</v>
      </c>
      <c r="CR1527" s="4" t="s">
        <v>270</v>
      </c>
      <c r="CS1527" s="4" t="s">
        <v>293</v>
      </c>
      <c r="CT1527" s="4" t="s">
        <v>241</v>
      </c>
      <c r="CU1527" s="4">
        <v>0</v>
      </c>
      <c r="CV1527" s="4" t="s">
        <v>271</v>
      </c>
      <c r="CW1527" s="4" t="s">
        <v>332</v>
      </c>
      <c r="CX1527" s="4" t="s">
        <v>295</v>
      </c>
      <c r="CY1527" s="6">
        <f>1718120</f>
        <v>1718120</v>
      </c>
      <c r="CZ1527" s="6">
        <f>1718120</f>
        <v>1718120</v>
      </c>
      <c r="DA1527" s="6">
        <f>1033410</f>
        <v>1033410</v>
      </c>
      <c r="DB1527" s="6" t="s">
        <v>241</v>
      </c>
      <c r="DC1527" s="4" t="s">
        <v>241</v>
      </c>
      <c r="DD1527" s="4" t="s">
        <v>241</v>
      </c>
      <c r="DF1527" s="4" t="s">
        <v>241</v>
      </c>
      <c r="DG1527" s="6">
        <f>0</f>
        <v>0</v>
      </c>
      <c r="DH1527" s="5" t="s">
        <v>241</v>
      </c>
      <c r="DI1527" s="4" t="s">
        <v>241</v>
      </c>
      <c r="DJ1527" s="4" t="s">
        <v>241</v>
      </c>
      <c r="DK1527" s="4" t="s">
        <v>241</v>
      </c>
      <c r="DL1527" s="4" t="s">
        <v>241</v>
      </c>
      <c r="DM1527" s="4" t="s">
        <v>241</v>
      </c>
      <c r="DN1527" s="4" t="s">
        <v>241</v>
      </c>
      <c r="DO1527" s="6" t="s">
        <v>241</v>
      </c>
      <c r="DP1527" s="4" t="s">
        <v>241</v>
      </c>
      <c r="DQ1527" s="4" t="s">
        <v>251</v>
      </c>
      <c r="DR1527" s="4" t="s">
        <v>3926</v>
      </c>
      <c r="DS1527" s="4" t="s">
        <v>3926</v>
      </c>
      <c r="DT1527" s="4" t="s">
        <v>241</v>
      </c>
      <c r="DU1527" s="4" t="s">
        <v>241</v>
      </c>
      <c r="GN1527" s="4" t="s">
        <v>4089</v>
      </c>
      <c r="HR1527" s="4" t="s">
        <v>241</v>
      </c>
      <c r="HS1527" s="4" t="s">
        <v>241</v>
      </c>
      <c r="HT1527" s="4" t="s">
        <v>241</v>
      </c>
      <c r="HU1527" s="4" t="s">
        <v>241</v>
      </c>
      <c r="HV1527" s="4" t="s">
        <v>241</v>
      </c>
      <c r="HW1527" s="4" t="s">
        <v>241</v>
      </c>
      <c r="HX1527" s="4" t="s">
        <v>241</v>
      </c>
      <c r="HY1527" s="4" t="s">
        <v>241</v>
      </c>
      <c r="HZ1527" s="4" t="s">
        <v>241</v>
      </c>
      <c r="IA1527" s="4" t="s">
        <v>241</v>
      </c>
      <c r="IB1527" s="4" t="s">
        <v>241</v>
      </c>
      <c r="IC1527" s="4" t="s">
        <v>241</v>
      </c>
      <c r="ID1527" s="4" t="s">
        <v>241</v>
      </c>
      <c r="IE1527" s="4" t="s">
        <v>241</v>
      </c>
      <c r="IF1527" s="4" t="s">
        <v>241</v>
      </c>
    </row>
    <row r="1528" spans="1:240" x14ac:dyDescent="0.4">
      <c r="A1528" s="4">
        <v>2</v>
      </c>
      <c r="B1528" s="4" t="s">
        <v>239</v>
      </c>
      <c r="C1528" s="4">
        <v>1889</v>
      </c>
      <c r="D1528" s="4">
        <v>1</v>
      </c>
      <c r="E1528" s="4">
        <v>2</v>
      </c>
      <c r="F1528" s="4" t="s">
        <v>241</v>
      </c>
      <c r="I1528" s="4" t="s">
        <v>823</v>
      </c>
      <c r="J1528" s="4" t="s">
        <v>653</v>
      </c>
      <c r="K1528" s="4" t="s">
        <v>256</v>
      </c>
      <c r="L1528" s="4" t="s">
        <v>4011</v>
      </c>
      <c r="M1528" s="5" t="s">
        <v>4012</v>
      </c>
      <c r="N1528" s="4" t="s">
        <v>3976</v>
      </c>
      <c r="O1528" s="6">
        <f>1</f>
        <v>1</v>
      </c>
      <c r="P1528" s="4" t="s">
        <v>3937</v>
      </c>
      <c r="Q1528" s="6">
        <f>143000</f>
        <v>143000</v>
      </c>
      <c r="R1528" s="6">
        <f>143000</f>
        <v>143000</v>
      </c>
      <c r="S1528" s="5" t="s">
        <v>4010</v>
      </c>
      <c r="T1528" s="4" t="s">
        <v>333</v>
      </c>
      <c r="U1528" s="4" t="s">
        <v>241</v>
      </c>
      <c r="V1528" s="6">
        <f>0</f>
        <v>0</v>
      </c>
      <c r="W1528" s="6">
        <f>0</f>
        <v>0</v>
      </c>
      <c r="X1528" s="4" t="s">
        <v>243</v>
      </c>
      <c r="Y1528" s="4" t="s">
        <v>241</v>
      </c>
      <c r="Z1528" s="4" t="s">
        <v>241</v>
      </c>
      <c r="AA1528" s="4" t="s">
        <v>241</v>
      </c>
      <c r="AD1528" s="4" t="s">
        <v>653</v>
      </c>
      <c r="AE1528" s="5" t="s">
        <v>241</v>
      </c>
      <c r="AF1528" s="5" t="s">
        <v>241</v>
      </c>
      <c r="AG1528" s="4" t="s">
        <v>241</v>
      </c>
      <c r="AH1528" s="5" t="s">
        <v>241</v>
      </c>
      <c r="AI1528" s="5" t="s">
        <v>4010</v>
      </c>
      <c r="AJ1528" s="4" t="s">
        <v>251</v>
      </c>
      <c r="AK1528" s="4" t="s">
        <v>241</v>
      </c>
      <c r="AQ1528" s="4" t="s">
        <v>241</v>
      </c>
      <c r="AR1528" s="4" t="s">
        <v>241</v>
      </c>
      <c r="AS1528" s="4" t="s">
        <v>241</v>
      </c>
      <c r="AT1528" s="5" t="s">
        <v>241</v>
      </c>
      <c r="AU1528" s="5" t="s">
        <v>241</v>
      </c>
      <c r="AV1528" s="5" t="s">
        <v>241</v>
      </c>
      <c r="AY1528" s="4" t="s">
        <v>286</v>
      </c>
      <c r="AZ1528" s="4" t="s">
        <v>286</v>
      </c>
      <c r="BA1528" s="4" t="s">
        <v>254</v>
      </c>
      <c r="BB1528" s="4" t="s">
        <v>3924</v>
      </c>
      <c r="BC1528" s="4" t="s">
        <v>255</v>
      </c>
      <c r="BD1528" s="4" t="s">
        <v>241</v>
      </c>
      <c r="BE1528" s="4" t="s">
        <v>257</v>
      </c>
      <c r="BF1528" s="4" t="s">
        <v>3926</v>
      </c>
      <c r="BJ1528" s="4" t="s">
        <v>288</v>
      </c>
      <c r="BK1528" s="5" t="s">
        <v>4010</v>
      </c>
      <c r="BL1528" s="4" t="s">
        <v>3927</v>
      </c>
      <c r="BM1528" s="4" t="s">
        <v>3928</v>
      </c>
      <c r="BN1528" s="4" t="s">
        <v>241</v>
      </c>
      <c r="BO1528" s="6">
        <f>0</f>
        <v>0</v>
      </c>
      <c r="BP1528" s="6">
        <f>143000</f>
        <v>143000</v>
      </c>
      <c r="BQ1528" s="4" t="s">
        <v>263</v>
      </c>
      <c r="BR1528" s="4" t="s">
        <v>264</v>
      </c>
      <c r="BS1528" s="4" t="s">
        <v>427</v>
      </c>
      <c r="BT1528" s="4" t="s">
        <v>3929</v>
      </c>
      <c r="BU1528" s="4" t="s">
        <v>264</v>
      </c>
      <c r="BV1528" s="4" t="s">
        <v>241</v>
      </c>
      <c r="BW1528" s="4" t="s">
        <v>3931</v>
      </c>
      <c r="BX1528" s="4" t="s">
        <v>3932</v>
      </c>
      <c r="BY1528" s="4" t="s">
        <v>3932</v>
      </c>
      <c r="CA1528" s="5" t="s">
        <v>4013</v>
      </c>
      <c r="CB1528" s="4" t="s">
        <v>263</v>
      </c>
      <c r="CC1528" s="4" t="s">
        <v>241</v>
      </c>
      <c r="CD1528" s="4" t="s">
        <v>241</v>
      </c>
      <c r="CE1528" s="4" t="s">
        <v>264</v>
      </c>
      <c r="CF1528" s="4" t="s">
        <v>241</v>
      </c>
      <c r="CG1528" s="4" t="s">
        <v>241</v>
      </c>
      <c r="CK1528" s="4" t="s">
        <v>241</v>
      </c>
      <c r="CL1528" s="4" t="s">
        <v>241</v>
      </c>
      <c r="CM1528" s="4" t="s">
        <v>278</v>
      </c>
      <c r="CO1528" s="4" t="s">
        <v>241</v>
      </c>
      <c r="CP1528" s="5" t="s">
        <v>268</v>
      </c>
      <c r="CQ1528" s="4" t="s">
        <v>269</v>
      </c>
      <c r="CR1528" s="4" t="s">
        <v>270</v>
      </c>
      <c r="CS1528" s="4" t="s">
        <v>293</v>
      </c>
      <c r="CT1528" s="4" t="s">
        <v>241</v>
      </c>
      <c r="CU1528" s="4">
        <v>0</v>
      </c>
      <c r="CV1528" s="4" t="s">
        <v>271</v>
      </c>
      <c r="CW1528" s="4" t="s">
        <v>332</v>
      </c>
      <c r="CX1528" s="4" t="s">
        <v>295</v>
      </c>
      <c r="CY1528" s="6">
        <f>143000</f>
        <v>143000</v>
      </c>
      <c r="CZ1528" s="6">
        <f>143000</f>
        <v>143000</v>
      </c>
      <c r="DA1528" s="6">
        <f>143000</f>
        <v>143000</v>
      </c>
      <c r="DB1528" s="6" t="s">
        <v>241</v>
      </c>
      <c r="DC1528" s="4" t="s">
        <v>241</v>
      </c>
      <c r="DD1528" s="4" t="s">
        <v>241</v>
      </c>
      <c r="DF1528" s="4" t="s">
        <v>241</v>
      </c>
      <c r="DG1528" s="6">
        <f>0</f>
        <v>0</v>
      </c>
      <c r="DH1528" s="5" t="s">
        <v>241</v>
      </c>
      <c r="DI1528" s="4" t="s">
        <v>241</v>
      </c>
      <c r="DJ1528" s="4" t="s">
        <v>241</v>
      </c>
      <c r="DK1528" s="4" t="s">
        <v>241</v>
      </c>
      <c r="DL1528" s="4" t="s">
        <v>241</v>
      </c>
      <c r="DM1528" s="4" t="s">
        <v>241</v>
      </c>
      <c r="DN1528" s="4" t="s">
        <v>241</v>
      </c>
      <c r="DO1528" s="6" t="s">
        <v>241</v>
      </c>
      <c r="DP1528" s="4" t="s">
        <v>241</v>
      </c>
      <c r="DQ1528" s="4" t="s">
        <v>251</v>
      </c>
      <c r="DR1528" s="4" t="s">
        <v>3926</v>
      </c>
      <c r="DS1528" s="4" t="s">
        <v>3926</v>
      </c>
      <c r="DT1528" s="4" t="s">
        <v>241</v>
      </c>
      <c r="DU1528" s="4" t="s">
        <v>241</v>
      </c>
      <c r="GN1528" s="4" t="s">
        <v>4014</v>
      </c>
      <c r="HR1528" s="4" t="s">
        <v>241</v>
      </c>
      <c r="HS1528" s="4" t="s">
        <v>241</v>
      </c>
      <c r="HT1528" s="4" t="s">
        <v>241</v>
      </c>
      <c r="HU1528" s="4" t="s">
        <v>241</v>
      </c>
      <c r="HV1528" s="4" t="s">
        <v>241</v>
      </c>
      <c r="HW1528" s="4" t="s">
        <v>241</v>
      </c>
      <c r="HX1528" s="4" t="s">
        <v>241</v>
      </c>
      <c r="HY1528" s="4" t="s">
        <v>241</v>
      </c>
      <c r="HZ1528" s="4" t="s">
        <v>241</v>
      </c>
      <c r="IA1528" s="4" t="s">
        <v>241</v>
      </c>
      <c r="IB1528" s="4" t="s">
        <v>241</v>
      </c>
      <c r="IC1528" s="4" t="s">
        <v>241</v>
      </c>
      <c r="ID1528" s="4" t="s">
        <v>241</v>
      </c>
      <c r="IE1528" s="4" t="s">
        <v>241</v>
      </c>
      <c r="IF1528" s="4" t="s">
        <v>241</v>
      </c>
    </row>
    <row r="1529" spans="1:240" x14ac:dyDescent="0.4">
      <c r="A1529" s="4">
        <v>2</v>
      </c>
      <c r="B1529" s="4" t="s">
        <v>239</v>
      </c>
      <c r="C1529" s="4">
        <v>1890</v>
      </c>
      <c r="D1529" s="4">
        <v>1</v>
      </c>
      <c r="E1529" s="4">
        <v>2</v>
      </c>
      <c r="F1529" s="4" t="s">
        <v>241</v>
      </c>
      <c r="I1529" s="4" t="s">
        <v>829</v>
      </c>
      <c r="J1529" s="4" t="s">
        <v>653</v>
      </c>
      <c r="K1529" s="4" t="s">
        <v>256</v>
      </c>
      <c r="L1529" s="4" t="s">
        <v>4011</v>
      </c>
      <c r="M1529" s="5" t="s">
        <v>4039</v>
      </c>
      <c r="N1529" s="4" t="s">
        <v>3976</v>
      </c>
      <c r="O1529" s="6">
        <f>1</f>
        <v>1</v>
      </c>
      <c r="P1529" s="4" t="s">
        <v>3937</v>
      </c>
      <c r="Q1529" s="6">
        <f>429000</f>
        <v>429000</v>
      </c>
      <c r="R1529" s="6">
        <f>429000</f>
        <v>429000</v>
      </c>
      <c r="S1529" s="5" t="s">
        <v>4010</v>
      </c>
      <c r="T1529" s="4" t="s">
        <v>333</v>
      </c>
      <c r="U1529" s="4" t="s">
        <v>241</v>
      </c>
      <c r="V1529" s="6">
        <f>0</f>
        <v>0</v>
      </c>
      <c r="W1529" s="6">
        <f>0</f>
        <v>0</v>
      </c>
      <c r="X1529" s="4" t="s">
        <v>243</v>
      </c>
      <c r="Y1529" s="4" t="s">
        <v>241</v>
      </c>
      <c r="Z1529" s="4" t="s">
        <v>241</v>
      </c>
      <c r="AA1529" s="4" t="s">
        <v>241</v>
      </c>
      <c r="AD1529" s="4" t="s">
        <v>653</v>
      </c>
      <c r="AE1529" s="5" t="s">
        <v>241</v>
      </c>
      <c r="AF1529" s="5" t="s">
        <v>241</v>
      </c>
      <c r="AG1529" s="4" t="s">
        <v>241</v>
      </c>
      <c r="AH1529" s="5" t="s">
        <v>241</v>
      </c>
      <c r="AI1529" s="5" t="s">
        <v>4010</v>
      </c>
      <c r="AJ1529" s="4" t="s">
        <v>251</v>
      </c>
      <c r="AK1529" s="4" t="s">
        <v>241</v>
      </c>
      <c r="AQ1529" s="4" t="s">
        <v>241</v>
      </c>
      <c r="AR1529" s="4" t="s">
        <v>241</v>
      </c>
      <c r="AS1529" s="4" t="s">
        <v>241</v>
      </c>
      <c r="AT1529" s="5" t="s">
        <v>241</v>
      </c>
      <c r="AU1529" s="5" t="s">
        <v>241</v>
      </c>
      <c r="AV1529" s="5" t="s">
        <v>241</v>
      </c>
      <c r="AY1529" s="4" t="s">
        <v>286</v>
      </c>
      <c r="AZ1529" s="4" t="s">
        <v>286</v>
      </c>
      <c r="BA1529" s="4" t="s">
        <v>254</v>
      </c>
      <c r="BB1529" s="4" t="s">
        <v>3924</v>
      </c>
      <c r="BC1529" s="4" t="s">
        <v>255</v>
      </c>
      <c r="BD1529" s="4" t="s">
        <v>241</v>
      </c>
      <c r="BE1529" s="4" t="s">
        <v>257</v>
      </c>
      <c r="BF1529" s="4" t="s">
        <v>3926</v>
      </c>
      <c r="BJ1529" s="4" t="s">
        <v>288</v>
      </c>
      <c r="BK1529" s="5" t="s">
        <v>4010</v>
      </c>
      <c r="BL1529" s="4" t="s">
        <v>3927</v>
      </c>
      <c r="BM1529" s="4" t="s">
        <v>3928</v>
      </c>
      <c r="BN1529" s="4" t="s">
        <v>241</v>
      </c>
      <c r="BO1529" s="6">
        <f>0</f>
        <v>0</v>
      </c>
      <c r="BP1529" s="6">
        <f>429000</f>
        <v>429000</v>
      </c>
      <c r="BQ1529" s="4" t="s">
        <v>263</v>
      </c>
      <c r="BR1529" s="4" t="s">
        <v>264</v>
      </c>
      <c r="BS1529" s="4" t="s">
        <v>427</v>
      </c>
      <c r="BT1529" s="4" t="s">
        <v>3929</v>
      </c>
      <c r="BU1529" s="4" t="s">
        <v>264</v>
      </c>
      <c r="BV1529" s="4" t="s">
        <v>241</v>
      </c>
      <c r="BW1529" s="4" t="s">
        <v>3931</v>
      </c>
      <c r="BX1529" s="4" t="s">
        <v>3932</v>
      </c>
      <c r="BY1529" s="4" t="s">
        <v>3932</v>
      </c>
      <c r="CA1529" s="5" t="s">
        <v>4013</v>
      </c>
      <c r="CB1529" s="4" t="s">
        <v>263</v>
      </c>
      <c r="CC1529" s="4" t="s">
        <v>241</v>
      </c>
      <c r="CD1529" s="4" t="s">
        <v>241</v>
      </c>
      <c r="CE1529" s="4" t="s">
        <v>264</v>
      </c>
      <c r="CF1529" s="4" t="s">
        <v>241</v>
      </c>
      <c r="CG1529" s="4" t="s">
        <v>241</v>
      </c>
      <c r="CK1529" s="4" t="s">
        <v>241</v>
      </c>
      <c r="CL1529" s="4" t="s">
        <v>241</v>
      </c>
      <c r="CM1529" s="4" t="s">
        <v>278</v>
      </c>
      <c r="CO1529" s="4" t="s">
        <v>241</v>
      </c>
      <c r="CP1529" s="5" t="s">
        <v>268</v>
      </c>
      <c r="CQ1529" s="4" t="s">
        <v>269</v>
      </c>
      <c r="CR1529" s="4" t="s">
        <v>270</v>
      </c>
      <c r="CS1529" s="4" t="s">
        <v>293</v>
      </c>
      <c r="CT1529" s="4" t="s">
        <v>241</v>
      </c>
      <c r="CU1529" s="4">
        <v>0</v>
      </c>
      <c r="CV1529" s="4" t="s">
        <v>271</v>
      </c>
      <c r="CW1529" s="4" t="s">
        <v>332</v>
      </c>
      <c r="CX1529" s="4" t="s">
        <v>295</v>
      </c>
      <c r="CY1529" s="6">
        <f>429000</f>
        <v>429000</v>
      </c>
      <c r="CZ1529" s="6">
        <f>429000</f>
        <v>429000</v>
      </c>
      <c r="DA1529" s="6">
        <f>429000</f>
        <v>429000</v>
      </c>
      <c r="DB1529" s="6" t="s">
        <v>241</v>
      </c>
      <c r="DC1529" s="4" t="s">
        <v>241</v>
      </c>
      <c r="DD1529" s="4" t="s">
        <v>241</v>
      </c>
      <c r="DF1529" s="4" t="s">
        <v>241</v>
      </c>
      <c r="DG1529" s="6">
        <f>0</f>
        <v>0</v>
      </c>
      <c r="DH1529" s="5" t="s">
        <v>241</v>
      </c>
      <c r="DI1529" s="4" t="s">
        <v>241</v>
      </c>
      <c r="DJ1529" s="4" t="s">
        <v>241</v>
      </c>
      <c r="DK1529" s="4" t="s">
        <v>241</v>
      </c>
      <c r="DL1529" s="4" t="s">
        <v>241</v>
      </c>
      <c r="DM1529" s="4" t="s">
        <v>241</v>
      </c>
      <c r="DN1529" s="4" t="s">
        <v>241</v>
      </c>
      <c r="DO1529" s="6" t="s">
        <v>241</v>
      </c>
      <c r="DP1529" s="4" t="s">
        <v>241</v>
      </c>
      <c r="DQ1529" s="4" t="s">
        <v>251</v>
      </c>
      <c r="DR1529" s="4" t="s">
        <v>3926</v>
      </c>
      <c r="DS1529" s="4" t="s">
        <v>3926</v>
      </c>
      <c r="DT1529" s="4" t="s">
        <v>241</v>
      </c>
      <c r="DU1529" s="4" t="s">
        <v>241</v>
      </c>
      <c r="GN1529" s="4" t="s">
        <v>4040</v>
      </c>
      <c r="HR1529" s="4" t="s">
        <v>241</v>
      </c>
      <c r="HS1529" s="4" t="s">
        <v>241</v>
      </c>
      <c r="HT1529" s="4" t="s">
        <v>241</v>
      </c>
      <c r="HU1529" s="4" t="s">
        <v>241</v>
      </c>
      <c r="HV1529" s="4" t="s">
        <v>241</v>
      </c>
      <c r="HW1529" s="4" t="s">
        <v>241</v>
      </c>
      <c r="HX1529" s="4" t="s">
        <v>241</v>
      </c>
      <c r="HY1529" s="4" t="s">
        <v>241</v>
      </c>
      <c r="HZ1529" s="4" t="s">
        <v>241</v>
      </c>
      <c r="IA1529" s="4" t="s">
        <v>241</v>
      </c>
      <c r="IB1529" s="4" t="s">
        <v>241</v>
      </c>
      <c r="IC1529" s="4" t="s">
        <v>241</v>
      </c>
      <c r="ID1529" s="4" t="s">
        <v>241</v>
      </c>
      <c r="IE1529" s="4" t="s">
        <v>241</v>
      </c>
      <c r="IF1529" s="4" t="s">
        <v>241</v>
      </c>
    </row>
    <row r="1530" spans="1:240" x14ac:dyDescent="0.4">
      <c r="A1530" s="4">
        <v>2</v>
      </c>
      <c r="B1530" s="4" t="s">
        <v>239</v>
      </c>
      <c r="C1530" s="4">
        <v>1891</v>
      </c>
      <c r="D1530" s="4">
        <v>1</v>
      </c>
      <c r="E1530" s="4">
        <v>2</v>
      </c>
      <c r="F1530" s="4" t="s">
        <v>241</v>
      </c>
      <c r="I1530" s="4" t="s">
        <v>752</v>
      </c>
      <c r="J1530" s="4" t="s">
        <v>653</v>
      </c>
      <c r="K1530" s="4" t="s">
        <v>256</v>
      </c>
      <c r="L1530" s="4" t="s">
        <v>4011</v>
      </c>
      <c r="M1530" s="5" t="s">
        <v>4015</v>
      </c>
      <c r="N1530" s="4" t="s">
        <v>3976</v>
      </c>
      <c r="O1530" s="6">
        <f>1</f>
        <v>1</v>
      </c>
      <c r="P1530" s="4" t="s">
        <v>3937</v>
      </c>
      <c r="Q1530" s="6">
        <f>143000</f>
        <v>143000</v>
      </c>
      <c r="R1530" s="6">
        <f>143000</f>
        <v>143000</v>
      </c>
      <c r="S1530" s="5" t="s">
        <v>4010</v>
      </c>
      <c r="T1530" s="4" t="s">
        <v>333</v>
      </c>
      <c r="U1530" s="4" t="s">
        <v>241</v>
      </c>
      <c r="V1530" s="6">
        <f>0</f>
        <v>0</v>
      </c>
      <c r="W1530" s="6">
        <f>0</f>
        <v>0</v>
      </c>
      <c r="X1530" s="4" t="s">
        <v>243</v>
      </c>
      <c r="Y1530" s="4" t="s">
        <v>241</v>
      </c>
      <c r="Z1530" s="4" t="s">
        <v>241</v>
      </c>
      <c r="AA1530" s="4" t="s">
        <v>241</v>
      </c>
      <c r="AD1530" s="4" t="s">
        <v>653</v>
      </c>
      <c r="AE1530" s="5" t="s">
        <v>241</v>
      </c>
      <c r="AF1530" s="5" t="s">
        <v>241</v>
      </c>
      <c r="AG1530" s="4" t="s">
        <v>241</v>
      </c>
      <c r="AH1530" s="5" t="s">
        <v>241</v>
      </c>
      <c r="AI1530" s="5" t="s">
        <v>4010</v>
      </c>
      <c r="AJ1530" s="4" t="s">
        <v>251</v>
      </c>
      <c r="AK1530" s="4" t="s">
        <v>241</v>
      </c>
      <c r="AQ1530" s="4" t="s">
        <v>241</v>
      </c>
      <c r="AR1530" s="4" t="s">
        <v>241</v>
      </c>
      <c r="AS1530" s="4" t="s">
        <v>241</v>
      </c>
      <c r="AT1530" s="5" t="s">
        <v>241</v>
      </c>
      <c r="AU1530" s="5" t="s">
        <v>241</v>
      </c>
      <c r="AV1530" s="5" t="s">
        <v>241</v>
      </c>
      <c r="AY1530" s="4" t="s">
        <v>286</v>
      </c>
      <c r="AZ1530" s="4" t="s">
        <v>286</v>
      </c>
      <c r="BA1530" s="4" t="s">
        <v>254</v>
      </c>
      <c r="BB1530" s="4" t="s">
        <v>3924</v>
      </c>
      <c r="BC1530" s="4" t="s">
        <v>255</v>
      </c>
      <c r="BD1530" s="4" t="s">
        <v>241</v>
      </c>
      <c r="BE1530" s="4" t="s">
        <v>257</v>
      </c>
      <c r="BF1530" s="4" t="s">
        <v>3926</v>
      </c>
      <c r="BJ1530" s="4" t="s">
        <v>288</v>
      </c>
      <c r="BK1530" s="5" t="s">
        <v>4010</v>
      </c>
      <c r="BL1530" s="4" t="s">
        <v>3927</v>
      </c>
      <c r="BM1530" s="4" t="s">
        <v>3928</v>
      </c>
      <c r="BN1530" s="4" t="s">
        <v>241</v>
      </c>
      <c r="BO1530" s="6">
        <f>0</f>
        <v>0</v>
      </c>
      <c r="BP1530" s="6">
        <f>143000</f>
        <v>143000</v>
      </c>
      <c r="BQ1530" s="4" t="s">
        <v>263</v>
      </c>
      <c r="BR1530" s="4" t="s">
        <v>264</v>
      </c>
      <c r="BS1530" s="4" t="s">
        <v>427</v>
      </c>
      <c r="BT1530" s="4" t="s">
        <v>3929</v>
      </c>
      <c r="BU1530" s="4" t="s">
        <v>264</v>
      </c>
      <c r="BV1530" s="4" t="s">
        <v>241</v>
      </c>
      <c r="BW1530" s="4" t="s">
        <v>3931</v>
      </c>
      <c r="BX1530" s="4" t="s">
        <v>3932</v>
      </c>
      <c r="BY1530" s="4" t="s">
        <v>3932</v>
      </c>
      <c r="CA1530" s="5" t="s">
        <v>4013</v>
      </c>
      <c r="CB1530" s="4" t="s">
        <v>263</v>
      </c>
      <c r="CC1530" s="4" t="s">
        <v>241</v>
      </c>
      <c r="CD1530" s="4" t="s">
        <v>241</v>
      </c>
      <c r="CE1530" s="4" t="s">
        <v>264</v>
      </c>
      <c r="CF1530" s="4" t="s">
        <v>241</v>
      </c>
      <c r="CG1530" s="4" t="s">
        <v>241</v>
      </c>
      <c r="CK1530" s="4" t="s">
        <v>241</v>
      </c>
      <c r="CL1530" s="4" t="s">
        <v>241</v>
      </c>
      <c r="CM1530" s="4" t="s">
        <v>278</v>
      </c>
      <c r="CO1530" s="4" t="s">
        <v>241</v>
      </c>
      <c r="CP1530" s="5" t="s">
        <v>268</v>
      </c>
      <c r="CQ1530" s="4" t="s">
        <v>269</v>
      </c>
      <c r="CR1530" s="4" t="s">
        <v>270</v>
      </c>
      <c r="CS1530" s="4" t="s">
        <v>293</v>
      </c>
      <c r="CT1530" s="4" t="s">
        <v>241</v>
      </c>
      <c r="CU1530" s="4">
        <v>0</v>
      </c>
      <c r="CV1530" s="4" t="s">
        <v>271</v>
      </c>
      <c r="CW1530" s="4" t="s">
        <v>332</v>
      </c>
      <c r="CX1530" s="4" t="s">
        <v>295</v>
      </c>
      <c r="CY1530" s="6">
        <f>143000</f>
        <v>143000</v>
      </c>
      <c r="CZ1530" s="6">
        <f>143000</f>
        <v>143000</v>
      </c>
      <c r="DA1530" s="6">
        <f>143000</f>
        <v>143000</v>
      </c>
      <c r="DB1530" s="6" t="s">
        <v>241</v>
      </c>
      <c r="DC1530" s="4" t="s">
        <v>241</v>
      </c>
      <c r="DD1530" s="4" t="s">
        <v>241</v>
      </c>
      <c r="DF1530" s="4" t="s">
        <v>241</v>
      </c>
      <c r="DG1530" s="6">
        <f>0</f>
        <v>0</v>
      </c>
      <c r="DH1530" s="5" t="s">
        <v>241</v>
      </c>
      <c r="DI1530" s="4" t="s">
        <v>241</v>
      </c>
      <c r="DJ1530" s="4" t="s">
        <v>241</v>
      </c>
      <c r="DK1530" s="4" t="s">
        <v>241</v>
      </c>
      <c r="DL1530" s="4" t="s">
        <v>241</v>
      </c>
      <c r="DM1530" s="4" t="s">
        <v>241</v>
      </c>
      <c r="DN1530" s="4" t="s">
        <v>241</v>
      </c>
      <c r="DO1530" s="6" t="s">
        <v>241</v>
      </c>
      <c r="DP1530" s="4" t="s">
        <v>241</v>
      </c>
      <c r="DQ1530" s="4" t="s">
        <v>251</v>
      </c>
      <c r="DR1530" s="4" t="s">
        <v>3926</v>
      </c>
      <c r="DS1530" s="4" t="s">
        <v>3926</v>
      </c>
      <c r="DT1530" s="4" t="s">
        <v>241</v>
      </c>
      <c r="DU1530" s="4" t="s">
        <v>241</v>
      </c>
      <c r="GN1530" s="4" t="s">
        <v>4016</v>
      </c>
      <c r="HR1530" s="4" t="s">
        <v>241</v>
      </c>
      <c r="HS1530" s="4" t="s">
        <v>241</v>
      </c>
      <c r="HT1530" s="4" t="s">
        <v>241</v>
      </c>
      <c r="HU1530" s="4" t="s">
        <v>241</v>
      </c>
      <c r="HV1530" s="4" t="s">
        <v>241</v>
      </c>
      <c r="HW1530" s="4" t="s">
        <v>241</v>
      </c>
      <c r="HX1530" s="4" t="s">
        <v>241</v>
      </c>
      <c r="HY1530" s="4" t="s">
        <v>241</v>
      </c>
      <c r="HZ1530" s="4" t="s">
        <v>241</v>
      </c>
      <c r="IA1530" s="4" t="s">
        <v>241</v>
      </c>
      <c r="IB1530" s="4" t="s">
        <v>241</v>
      </c>
      <c r="IC1530" s="4" t="s">
        <v>241</v>
      </c>
      <c r="ID1530" s="4" t="s">
        <v>241</v>
      </c>
      <c r="IE1530" s="4" t="s">
        <v>241</v>
      </c>
      <c r="IF1530" s="4" t="s">
        <v>241</v>
      </c>
    </row>
    <row r="1531" spans="1:240" x14ac:dyDescent="0.4">
      <c r="A1531" s="4">
        <v>2</v>
      </c>
      <c r="B1531" s="4" t="s">
        <v>239</v>
      </c>
      <c r="C1531" s="4">
        <v>1892</v>
      </c>
      <c r="D1531" s="4">
        <v>1</v>
      </c>
      <c r="E1531" s="4">
        <v>2</v>
      </c>
      <c r="F1531" s="4" t="s">
        <v>241</v>
      </c>
      <c r="I1531" s="4" t="s">
        <v>985</v>
      </c>
      <c r="J1531" s="4" t="s">
        <v>653</v>
      </c>
      <c r="K1531" s="4" t="s">
        <v>256</v>
      </c>
      <c r="L1531" s="4" t="s">
        <v>4035</v>
      </c>
      <c r="M1531" s="5" t="s">
        <v>4036</v>
      </c>
      <c r="N1531" s="4" t="s">
        <v>3976</v>
      </c>
      <c r="O1531" s="6">
        <f>1</f>
        <v>1</v>
      </c>
      <c r="P1531" s="4" t="s">
        <v>3937</v>
      </c>
      <c r="Q1531" s="6">
        <f>429000</f>
        <v>429000</v>
      </c>
      <c r="R1531" s="6">
        <f>429000</f>
        <v>429000</v>
      </c>
      <c r="S1531" s="5" t="s">
        <v>4010</v>
      </c>
      <c r="T1531" s="4" t="s">
        <v>333</v>
      </c>
      <c r="U1531" s="4" t="s">
        <v>241</v>
      </c>
      <c r="V1531" s="6">
        <f>0</f>
        <v>0</v>
      </c>
      <c r="W1531" s="6">
        <f>0</f>
        <v>0</v>
      </c>
      <c r="X1531" s="4" t="s">
        <v>243</v>
      </c>
      <c r="Y1531" s="4" t="s">
        <v>241</v>
      </c>
      <c r="Z1531" s="4" t="s">
        <v>241</v>
      </c>
      <c r="AA1531" s="4" t="s">
        <v>241</v>
      </c>
      <c r="AD1531" s="4" t="s">
        <v>653</v>
      </c>
      <c r="AE1531" s="5" t="s">
        <v>241</v>
      </c>
      <c r="AF1531" s="5" t="s">
        <v>241</v>
      </c>
      <c r="AG1531" s="4" t="s">
        <v>241</v>
      </c>
      <c r="AH1531" s="5" t="s">
        <v>241</v>
      </c>
      <c r="AI1531" s="5" t="s">
        <v>4010</v>
      </c>
      <c r="AJ1531" s="4" t="s">
        <v>251</v>
      </c>
      <c r="AK1531" s="4" t="s">
        <v>241</v>
      </c>
      <c r="AQ1531" s="4" t="s">
        <v>241</v>
      </c>
      <c r="AR1531" s="4" t="s">
        <v>241</v>
      </c>
      <c r="AS1531" s="4" t="s">
        <v>241</v>
      </c>
      <c r="AT1531" s="5" t="s">
        <v>241</v>
      </c>
      <c r="AU1531" s="5" t="s">
        <v>241</v>
      </c>
      <c r="AV1531" s="5" t="s">
        <v>241</v>
      </c>
      <c r="AY1531" s="4" t="s">
        <v>286</v>
      </c>
      <c r="AZ1531" s="4" t="s">
        <v>286</v>
      </c>
      <c r="BA1531" s="4" t="s">
        <v>254</v>
      </c>
      <c r="BB1531" s="4" t="s">
        <v>3924</v>
      </c>
      <c r="BC1531" s="4" t="s">
        <v>255</v>
      </c>
      <c r="BD1531" s="4" t="s">
        <v>241</v>
      </c>
      <c r="BE1531" s="4" t="s">
        <v>257</v>
      </c>
      <c r="BF1531" s="4" t="s">
        <v>3926</v>
      </c>
      <c r="BJ1531" s="4" t="s">
        <v>288</v>
      </c>
      <c r="BK1531" s="5" t="s">
        <v>4010</v>
      </c>
      <c r="BL1531" s="4" t="s">
        <v>3927</v>
      </c>
      <c r="BM1531" s="4" t="s">
        <v>3928</v>
      </c>
      <c r="BN1531" s="4" t="s">
        <v>241</v>
      </c>
      <c r="BO1531" s="6">
        <f>0</f>
        <v>0</v>
      </c>
      <c r="BP1531" s="6">
        <f>429000</f>
        <v>429000</v>
      </c>
      <c r="BQ1531" s="4" t="s">
        <v>263</v>
      </c>
      <c r="BR1531" s="4" t="s">
        <v>264</v>
      </c>
      <c r="BS1531" s="4" t="s">
        <v>427</v>
      </c>
      <c r="BT1531" s="4" t="s">
        <v>3948</v>
      </c>
      <c r="BU1531" s="4" t="s">
        <v>264</v>
      </c>
      <c r="BV1531" s="4" t="s">
        <v>241</v>
      </c>
      <c r="BW1531" s="4" t="s">
        <v>3931</v>
      </c>
      <c r="BX1531" s="4" t="s">
        <v>3932</v>
      </c>
      <c r="BY1531" s="4" t="s">
        <v>3932</v>
      </c>
      <c r="CA1531" s="5" t="s">
        <v>4037</v>
      </c>
      <c r="CB1531" s="4" t="s">
        <v>263</v>
      </c>
      <c r="CC1531" s="4" t="s">
        <v>241</v>
      </c>
      <c r="CD1531" s="4" t="s">
        <v>241</v>
      </c>
      <c r="CE1531" s="4" t="s">
        <v>264</v>
      </c>
      <c r="CF1531" s="4" t="s">
        <v>241</v>
      </c>
      <c r="CG1531" s="4" t="s">
        <v>241</v>
      </c>
      <c r="CK1531" s="4" t="s">
        <v>241</v>
      </c>
      <c r="CL1531" s="4" t="s">
        <v>241</v>
      </c>
      <c r="CM1531" s="4" t="s">
        <v>278</v>
      </c>
      <c r="CO1531" s="4" t="s">
        <v>241</v>
      </c>
      <c r="CP1531" s="5" t="s">
        <v>268</v>
      </c>
      <c r="CQ1531" s="4" t="s">
        <v>269</v>
      </c>
      <c r="CR1531" s="4" t="s">
        <v>270</v>
      </c>
      <c r="CS1531" s="4" t="s">
        <v>293</v>
      </c>
      <c r="CT1531" s="4" t="s">
        <v>241</v>
      </c>
      <c r="CU1531" s="4">
        <v>0</v>
      </c>
      <c r="CV1531" s="4" t="s">
        <v>271</v>
      </c>
      <c r="CW1531" s="4" t="s">
        <v>332</v>
      </c>
      <c r="CX1531" s="4" t="s">
        <v>295</v>
      </c>
      <c r="CY1531" s="6">
        <f>429000</f>
        <v>429000</v>
      </c>
      <c r="CZ1531" s="6">
        <f>429000</f>
        <v>429000</v>
      </c>
      <c r="DA1531" s="6">
        <f>429000</f>
        <v>429000</v>
      </c>
      <c r="DB1531" s="6" t="s">
        <v>241</v>
      </c>
      <c r="DC1531" s="4" t="s">
        <v>241</v>
      </c>
      <c r="DD1531" s="4" t="s">
        <v>241</v>
      </c>
      <c r="DF1531" s="4" t="s">
        <v>241</v>
      </c>
      <c r="DG1531" s="6">
        <f>0</f>
        <v>0</v>
      </c>
      <c r="DH1531" s="5" t="s">
        <v>241</v>
      </c>
      <c r="DI1531" s="4" t="s">
        <v>241</v>
      </c>
      <c r="DJ1531" s="4" t="s">
        <v>241</v>
      </c>
      <c r="DK1531" s="4" t="s">
        <v>241</v>
      </c>
      <c r="DL1531" s="4" t="s">
        <v>241</v>
      </c>
      <c r="DM1531" s="4" t="s">
        <v>241</v>
      </c>
      <c r="DN1531" s="4" t="s">
        <v>241</v>
      </c>
      <c r="DO1531" s="6" t="s">
        <v>241</v>
      </c>
      <c r="DP1531" s="4" t="s">
        <v>241</v>
      </c>
      <c r="DQ1531" s="4" t="s">
        <v>251</v>
      </c>
      <c r="DR1531" s="4" t="s">
        <v>3926</v>
      </c>
      <c r="DS1531" s="4" t="s">
        <v>3926</v>
      </c>
      <c r="DT1531" s="4" t="s">
        <v>241</v>
      </c>
      <c r="DU1531" s="4" t="s">
        <v>241</v>
      </c>
      <c r="GN1531" s="4" t="s">
        <v>4038</v>
      </c>
      <c r="HR1531" s="4" t="s">
        <v>241</v>
      </c>
      <c r="HS1531" s="4" t="s">
        <v>241</v>
      </c>
      <c r="HT1531" s="4" t="s">
        <v>241</v>
      </c>
      <c r="HU1531" s="4" t="s">
        <v>241</v>
      </c>
      <c r="HV1531" s="4" t="s">
        <v>241</v>
      </c>
      <c r="HW1531" s="4" t="s">
        <v>241</v>
      </c>
      <c r="HX1531" s="4" t="s">
        <v>241</v>
      </c>
      <c r="HY1531" s="4" t="s">
        <v>241</v>
      </c>
      <c r="HZ1531" s="4" t="s">
        <v>241</v>
      </c>
      <c r="IA1531" s="4" t="s">
        <v>241</v>
      </c>
      <c r="IB1531" s="4" t="s">
        <v>241</v>
      </c>
      <c r="IC1531" s="4" t="s">
        <v>241</v>
      </c>
      <c r="ID1531" s="4" t="s">
        <v>241</v>
      </c>
      <c r="IE1531" s="4" t="s">
        <v>241</v>
      </c>
      <c r="IF1531" s="4" t="s">
        <v>241</v>
      </c>
    </row>
    <row r="1532" spans="1:240" x14ac:dyDescent="0.4">
      <c r="A1532" s="4">
        <v>2</v>
      </c>
      <c r="B1532" s="4" t="s">
        <v>239</v>
      </c>
      <c r="C1532" s="4">
        <v>1893</v>
      </c>
      <c r="D1532" s="4">
        <v>1</v>
      </c>
      <c r="E1532" s="4">
        <v>2</v>
      </c>
      <c r="F1532" s="4" t="s">
        <v>241</v>
      </c>
      <c r="I1532" s="4" t="s">
        <v>652</v>
      </c>
      <c r="J1532" s="4" t="s">
        <v>653</v>
      </c>
      <c r="K1532" s="4" t="s">
        <v>256</v>
      </c>
      <c r="L1532" s="4" t="s">
        <v>4035</v>
      </c>
      <c r="M1532" s="5" t="s">
        <v>4045</v>
      </c>
      <c r="N1532" s="4" t="s">
        <v>3976</v>
      </c>
      <c r="O1532" s="6">
        <f>1</f>
        <v>1</v>
      </c>
      <c r="P1532" s="4" t="s">
        <v>3937</v>
      </c>
      <c r="Q1532" s="6">
        <f>286000</f>
        <v>286000</v>
      </c>
      <c r="R1532" s="6">
        <f>286000</f>
        <v>286000</v>
      </c>
      <c r="S1532" s="5" t="s">
        <v>4010</v>
      </c>
      <c r="T1532" s="4" t="s">
        <v>333</v>
      </c>
      <c r="U1532" s="4" t="s">
        <v>241</v>
      </c>
      <c r="V1532" s="6">
        <f>0</f>
        <v>0</v>
      </c>
      <c r="W1532" s="6">
        <f>0</f>
        <v>0</v>
      </c>
      <c r="X1532" s="4" t="s">
        <v>243</v>
      </c>
      <c r="Y1532" s="4" t="s">
        <v>241</v>
      </c>
      <c r="Z1532" s="4" t="s">
        <v>241</v>
      </c>
      <c r="AA1532" s="4" t="s">
        <v>241</v>
      </c>
      <c r="AD1532" s="4" t="s">
        <v>653</v>
      </c>
      <c r="AE1532" s="5" t="s">
        <v>241</v>
      </c>
      <c r="AF1532" s="5" t="s">
        <v>241</v>
      </c>
      <c r="AG1532" s="4" t="s">
        <v>241</v>
      </c>
      <c r="AH1532" s="5" t="s">
        <v>241</v>
      </c>
      <c r="AI1532" s="5" t="s">
        <v>4010</v>
      </c>
      <c r="AJ1532" s="4" t="s">
        <v>251</v>
      </c>
      <c r="AK1532" s="4" t="s">
        <v>241</v>
      </c>
      <c r="AQ1532" s="4" t="s">
        <v>241</v>
      </c>
      <c r="AR1532" s="4" t="s">
        <v>241</v>
      </c>
      <c r="AS1532" s="4" t="s">
        <v>241</v>
      </c>
      <c r="AT1532" s="5" t="s">
        <v>241</v>
      </c>
      <c r="AU1532" s="5" t="s">
        <v>241</v>
      </c>
      <c r="AV1532" s="5" t="s">
        <v>241</v>
      </c>
      <c r="AY1532" s="4" t="s">
        <v>286</v>
      </c>
      <c r="AZ1532" s="4" t="s">
        <v>286</v>
      </c>
      <c r="BA1532" s="4" t="s">
        <v>254</v>
      </c>
      <c r="BB1532" s="4" t="s">
        <v>3924</v>
      </c>
      <c r="BC1532" s="4" t="s">
        <v>255</v>
      </c>
      <c r="BD1532" s="4" t="s">
        <v>241</v>
      </c>
      <c r="BE1532" s="4" t="s">
        <v>257</v>
      </c>
      <c r="BF1532" s="4" t="s">
        <v>3926</v>
      </c>
      <c r="BJ1532" s="4" t="s">
        <v>288</v>
      </c>
      <c r="BK1532" s="5" t="s">
        <v>4010</v>
      </c>
      <c r="BL1532" s="4" t="s">
        <v>3927</v>
      </c>
      <c r="BM1532" s="4" t="s">
        <v>3928</v>
      </c>
      <c r="BN1532" s="4" t="s">
        <v>241</v>
      </c>
      <c r="BO1532" s="6">
        <f>0</f>
        <v>0</v>
      </c>
      <c r="BP1532" s="6">
        <f>286000</f>
        <v>286000</v>
      </c>
      <c r="BQ1532" s="4" t="s">
        <v>263</v>
      </c>
      <c r="BR1532" s="4" t="s">
        <v>264</v>
      </c>
      <c r="BS1532" s="4" t="s">
        <v>427</v>
      </c>
      <c r="BT1532" s="4" t="s">
        <v>3948</v>
      </c>
      <c r="BU1532" s="4" t="s">
        <v>264</v>
      </c>
      <c r="BV1532" s="4" t="s">
        <v>241</v>
      </c>
      <c r="BW1532" s="4" t="s">
        <v>3931</v>
      </c>
      <c r="BX1532" s="4" t="s">
        <v>3932</v>
      </c>
      <c r="BY1532" s="4" t="s">
        <v>3932</v>
      </c>
      <c r="CA1532" s="5" t="s">
        <v>4037</v>
      </c>
      <c r="CB1532" s="4" t="s">
        <v>263</v>
      </c>
      <c r="CC1532" s="4" t="s">
        <v>241</v>
      </c>
      <c r="CD1532" s="4" t="s">
        <v>241</v>
      </c>
      <c r="CE1532" s="4" t="s">
        <v>264</v>
      </c>
      <c r="CF1532" s="4" t="s">
        <v>241</v>
      </c>
      <c r="CG1532" s="4" t="s">
        <v>241</v>
      </c>
      <c r="CK1532" s="4" t="s">
        <v>241</v>
      </c>
      <c r="CL1532" s="4" t="s">
        <v>241</v>
      </c>
      <c r="CM1532" s="4" t="s">
        <v>278</v>
      </c>
      <c r="CO1532" s="4" t="s">
        <v>241</v>
      </c>
      <c r="CP1532" s="5" t="s">
        <v>268</v>
      </c>
      <c r="CQ1532" s="4" t="s">
        <v>269</v>
      </c>
      <c r="CR1532" s="4" t="s">
        <v>270</v>
      </c>
      <c r="CS1532" s="4" t="s">
        <v>293</v>
      </c>
      <c r="CT1532" s="4" t="s">
        <v>241</v>
      </c>
      <c r="CU1532" s="4">
        <v>0</v>
      </c>
      <c r="CV1532" s="4" t="s">
        <v>271</v>
      </c>
      <c r="CW1532" s="4" t="s">
        <v>332</v>
      </c>
      <c r="CX1532" s="4" t="s">
        <v>295</v>
      </c>
      <c r="CY1532" s="6">
        <f>286000</f>
        <v>286000</v>
      </c>
      <c r="CZ1532" s="6">
        <f>286000</f>
        <v>286000</v>
      </c>
      <c r="DA1532" s="6">
        <f>286000</f>
        <v>286000</v>
      </c>
      <c r="DB1532" s="6" t="s">
        <v>241</v>
      </c>
      <c r="DC1532" s="4" t="s">
        <v>241</v>
      </c>
      <c r="DD1532" s="4" t="s">
        <v>241</v>
      </c>
      <c r="DF1532" s="4" t="s">
        <v>241</v>
      </c>
      <c r="DG1532" s="6">
        <f>0</f>
        <v>0</v>
      </c>
      <c r="DH1532" s="5" t="s">
        <v>241</v>
      </c>
      <c r="DI1532" s="4" t="s">
        <v>241</v>
      </c>
      <c r="DJ1532" s="4" t="s">
        <v>241</v>
      </c>
      <c r="DK1532" s="4" t="s">
        <v>241</v>
      </c>
      <c r="DL1532" s="4" t="s">
        <v>241</v>
      </c>
      <c r="DM1532" s="4" t="s">
        <v>241</v>
      </c>
      <c r="DN1532" s="4" t="s">
        <v>241</v>
      </c>
      <c r="DO1532" s="6" t="s">
        <v>241</v>
      </c>
      <c r="DP1532" s="4" t="s">
        <v>241</v>
      </c>
      <c r="DQ1532" s="4" t="s">
        <v>251</v>
      </c>
      <c r="DR1532" s="4" t="s">
        <v>3926</v>
      </c>
      <c r="DS1532" s="4" t="s">
        <v>3926</v>
      </c>
      <c r="DT1532" s="4" t="s">
        <v>241</v>
      </c>
      <c r="DU1532" s="4" t="s">
        <v>241</v>
      </c>
      <c r="GN1532" s="4" t="s">
        <v>4046</v>
      </c>
      <c r="HR1532" s="4" t="s">
        <v>241</v>
      </c>
      <c r="HS1532" s="4" t="s">
        <v>241</v>
      </c>
      <c r="HT1532" s="4" t="s">
        <v>241</v>
      </c>
      <c r="HU1532" s="4" t="s">
        <v>241</v>
      </c>
      <c r="HV1532" s="4" t="s">
        <v>241</v>
      </c>
      <c r="HW1532" s="4" t="s">
        <v>241</v>
      </c>
      <c r="HX1532" s="4" t="s">
        <v>241</v>
      </c>
      <c r="HY1532" s="4" t="s">
        <v>241</v>
      </c>
      <c r="HZ1532" s="4" t="s">
        <v>241</v>
      </c>
      <c r="IA1532" s="4" t="s">
        <v>241</v>
      </c>
      <c r="IB1532" s="4" t="s">
        <v>241</v>
      </c>
      <c r="IC1532" s="4" t="s">
        <v>241</v>
      </c>
      <c r="ID1532" s="4" t="s">
        <v>241</v>
      </c>
      <c r="IE1532" s="4" t="s">
        <v>241</v>
      </c>
      <c r="IF1532" s="4" t="s">
        <v>241</v>
      </c>
    </row>
    <row r="1533" spans="1:240" x14ac:dyDescent="0.4">
      <c r="A1533" s="4">
        <v>2</v>
      </c>
      <c r="B1533" s="4" t="s">
        <v>239</v>
      </c>
      <c r="C1533" s="4">
        <v>1894</v>
      </c>
      <c r="D1533" s="4">
        <v>1</v>
      </c>
      <c r="E1533" s="4">
        <v>2</v>
      </c>
      <c r="F1533" s="4" t="s">
        <v>241</v>
      </c>
      <c r="I1533" s="4" t="s">
        <v>834</v>
      </c>
      <c r="J1533" s="4" t="s">
        <v>653</v>
      </c>
      <c r="K1533" s="4" t="s">
        <v>256</v>
      </c>
      <c r="L1533" s="4" t="s">
        <v>3999</v>
      </c>
      <c r="M1533" s="5" t="s">
        <v>4000</v>
      </c>
      <c r="N1533" s="4" t="s">
        <v>3976</v>
      </c>
      <c r="O1533" s="6">
        <f>1</f>
        <v>1</v>
      </c>
      <c r="P1533" s="4" t="s">
        <v>3937</v>
      </c>
      <c r="Q1533" s="6">
        <f>117150</f>
        <v>117150</v>
      </c>
      <c r="R1533" s="6">
        <f>117150</f>
        <v>117150</v>
      </c>
      <c r="S1533" s="5" t="s">
        <v>3998</v>
      </c>
      <c r="T1533" s="4" t="s">
        <v>333</v>
      </c>
      <c r="U1533" s="4" t="s">
        <v>241</v>
      </c>
      <c r="V1533" s="6">
        <f>0</f>
        <v>0</v>
      </c>
      <c r="W1533" s="6">
        <f>0</f>
        <v>0</v>
      </c>
      <c r="X1533" s="4" t="s">
        <v>243</v>
      </c>
      <c r="Y1533" s="4" t="s">
        <v>241</v>
      </c>
      <c r="Z1533" s="4" t="s">
        <v>241</v>
      </c>
      <c r="AA1533" s="4" t="s">
        <v>241</v>
      </c>
      <c r="AD1533" s="4" t="s">
        <v>653</v>
      </c>
      <c r="AE1533" s="5" t="s">
        <v>241</v>
      </c>
      <c r="AF1533" s="5" t="s">
        <v>241</v>
      </c>
      <c r="AG1533" s="4" t="s">
        <v>241</v>
      </c>
      <c r="AH1533" s="5" t="s">
        <v>241</v>
      </c>
      <c r="AI1533" s="5" t="s">
        <v>3998</v>
      </c>
      <c r="AJ1533" s="4" t="s">
        <v>251</v>
      </c>
      <c r="AK1533" s="4" t="s">
        <v>241</v>
      </c>
      <c r="AQ1533" s="4" t="s">
        <v>241</v>
      </c>
      <c r="AR1533" s="4" t="s">
        <v>241</v>
      </c>
      <c r="AS1533" s="4" t="s">
        <v>241</v>
      </c>
      <c r="AT1533" s="5" t="s">
        <v>241</v>
      </c>
      <c r="AU1533" s="5" t="s">
        <v>241</v>
      </c>
      <c r="AV1533" s="5" t="s">
        <v>241</v>
      </c>
      <c r="AY1533" s="4" t="s">
        <v>286</v>
      </c>
      <c r="AZ1533" s="4" t="s">
        <v>286</v>
      </c>
      <c r="BA1533" s="4" t="s">
        <v>254</v>
      </c>
      <c r="BB1533" s="4" t="s">
        <v>3924</v>
      </c>
      <c r="BC1533" s="4" t="s">
        <v>255</v>
      </c>
      <c r="BD1533" s="4" t="s">
        <v>241</v>
      </c>
      <c r="BE1533" s="4" t="s">
        <v>257</v>
      </c>
      <c r="BF1533" s="4" t="s">
        <v>3926</v>
      </c>
      <c r="BJ1533" s="4" t="s">
        <v>288</v>
      </c>
      <c r="BK1533" s="5" t="s">
        <v>3998</v>
      </c>
      <c r="BL1533" s="4" t="s">
        <v>3927</v>
      </c>
      <c r="BM1533" s="4" t="s">
        <v>3928</v>
      </c>
      <c r="BN1533" s="4" t="s">
        <v>241</v>
      </c>
      <c r="BO1533" s="6">
        <f>0</f>
        <v>0</v>
      </c>
      <c r="BP1533" s="6">
        <f>117150</f>
        <v>117150</v>
      </c>
      <c r="BQ1533" s="4" t="s">
        <v>263</v>
      </c>
      <c r="BR1533" s="4" t="s">
        <v>264</v>
      </c>
      <c r="BS1533" s="4" t="s">
        <v>427</v>
      </c>
      <c r="BT1533" s="4" t="s">
        <v>3929</v>
      </c>
      <c r="BU1533" s="4" t="s">
        <v>264</v>
      </c>
      <c r="BV1533" s="4" t="s">
        <v>241</v>
      </c>
      <c r="BW1533" s="4" t="s">
        <v>3931</v>
      </c>
      <c r="BX1533" s="4" t="s">
        <v>3932</v>
      </c>
      <c r="BY1533" s="4" t="s">
        <v>3932</v>
      </c>
      <c r="CA1533" s="5" t="s">
        <v>4001</v>
      </c>
      <c r="CB1533" s="4" t="s">
        <v>263</v>
      </c>
      <c r="CC1533" s="4" t="s">
        <v>241</v>
      </c>
      <c r="CD1533" s="4" t="s">
        <v>241</v>
      </c>
      <c r="CE1533" s="4" t="s">
        <v>264</v>
      </c>
      <c r="CF1533" s="4" t="s">
        <v>241</v>
      </c>
      <c r="CG1533" s="4" t="s">
        <v>241</v>
      </c>
      <c r="CK1533" s="4" t="s">
        <v>241</v>
      </c>
      <c r="CL1533" s="4" t="s">
        <v>241</v>
      </c>
      <c r="CM1533" s="4" t="s">
        <v>278</v>
      </c>
      <c r="CO1533" s="4" t="s">
        <v>241</v>
      </c>
      <c r="CP1533" s="5" t="s">
        <v>268</v>
      </c>
      <c r="CQ1533" s="4" t="s">
        <v>269</v>
      </c>
      <c r="CR1533" s="4" t="s">
        <v>270</v>
      </c>
      <c r="CS1533" s="4" t="s">
        <v>293</v>
      </c>
      <c r="CT1533" s="4" t="s">
        <v>241</v>
      </c>
      <c r="CU1533" s="4">
        <v>0</v>
      </c>
      <c r="CV1533" s="4" t="s">
        <v>271</v>
      </c>
      <c r="CW1533" s="4" t="s">
        <v>332</v>
      </c>
      <c r="CX1533" s="4" t="s">
        <v>295</v>
      </c>
      <c r="CY1533" s="6">
        <f>117150</f>
        <v>117150</v>
      </c>
      <c r="CZ1533" s="6">
        <f>117150</f>
        <v>117150</v>
      </c>
      <c r="DA1533" s="6">
        <f>117150</f>
        <v>117150</v>
      </c>
      <c r="DB1533" s="6" t="s">
        <v>241</v>
      </c>
      <c r="DC1533" s="4" t="s">
        <v>241</v>
      </c>
      <c r="DD1533" s="4" t="s">
        <v>241</v>
      </c>
      <c r="DF1533" s="4" t="s">
        <v>241</v>
      </c>
      <c r="DG1533" s="6">
        <f>0</f>
        <v>0</v>
      </c>
      <c r="DH1533" s="5" t="s">
        <v>241</v>
      </c>
      <c r="DI1533" s="4" t="s">
        <v>241</v>
      </c>
      <c r="DJ1533" s="4" t="s">
        <v>241</v>
      </c>
      <c r="DK1533" s="4" t="s">
        <v>241</v>
      </c>
      <c r="DL1533" s="4" t="s">
        <v>241</v>
      </c>
      <c r="DM1533" s="4" t="s">
        <v>241</v>
      </c>
      <c r="DN1533" s="4" t="s">
        <v>241</v>
      </c>
      <c r="DO1533" s="6" t="s">
        <v>241</v>
      </c>
      <c r="DP1533" s="4" t="s">
        <v>241</v>
      </c>
      <c r="DQ1533" s="4" t="s">
        <v>251</v>
      </c>
      <c r="DR1533" s="4" t="s">
        <v>3926</v>
      </c>
      <c r="DS1533" s="4" t="s">
        <v>3926</v>
      </c>
      <c r="DT1533" s="4" t="s">
        <v>241</v>
      </c>
      <c r="DU1533" s="4" t="s">
        <v>241</v>
      </c>
      <c r="GN1533" s="4" t="s">
        <v>4002</v>
      </c>
      <c r="HR1533" s="4" t="s">
        <v>241</v>
      </c>
      <c r="HS1533" s="4" t="s">
        <v>241</v>
      </c>
      <c r="HT1533" s="4" t="s">
        <v>241</v>
      </c>
      <c r="HU1533" s="4" t="s">
        <v>241</v>
      </c>
      <c r="HV1533" s="4" t="s">
        <v>241</v>
      </c>
      <c r="HW1533" s="4" t="s">
        <v>241</v>
      </c>
      <c r="HX1533" s="4" t="s">
        <v>241</v>
      </c>
      <c r="HY1533" s="4" t="s">
        <v>241</v>
      </c>
      <c r="HZ1533" s="4" t="s">
        <v>241</v>
      </c>
      <c r="IA1533" s="4" t="s">
        <v>241</v>
      </c>
      <c r="IB1533" s="4" t="s">
        <v>241</v>
      </c>
      <c r="IC1533" s="4" t="s">
        <v>241</v>
      </c>
      <c r="ID1533" s="4" t="s">
        <v>241</v>
      </c>
      <c r="IE1533" s="4" t="s">
        <v>241</v>
      </c>
      <c r="IF1533" s="4" t="s">
        <v>241</v>
      </c>
    </row>
    <row r="1534" spans="1:240" x14ac:dyDescent="0.4">
      <c r="A1534" s="4">
        <v>2</v>
      </c>
      <c r="B1534" s="4" t="s">
        <v>239</v>
      </c>
      <c r="C1534" s="4">
        <v>1895</v>
      </c>
      <c r="D1534" s="4">
        <v>1</v>
      </c>
      <c r="E1534" s="4">
        <v>2</v>
      </c>
      <c r="F1534" s="4" t="s">
        <v>241</v>
      </c>
      <c r="I1534" s="4" t="s">
        <v>664</v>
      </c>
      <c r="J1534" s="4" t="s">
        <v>653</v>
      </c>
      <c r="K1534" s="4" t="s">
        <v>256</v>
      </c>
      <c r="L1534" s="4" t="s">
        <v>4003</v>
      </c>
      <c r="M1534" s="5" t="s">
        <v>4004</v>
      </c>
      <c r="N1534" s="4" t="s">
        <v>3976</v>
      </c>
      <c r="O1534" s="6">
        <f>1</f>
        <v>1</v>
      </c>
      <c r="P1534" s="4" t="s">
        <v>3937</v>
      </c>
      <c r="Q1534" s="6">
        <f>176550</f>
        <v>176550</v>
      </c>
      <c r="R1534" s="6">
        <f>176550</f>
        <v>176550</v>
      </c>
      <c r="S1534" s="5" t="s">
        <v>3998</v>
      </c>
      <c r="T1534" s="4" t="s">
        <v>333</v>
      </c>
      <c r="U1534" s="4" t="s">
        <v>241</v>
      </c>
      <c r="V1534" s="6">
        <f>0</f>
        <v>0</v>
      </c>
      <c r="W1534" s="6">
        <f>0</f>
        <v>0</v>
      </c>
      <c r="X1534" s="4" t="s">
        <v>243</v>
      </c>
      <c r="Y1534" s="4" t="s">
        <v>241</v>
      </c>
      <c r="Z1534" s="4" t="s">
        <v>241</v>
      </c>
      <c r="AA1534" s="4" t="s">
        <v>241</v>
      </c>
      <c r="AD1534" s="4" t="s">
        <v>653</v>
      </c>
      <c r="AE1534" s="5" t="s">
        <v>241</v>
      </c>
      <c r="AF1534" s="5" t="s">
        <v>241</v>
      </c>
      <c r="AG1534" s="4" t="s">
        <v>241</v>
      </c>
      <c r="AH1534" s="5" t="s">
        <v>241</v>
      </c>
      <c r="AI1534" s="5" t="s">
        <v>3998</v>
      </c>
      <c r="AJ1534" s="4" t="s">
        <v>251</v>
      </c>
      <c r="AK1534" s="4" t="s">
        <v>241</v>
      </c>
      <c r="AQ1534" s="4" t="s">
        <v>241</v>
      </c>
      <c r="AR1534" s="4" t="s">
        <v>241</v>
      </c>
      <c r="AS1534" s="4" t="s">
        <v>241</v>
      </c>
      <c r="AT1534" s="5" t="s">
        <v>241</v>
      </c>
      <c r="AU1534" s="5" t="s">
        <v>241</v>
      </c>
      <c r="AV1534" s="5" t="s">
        <v>241</v>
      </c>
      <c r="AY1534" s="4" t="s">
        <v>286</v>
      </c>
      <c r="AZ1534" s="4" t="s">
        <v>286</v>
      </c>
      <c r="BA1534" s="4" t="s">
        <v>254</v>
      </c>
      <c r="BB1534" s="4" t="s">
        <v>3924</v>
      </c>
      <c r="BC1534" s="4" t="s">
        <v>255</v>
      </c>
      <c r="BD1534" s="4" t="s">
        <v>241</v>
      </c>
      <c r="BE1534" s="4" t="s">
        <v>257</v>
      </c>
      <c r="BF1534" s="4" t="s">
        <v>3926</v>
      </c>
      <c r="BJ1534" s="4" t="s">
        <v>288</v>
      </c>
      <c r="BK1534" s="5" t="s">
        <v>3998</v>
      </c>
      <c r="BL1534" s="4" t="s">
        <v>3927</v>
      </c>
      <c r="BM1534" s="4" t="s">
        <v>3928</v>
      </c>
      <c r="BN1534" s="4" t="s">
        <v>241</v>
      </c>
      <c r="BO1534" s="6">
        <f>0</f>
        <v>0</v>
      </c>
      <c r="BP1534" s="6">
        <f>176550</f>
        <v>176550</v>
      </c>
      <c r="BQ1534" s="4" t="s">
        <v>263</v>
      </c>
      <c r="BR1534" s="4" t="s">
        <v>264</v>
      </c>
      <c r="BS1534" s="4" t="s">
        <v>427</v>
      </c>
      <c r="BT1534" s="4" t="s">
        <v>3948</v>
      </c>
      <c r="BU1534" s="4" t="s">
        <v>264</v>
      </c>
      <c r="BV1534" s="4" t="s">
        <v>241</v>
      </c>
      <c r="BW1534" s="4" t="s">
        <v>3931</v>
      </c>
      <c r="BX1534" s="4" t="s">
        <v>3932</v>
      </c>
      <c r="BY1534" s="4" t="s">
        <v>3932</v>
      </c>
      <c r="CA1534" s="5" t="s">
        <v>4005</v>
      </c>
      <c r="CB1534" s="4" t="s">
        <v>263</v>
      </c>
      <c r="CC1534" s="4" t="s">
        <v>241</v>
      </c>
      <c r="CD1534" s="4" t="s">
        <v>241</v>
      </c>
      <c r="CE1534" s="4" t="s">
        <v>264</v>
      </c>
      <c r="CF1534" s="4" t="s">
        <v>241</v>
      </c>
      <c r="CG1534" s="4" t="s">
        <v>241</v>
      </c>
      <c r="CK1534" s="4" t="s">
        <v>241</v>
      </c>
      <c r="CL1534" s="4" t="s">
        <v>241</v>
      </c>
      <c r="CM1534" s="4" t="s">
        <v>278</v>
      </c>
      <c r="CO1534" s="4" t="s">
        <v>241</v>
      </c>
      <c r="CP1534" s="5" t="s">
        <v>268</v>
      </c>
      <c r="CQ1534" s="4" t="s">
        <v>269</v>
      </c>
      <c r="CR1534" s="4" t="s">
        <v>270</v>
      </c>
      <c r="CS1534" s="4" t="s">
        <v>293</v>
      </c>
      <c r="CT1534" s="4" t="s">
        <v>241</v>
      </c>
      <c r="CU1534" s="4">
        <v>0</v>
      </c>
      <c r="CV1534" s="4" t="s">
        <v>271</v>
      </c>
      <c r="CW1534" s="4" t="s">
        <v>332</v>
      </c>
      <c r="CX1534" s="4" t="s">
        <v>295</v>
      </c>
      <c r="CY1534" s="6">
        <f>176550</f>
        <v>176550</v>
      </c>
      <c r="CZ1534" s="6">
        <f>176550</f>
        <v>176550</v>
      </c>
      <c r="DA1534" s="6">
        <f>176550</f>
        <v>176550</v>
      </c>
      <c r="DB1534" s="6" t="s">
        <v>241</v>
      </c>
      <c r="DC1534" s="4" t="s">
        <v>241</v>
      </c>
      <c r="DD1534" s="4" t="s">
        <v>241</v>
      </c>
      <c r="DF1534" s="4" t="s">
        <v>241</v>
      </c>
      <c r="DG1534" s="6">
        <f>0</f>
        <v>0</v>
      </c>
      <c r="DH1534" s="5" t="s">
        <v>241</v>
      </c>
      <c r="DI1534" s="4" t="s">
        <v>241</v>
      </c>
      <c r="DJ1534" s="4" t="s">
        <v>241</v>
      </c>
      <c r="DK1534" s="4" t="s">
        <v>241</v>
      </c>
      <c r="DL1534" s="4" t="s">
        <v>241</v>
      </c>
      <c r="DM1534" s="4" t="s">
        <v>241</v>
      </c>
      <c r="DN1534" s="4" t="s">
        <v>241</v>
      </c>
      <c r="DO1534" s="6" t="s">
        <v>241</v>
      </c>
      <c r="DP1534" s="4" t="s">
        <v>241</v>
      </c>
      <c r="DQ1534" s="4" t="s">
        <v>251</v>
      </c>
      <c r="DR1534" s="4" t="s">
        <v>3926</v>
      </c>
      <c r="DS1534" s="4" t="s">
        <v>3926</v>
      </c>
      <c r="DT1534" s="4" t="s">
        <v>241</v>
      </c>
      <c r="DU1534" s="4" t="s">
        <v>241</v>
      </c>
      <c r="GN1534" s="4" t="s">
        <v>4006</v>
      </c>
      <c r="HR1534" s="4" t="s">
        <v>241</v>
      </c>
      <c r="HS1534" s="4" t="s">
        <v>241</v>
      </c>
      <c r="HT1534" s="4" t="s">
        <v>241</v>
      </c>
      <c r="HU1534" s="4" t="s">
        <v>241</v>
      </c>
      <c r="HV1534" s="4" t="s">
        <v>241</v>
      </c>
      <c r="HW1534" s="4" t="s">
        <v>241</v>
      </c>
      <c r="HX1534" s="4" t="s">
        <v>241</v>
      </c>
      <c r="HY1534" s="4" t="s">
        <v>241</v>
      </c>
      <c r="HZ1534" s="4" t="s">
        <v>241</v>
      </c>
      <c r="IA1534" s="4" t="s">
        <v>241</v>
      </c>
      <c r="IB1534" s="4" t="s">
        <v>241</v>
      </c>
      <c r="IC1534" s="4" t="s">
        <v>241</v>
      </c>
      <c r="ID1534" s="4" t="s">
        <v>241</v>
      </c>
      <c r="IE1534" s="4" t="s">
        <v>241</v>
      </c>
      <c r="IF1534" s="4" t="s">
        <v>241</v>
      </c>
    </row>
    <row r="1535" spans="1:240" x14ac:dyDescent="0.4">
      <c r="A1535" s="4">
        <v>2</v>
      </c>
      <c r="B1535" s="4" t="s">
        <v>239</v>
      </c>
      <c r="C1535" s="4">
        <v>1896</v>
      </c>
      <c r="D1535" s="4">
        <v>1</v>
      </c>
      <c r="E1535" s="4">
        <v>2</v>
      </c>
      <c r="F1535" s="4" t="s">
        <v>241</v>
      </c>
      <c r="I1535" s="4" t="s">
        <v>747</v>
      </c>
      <c r="J1535" s="4" t="s">
        <v>653</v>
      </c>
      <c r="K1535" s="4" t="s">
        <v>256</v>
      </c>
      <c r="L1535" s="4" t="s">
        <v>4073</v>
      </c>
      <c r="M1535" s="5" t="s">
        <v>4076</v>
      </c>
      <c r="N1535" s="4" t="s">
        <v>3976</v>
      </c>
      <c r="O1535" s="6">
        <f>1</f>
        <v>1</v>
      </c>
      <c r="P1535" s="4" t="s">
        <v>3937</v>
      </c>
      <c r="Q1535" s="6">
        <f>166100</f>
        <v>166100</v>
      </c>
      <c r="R1535" s="6">
        <f>166100</f>
        <v>166100</v>
      </c>
      <c r="S1535" s="5" t="s">
        <v>3998</v>
      </c>
      <c r="T1535" s="4" t="s">
        <v>333</v>
      </c>
      <c r="U1535" s="4" t="s">
        <v>241</v>
      </c>
      <c r="V1535" s="6">
        <f>0</f>
        <v>0</v>
      </c>
      <c r="W1535" s="6">
        <f>0</f>
        <v>0</v>
      </c>
      <c r="X1535" s="4" t="s">
        <v>243</v>
      </c>
      <c r="Y1535" s="4" t="s">
        <v>241</v>
      </c>
      <c r="Z1535" s="4" t="s">
        <v>241</v>
      </c>
      <c r="AA1535" s="4" t="s">
        <v>241</v>
      </c>
      <c r="AD1535" s="4" t="s">
        <v>653</v>
      </c>
      <c r="AE1535" s="5" t="s">
        <v>241</v>
      </c>
      <c r="AF1535" s="5" t="s">
        <v>241</v>
      </c>
      <c r="AG1535" s="4" t="s">
        <v>241</v>
      </c>
      <c r="AH1535" s="5" t="s">
        <v>241</v>
      </c>
      <c r="AI1535" s="5" t="s">
        <v>3998</v>
      </c>
      <c r="AJ1535" s="4" t="s">
        <v>251</v>
      </c>
      <c r="AK1535" s="4" t="s">
        <v>241</v>
      </c>
      <c r="AQ1535" s="4" t="s">
        <v>241</v>
      </c>
      <c r="AR1535" s="4" t="s">
        <v>241</v>
      </c>
      <c r="AS1535" s="4" t="s">
        <v>241</v>
      </c>
      <c r="AT1535" s="5" t="s">
        <v>241</v>
      </c>
      <c r="AU1535" s="5" t="s">
        <v>241</v>
      </c>
      <c r="AV1535" s="5" t="s">
        <v>241</v>
      </c>
      <c r="AY1535" s="4" t="s">
        <v>286</v>
      </c>
      <c r="AZ1535" s="4" t="s">
        <v>286</v>
      </c>
      <c r="BA1535" s="4" t="s">
        <v>254</v>
      </c>
      <c r="BB1535" s="4" t="s">
        <v>3924</v>
      </c>
      <c r="BC1535" s="4" t="s">
        <v>255</v>
      </c>
      <c r="BD1535" s="4" t="s">
        <v>241</v>
      </c>
      <c r="BE1535" s="4" t="s">
        <v>257</v>
      </c>
      <c r="BF1535" s="4" t="s">
        <v>3926</v>
      </c>
      <c r="BJ1535" s="4" t="s">
        <v>288</v>
      </c>
      <c r="BK1535" s="5" t="s">
        <v>3998</v>
      </c>
      <c r="BL1535" s="4" t="s">
        <v>3927</v>
      </c>
      <c r="BM1535" s="4" t="s">
        <v>3928</v>
      </c>
      <c r="BN1535" s="4" t="s">
        <v>241</v>
      </c>
      <c r="BO1535" s="6">
        <f>0</f>
        <v>0</v>
      </c>
      <c r="BP1535" s="6">
        <f>166100</f>
        <v>166100</v>
      </c>
      <c r="BQ1535" s="4" t="s">
        <v>263</v>
      </c>
      <c r="BR1535" s="4" t="s">
        <v>264</v>
      </c>
      <c r="BS1535" s="4" t="s">
        <v>427</v>
      </c>
      <c r="BT1535" s="4" t="s">
        <v>3929</v>
      </c>
      <c r="BU1535" s="4" t="s">
        <v>264</v>
      </c>
      <c r="BV1535" s="4" t="s">
        <v>241</v>
      </c>
      <c r="BW1535" s="4" t="s">
        <v>3931</v>
      </c>
      <c r="BX1535" s="4" t="s">
        <v>3932</v>
      </c>
      <c r="BY1535" s="4" t="s">
        <v>3932</v>
      </c>
      <c r="CA1535" s="5" t="s">
        <v>4074</v>
      </c>
      <c r="CB1535" s="4" t="s">
        <v>263</v>
      </c>
      <c r="CC1535" s="4" t="s">
        <v>241</v>
      </c>
      <c r="CD1535" s="4" t="s">
        <v>241</v>
      </c>
      <c r="CE1535" s="4" t="s">
        <v>264</v>
      </c>
      <c r="CF1535" s="4" t="s">
        <v>241</v>
      </c>
      <c r="CG1535" s="4" t="s">
        <v>241</v>
      </c>
      <c r="CK1535" s="4" t="s">
        <v>241</v>
      </c>
      <c r="CL1535" s="4" t="s">
        <v>241</v>
      </c>
      <c r="CM1535" s="4" t="s">
        <v>278</v>
      </c>
      <c r="CO1535" s="4" t="s">
        <v>241</v>
      </c>
      <c r="CP1535" s="5" t="s">
        <v>268</v>
      </c>
      <c r="CQ1535" s="4" t="s">
        <v>269</v>
      </c>
      <c r="CR1535" s="4" t="s">
        <v>270</v>
      </c>
      <c r="CS1535" s="4" t="s">
        <v>293</v>
      </c>
      <c r="CT1535" s="4" t="s">
        <v>241</v>
      </c>
      <c r="CU1535" s="4">
        <v>0</v>
      </c>
      <c r="CV1535" s="4" t="s">
        <v>271</v>
      </c>
      <c r="CW1535" s="4" t="s">
        <v>332</v>
      </c>
      <c r="CX1535" s="4" t="s">
        <v>295</v>
      </c>
      <c r="CY1535" s="6">
        <f>166100</f>
        <v>166100</v>
      </c>
      <c r="CZ1535" s="6">
        <f>166100</f>
        <v>166100</v>
      </c>
      <c r="DA1535" s="6">
        <f>166100</f>
        <v>166100</v>
      </c>
      <c r="DB1535" s="6" t="s">
        <v>241</v>
      </c>
      <c r="DC1535" s="4" t="s">
        <v>241</v>
      </c>
      <c r="DD1535" s="4" t="s">
        <v>241</v>
      </c>
      <c r="DF1535" s="4" t="s">
        <v>241</v>
      </c>
      <c r="DG1535" s="6">
        <f>0</f>
        <v>0</v>
      </c>
      <c r="DH1535" s="5" t="s">
        <v>241</v>
      </c>
      <c r="DI1535" s="4" t="s">
        <v>241</v>
      </c>
      <c r="DJ1535" s="4" t="s">
        <v>241</v>
      </c>
      <c r="DK1535" s="4" t="s">
        <v>241</v>
      </c>
      <c r="DL1535" s="4" t="s">
        <v>241</v>
      </c>
      <c r="DM1535" s="4" t="s">
        <v>241</v>
      </c>
      <c r="DN1535" s="4" t="s">
        <v>241</v>
      </c>
      <c r="DO1535" s="6" t="s">
        <v>241</v>
      </c>
      <c r="DP1535" s="4" t="s">
        <v>241</v>
      </c>
      <c r="DQ1535" s="4" t="s">
        <v>251</v>
      </c>
      <c r="DR1535" s="4" t="s">
        <v>3926</v>
      </c>
      <c r="DS1535" s="4" t="s">
        <v>3926</v>
      </c>
      <c r="DT1535" s="4" t="s">
        <v>241</v>
      </c>
      <c r="DU1535" s="4" t="s">
        <v>241</v>
      </c>
      <c r="GN1535" s="4" t="s">
        <v>4077</v>
      </c>
      <c r="HR1535" s="4" t="s">
        <v>241</v>
      </c>
      <c r="HS1535" s="4" t="s">
        <v>241</v>
      </c>
      <c r="HT1535" s="4" t="s">
        <v>241</v>
      </c>
      <c r="HU1535" s="4" t="s">
        <v>241</v>
      </c>
      <c r="HV1535" s="4" t="s">
        <v>241</v>
      </c>
      <c r="HW1535" s="4" t="s">
        <v>241</v>
      </c>
      <c r="HX1535" s="4" t="s">
        <v>241</v>
      </c>
      <c r="HY1535" s="4" t="s">
        <v>241</v>
      </c>
      <c r="HZ1535" s="4" t="s">
        <v>241</v>
      </c>
      <c r="IA1535" s="4" t="s">
        <v>241</v>
      </c>
      <c r="IB1535" s="4" t="s">
        <v>241</v>
      </c>
      <c r="IC1535" s="4" t="s">
        <v>241</v>
      </c>
      <c r="ID1535" s="4" t="s">
        <v>241</v>
      </c>
      <c r="IE1535" s="4" t="s">
        <v>241</v>
      </c>
      <c r="IF1535" s="4" t="s">
        <v>241</v>
      </c>
    </row>
    <row r="1536" spans="1:240" x14ac:dyDescent="0.4">
      <c r="A1536" s="4">
        <v>2</v>
      </c>
      <c r="B1536" s="4" t="s">
        <v>239</v>
      </c>
      <c r="C1536" s="4">
        <v>1897</v>
      </c>
      <c r="D1536" s="4">
        <v>1</v>
      </c>
      <c r="E1536" s="4">
        <v>2</v>
      </c>
      <c r="F1536" s="4" t="s">
        <v>241</v>
      </c>
      <c r="I1536" s="4" t="s">
        <v>867</v>
      </c>
      <c r="J1536" s="4" t="s">
        <v>653</v>
      </c>
      <c r="K1536" s="4" t="s">
        <v>256</v>
      </c>
      <c r="L1536" s="4" t="s">
        <v>4073</v>
      </c>
      <c r="M1536" s="5" t="s">
        <v>3959</v>
      </c>
      <c r="N1536" s="4" t="s">
        <v>3976</v>
      </c>
      <c r="O1536" s="6">
        <f>1</f>
        <v>1</v>
      </c>
      <c r="P1536" s="4" t="s">
        <v>3937</v>
      </c>
      <c r="Q1536" s="6">
        <f>205700</f>
        <v>205700</v>
      </c>
      <c r="R1536" s="6">
        <f>205700</f>
        <v>205700</v>
      </c>
      <c r="S1536" s="5" t="s">
        <v>3998</v>
      </c>
      <c r="T1536" s="4" t="s">
        <v>348</v>
      </c>
      <c r="U1536" s="4" t="s">
        <v>241</v>
      </c>
      <c r="V1536" s="6">
        <f>0</f>
        <v>0</v>
      </c>
      <c r="W1536" s="6">
        <f>0</f>
        <v>0</v>
      </c>
      <c r="X1536" s="4" t="s">
        <v>243</v>
      </c>
      <c r="Y1536" s="4" t="s">
        <v>241</v>
      </c>
      <c r="Z1536" s="4" t="s">
        <v>241</v>
      </c>
      <c r="AA1536" s="4" t="s">
        <v>241</v>
      </c>
      <c r="AD1536" s="4" t="s">
        <v>653</v>
      </c>
      <c r="AE1536" s="5" t="s">
        <v>241</v>
      </c>
      <c r="AF1536" s="5" t="s">
        <v>241</v>
      </c>
      <c r="AG1536" s="4" t="s">
        <v>241</v>
      </c>
      <c r="AH1536" s="5" t="s">
        <v>241</v>
      </c>
      <c r="AI1536" s="5" t="s">
        <v>3998</v>
      </c>
      <c r="AJ1536" s="4" t="s">
        <v>251</v>
      </c>
      <c r="AK1536" s="4" t="s">
        <v>241</v>
      </c>
      <c r="AQ1536" s="4" t="s">
        <v>241</v>
      </c>
      <c r="AR1536" s="4" t="s">
        <v>241</v>
      </c>
      <c r="AS1536" s="4" t="s">
        <v>241</v>
      </c>
      <c r="AT1536" s="5" t="s">
        <v>241</v>
      </c>
      <c r="AU1536" s="5" t="s">
        <v>241</v>
      </c>
      <c r="AV1536" s="5" t="s">
        <v>241</v>
      </c>
      <c r="AY1536" s="4" t="s">
        <v>286</v>
      </c>
      <c r="AZ1536" s="4" t="s">
        <v>286</v>
      </c>
      <c r="BA1536" s="4" t="s">
        <v>254</v>
      </c>
      <c r="BB1536" s="4" t="s">
        <v>3924</v>
      </c>
      <c r="BC1536" s="4" t="s">
        <v>255</v>
      </c>
      <c r="BD1536" s="4" t="s">
        <v>241</v>
      </c>
      <c r="BE1536" s="4" t="s">
        <v>257</v>
      </c>
      <c r="BF1536" s="4" t="s">
        <v>3926</v>
      </c>
      <c r="BJ1536" s="4" t="s">
        <v>288</v>
      </c>
      <c r="BK1536" s="5" t="s">
        <v>3998</v>
      </c>
      <c r="BL1536" s="4" t="s">
        <v>3927</v>
      </c>
      <c r="BM1536" s="4" t="s">
        <v>3928</v>
      </c>
      <c r="BN1536" s="4" t="s">
        <v>241</v>
      </c>
      <c r="BO1536" s="6">
        <f>0</f>
        <v>0</v>
      </c>
      <c r="BP1536" s="6">
        <f>205700</f>
        <v>205700</v>
      </c>
      <c r="BQ1536" s="4" t="s">
        <v>263</v>
      </c>
      <c r="BR1536" s="4" t="s">
        <v>264</v>
      </c>
      <c r="BS1536" s="4" t="s">
        <v>427</v>
      </c>
      <c r="BT1536" s="4" t="s">
        <v>3929</v>
      </c>
      <c r="BU1536" s="4" t="s">
        <v>264</v>
      </c>
      <c r="BV1536" s="4" t="s">
        <v>241</v>
      </c>
      <c r="BW1536" s="4" t="s">
        <v>3931</v>
      </c>
      <c r="BX1536" s="4" t="s">
        <v>3932</v>
      </c>
      <c r="BY1536" s="4" t="s">
        <v>3932</v>
      </c>
      <c r="CA1536" s="5" t="s">
        <v>4074</v>
      </c>
      <c r="CB1536" s="4" t="s">
        <v>263</v>
      </c>
      <c r="CC1536" s="4" t="s">
        <v>241</v>
      </c>
      <c r="CD1536" s="4" t="s">
        <v>241</v>
      </c>
      <c r="CE1536" s="4" t="s">
        <v>264</v>
      </c>
      <c r="CF1536" s="4" t="s">
        <v>241</v>
      </c>
      <c r="CG1536" s="4" t="s">
        <v>241</v>
      </c>
      <c r="CK1536" s="4" t="s">
        <v>241</v>
      </c>
      <c r="CL1536" s="4" t="s">
        <v>241</v>
      </c>
      <c r="CM1536" s="4" t="s">
        <v>278</v>
      </c>
      <c r="CO1536" s="4" t="s">
        <v>241</v>
      </c>
      <c r="CP1536" s="5" t="s">
        <v>268</v>
      </c>
      <c r="CQ1536" s="4" t="s">
        <v>269</v>
      </c>
      <c r="CR1536" s="4" t="s">
        <v>270</v>
      </c>
      <c r="CS1536" s="4" t="s">
        <v>293</v>
      </c>
      <c r="CT1536" s="4" t="s">
        <v>241</v>
      </c>
      <c r="CU1536" s="4">
        <v>0</v>
      </c>
      <c r="CV1536" s="4" t="s">
        <v>271</v>
      </c>
      <c r="CW1536" s="4" t="s">
        <v>332</v>
      </c>
      <c r="CX1536" s="4" t="s">
        <v>347</v>
      </c>
      <c r="CY1536" s="6">
        <f>205700</f>
        <v>205700</v>
      </c>
      <c r="CZ1536" s="6">
        <f>205700</f>
        <v>205700</v>
      </c>
      <c r="DA1536" s="6">
        <f>205700</f>
        <v>205700</v>
      </c>
      <c r="DB1536" s="6" t="s">
        <v>241</v>
      </c>
      <c r="DC1536" s="4" t="s">
        <v>241</v>
      </c>
      <c r="DD1536" s="4" t="s">
        <v>241</v>
      </c>
      <c r="DF1536" s="4" t="s">
        <v>241</v>
      </c>
      <c r="DG1536" s="6">
        <f>0</f>
        <v>0</v>
      </c>
      <c r="DH1536" s="5" t="s">
        <v>241</v>
      </c>
      <c r="DI1536" s="4" t="s">
        <v>241</v>
      </c>
      <c r="DJ1536" s="4" t="s">
        <v>241</v>
      </c>
      <c r="DK1536" s="4" t="s">
        <v>241</v>
      </c>
      <c r="DL1536" s="4" t="s">
        <v>241</v>
      </c>
      <c r="DM1536" s="4" t="s">
        <v>241</v>
      </c>
      <c r="DN1536" s="4" t="s">
        <v>241</v>
      </c>
      <c r="DO1536" s="6" t="s">
        <v>241</v>
      </c>
      <c r="DP1536" s="4" t="s">
        <v>241</v>
      </c>
      <c r="DQ1536" s="4" t="s">
        <v>251</v>
      </c>
      <c r="DR1536" s="4" t="s">
        <v>3926</v>
      </c>
      <c r="DS1536" s="4" t="s">
        <v>3926</v>
      </c>
      <c r="DT1536" s="4" t="s">
        <v>241</v>
      </c>
      <c r="DU1536" s="4" t="s">
        <v>241</v>
      </c>
      <c r="GN1536" s="4" t="s">
        <v>4075</v>
      </c>
      <c r="HR1536" s="4" t="s">
        <v>241</v>
      </c>
      <c r="HS1536" s="4" t="s">
        <v>241</v>
      </c>
      <c r="HT1536" s="4" t="s">
        <v>241</v>
      </c>
      <c r="HU1536" s="4" t="s">
        <v>241</v>
      </c>
      <c r="HV1536" s="4" t="s">
        <v>241</v>
      </c>
      <c r="HW1536" s="4" t="s">
        <v>241</v>
      </c>
      <c r="HX1536" s="4" t="s">
        <v>241</v>
      </c>
      <c r="HY1536" s="4" t="s">
        <v>241</v>
      </c>
      <c r="HZ1536" s="4" t="s">
        <v>241</v>
      </c>
      <c r="IA1536" s="4" t="s">
        <v>241</v>
      </c>
      <c r="IB1536" s="4" t="s">
        <v>241</v>
      </c>
      <c r="IC1536" s="4" t="s">
        <v>241</v>
      </c>
      <c r="ID1536" s="4" t="s">
        <v>241</v>
      </c>
      <c r="IE1536" s="4" t="s">
        <v>241</v>
      </c>
      <c r="IF1536" s="4" t="s">
        <v>241</v>
      </c>
    </row>
    <row r="1537" spans="1:240" x14ac:dyDescent="0.4">
      <c r="A1537" s="4">
        <v>2</v>
      </c>
      <c r="B1537" s="4" t="s">
        <v>239</v>
      </c>
      <c r="C1537" s="4">
        <v>1898</v>
      </c>
      <c r="D1537" s="4">
        <v>1</v>
      </c>
      <c r="E1537" s="4">
        <v>2</v>
      </c>
      <c r="F1537" s="4" t="s">
        <v>241</v>
      </c>
      <c r="I1537" s="4" t="s">
        <v>899</v>
      </c>
      <c r="J1537" s="4" t="s">
        <v>653</v>
      </c>
      <c r="K1537" s="4" t="s">
        <v>256</v>
      </c>
      <c r="L1537" s="4" t="s">
        <v>4053</v>
      </c>
      <c r="M1537" s="5" t="s">
        <v>4054</v>
      </c>
      <c r="N1537" s="4" t="s">
        <v>3976</v>
      </c>
      <c r="O1537" s="6">
        <f>1</f>
        <v>1</v>
      </c>
      <c r="P1537" s="4" t="s">
        <v>3937</v>
      </c>
      <c r="Q1537" s="6">
        <f>185064</f>
        <v>185064</v>
      </c>
      <c r="R1537" s="6">
        <f>185064</f>
        <v>185064</v>
      </c>
      <c r="S1537" s="5" t="s">
        <v>4052</v>
      </c>
      <c r="T1537" s="4" t="s">
        <v>333</v>
      </c>
      <c r="U1537" s="4" t="s">
        <v>241</v>
      </c>
      <c r="V1537" s="6">
        <f>0</f>
        <v>0</v>
      </c>
      <c r="W1537" s="6">
        <f>0</f>
        <v>0</v>
      </c>
      <c r="X1537" s="4" t="s">
        <v>243</v>
      </c>
      <c r="Y1537" s="4" t="s">
        <v>241</v>
      </c>
      <c r="Z1537" s="4" t="s">
        <v>241</v>
      </c>
      <c r="AA1537" s="4" t="s">
        <v>241</v>
      </c>
      <c r="AD1537" s="4" t="s">
        <v>653</v>
      </c>
      <c r="AE1537" s="5" t="s">
        <v>241</v>
      </c>
      <c r="AF1537" s="5" t="s">
        <v>241</v>
      </c>
      <c r="AG1537" s="4" t="s">
        <v>241</v>
      </c>
      <c r="AH1537" s="5" t="s">
        <v>241</v>
      </c>
      <c r="AI1537" s="5" t="s">
        <v>4052</v>
      </c>
      <c r="AJ1537" s="4" t="s">
        <v>251</v>
      </c>
      <c r="AK1537" s="4" t="s">
        <v>241</v>
      </c>
      <c r="AQ1537" s="4" t="s">
        <v>241</v>
      </c>
      <c r="AR1537" s="4" t="s">
        <v>241</v>
      </c>
      <c r="AS1537" s="4" t="s">
        <v>241</v>
      </c>
      <c r="AT1537" s="5" t="s">
        <v>241</v>
      </c>
      <c r="AU1537" s="5" t="s">
        <v>241</v>
      </c>
      <c r="AV1537" s="5" t="s">
        <v>241</v>
      </c>
      <c r="AY1537" s="4" t="s">
        <v>286</v>
      </c>
      <c r="AZ1537" s="4" t="s">
        <v>286</v>
      </c>
      <c r="BA1537" s="4" t="s">
        <v>254</v>
      </c>
      <c r="BB1537" s="4" t="s">
        <v>3924</v>
      </c>
      <c r="BC1537" s="4" t="s">
        <v>255</v>
      </c>
      <c r="BD1537" s="4" t="s">
        <v>241</v>
      </c>
      <c r="BE1537" s="4" t="s">
        <v>257</v>
      </c>
      <c r="BF1537" s="4" t="s">
        <v>3926</v>
      </c>
      <c r="BJ1537" s="4" t="s">
        <v>288</v>
      </c>
      <c r="BK1537" s="5" t="s">
        <v>4052</v>
      </c>
      <c r="BL1537" s="4" t="s">
        <v>3927</v>
      </c>
      <c r="BM1537" s="4" t="s">
        <v>3928</v>
      </c>
      <c r="BN1537" s="4" t="s">
        <v>241</v>
      </c>
      <c r="BO1537" s="6">
        <f>0</f>
        <v>0</v>
      </c>
      <c r="BP1537" s="6">
        <f>185064</f>
        <v>185064</v>
      </c>
      <c r="BQ1537" s="4" t="s">
        <v>263</v>
      </c>
      <c r="BR1537" s="4" t="s">
        <v>264</v>
      </c>
      <c r="BS1537" s="4" t="s">
        <v>427</v>
      </c>
      <c r="BT1537" s="4" t="s">
        <v>3929</v>
      </c>
      <c r="BU1537" s="4" t="s">
        <v>264</v>
      </c>
      <c r="BV1537" s="4" t="s">
        <v>241</v>
      </c>
      <c r="BW1537" s="4" t="s">
        <v>3931</v>
      </c>
      <c r="BX1537" s="4" t="s">
        <v>3932</v>
      </c>
      <c r="BY1537" s="4" t="s">
        <v>3932</v>
      </c>
      <c r="CA1537" s="5" t="s">
        <v>4055</v>
      </c>
      <c r="CB1537" s="4" t="s">
        <v>263</v>
      </c>
      <c r="CC1537" s="4" t="s">
        <v>241</v>
      </c>
      <c r="CD1537" s="4" t="s">
        <v>241</v>
      </c>
      <c r="CE1537" s="4" t="s">
        <v>264</v>
      </c>
      <c r="CF1537" s="4" t="s">
        <v>241</v>
      </c>
      <c r="CG1537" s="4" t="s">
        <v>241</v>
      </c>
      <c r="CK1537" s="4" t="s">
        <v>241</v>
      </c>
      <c r="CL1537" s="4" t="s">
        <v>241</v>
      </c>
      <c r="CM1537" s="4" t="s">
        <v>278</v>
      </c>
      <c r="CO1537" s="4" t="s">
        <v>241</v>
      </c>
      <c r="CP1537" s="5" t="s">
        <v>268</v>
      </c>
      <c r="CQ1537" s="4" t="s">
        <v>269</v>
      </c>
      <c r="CR1537" s="4" t="s">
        <v>270</v>
      </c>
      <c r="CS1537" s="4" t="s">
        <v>293</v>
      </c>
      <c r="CT1537" s="4" t="s">
        <v>241</v>
      </c>
      <c r="CU1537" s="4">
        <v>0</v>
      </c>
      <c r="CV1537" s="4" t="s">
        <v>271</v>
      </c>
      <c r="CW1537" s="4" t="s">
        <v>332</v>
      </c>
      <c r="CX1537" s="4" t="s">
        <v>295</v>
      </c>
      <c r="CY1537" s="6">
        <f>185064</f>
        <v>185064</v>
      </c>
      <c r="CZ1537" s="6">
        <f>185064</f>
        <v>185064</v>
      </c>
      <c r="DA1537" s="6">
        <f>185064</f>
        <v>185064</v>
      </c>
      <c r="DB1537" s="6" t="s">
        <v>241</v>
      </c>
      <c r="DC1537" s="4" t="s">
        <v>241</v>
      </c>
      <c r="DD1537" s="4" t="s">
        <v>241</v>
      </c>
      <c r="DF1537" s="4" t="s">
        <v>241</v>
      </c>
      <c r="DG1537" s="6">
        <f>0</f>
        <v>0</v>
      </c>
      <c r="DH1537" s="5" t="s">
        <v>241</v>
      </c>
      <c r="DI1537" s="4" t="s">
        <v>241</v>
      </c>
      <c r="DJ1537" s="4" t="s">
        <v>241</v>
      </c>
      <c r="DK1537" s="4" t="s">
        <v>241</v>
      </c>
      <c r="DL1537" s="4" t="s">
        <v>241</v>
      </c>
      <c r="DM1537" s="4" t="s">
        <v>241</v>
      </c>
      <c r="DN1537" s="4" t="s">
        <v>241</v>
      </c>
      <c r="DO1537" s="6" t="s">
        <v>241</v>
      </c>
      <c r="DP1537" s="4" t="s">
        <v>241</v>
      </c>
      <c r="DQ1537" s="4" t="s">
        <v>251</v>
      </c>
      <c r="DR1537" s="4" t="s">
        <v>3926</v>
      </c>
      <c r="DS1537" s="4" t="s">
        <v>3926</v>
      </c>
      <c r="DT1537" s="4" t="s">
        <v>241</v>
      </c>
      <c r="DU1537" s="4" t="s">
        <v>241</v>
      </c>
      <c r="GN1537" s="4" t="s">
        <v>4056</v>
      </c>
      <c r="HR1537" s="4" t="s">
        <v>241</v>
      </c>
      <c r="HS1537" s="4" t="s">
        <v>241</v>
      </c>
      <c r="HT1537" s="4" t="s">
        <v>241</v>
      </c>
      <c r="HU1537" s="4" t="s">
        <v>241</v>
      </c>
      <c r="HV1537" s="4" t="s">
        <v>241</v>
      </c>
      <c r="HW1537" s="4" t="s">
        <v>241</v>
      </c>
      <c r="HX1537" s="4" t="s">
        <v>241</v>
      </c>
      <c r="HY1537" s="4" t="s">
        <v>241</v>
      </c>
      <c r="HZ1537" s="4" t="s">
        <v>241</v>
      </c>
      <c r="IA1537" s="4" t="s">
        <v>241</v>
      </c>
      <c r="IB1537" s="4" t="s">
        <v>241</v>
      </c>
      <c r="IC1537" s="4" t="s">
        <v>241</v>
      </c>
      <c r="ID1537" s="4" t="s">
        <v>241</v>
      </c>
      <c r="IE1537" s="4" t="s">
        <v>241</v>
      </c>
      <c r="IF1537" s="4" t="s">
        <v>241</v>
      </c>
    </row>
    <row r="1538" spans="1:240" x14ac:dyDescent="0.4">
      <c r="A1538" s="4">
        <v>2</v>
      </c>
      <c r="B1538" s="4" t="s">
        <v>239</v>
      </c>
      <c r="C1538" s="4">
        <v>1899</v>
      </c>
      <c r="D1538" s="4">
        <v>1</v>
      </c>
      <c r="E1538" s="4">
        <v>2</v>
      </c>
      <c r="F1538" s="4" t="s">
        <v>241</v>
      </c>
      <c r="I1538" s="4" t="s">
        <v>904</v>
      </c>
      <c r="J1538" s="4" t="s">
        <v>653</v>
      </c>
      <c r="K1538" s="4" t="s">
        <v>256</v>
      </c>
      <c r="L1538" s="4" t="s">
        <v>4053</v>
      </c>
      <c r="M1538" s="5" t="s">
        <v>3939</v>
      </c>
      <c r="N1538" s="4" t="s">
        <v>3976</v>
      </c>
      <c r="O1538" s="6">
        <f>1</f>
        <v>1</v>
      </c>
      <c r="P1538" s="4" t="s">
        <v>3937</v>
      </c>
      <c r="Q1538" s="6">
        <f>566720</f>
        <v>566720</v>
      </c>
      <c r="R1538" s="6">
        <f>566720</f>
        <v>566720</v>
      </c>
      <c r="S1538" s="5" t="s">
        <v>4052</v>
      </c>
      <c r="T1538" s="4" t="s">
        <v>333</v>
      </c>
      <c r="U1538" s="4" t="s">
        <v>241</v>
      </c>
      <c r="V1538" s="6">
        <f>0</f>
        <v>0</v>
      </c>
      <c r="W1538" s="6">
        <f>0</f>
        <v>0</v>
      </c>
      <c r="X1538" s="4" t="s">
        <v>243</v>
      </c>
      <c r="Y1538" s="4" t="s">
        <v>241</v>
      </c>
      <c r="Z1538" s="4" t="s">
        <v>241</v>
      </c>
      <c r="AA1538" s="4" t="s">
        <v>241</v>
      </c>
      <c r="AD1538" s="4" t="s">
        <v>653</v>
      </c>
      <c r="AE1538" s="5" t="s">
        <v>241</v>
      </c>
      <c r="AF1538" s="5" t="s">
        <v>241</v>
      </c>
      <c r="AG1538" s="4" t="s">
        <v>241</v>
      </c>
      <c r="AH1538" s="5" t="s">
        <v>241</v>
      </c>
      <c r="AI1538" s="5" t="s">
        <v>4052</v>
      </c>
      <c r="AJ1538" s="4" t="s">
        <v>251</v>
      </c>
      <c r="AK1538" s="4" t="s">
        <v>241</v>
      </c>
      <c r="AQ1538" s="4" t="s">
        <v>241</v>
      </c>
      <c r="AR1538" s="4" t="s">
        <v>241</v>
      </c>
      <c r="AS1538" s="4" t="s">
        <v>241</v>
      </c>
      <c r="AT1538" s="5" t="s">
        <v>241</v>
      </c>
      <c r="AU1538" s="5" t="s">
        <v>241</v>
      </c>
      <c r="AV1538" s="5" t="s">
        <v>241</v>
      </c>
      <c r="AY1538" s="4" t="s">
        <v>286</v>
      </c>
      <c r="AZ1538" s="4" t="s">
        <v>286</v>
      </c>
      <c r="BA1538" s="4" t="s">
        <v>254</v>
      </c>
      <c r="BB1538" s="4" t="s">
        <v>3924</v>
      </c>
      <c r="BC1538" s="4" t="s">
        <v>255</v>
      </c>
      <c r="BD1538" s="4" t="s">
        <v>241</v>
      </c>
      <c r="BE1538" s="4" t="s">
        <v>257</v>
      </c>
      <c r="BF1538" s="4" t="s">
        <v>3926</v>
      </c>
      <c r="BJ1538" s="4" t="s">
        <v>288</v>
      </c>
      <c r="BK1538" s="5" t="s">
        <v>4052</v>
      </c>
      <c r="BL1538" s="4" t="s">
        <v>3927</v>
      </c>
      <c r="BM1538" s="4" t="s">
        <v>3928</v>
      </c>
      <c r="BN1538" s="4" t="s">
        <v>241</v>
      </c>
      <c r="BO1538" s="6">
        <f>0</f>
        <v>0</v>
      </c>
      <c r="BP1538" s="6">
        <f>566720</f>
        <v>566720</v>
      </c>
      <c r="BQ1538" s="4" t="s">
        <v>263</v>
      </c>
      <c r="BR1538" s="4" t="s">
        <v>264</v>
      </c>
      <c r="BS1538" s="4" t="s">
        <v>427</v>
      </c>
      <c r="BT1538" s="4" t="s">
        <v>3929</v>
      </c>
      <c r="BU1538" s="4" t="s">
        <v>264</v>
      </c>
      <c r="BV1538" s="4" t="s">
        <v>241</v>
      </c>
      <c r="BW1538" s="4" t="s">
        <v>3931</v>
      </c>
      <c r="BX1538" s="4" t="s">
        <v>3932</v>
      </c>
      <c r="BY1538" s="4" t="s">
        <v>3932</v>
      </c>
      <c r="CA1538" s="5" t="s">
        <v>4055</v>
      </c>
      <c r="CB1538" s="4" t="s">
        <v>263</v>
      </c>
      <c r="CC1538" s="4" t="s">
        <v>241</v>
      </c>
      <c r="CD1538" s="4" t="s">
        <v>241</v>
      </c>
      <c r="CE1538" s="4" t="s">
        <v>264</v>
      </c>
      <c r="CF1538" s="4" t="s">
        <v>241</v>
      </c>
      <c r="CG1538" s="4" t="s">
        <v>241</v>
      </c>
      <c r="CK1538" s="4" t="s">
        <v>241</v>
      </c>
      <c r="CL1538" s="4" t="s">
        <v>241</v>
      </c>
      <c r="CM1538" s="4" t="s">
        <v>278</v>
      </c>
      <c r="CO1538" s="4" t="s">
        <v>241</v>
      </c>
      <c r="CP1538" s="5" t="s">
        <v>268</v>
      </c>
      <c r="CQ1538" s="4" t="s">
        <v>269</v>
      </c>
      <c r="CR1538" s="4" t="s">
        <v>270</v>
      </c>
      <c r="CS1538" s="4" t="s">
        <v>293</v>
      </c>
      <c r="CT1538" s="4" t="s">
        <v>241</v>
      </c>
      <c r="CU1538" s="4">
        <v>0</v>
      </c>
      <c r="CV1538" s="4" t="s">
        <v>271</v>
      </c>
      <c r="CW1538" s="4" t="s">
        <v>332</v>
      </c>
      <c r="CX1538" s="4" t="s">
        <v>295</v>
      </c>
      <c r="CY1538" s="6">
        <f>566720</f>
        <v>566720</v>
      </c>
      <c r="CZ1538" s="6">
        <f>566720</f>
        <v>566720</v>
      </c>
      <c r="DA1538" s="6">
        <f>566720</f>
        <v>566720</v>
      </c>
      <c r="DB1538" s="6" t="s">
        <v>241</v>
      </c>
      <c r="DC1538" s="4" t="s">
        <v>241</v>
      </c>
      <c r="DD1538" s="4" t="s">
        <v>241</v>
      </c>
      <c r="DF1538" s="4" t="s">
        <v>241</v>
      </c>
      <c r="DG1538" s="6">
        <f>0</f>
        <v>0</v>
      </c>
      <c r="DH1538" s="5" t="s">
        <v>241</v>
      </c>
      <c r="DI1538" s="4" t="s">
        <v>241</v>
      </c>
      <c r="DJ1538" s="4" t="s">
        <v>241</v>
      </c>
      <c r="DK1538" s="4" t="s">
        <v>241</v>
      </c>
      <c r="DL1538" s="4" t="s">
        <v>241</v>
      </c>
      <c r="DM1538" s="4" t="s">
        <v>241</v>
      </c>
      <c r="DN1538" s="4" t="s">
        <v>241</v>
      </c>
      <c r="DO1538" s="6" t="s">
        <v>241</v>
      </c>
      <c r="DP1538" s="4" t="s">
        <v>241</v>
      </c>
      <c r="DQ1538" s="4" t="s">
        <v>251</v>
      </c>
      <c r="DR1538" s="4" t="s">
        <v>3926</v>
      </c>
      <c r="DS1538" s="4" t="s">
        <v>3926</v>
      </c>
      <c r="DT1538" s="4" t="s">
        <v>241</v>
      </c>
      <c r="DU1538" s="4" t="s">
        <v>241</v>
      </c>
      <c r="GN1538" s="4" t="s">
        <v>4121</v>
      </c>
      <c r="HR1538" s="4" t="s">
        <v>241</v>
      </c>
      <c r="HS1538" s="4" t="s">
        <v>241</v>
      </c>
      <c r="HT1538" s="4" t="s">
        <v>241</v>
      </c>
      <c r="HU1538" s="4" t="s">
        <v>241</v>
      </c>
      <c r="HV1538" s="4" t="s">
        <v>241</v>
      </c>
      <c r="HW1538" s="4" t="s">
        <v>241</v>
      </c>
      <c r="HX1538" s="4" t="s">
        <v>241</v>
      </c>
      <c r="HY1538" s="4" t="s">
        <v>241</v>
      </c>
      <c r="HZ1538" s="4" t="s">
        <v>241</v>
      </c>
      <c r="IA1538" s="4" t="s">
        <v>241</v>
      </c>
      <c r="IB1538" s="4" t="s">
        <v>241</v>
      </c>
      <c r="IC1538" s="4" t="s">
        <v>241</v>
      </c>
      <c r="ID1538" s="4" t="s">
        <v>241</v>
      </c>
      <c r="IE1538" s="4" t="s">
        <v>241</v>
      </c>
      <c r="IF1538" s="4" t="s">
        <v>241</v>
      </c>
    </row>
    <row r="1539" spans="1:240" x14ac:dyDescent="0.4">
      <c r="A1539" s="4">
        <v>2</v>
      </c>
      <c r="B1539" s="4" t="s">
        <v>239</v>
      </c>
      <c r="C1539" s="4">
        <v>1900</v>
      </c>
      <c r="D1539" s="4">
        <v>1</v>
      </c>
      <c r="E1539" s="4">
        <v>2</v>
      </c>
      <c r="F1539" s="4" t="s">
        <v>241</v>
      </c>
      <c r="I1539" s="4" t="s">
        <v>917</v>
      </c>
      <c r="J1539" s="4" t="s">
        <v>653</v>
      </c>
      <c r="K1539" s="4" t="s">
        <v>256</v>
      </c>
      <c r="L1539" s="4" t="s">
        <v>4053</v>
      </c>
      <c r="M1539" s="5" t="s">
        <v>4108</v>
      </c>
      <c r="N1539" s="4" t="s">
        <v>3976</v>
      </c>
      <c r="O1539" s="6">
        <f>1</f>
        <v>1</v>
      </c>
      <c r="P1539" s="4" t="s">
        <v>3937</v>
      </c>
      <c r="Q1539" s="6">
        <f>185064</f>
        <v>185064</v>
      </c>
      <c r="R1539" s="6">
        <f>185064</f>
        <v>185064</v>
      </c>
      <c r="S1539" s="5" t="s">
        <v>4052</v>
      </c>
      <c r="T1539" s="4" t="s">
        <v>333</v>
      </c>
      <c r="U1539" s="4" t="s">
        <v>241</v>
      </c>
      <c r="V1539" s="6">
        <f>0</f>
        <v>0</v>
      </c>
      <c r="W1539" s="6">
        <f>0</f>
        <v>0</v>
      </c>
      <c r="X1539" s="4" t="s">
        <v>243</v>
      </c>
      <c r="Y1539" s="4" t="s">
        <v>241</v>
      </c>
      <c r="Z1539" s="4" t="s">
        <v>241</v>
      </c>
      <c r="AA1539" s="4" t="s">
        <v>241</v>
      </c>
      <c r="AD1539" s="4" t="s">
        <v>653</v>
      </c>
      <c r="AE1539" s="5" t="s">
        <v>241</v>
      </c>
      <c r="AF1539" s="5" t="s">
        <v>241</v>
      </c>
      <c r="AG1539" s="4" t="s">
        <v>241</v>
      </c>
      <c r="AH1539" s="5" t="s">
        <v>241</v>
      </c>
      <c r="AI1539" s="5" t="s">
        <v>4052</v>
      </c>
      <c r="AJ1539" s="4" t="s">
        <v>251</v>
      </c>
      <c r="AK1539" s="4" t="s">
        <v>241</v>
      </c>
      <c r="AQ1539" s="4" t="s">
        <v>241</v>
      </c>
      <c r="AR1539" s="4" t="s">
        <v>241</v>
      </c>
      <c r="AS1539" s="4" t="s">
        <v>241</v>
      </c>
      <c r="AT1539" s="5" t="s">
        <v>241</v>
      </c>
      <c r="AU1539" s="5" t="s">
        <v>241</v>
      </c>
      <c r="AV1539" s="5" t="s">
        <v>241</v>
      </c>
      <c r="AY1539" s="4" t="s">
        <v>286</v>
      </c>
      <c r="AZ1539" s="4" t="s">
        <v>286</v>
      </c>
      <c r="BA1539" s="4" t="s">
        <v>254</v>
      </c>
      <c r="BB1539" s="4" t="s">
        <v>3924</v>
      </c>
      <c r="BC1539" s="4" t="s">
        <v>255</v>
      </c>
      <c r="BD1539" s="4" t="s">
        <v>241</v>
      </c>
      <c r="BE1539" s="4" t="s">
        <v>257</v>
      </c>
      <c r="BF1539" s="4" t="s">
        <v>3926</v>
      </c>
      <c r="BJ1539" s="4" t="s">
        <v>288</v>
      </c>
      <c r="BK1539" s="5" t="s">
        <v>4052</v>
      </c>
      <c r="BL1539" s="4" t="s">
        <v>3927</v>
      </c>
      <c r="BM1539" s="4" t="s">
        <v>3928</v>
      </c>
      <c r="BN1539" s="4" t="s">
        <v>241</v>
      </c>
      <c r="BO1539" s="6">
        <f>0</f>
        <v>0</v>
      </c>
      <c r="BP1539" s="6">
        <f>185064</f>
        <v>185064</v>
      </c>
      <c r="BQ1539" s="4" t="s">
        <v>263</v>
      </c>
      <c r="BR1539" s="4" t="s">
        <v>264</v>
      </c>
      <c r="BS1539" s="4" t="s">
        <v>427</v>
      </c>
      <c r="BT1539" s="4" t="s">
        <v>3929</v>
      </c>
      <c r="BU1539" s="4" t="s">
        <v>264</v>
      </c>
      <c r="BV1539" s="4" t="s">
        <v>241</v>
      </c>
      <c r="BW1539" s="4" t="s">
        <v>3931</v>
      </c>
      <c r="BX1539" s="4" t="s">
        <v>3932</v>
      </c>
      <c r="BY1539" s="4" t="s">
        <v>3932</v>
      </c>
      <c r="CA1539" s="5" t="s">
        <v>4055</v>
      </c>
      <c r="CB1539" s="4" t="s">
        <v>263</v>
      </c>
      <c r="CC1539" s="4" t="s">
        <v>241</v>
      </c>
      <c r="CD1539" s="4" t="s">
        <v>241</v>
      </c>
      <c r="CE1539" s="4" t="s">
        <v>264</v>
      </c>
      <c r="CF1539" s="4" t="s">
        <v>241</v>
      </c>
      <c r="CG1539" s="4" t="s">
        <v>241</v>
      </c>
      <c r="CK1539" s="4" t="s">
        <v>241</v>
      </c>
      <c r="CL1539" s="4" t="s">
        <v>241</v>
      </c>
      <c r="CM1539" s="4" t="s">
        <v>278</v>
      </c>
      <c r="CO1539" s="4" t="s">
        <v>241</v>
      </c>
      <c r="CP1539" s="5" t="s">
        <v>268</v>
      </c>
      <c r="CQ1539" s="4" t="s">
        <v>269</v>
      </c>
      <c r="CR1539" s="4" t="s">
        <v>270</v>
      </c>
      <c r="CS1539" s="4" t="s">
        <v>293</v>
      </c>
      <c r="CT1539" s="4" t="s">
        <v>241</v>
      </c>
      <c r="CU1539" s="4">
        <v>0</v>
      </c>
      <c r="CV1539" s="4" t="s">
        <v>271</v>
      </c>
      <c r="CW1539" s="4" t="s">
        <v>332</v>
      </c>
      <c r="CX1539" s="4" t="s">
        <v>295</v>
      </c>
      <c r="CY1539" s="6">
        <f>185064</f>
        <v>185064</v>
      </c>
      <c r="CZ1539" s="6">
        <f>185064</f>
        <v>185064</v>
      </c>
      <c r="DA1539" s="6">
        <f>185064</f>
        <v>185064</v>
      </c>
      <c r="DB1539" s="6" t="s">
        <v>241</v>
      </c>
      <c r="DC1539" s="4" t="s">
        <v>241</v>
      </c>
      <c r="DD1539" s="4" t="s">
        <v>241</v>
      </c>
      <c r="DF1539" s="4" t="s">
        <v>241</v>
      </c>
      <c r="DG1539" s="6">
        <f>0</f>
        <v>0</v>
      </c>
      <c r="DH1539" s="5" t="s">
        <v>241</v>
      </c>
      <c r="DI1539" s="4" t="s">
        <v>241</v>
      </c>
      <c r="DJ1539" s="4" t="s">
        <v>241</v>
      </c>
      <c r="DK1539" s="4" t="s">
        <v>241</v>
      </c>
      <c r="DL1539" s="4" t="s">
        <v>241</v>
      </c>
      <c r="DM1539" s="4" t="s">
        <v>241</v>
      </c>
      <c r="DN1539" s="4" t="s">
        <v>241</v>
      </c>
      <c r="DO1539" s="6" t="s">
        <v>241</v>
      </c>
      <c r="DP1539" s="4" t="s">
        <v>241</v>
      </c>
      <c r="DQ1539" s="4" t="s">
        <v>251</v>
      </c>
      <c r="DR1539" s="4" t="s">
        <v>3926</v>
      </c>
      <c r="DS1539" s="4" t="s">
        <v>3926</v>
      </c>
      <c r="DT1539" s="4" t="s">
        <v>241</v>
      </c>
      <c r="DU1539" s="4" t="s">
        <v>241</v>
      </c>
      <c r="GN1539" s="4" t="s">
        <v>4122</v>
      </c>
      <c r="HR1539" s="4" t="s">
        <v>241</v>
      </c>
      <c r="HS1539" s="4" t="s">
        <v>241</v>
      </c>
      <c r="HT1539" s="4" t="s">
        <v>241</v>
      </c>
      <c r="HU1539" s="4" t="s">
        <v>241</v>
      </c>
      <c r="HV1539" s="4" t="s">
        <v>241</v>
      </c>
      <c r="HW1539" s="4" t="s">
        <v>241</v>
      </c>
      <c r="HX1539" s="4" t="s">
        <v>241</v>
      </c>
      <c r="HY1539" s="4" t="s">
        <v>241</v>
      </c>
      <c r="HZ1539" s="4" t="s">
        <v>241</v>
      </c>
      <c r="IA1539" s="4" t="s">
        <v>241</v>
      </c>
      <c r="IB1539" s="4" t="s">
        <v>241</v>
      </c>
      <c r="IC1539" s="4" t="s">
        <v>241</v>
      </c>
      <c r="ID1539" s="4" t="s">
        <v>241</v>
      </c>
      <c r="IE1539" s="4" t="s">
        <v>241</v>
      </c>
      <c r="IF1539" s="4" t="s">
        <v>241</v>
      </c>
    </row>
    <row r="1540" spans="1:240" x14ac:dyDescent="0.4">
      <c r="A1540" s="4">
        <v>2</v>
      </c>
      <c r="B1540" s="4" t="s">
        <v>239</v>
      </c>
      <c r="C1540" s="4">
        <v>1901</v>
      </c>
      <c r="D1540" s="4">
        <v>1</v>
      </c>
      <c r="E1540" s="4">
        <v>2</v>
      </c>
      <c r="F1540" s="4" t="s">
        <v>241</v>
      </c>
      <c r="I1540" s="4" t="s">
        <v>696</v>
      </c>
      <c r="J1540" s="4" t="s">
        <v>653</v>
      </c>
      <c r="K1540" s="4" t="s">
        <v>256</v>
      </c>
      <c r="L1540" s="4" t="s">
        <v>4057</v>
      </c>
      <c r="M1540" s="5" t="s">
        <v>4058</v>
      </c>
      <c r="N1540" s="4" t="s">
        <v>3976</v>
      </c>
      <c r="O1540" s="6">
        <f>1</f>
        <v>1</v>
      </c>
      <c r="P1540" s="4" t="s">
        <v>3937</v>
      </c>
      <c r="Q1540" s="6">
        <f>479952</f>
        <v>479952</v>
      </c>
      <c r="R1540" s="6">
        <f>479952</f>
        <v>479952</v>
      </c>
      <c r="S1540" s="5" t="s">
        <v>4052</v>
      </c>
      <c r="T1540" s="4" t="s">
        <v>333</v>
      </c>
      <c r="U1540" s="4" t="s">
        <v>241</v>
      </c>
      <c r="V1540" s="6">
        <f>0</f>
        <v>0</v>
      </c>
      <c r="W1540" s="6">
        <f>0</f>
        <v>0</v>
      </c>
      <c r="X1540" s="4" t="s">
        <v>243</v>
      </c>
      <c r="Y1540" s="4" t="s">
        <v>241</v>
      </c>
      <c r="Z1540" s="4" t="s">
        <v>241</v>
      </c>
      <c r="AA1540" s="4" t="s">
        <v>241</v>
      </c>
      <c r="AD1540" s="4" t="s">
        <v>653</v>
      </c>
      <c r="AE1540" s="5" t="s">
        <v>241</v>
      </c>
      <c r="AF1540" s="5" t="s">
        <v>241</v>
      </c>
      <c r="AG1540" s="4" t="s">
        <v>241</v>
      </c>
      <c r="AH1540" s="5" t="s">
        <v>241</v>
      </c>
      <c r="AI1540" s="5" t="s">
        <v>4052</v>
      </c>
      <c r="AJ1540" s="4" t="s">
        <v>251</v>
      </c>
      <c r="AK1540" s="4" t="s">
        <v>241</v>
      </c>
      <c r="AQ1540" s="4" t="s">
        <v>241</v>
      </c>
      <c r="AR1540" s="4" t="s">
        <v>241</v>
      </c>
      <c r="AS1540" s="4" t="s">
        <v>241</v>
      </c>
      <c r="AT1540" s="5" t="s">
        <v>241</v>
      </c>
      <c r="AU1540" s="5" t="s">
        <v>241</v>
      </c>
      <c r="AV1540" s="5" t="s">
        <v>241</v>
      </c>
      <c r="AY1540" s="4" t="s">
        <v>286</v>
      </c>
      <c r="AZ1540" s="4" t="s">
        <v>286</v>
      </c>
      <c r="BA1540" s="4" t="s">
        <v>254</v>
      </c>
      <c r="BB1540" s="4" t="s">
        <v>3924</v>
      </c>
      <c r="BC1540" s="4" t="s">
        <v>255</v>
      </c>
      <c r="BD1540" s="4" t="s">
        <v>241</v>
      </c>
      <c r="BE1540" s="4" t="s">
        <v>257</v>
      </c>
      <c r="BF1540" s="4" t="s">
        <v>3926</v>
      </c>
      <c r="BJ1540" s="4" t="s">
        <v>288</v>
      </c>
      <c r="BK1540" s="5" t="s">
        <v>4052</v>
      </c>
      <c r="BL1540" s="4" t="s">
        <v>3927</v>
      </c>
      <c r="BM1540" s="4" t="s">
        <v>3928</v>
      </c>
      <c r="BN1540" s="4" t="s">
        <v>241</v>
      </c>
      <c r="BO1540" s="6">
        <f>0</f>
        <v>0</v>
      </c>
      <c r="BP1540" s="6">
        <f>479952</f>
        <v>479952</v>
      </c>
      <c r="BQ1540" s="4" t="s">
        <v>263</v>
      </c>
      <c r="BR1540" s="4" t="s">
        <v>264</v>
      </c>
      <c r="BS1540" s="4" t="s">
        <v>427</v>
      </c>
      <c r="BT1540" s="4" t="s">
        <v>3948</v>
      </c>
      <c r="BU1540" s="4" t="s">
        <v>264</v>
      </c>
      <c r="BV1540" s="4" t="s">
        <v>241</v>
      </c>
      <c r="BW1540" s="4" t="s">
        <v>3931</v>
      </c>
      <c r="BX1540" s="4" t="s">
        <v>3932</v>
      </c>
      <c r="BY1540" s="4" t="s">
        <v>3932</v>
      </c>
      <c r="CA1540" s="5" t="s">
        <v>4059</v>
      </c>
      <c r="CB1540" s="4" t="s">
        <v>263</v>
      </c>
      <c r="CC1540" s="4" t="s">
        <v>241</v>
      </c>
      <c r="CD1540" s="4" t="s">
        <v>241</v>
      </c>
      <c r="CE1540" s="4" t="s">
        <v>264</v>
      </c>
      <c r="CF1540" s="4" t="s">
        <v>241</v>
      </c>
      <c r="CG1540" s="4" t="s">
        <v>241</v>
      </c>
      <c r="CK1540" s="4" t="s">
        <v>241</v>
      </c>
      <c r="CL1540" s="4" t="s">
        <v>241</v>
      </c>
      <c r="CM1540" s="4" t="s">
        <v>278</v>
      </c>
      <c r="CO1540" s="4" t="s">
        <v>241</v>
      </c>
      <c r="CP1540" s="5" t="s">
        <v>268</v>
      </c>
      <c r="CQ1540" s="4" t="s">
        <v>269</v>
      </c>
      <c r="CR1540" s="4" t="s">
        <v>270</v>
      </c>
      <c r="CS1540" s="4" t="s">
        <v>293</v>
      </c>
      <c r="CT1540" s="4" t="s">
        <v>241</v>
      </c>
      <c r="CU1540" s="4">
        <v>0</v>
      </c>
      <c r="CV1540" s="4" t="s">
        <v>271</v>
      </c>
      <c r="CW1540" s="4" t="s">
        <v>332</v>
      </c>
      <c r="CX1540" s="4" t="s">
        <v>295</v>
      </c>
      <c r="CY1540" s="6">
        <f>479952</f>
        <v>479952</v>
      </c>
      <c r="CZ1540" s="6">
        <f>479952</f>
        <v>479952</v>
      </c>
      <c r="DA1540" s="6">
        <f>479952</f>
        <v>479952</v>
      </c>
      <c r="DB1540" s="6" t="s">
        <v>241</v>
      </c>
      <c r="DC1540" s="4" t="s">
        <v>241</v>
      </c>
      <c r="DD1540" s="4" t="s">
        <v>241</v>
      </c>
      <c r="DF1540" s="4" t="s">
        <v>241</v>
      </c>
      <c r="DG1540" s="6">
        <f>0</f>
        <v>0</v>
      </c>
      <c r="DH1540" s="5" t="s">
        <v>241</v>
      </c>
      <c r="DI1540" s="4" t="s">
        <v>241</v>
      </c>
      <c r="DJ1540" s="4" t="s">
        <v>241</v>
      </c>
      <c r="DK1540" s="4" t="s">
        <v>241</v>
      </c>
      <c r="DL1540" s="4" t="s">
        <v>241</v>
      </c>
      <c r="DM1540" s="4" t="s">
        <v>241</v>
      </c>
      <c r="DN1540" s="4" t="s">
        <v>241</v>
      </c>
      <c r="DO1540" s="6" t="s">
        <v>241</v>
      </c>
      <c r="DP1540" s="4" t="s">
        <v>241</v>
      </c>
      <c r="DQ1540" s="4" t="s">
        <v>251</v>
      </c>
      <c r="DR1540" s="4" t="s">
        <v>3926</v>
      </c>
      <c r="DS1540" s="4" t="s">
        <v>3926</v>
      </c>
      <c r="DT1540" s="4" t="s">
        <v>241</v>
      </c>
      <c r="DU1540" s="4" t="s">
        <v>241</v>
      </c>
      <c r="GN1540" s="4" t="s">
        <v>4060</v>
      </c>
      <c r="HR1540" s="4" t="s">
        <v>241</v>
      </c>
      <c r="HS1540" s="4" t="s">
        <v>241</v>
      </c>
      <c r="HT1540" s="4" t="s">
        <v>241</v>
      </c>
      <c r="HU1540" s="4" t="s">
        <v>241</v>
      </c>
      <c r="HV1540" s="4" t="s">
        <v>241</v>
      </c>
      <c r="HW1540" s="4" t="s">
        <v>241</v>
      </c>
      <c r="HX1540" s="4" t="s">
        <v>241</v>
      </c>
      <c r="HY1540" s="4" t="s">
        <v>241</v>
      </c>
      <c r="HZ1540" s="4" t="s">
        <v>241</v>
      </c>
      <c r="IA1540" s="4" t="s">
        <v>241</v>
      </c>
      <c r="IB1540" s="4" t="s">
        <v>241</v>
      </c>
      <c r="IC1540" s="4" t="s">
        <v>241</v>
      </c>
      <c r="ID1540" s="4" t="s">
        <v>241</v>
      </c>
      <c r="IE1540" s="4" t="s">
        <v>241</v>
      </c>
      <c r="IF1540" s="4" t="s">
        <v>241</v>
      </c>
    </row>
    <row r="1541" spans="1:240" x14ac:dyDescent="0.4">
      <c r="A1541" s="4">
        <v>2</v>
      </c>
      <c r="B1541" s="4" t="s">
        <v>239</v>
      </c>
      <c r="C1541" s="4">
        <v>1902</v>
      </c>
      <c r="D1541" s="4">
        <v>1</v>
      </c>
      <c r="E1541" s="4">
        <v>2</v>
      </c>
      <c r="F1541" s="4" t="s">
        <v>241</v>
      </c>
      <c r="I1541" s="4" t="s">
        <v>953</v>
      </c>
      <c r="J1541" s="4" t="s">
        <v>653</v>
      </c>
      <c r="K1541" s="4" t="s">
        <v>256</v>
      </c>
      <c r="L1541" s="4" t="s">
        <v>4061</v>
      </c>
      <c r="M1541" s="5" t="s">
        <v>3969</v>
      </c>
      <c r="N1541" s="4" t="s">
        <v>3976</v>
      </c>
      <c r="O1541" s="6">
        <f>1</f>
        <v>1</v>
      </c>
      <c r="P1541" s="4" t="s">
        <v>3937</v>
      </c>
      <c r="Q1541" s="6">
        <f>1101650</f>
        <v>1101650</v>
      </c>
      <c r="R1541" s="6">
        <f>1101650</f>
        <v>1101650</v>
      </c>
      <c r="S1541" s="5" t="s">
        <v>4052</v>
      </c>
      <c r="T1541" s="4" t="s">
        <v>333</v>
      </c>
      <c r="U1541" s="4" t="s">
        <v>241</v>
      </c>
      <c r="V1541" s="6">
        <f>0</f>
        <v>0</v>
      </c>
      <c r="W1541" s="6">
        <f>0</f>
        <v>0</v>
      </c>
      <c r="X1541" s="4" t="s">
        <v>243</v>
      </c>
      <c r="Y1541" s="4" t="s">
        <v>241</v>
      </c>
      <c r="Z1541" s="4" t="s">
        <v>241</v>
      </c>
      <c r="AA1541" s="4" t="s">
        <v>241</v>
      </c>
      <c r="AD1541" s="4" t="s">
        <v>653</v>
      </c>
      <c r="AE1541" s="5" t="s">
        <v>241</v>
      </c>
      <c r="AF1541" s="5" t="s">
        <v>241</v>
      </c>
      <c r="AG1541" s="4" t="s">
        <v>241</v>
      </c>
      <c r="AH1541" s="5" t="s">
        <v>241</v>
      </c>
      <c r="AI1541" s="5" t="s">
        <v>4052</v>
      </c>
      <c r="AJ1541" s="4" t="s">
        <v>251</v>
      </c>
      <c r="AK1541" s="4" t="s">
        <v>241</v>
      </c>
      <c r="AQ1541" s="4" t="s">
        <v>241</v>
      </c>
      <c r="AR1541" s="4" t="s">
        <v>241</v>
      </c>
      <c r="AS1541" s="4" t="s">
        <v>241</v>
      </c>
      <c r="AT1541" s="5" t="s">
        <v>241</v>
      </c>
      <c r="AU1541" s="5" t="s">
        <v>241</v>
      </c>
      <c r="AV1541" s="5" t="s">
        <v>241</v>
      </c>
      <c r="AY1541" s="4" t="s">
        <v>286</v>
      </c>
      <c r="AZ1541" s="4" t="s">
        <v>286</v>
      </c>
      <c r="BA1541" s="4" t="s">
        <v>254</v>
      </c>
      <c r="BB1541" s="4" t="s">
        <v>3924</v>
      </c>
      <c r="BC1541" s="4" t="s">
        <v>255</v>
      </c>
      <c r="BD1541" s="4" t="s">
        <v>241</v>
      </c>
      <c r="BE1541" s="4" t="s">
        <v>257</v>
      </c>
      <c r="BF1541" s="4" t="s">
        <v>3926</v>
      </c>
      <c r="BJ1541" s="4" t="s">
        <v>288</v>
      </c>
      <c r="BK1541" s="5" t="s">
        <v>4052</v>
      </c>
      <c r="BL1541" s="4" t="s">
        <v>3927</v>
      </c>
      <c r="BM1541" s="4" t="s">
        <v>3928</v>
      </c>
      <c r="BN1541" s="4" t="s">
        <v>241</v>
      </c>
      <c r="BO1541" s="6">
        <f>0</f>
        <v>0</v>
      </c>
      <c r="BP1541" s="6">
        <f>1101650</f>
        <v>1101650</v>
      </c>
      <c r="BQ1541" s="4" t="s">
        <v>263</v>
      </c>
      <c r="BR1541" s="4" t="s">
        <v>264</v>
      </c>
      <c r="BS1541" s="4" t="s">
        <v>427</v>
      </c>
      <c r="BT1541" s="4" t="s">
        <v>3929</v>
      </c>
      <c r="BU1541" s="4" t="s">
        <v>264</v>
      </c>
      <c r="BV1541" s="4" t="s">
        <v>241</v>
      </c>
      <c r="BW1541" s="4" t="s">
        <v>3931</v>
      </c>
      <c r="BX1541" s="4" t="s">
        <v>3932</v>
      </c>
      <c r="BY1541" s="4" t="s">
        <v>3932</v>
      </c>
      <c r="CA1541" s="5" t="s">
        <v>4063</v>
      </c>
      <c r="CB1541" s="4" t="s">
        <v>263</v>
      </c>
      <c r="CC1541" s="4" t="s">
        <v>241</v>
      </c>
      <c r="CD1541" s="4" t="s">
        <v>241</v>
      </c>
      <c r="CE1541" s="4" t="s">
        <v>264</v>
      </c>
      <c r="CF1541" s="4" t="s">
        <v>241</v>
      </c>
      <c r="CG1541" s="4" t="s">
        <v>241</v>
      </c>
      <c r="CK1541" s="4" t="s">
        <v>241</v>
      </c>
      <c r="CL1541" s="4" t="s">
        <v>241</v>
      </c>
      <c r="CM1541" s="4" t="s">
        <v>278</v>
      </c>
      <c r="CO1541" s="4" t="s">
        <v>241</v>
      </c>
      <c r="CP1541" s="5" t="s">
        <v>268</v>
      </c>
      <c r="CQ1541" s="4" t="s">
        <v>269</v>
      </c>
      <c r="CR1541" s="4" t="s">
        <v>270</v>
      </c>
      <c r="CS1541" s="4" t="s">
        <v>293</v>
      </c>
      <c r="CT1541" s="4" t="s">
        <v>241</v>
      </c>
      <c r="CU1541" s="4">
        <v>0</v>
      </c>
      <c r="CV1541" s="4" t="s">
        <v>271</v>
      </c>
      <c r="CW1541" s="4" t="s">
        <v>332</v>
      </c>
      <c r="CX1541" s="4" t="s">
        <v>295</v>
      </c>
      <c r="CY1541" s="6">
        <f>1101650</f>
        <v>1101650</v>
      </c>
      <c r="CZ1541" s="6">
        <f>1101650</f>
        <v>1101650</v>
      </c>
      <c r="DA1541" s="6">
        <f>1101650</f>
        <v>1101650</v>
      </c>
      <c r="DB1541" s="6" t="s">
        <v>241</v>
      </c>
      <c r="DC1541" s="4" t="s">
        <v>241</v>
      </c>
      <c r="DD1541" s="4" t="s">
        <v>241</v>
      </c>
      <c r="DF1541" s="4" t="s">
        <v>241</v>
      </c>
      <c r="DG1541" s="6">
        <f>0</f>
        <v>0</v>
      </c>
      <c r="DH1541" s="5" t="s">
        <v>241</v>
      </c>
      <c r="DI1541" s="4" t="s">
        <v>241</v>
      </c>
      <c r="DJ1541" s="4" t="s">
        <v>241</v>
      </c>
      <c r="DK1541" s="4" t="s">
        <v>241</v>
      </c>
      <c r="DL1541" s="4" t="s">
        <v>241</v>
      </c>
      <c r="DM1541" s="4" t="s">
        <v>241</v>
      </c>
      <c r="DN1541" s="4" t="s">
        <v>241</v>
      </c>
      <c r="DO1541" s="6" t="s">
        <v>241</v>
      </c>
      <c r="DP1541" s="4" t="s">
        <v>241</v>
      </c>
      <c r="DQ1541" s="4" t="s">
        <v>251</v>
      </c>
      <c r="DR1541" s="4" t="s">
        <v>3926</v>
      </c>
      <c r="DS1541" s="4" t="s">
        <v>3926</v>
      </c>
      <c r="DT1541" s="4" t="s">
        <v>241</v>
      </c>
      <c r="DU1541" s="4" t="s">
        <v>241</v>
      </c>
      <c r="GN1541" s="4" t="s">
        <v>4116</v>
      </c>
      <c r="HR1541" s="4" t="s">
        <v>241</v>
      </c>
      <c r="HS1541" s="4" t="s">
        <v>241</v>
      </c>
      <c r="HT1541" s="4" t="s">
        <v>241</v>
      </c>
      <c r="HU1541" s="4" t="s">
        <v>241</v>
      </c>
      <c r="HV1541" s="4" t="s">
        <v>241</v>
      </c>
      <c r="HW1541" s="4" t="s">
        <v>241</v>
      </c>
      <c r="HX1541" s="4" t="s">
        <v>241</v>
      </c>
      <c r="HY1541" s="4" t="s">
        <v>241</v>
      </c>
      <c r="HZ1541" s="4" t="s">
        <v>241</v>
      </c>
      <c r="IA1541" s="4" t="s">
        <v>241</v>
      </c>
      <c r="IB1541" s="4" t="s">
        <v>241</v>
      </c>
      <c r="IC1541" s="4" t="s">
        <v>241</v>
      </c>
      <c r="ID1541" s="4" t="s">
        <v>241</v>
      </c>
      <c r="IE1541" s="4" t="s">
        <v>241</v>
      </c>
      <c r="IF1541" s="4" t="s">
        <v>241</v>
      </c>
    </row>
    <row r="1542" spans="1:240" x14ac:dyDescent="0.4">
      <c r="A1542" s="4">
        <v>2</v>
      </c>
      <c r="B1542" s="4" t="s">
        <v>239</v>
      </c>
      <c r="C1542" s="4">
        <v>1903</v>
      </c>
      <c r="D1542" s="4">
        <v>1</v>
      </c>
      <c r="E1542" s="4">
        <v>2</v>
      </c>
      <c r="F1542" s="4" t="s">
        <v>241</v>
      </c>
      <c r="I1542" s="4" t="s">
        <v>959</v>
      </c>
      <c r="J1542" s="4" t="s">
        <v>653</v>
      </c>
      <c r="K1542" s="4" t="s">
        <v>256</v>
      </c>
      <c r="L1542" s="4" t="s">
        <v>4061</v>
      </c>
      <c r="M1542" s="5" t="s">
        <v>4062</v>
      </c>
      <c r="N1542" s="4" t="s">
        <v>3976</v>
      </c>
      <c r="O1542" s="6">
        <f>1</f>
        <v>1</v>
      </c>
      <c r="P1542" s="4" t="s">
        <v>3937</v>
      </c>
      <c r="Q1542" s="6">
        <f>219725</f>
        <v>219725</v>
      </c>
      <c r="R1542" s="6">
        <f>219725</f>
        <v>219725</v>
      </c>
      <c r="S1542" s="5" t="s">
        <v>4052</v>
      </c>
      <c r="T1542" s="4" t="s">
        <v>333</v>
      </c>
      <c r="U1542" s="4" t="s">
        <v>241</v>
      </c>
      <c r="V1542" s="6">
        <f>0</f>
        <v>0</v>
      </c>
      <c r="W1542" s="6">
        <f>0</f>
        <v>0</v>
      </c>
      <c r="X1542" s="4" t="s">
        <v>243</v>
      </c>
      <c r="Y1542" s="4" t="s">
        <v>241</v>
      </c>
      <c r="Z1542" s="4" t="s">
        <v>241</v>
      </c>
      <c r="AA1542" s="4" t="s">
        <v>241</v>
      </c>
      <c r="AD1542" s="4" t="s">
        <v>653</v>
      </c>
      <c r="AE1542" s="5" t="s">
        <v>241</v>
      </c>
      <c r="AF1542" s="5" t="s">
        <v>241</v>
      </c>
      <c r="AG1542" s="4" t="s">
        <v>241</v>
      </c>
      <c r="AH1542" s="5" t="s">
        <v>241</v>
      </c>
      <c r="AI1542" s="5" t="s">
        <v>4052</v>
      </c>
      <c r="AJ1542" s="4" t="s">
        <v>251</v>
      </c>
      <c r="AK1542" s="4" t="s">
        <v>241</v>
      </c>
      <c r="AQ1542" s="4" t="s">
        <v>241</v>
      </c>
      <c r="AR1542" s="4" t="s">
        <v>241</v>
      </c>
      <c r="AS1542" s="4" t="s">
        <v>241</v>
      </c>
      <c r="AT1542" s="5" t="s">
        <v>241</v>
      </c>
      <c r="AU1542" s="5" t="s">
        <v>241</v>
      </c>
      <c r="AV1542" s="5" t="s">
        <v>241</v>
      </c>
      <c r="AY1542" s="4" t="s">
        <v>286</v>
      </c>
      <c r="AZ1542" s="4" t="s">
        <v>286</v>
      </c>
      <c r="BA1542" s="4" t="s">
        <v>254</v>
      </c>
      <c r="BB1542" s="4" t="s">
        <v>3924</v>
      </c>
      <c r="BC1542" s="4" t="s">
        <v>255</v>
      </c>
      <c r="BD1542" s="4" t="s">
        <v>241</v>
      </c>
      <c r="BE1542" s="4" t="s">
        <v>257</v>
      </c>
      <c r="BF1542" s="4" t="s">
        <v>3926</v>
      </c>
      <c r="BJ1542" s="4" t="s">
        <v>288</v>
      </c>
      <c r="BK1542" s="5" t="s">
        <v>4052</v>
      </c>
      <c r="BL1542" s="4" t="s">
        <v>3927</v>
      </c>
      <c r="BM1542" s="4" t="s">
        <v>3928</v>
      </c>
      <c r="BN1542" s="4" t="s">
        <v>241</v>
      </c>
      <c r="BO1542" s="6">
        <f>0</f>
        <v>0</v>
      </c>
      <c r="BP1542" s="6">
        <f>219725</f>
        <v>219725</v>
      </c>
      <c r="BQ1542" s="4" t="s">
        <v>263</v>
      </c>
      <c r="BR1542" s="4" t="s">
        <v>264</v>
      </c>
      <c r="BS1542" s="4" t="s">
        <v>427</v>
      </c>
      <c r="BT1542" s="4" t="s">
        <v>3929</v>
      </c>
      <c r="BU1542" s="4" t="s">
        <v>264</v>
      </c>
      <c r="BV1542" s="4" t="s">
        <v>241</v>
      </c>
      <c r="BW1542" s="4" t="s">
        <v>3931</v>
      </c>
      <c r="BX1542" s="4" t="s">
        <v>3932</v>
      </c>
      <c r="BY1542" s="4" t="s">
        <v>3932</v>
      </c>
      <c r="CA1542" s="5" t="s">
        <v>4063</v>
      </c>
      <c r="CB1542" s="4" t="s">
        <v>263</v>
      </c>
      <c r="CC1542" s="4" t="s">
        <v>241</v>
      </c>
      <c r="CD1542" s="4" t="s">
        <v>241</v>
      </c>
      <c r="CE1542" s="4" t="s">
        <v>264</v>
      </c>
      <c r="CF1542" s="4" t="s">
        <v>241</v>
      </c>
      <c r="CG1542" s="4" t="s">
        <v>241</v>
      </c>
      <c r="CK1542" s="4" t="s">
        <v>241</v>
      </c>
      <c r="CL1542" s="4" t="s">
        <v>241</v>
      </c>
      <c r="CM1542" s="4" t="s">
        <v>278</v>
      </c>
      <c r="CO1542" s="4" t="s">
        <v>241</v>
      </c>
      <c r="CP1542" s="5" t="s">
        <v>268</v>
      </c>
      <c r="CQ1542" s="4" t="s">
        <v>269</v>
      </c>
      <c r="CR1542" s="4" t="s">
        <v>270</v>
      </c>
      <c r="CS1542" s="4" t="s">
        <v>293</v>
      </c>
      <c r="CT1542" s="4" t="s">
        <v>241</v>
      </c>
      <c r="CU1542" s="4">
        <v>0</v>
      </c>
      <c r="CV1542" s="4" t="s">
        <v>271</v>
      </c>
      <c r="CW1542" s="4" t="s">
        <v>332</v>
      </c>
      <c r="CX1542" s="4" t="s">
        <v>295</v>
      </c>
      <c r="CY1542" s="6">
        <f>219725</f>
        <v>219725</v>
      </c>
      <c r="CZ1542" s="6">
        <f>219725</f>
        <v>219725</v>
      </c>
      <c r="DA1542" s="6">
        <f>219725</f>
        <v>219725</v>
      </c>
      <c r="DB1542" s="6" t="s">
        <v>241</v>
      </c>
      <c r="DC1542" s="4" t="s">
        <v>241</v>
      </c>
      <c r="DD1542" s="4" t="s">
        <v>241</v>
      </c>
      <c r="DF1542" s="4" t="s">
        <v>241</v>
      </c>
      <c r="DG1542" s="6">
        <f>0</f>
        <v>0</v>
      </c>
      <c r="DH1542" s="5" t="s">
        <v>241</v>
      </c>
      <c r="DI1542" s="4" t="s">
        <v>241</v>
      </c>
      <c r="DJ1542" s="4" t="s">
        <v>241</v>
      </c>
      <c r="DK1542" s="4" t="s">
        <v>241</v>
      </c>
      <c r="DL1542" s="4" t="s">
        <v>241</v>
      </c>
      <c r="DM1542" s="4" t="s">
        <v>241</v>
      </c>
      <c r="DN1542" s="4" t="s">
        <v>241</v>
      </c>
      <c r="DO1542" s="6" t="s">
        <v>241</v>
      </c>
      <c r="DP1542" s="4" t="s">
        <v>241</v>
      </c>
      <c r="DQ1542" s="4" t="s">
        <v>251</v>
      </c>
      <c r="DR1542" s="4" t="s">
        <v>3926</v>
      </c>
      <c r="DS1542" s="4" t="s">
        <v>3926</v>
      </c>
      <c r="DT1542" s="4" t="s">
        <v>241</v>
      </c>
      <c r="DU1542" s="4" t="s">
        <v>241</v>
      </c>
      <c r="GN1542" s="4" t="s">
        <v>4064</v>
      </c>
      <c r="HR1542" s="4" t="s">
        <v>241</v>
      </c>
      <c r="HS1542" s="4" t="s">
        <v>241</v>
      </c>
      <c r="HT1542" s="4" t="s">
        <v>241</v>
      </c>
      <c r="HU1542" s="4" t="s">
        <v>241</v>
      </c>
      <c r="HV1542" s="4" t="s">
        <v>241</v>
      </c>
      <c r="HW1542" s="4" t="s">
        <v>241</v>
      </c>
      <c r="HX1542" s="4" t="s">
        <v>241</v>
      </c>
      <c r="HY1542" s="4" t="s">
        <v>241</v>
      </c>
      <c r="HZ1542" s="4" t="s">
        <v>241</v>
      </c>
      <c r="IA1542" s="4" t="s">
        <v>241</v>
      </c>
      <c r="IB1542" s="4" t="s">
        <v>241</v>
      </c>
      <c r="IC1542" s="4" t="s">
        <v>241</v>
      </c>
      <c r="ID1542" s="4" t="s">
        <v>241</v>
      </c>
      <c r="IE1542" s="4" t="s">
        <v>241</v>
      </c>
      <c r="IF1542" s="4" t="s">
        <v>241</v>
      </c>
    </row>
    <row r="1543" spans="1:240" x14ac:dyDescent="0.4">
      <c r="A1543" s="4">
        <v>2</v>
      </c>
      <c r="B1543" s="4" t="s">
        <v>239</v>
      </c>
      <c r="C1543" s="4">
        <v>1904</v>
      </c>
      <c r="D1543" s="4">
        <v>1</v>
      </c>
      <c r="E1543" s="4">
        <v>2</v>
      </c>
      <c r="F1543" s="4" t="s">
        <v>241</v>
      </c>
      <c r="I1543" s="4" t="s">
        <v>996</v>
      </c>
      <c r="J1543" s="4" t="s">
        <v>653</v>
      </c>
      <c r="K1543" s="4" t="s">
        <v>256</v>
      </c>
      <c r="L1543" s="4" t="s">
        <v>4061</v>
      </c>
      <c r="M1543" s="5" t="s">
        <v>4065</v>
      </c>
      <c r="N1543" s="4" t="s">
        <v>3976</v>
      </c>
      <c r="O1543" s="6">
        <f>1</f>
        <v>1</v>
      </c>
      <c r="P1543" s="4" t="s">
        <v>3937</v>
      </c>
      <c r="Q1543" s="6">
        <f>878900</f>
        <v>878900</v>
      </c>
      <c r="R1543" s="6">
        <f>878900</f>
        <v>878900</v>
      </c>
      <c r="S1543" s="5" t="s">
        <v>4052</v>
      </c>
      <c r="T1543" s="4" t="s">
        <v>333</v>
      </c>
      <c r="U1543" s="4" t="s">
        <v>241</v>
      </c>
      <c r="V1543" s="6">
        <f>0</f>
        <v>0</v>
      </c>
      <c r="W1543" s="6">
        <f>0</f>
        <v>0</v>
      </c>
      <c r="X1543" s="4" t="s">
        <v>243</v>
      </c>
      <c r="Y1543" s="4" t="s">
        <v>241</v>
      </c>
      <c r="Z1543" s="4" t="s">
        <v>241</v>
      </c>
      <c r="AA1543" s="4" t="s">
        <v>241</v>
      </c>
      <c r="AD1543" s="4" t="s">
        <v>653</v>
      </c>
      <c r="AE1543" s="5" t="s">
        <v>241</v>
      </c>
      <c r="AF1543" s="5" t="s">
        <v>241</v>
      </c>
      <c r="AG1543" s="4" t="s">
        <v>241</v>
      </c>
      <c r="AH1543" s="5" t="s">
        <v>241</v>
      </c>
      <c r="AI1543" s="5" t="s">
        <v>4052</v>
      </c>
      <c r="AJ1543" s="4" t="s">
        <v>251</v>
      </c>
      <c r="AK1543" s="4" t="s">
        <v>241</v>
      </c>
      <c r="AQ1543" s="4" t="s">
        <v>241</v>
      </c>
      <c r="AR1543" s="4" t="s">
        <v>241</v>
      </c>
      <c r="AS1543" s="4" t="s">
        <v>241</v>
      </c>
      <c r="AT1543" s="5" t="s">
        <v>241</v>
      </c>
      <c r="AU1543" s="5" t="s">
        <v>241</v>
      </c>
      <c r="AV1543" s="5" t="s">
        <v>241</v>
      </c>
      <c r="AY1543" s="4" t="s">
        <v>286</v>
      </c>
      <c r="AZ1543" s="4" t="s">
        <v>286</v>
      </c>
      <c r="BA1543" s="4" t="s">
        <v>254</v>
      </c>
      <c r="BB1543" s="4" t="s">
        <v>3924</v>
      </c>
      <c r="BC1543" s="4" t="s">
        <v>255</v>
      </c>
      <c r="BD1543" s="4" t="s">
        <v>241</v>
      </c>
      <c r="BE1543" s="4" t="s">
        <v>257</v>
      </c>
      <c r="BF1543" s="4" t="s">
        <v>3926</v>
      </c>
      <c r="BJ1543" s="4" t="s">
        <v>288</v>
      </c>
      <c r="BK1543" s="5" t="s">
        <v>4052</v>
      </c>
      <c r="BL1543" s="4" t="s">
        <v>3927</v>
      </c>
      <c r="BM1543" s="4" t="s">
        <v>3928</v>
      </c>
      <c r="BN1543" s="4" t="s">
        <v>241</v>
      </c>
      <c r="BO1543" s="6">
        <f>0</f>
        <v>0</v>
      </c>
      <c r="BP1543" s="6">
        <f>878900</f>
        <v>878900</v>
      </c>
      <c r="BQ1543" s="4" t="s">
        <v>263</v>
      </c>
      <c r="BR1543" s="4" t="s">
        <v>264</v>
      </c>
      <c r="BS1543" s="4" t="s">
        <v>427</v>
      </c>
      <c r="BT1543" s="4" t="s">
        <v>3929</v>
      </c>
      <c r="BU1543" s="4" t="s">
        <v>264</v>
      </c>
      <c r="BV1543" s="4" t="s">
        <v>241</v>
      </c>
      <c r="BW1543" s="4" t="s">
        <v>3931</v>
      </c>
      <c r="BX1543" s="4" t="s">
        <v>3932</v>
      </c>
      <c r="BY1543" s="4" t="s">
        <v>3932</v>
      </c>
      <c r="CA1543" s="5" t="s">
        <v>4063</v>
      </c>
      <c r="CB1543" s="4" t="s">
        <v>263</v>
      </c>
      <c r="CC1543" s="4" t="s">
        <v>241</v>
      </c>
      <c r="CD1543" s="4" t="s">
        <v>241</v>
      </c>
      <c r="CE1543" s="4" t="s">
        <v>264</v>
      </c>
      <c r="CF1543" s="4" t="s">
        <v>241</v>
      </c>
      <c r="CG1543" s="4" t="s">
        <v>241</v>
      </c>
      <c r="CK1543" s="4" t="s">
        <v>241</v>
      </c>
      <c r="CL1543" s="4" t="s">
        <v>241</v>
      </c>
      <c r="CM1543" s="4" t="s">
        <v>278</v>
      </c>
      <c r="CO1543" s="4" t="s">
        <v>241</v>
      </c>
      <c r="CP1543" s="5" t="s">
        <v>268</v>
      </c>
      <c r="CQ1543" s="4" t="s">
        <v>269</v>
      </c>
      <c r="CR1543" s="4" t="s">
        <v>270</v>
      </c>
      <c r="CS1543" s="4" t="s">
        <v>293</v>
      </c>
      <c r="CT1543" s="4" t="s">
        <v>241</v>
      </c>
      <c r="CU1543" s="4">
        <v>0</v>
      </c>
      <c r="CV1543" s="4" t="s">
        <v>271</v>
      </c>
      <c r="CW1543" s="4" t="s">
        <v>332</v>
      </c>
      <c r="CX1543" s="4" t="s">
        <v>295</v>
      </c>
      <c r="CY1543" s="6">
        <f>878900</f>
        <v>878900</v>
      </c>
      <c r="CZ1543" s="6">
        <f>878900</f>
        <v>878900</v>
      </c>
      <c r="DA1543" s="6">
        <f>878900</f>
        <v>878900</v>
      </c>
      <c r="DB1543" s="6" t="s">
        <v>241</v>
      </c>
      <c r="DC1543" s="4" t="s">
        <v>241</v>
      </c>
      <c r="DD1543" s="4" t="s">
        <v>241</v>
      </c>
      <c r="DF1543" s="4" t="s">
        <v>241</v>
      </c>
      <c r="DG1543" s="6">
        <f>0</f>
        <v>0</v>
      </c>
      <c r="DH1543" s="5" t="s">
        <v>241</v>
      </c>
      <c r="DI1543" s="4" t="s">
        <v>241</v>
      </c>
      <c r="DJ1543" s="4" t="s">
        <v>241</v>
      </c>
      <c r="DK1543" s="4" t="s">
        <v>241</v>
      </c>
      <c r="DL1543" s="4" t="s">
        <v>241</v>
      </c>
      <c r="DM1543" s="4" t="s">
        <v>241</v>
      </c>
      <c r="DN1543" s="4" t="s">
        <v>241</v>
      </c>
      <c r="DO1543" s="6" t="s">
        <v>241</v>
      </c>
      <c r="DP1543" s="4" t="s">
        <v>241</v>
      </c>
      <c r="DQ1543" s="4" t="s">
        <v>251</v>
      </c>
      <c r="DR1543" s="4" t="s">
        <v>3926</v>
      </c>
      <c r="DS1543" s="4" t="s">
        <v>3926</v>
      </c>
      <c r="DT1543" s="4" t="s">
        <v>241</v>
      </c>
      <c r="DU1543" s="4" t="s">
        <v>241</v>
      </c>
      <c r="GN1543" s="4" t="s">
        <v>4066</v>
      </c>
      <c r="HR1543" s="4" t="s">
        <v>241</v>
      </c>
      <c r="HS1543" s="4" t="s">
        <v>241</v>
      </c>
      <c r="HT1543" s="4" t="s">
        <v>241</v>
      </c>
      <c r="HU1543" s="4" t="s">
        <v>241</v>
      </c>
      <c r="HV1543" s="4" t="s">
        <v>241</v>
      </c>
      <c r="HW1543" s="4" t="s">
        <v>241</v>
      </c>
      <c r="HX1543" s="4" t="s">
        <v>241</v>
      </c>
      <c r="HY1543" s="4" t="s">
        <v>241</v>
      </c>
      <c r="HZ1543" s="4" t="s">
        <v>241</v>
      </c>
      <c r="IA1543" s="4" t="s">
        <v>241</v>
      </c>
      <c r="IB1543" s="4" t="s">
        <v>241</v>
      </c>
      <c r="IC1543" s="4" t="s">
        <v>241</v>
      </c>
      <c r="ID1543" s="4" t="s">
        <v>241</v>
      </c>
      <c r="IE1543" s="4" t="s">
        <v>241</v>
      </c>
      <c r="IF1543" s="4" t="s">
        <v>241</v>
      </c>
    </row>
    <row r="1544" spans="1:240" x14ac:dyDescent="0.4">
      <c r="A1544" s="4">
        <v>2</v>
      </c>
      <c r="B1544" s="4" t="s">
        <v>239</v>
      </c>
      <c r="C1544" s="4">
        <v>1905</v>
      </c>
      <c r="D1544" s="4">
        <v>1</v>
      </c>
      <c r="E1544" s="4">
        <v>2</v>
      </c>
      <c r="F1544" s="4" t="s">
        <v>241</v>
      </c>
      <c r="I1544" s="4" t="s">
        <v>702</v>
      </c>
      <c r="J1544" s="4" t="s">
        <v>653</v>
      </c>
      <c r="K1544" s="4" t="s">
        <v>256</v>
      </c>
      <c r="L1544" s="4" t="s">
        <v>4113</v>
      </c>
      <c r="M1544" s="5" t="s">
        <v>4049</v>
      </c>
      <c r="N1544" s="4" t="s">
        <v>3976</v>
      </c>
      <c r="O1544" s="6">
        <f>1</f>
        <v>1</v>
      </c>
      <c r="P1544" s="4" t="s">
        <v>3937</v>
      </c>
      <c r="Q1544" s="6">
        <f>219725</f>
        <v>219725</v>
      </c>
      <c r="R1544" s="6">
        <f>219725</f>
        <v>219725</v>
      </c>
      <c r="S1544" s="5" t="s">
        <v>4052</v>
      </c>
      <c r="T1544" s="4" t="s">
        <v>333</v>
      </c>
      <c r="U1544" s="4" t="s">
        <v>241</v>
      </c>
      <c r="V1544" s="6">
        <f>0</f>
        <v>0</v>
      </c>
      <c r="W1544" s="6">
        <f>0</f>
        <v>0</v>
      </c>
      <c r="X1544" s="4" t="s">
        <v>243</v>
      </c>
      <c r="Y1544" s="4" t="s">
        <v>241</v>
      </c>
      <c r="Z1544" s="4" t="s">
        <v>241</v>
      </c>
      <c r="AA1544" s="4" t="s">
        <v>241</v>
      </c>
      <c r="AD1544" s="4" t="s">
        <v>653</v>
      </c>
      <c r="AE1544" s="5" t="s">
        <v>241</v>
      </c>
      <c r="AF1544" s="5" t="s">
        <v>241</v>
      </c>
      <c r="AG1544" s="4" t="s">
        <v>241</v>
      </c>
      <c r="AH1544" s="5" t="s">
        <v>241</v>
      </c>
      <c r="AI1544" s="5" t="s">
        <v>4052</v>
      </c>
      <c r="AJ1544" s="4" t="s">
        <v>251</v>
      </c>
      <c r="AK1544" s="4" t="s">
        <v>241</v>
      </c>
      <c r="AQ1544" s="4" t="s">
        <v>241</v>
      </c>
      <c r="AR1544" s="4" t="s">
        <v>241</v>
      </c>
      <c r="AS1544" s="4" t="s">
        <v>241</v>
      </c>
      <c r="AT1544" s="5" t="s">
        <v>241</v>
      </c>
      <c r="AU1544" s="5" t="s">
        <v>241</v>
      </c>
      <c r="AV1544" s="5" t="s">
        <v>241</v>
      </c>
      <c r="AY1544" s="4" t="s">
        <v>286</v>
      </c>
      <c r="AZ1544" s="4" t="s">
        <v>286</v>
      </c>
      <c r="BA1544" s="4" t="s">
        <v>254</v>
      </c>
      <c r="BB1544" s="4" t="s">
        <v>3924</v>
      </c>
      <c r="BC1544" s="4" t="s">
        <v>255</v>
      </c>
      <c r="BD1544" s="4" t="s">
        <v>241</v>
      </c>
      <c r="BE1544" s="4" t="s">
        <v>257</v>
      </c>
      <c r="BF1544" s="4" t="s">
        <v>3926</v>
      </c>
      <c r="BJ1544" s="4" t="s">
        <v>288</v>
      </c>
      <c r="BK1544" s="5" t="s">
        <v>4052</v>
      </c>
      <c r="BL1544" s="4" t="s">
        <v>3927</v>
      </c>
      <c r="BM1544" s="4" t="s">
        <v>3928</v>
      </c>
      <c r="BN1544" s="4" t="s">
        <v>241</v>
      </c>
      <c r="BO1544" s="6">
        <f>0</f>
        <v>0</v>
      </c>
      <c r="BP1544" s="6">
        <f>219725</f>
        <v>219725</v>
      </c>
      <c r="BQ1544" s="4" t="s">
        <v>263</v>
      </c>
      <c r="BR1544" s="4" t="s">
        <v>264</v>
      </c>
      <c r="BS1544" s="4" t="s">
        <v>427</v>
      </c>
      <c r="BT1544" s="4" t="s">
        <v>3948</v>
      </c>
      <c r="BU1544" s="4" t="s">
        <v>264</v>
      </c>
      <c r="BV1544" s="4" t="s">
        <v>241</v>
      </c>
      <c r="BW1544" s="4" t="s">
        <v>3931</v>
      </c>
      <c r="BX1544" s="4" t="s">
        <v>3932</v>
      </c>
      <c r="BY1544" s="4" t="s">
        <v>3932</v>
      </c>
      <c r="CA1544" s="5" t="s">
        <v>4114</v>
      </c>
      <c r="CB1544" s="4" t="s">
        <v>263</v>
      </c>
      <c r="CC1544" s="4" t="s">
        <v>241</v>
      </c>
      <c r="CD1544" s="4" t="s">
        <v>241</v>
      </c>
      <c r="CE1544" s="4" t="s">
        <v>264</v>
      </c>
      <c r="CF1544" s="4" t="s">
        <v>241</v>
      </c>
      <c r="CG1544" s="4" t="s">
        <v>241</v>
      </c>
      <c r="CK1544" s="4" t="s">
        <v>241</v>
      </c>
      <c r="CL1544" s="4" t="s">
        <v>241</v>
      </c>
      <c r="CM1544" s="4" t="s">
        <v>278</v>
      </c>
      <c r="CO1544" s="4" t="s">
        <v>241</v>
      </c>
      <c r="CP1544" s="5" t="s">
        <v>268</v>
      </c>
      <c r="CQ1544" s="4" t="s">
        <v>269</v>
      </c>
      <c r="CR1544" s="4" t="s">
        <v>270</v>
      </c>
      <c r="CS1544" s="4" t="s">
        <v>293</v>
      </c>
      <c r="CT1544" s="4" t="s">
        <v>241</v>
      </c>
      <c r="CU1544" s="4">
        <v>0</v>
      </c>
      <c r="CV1544" s="4" t="s">
        <v>271</v>
      </c>
      <c r="CW1544" s="4" t="s">
        <v>332</v>
      </c>
      <c r="CX1544" s="4" t="s">
        <v>295</v>
      </c>
      <c r="CY1544" s="6">
        <f>219725</f>
        <v>219725</v>
      </c>
      <c r="CZ1544" s="6">
        <f>219725</f>
        <v>219725</v>
      </c>
      <c r="DA1544" s="6">
        <f>219725</f>
        <v>219725</v>
      </c>
      <c r="DB1544" s="6" t="s">
        <v>241</v>
      </c>
      <c r="DC1544" s="4" t="s">
        <v>241</v>
      </c>
      <c r="DD1544" s="4" t="s">
        <v>241</v>
      </c>
      <c r="DF1544" s="4" t="s">
        <v>241</v>
      </c>
      <c r="DG1544" s="6">
        <f>0</f>
        <v>0</v>
      </c>
      <c r="DH1544" s="5" t="s">
        <v>241</v>
      </c>
      <c r="DI1544" s="4" t="s">
        <v>241</v>
      </c>
      <c r="DJ1544" s="4" t="s">
        <v>241</v>
      </c>
      <c r="DK1544" s="4" t="s">
        <v>241</v>
      </c>
      <c r="DL1544" s="4" t="s">
        <v>241</v>
      </c>
      <c r="DM1544" s="4" t="s">
        <v>241</v>
      </c>
      <c r="DN1544" s="4" t="s">
        <v>241</v>
      </c>
      <c r="DO1544" s="6" t="s">
        <v>241</v>
      </c>
      <c r="DP1544" s="4" t="s">
        <v>241</v>
      </c>
      <c r="DQ1544" s="4" t="s">
        <v>251</v>
      </c>
      <c r="DR1544" s="4" t="s">
        <v>3926</v>
      </c>
      <c r="DS1544" s="4" t="s">
        <v>3926</v>
      </c>
      <c r="DT1544" s="4" t="s">
        <v>241</v>
      </c>
      <c r="DU1544" s="4" t="s">
        <v>241</v>
      </c>
      <c r="GN1544" s="4" t="s">
        <v>4115</v>
      </c>
      <c r="HR1544" s="4" t="s">
        <v>241</v>
      </c>
      <c r="HS1544" s="4" t="s">
        <v>241</v>
      </c>
      <c r="HT1544" s="4" t="s">
        <v>241</v>
      </c>
      <c r="HU1544" s="4" t="s">
        <v>241</v>
      </c>
      <c r="HV1544" s="4" t="s">
        <v>241</v>
      </c>
      <c r="HW1544" s="4" t="s">
        <v>241</v>
      </c>
      <c r="HX1544" s="4" t="s">
        <v>241</v>
      </c>
      <c r="HY1544" s="4" t="s">
        <v>241</v>
      </c>
      <c r="HZ1544" s="4" t="s">
        <v>241</v>
      </c>
      <c r="IA1544" s="4" t="s">
        <v>241</v>
      </c>
      <c r="IB1544" s="4" t="s">
        <v>241</v>
      </c>
      <c r="IC1544" s="4" t="s">
        <v>241</v>
      </c>
      <c r="ID1544" s="4" t="s">
        <v>241</v>
      </c>
      <c r="IE1544" s="4" t="s">
        <v>241</v>
      </c>
      <c r="IF1544" s="4" t="s">
        <v>241</v>
      </c>
    </row>
    <row r="1545" spans="1:240" x14ac:dyDescent="0.4">
      <c r="A1545" s="4">
        <v>2</v>
      </c>
      <c r="B1545" s="4" t="s">
        <v>239</v>
      </c>
      <c r="C1545" s="4">
        <v>1906</v>
      </c>
      <c r="D1545" s="4">
        <v>1</v>
      </c>
      <c r="E1545" s="4">
        <v>2</v>
      </c>
      <c r="F1545" s="4" t="s">
        <v>241</v>
      </c>
      <c r="I1545" s="4" t="s">
        <v>968</v>
      </c>
      <c r="J1545" s="4" t="s">
        <v>653</v>
      </c>
      <c r="K1545" s="4" t="s">
        <v>256</v>
      </c>
      <c r="L1545" s="4" t="s">
        <v>4117</v>
      </c>
      <c r="M1545" s="5" t="s">
        <v>4118</v>
      </c>
      <c r="N1545" s="4" t="s">
        <v>3976</v>
      </c>
      <c r="O1545" s="6">
        <f>1</f>
        <v>1</v>
      </c>
      <c r="P1545" s="4" t="s">
        <v>3937</v>
      </c>
      <c r="Q1545" s="6">
        <f>1492700</f>
        <v>1492700</v>
      </c>
      <c r="R1545" s="6">
        <f>1492700</f>
        <v>1492700</v>
      </c>
      <c r="S1545" s="5" t="s">
        <v>4052</v>
      </c>
      <c r="T1545" s="4" t="s">
        <v>333</v>
      </c>
      <c r="U1545" s="4" t="s">
        <v>241</v>
      </c>
      <c r="V1545" s="6">
        <f>0</f>
        <v>0</v>
      </c>
      <c r="W1545" s="6">
        <f>0</f>
        <v>0</v>
      </c>
      <c r="X1545" s="4" t="s">
        <v>243</v>
      </c>
      <c r="Y1545" s="4" t="s">
        <v>241</v>
      </c>
      <c r="Z1545" s="4" t="s">
        <v>241</v>
      </c>
      <c r="AA1545" s="4" t="s">
        <v>241</v>
      </c>
      <c r="AD1545" s="4" t="s">
        <v>653</v>
      </c>
      <c r="AE1545" s="5" t="s">
        <v>241</v>
      </c>
      <c r="AF1545" s="5" t="s">
        <v>241</v>
      </c>
      <c r="AG1545" s="4" t="s">
        <v>241</v>
      </c>
      <c r="AH1545" s="5" t="s">
        <v>241</v>
      </c>
      <c r="AI1545" s="5" t="s">
        <v>4052</v>
      </c>
      <c r="AJ1545" s="4" t="s">
        <v>251</v>
      </c>
      <c r="AK1545" s="4" t="s">
        <v>241</v>
      </c>
      <c r="AQ1545" s="4" t="s">
        <v>241</v>
      </c>
      <c r="AR1545" s="4" t="s">
        <v>241</v>
      </c>
      <c r="AS1545" s="4" t="s">
        <v>241</v>
      </c>
      <c r="AT1545" s="5" t="s">
        <v>241</v>
      </c>
      <c r="AU1545" s="5" t="s">
        <v>241</v>
      </c>
      <c r="AV1545" s="5" t="s">
        <v>241</v>
      </c>
      <c r="AY1545" s="4" t="s">
        <v>286</v>
      </c>
      <c r="AZ1545" s="4" t="s">
        <v>286</v>
      </c>
      <c r="BA1545" s="4" t="s">
        <v>254</v>
      </c>
      <c r="BB1545" s="4" t="s">
        <v>3924</v>
      </c>
      <c r="BC1545" s="4" t="s">
        <v>255</v>
      </c>
      <c r="BD1545" s="4" t="s">
        <v>241</v>
      </c>
      <c r="BE1545" s="4" t="s">
        <v>257</v>
      </c>
      <c r="BF1545" s="4" t="s">
        <v>3926</v>
      </c>
      <c r="BJ1545" s="4" t="s">
        <v>288</v>
      </c>
      <c r="BK1545" s="5" t="s">
        <v>4052</v>
      </c>
      <c r="BL1545" s="4" t="s">
        <v>3927</v>
      </c>
      <c r="BM1545" s="4" t="s">
        <v>3928</v>
      </c>
      <c r="BN1545" s="4" t="s">
        <v>241</v>
      </c>
      <c r="BO1545" s="6">
        <f>0</f>
        <v>0</v>
      </c>
      <c r="BP1545" s="6">
        <f>1492700</f>
        <v>1492700</v>
      </c>
      <c r="BQ1545" s="4" t="s">
        <v>263</v>
      </c>
      <c r="BR1545" s="4" t="s">
        <v>264</v>
      </c>
      <c r="BS1545" s="4" t="s">
        <v>427</v>
      </c>
      <c r="BT1545" s="4" t="s">
        <v>3929</v>
      </c>
      <c r="BU1545" s="4" t="s">
        <v>264</v>
      </c>
      <c r="BV1545" s="4" t="s">
        <v>241</v>
      </c>
      <c r="BW1545" s="4" t="s">
        <v>3931</v>
      </c>
      <c r="BX1545" s="4" t="s">
        <v>3932</v>
      </c>
      <c r="BY1545" s="4" t="s">
        <v>3932</v>
      </c>
      <c r="CA1545" s="5" t="s">
        <v>4119</v>
      </c>
      <c r="CB1545" s="4" t="s">
        <v>263</v>
      </c>
      <c r="CC1545" s="4" t="s">
        <v>241</v>
      </c>
      <c r="CD1545" s="4" t="s">
        <v>241</v>
      </c>
      <c r="CE1545" s="4" t="s">
        <v>264</v>
      </c>
      <c r="CF1545" s="4" t="s">
        <v>241</v>
      </c>
      <c r="CG1545" s="4" t="s">
        <v>241</v>
      </c>
      <c r="CK1545" s="4" t="s">
        <v>241</v>
      </c>
      <c r="CL1545" s="4" t="s">
        <v>241</v>
      </c>
      <c r="CM1545" s="4" t="s">
        <v>278</v>
      </c>
      <c r="CO1545" s="4" t="s">
        <v>241</v>
      </c>
      <c r="CP1545" s="5" t="s">
        <v>268</v>
      </c>
      <c r="CQ1545" s="4" t="s">
        <v>269</v>
      </c>
      <c r="CR1545" s="4" t="s">
        <v>270</v>
      </c>
      <c r="CS1545" s="4" t="s">
        <v>293</v>
      </c>
      <c r="CT1545" s="4" t="s">
        <v>241</v>
      </c>
      <c r="CU1545" s="4">
        <v>0</v>
      </c>
      <c r="CV1545" s="4" t="s">
        <v>271</v>
      </c>
      <c r="CW1545" s="4" t="s">
        <v>332</v>
      </c>
      <c r="CX1545" s="4" t="s">
        <v>295</v>
      </c>
      <c r="CY1545" s="6">
        <f>1492700</f>
        <v>1492700</v>
      </c>
      <c r="CZ1545" s="6">
        <f>1492700</f>
        <v>1492700</v>
      </c>
      <c r="DA1545" s="6">
        <f>1492700</f>
        <v>1492700</v>
      </c>
      <c r="DB1545" s="6" t="s">
        <v>241</v>
      </c>
      <c r="DC1545" s="4" t="s">
        <v>241</v>
      </c>
      <c r="DD1545" s="4" t="s">
        <v>241</v>
      </c>
      <c r="DF1545" s="4" t="s">
        <v>241</v>
      </c>
      <c r="DG1545" s="6">
        <f>0</f>
        <v>0</v>
      </c>
      <c r="DH1545" s="5" t="s">
        <v>241</v>
      </c>
      <c r="DI1545" s="4" t="s">
        <v>241</v>
      </c>
      <c r="DJ1545" s="4" t="s">
        <v>241</v>
      </c>
      <c r="DK1545" s="4" t="s">
        <v>241</v>
      </c>
      <c r="DL1545" s="4" t="s">
        <v>241</v>
      </c>
      <c r="DM1545" s="4" t="s">
        <v>241</v>
      </c>
      <c r="DN1545" s="4" t="s">
        <v>241</v>
      </c>
      <c r="DO1545" s="6" t="s">
        <v>241</v>
      </c>
      <c r="DP1545" s="4" t="s">
        <v>241</v>
      </c>
      <c r="DQ1545" s="4" t="s">
        <v>251</v>
      </c>
      <c r="DR1545" s="4" t="s">
        <v>3926</v>
      </c>
      <c r="DS1545" s="4" t="s">
        <v>3926</v>
      </c>
      <c r="DT1545" s="4" t="s">
        <v>241</v>
      </c>
      <c r="DU1545" s="4" t="s">
        <v>241</v>
      </c>
      <c r="GN1545" s="4" t="s">
        <v>4120</v>
      </c>
      <c r="HR1545" s="4" t="s">
        <v>241</v>
      </c>
      <c r="HS1545" s="4" t="s">
        <v>241</v>
      </c>
      <c r="HT1545" s="4" t="s">
        <v>241</v>
      </c>
      <c r="HU1545" s="4" t="s">
        <v>241</v>
      </c>
      <c r="HV1545" s="4" t="s">
        <v>241</v>
      </c>
      <c r="HW1545" s="4" t="s">
        <v>241</v>
      </c>
      <c r="HX1545" s="4" t="s">
        <v>241</v>
      </c>
      <c r="HY1545" s="4" t="s">
        <v>241</v>
      </c>
      <c r="HZ1545" s="4" t="s">
        <v>241</v>
      </c>
      <c r="IA1545" s="4" t="s">
        <v>241</v>
      </c>
      <c r="IB1545" s="4" t="s">
        <v>241</v>
      </c>
      <c r="IC1545" s="4" t="s">
        <v>241</v>
      </c>
      <c r="ID1545" s="4" t="s">
        <v>241</v>
      </c>
      <c r="IE1545" s="4" t="s">
        <v>241</v>
      </c>
      <c r="IF1545" s="4" t="s">
        <v>241</v>
      </c>
    </row>
    <row r="1546" spans="1:240" x14ac:dyDescent="0.4">
      <c r="A1546" s="4">
        <v>2</v>
      </c>
      <c r="B1546" s="4" t="s">
        <v>239</v>
      </c>
      <c r="C1546" s="4">
        <v>1907</v>
      </c>
      <c r="D1546" s="4">
        <v>1</v>
      </c>
      <c r="E1546" s="4">
        <v>2</v>
      </c>
      <c r="F1546" s="4" t="s">
        <v>241</v>
      </c>
      <c r="I1546" s="4" t="s">
        <v>923</v>
      </c>
      <c r="J1546" s="4" t="s">
        <v>653</v>
      </c>
      <c r="K1546" s="4" t="s">
        <v>256</v>
      </c>
      <c r="L1546" s="4" t="s">
        <v>4103</v>
      </c>
      <c r="M1546" s="5" t="s">
        <v>4111</v>
      </c>
      <c r="N1546" s="4" t="s">
        <v>3976</v>
      </c>
      <c r="O1546" s="6">
        <f>1</f>
        <v>1</v>
      </c>
      <c r="P1546" s="4" t="s">
        <v>3937</v>
      </c>
      <c r="Q1546" s="6">
        <f>320100</f>
        <v>320100</v>
      </c>
      <c r="R1546" s="6">
        <f>320100</f>
        <v>320100</v>
      </c>
      <c r="S1546" s="5" t="s">
        <v>3934</v>
      </c>
      <c r="T1546" s="4" t="s">
        <v>333</v>
      </c>
      <c r="U1546" s="4" t="s">
        <v>241</v>
      </c>
      <c r="V1546" s="6">
        <f>0</f>
        <v>0</v>
      </c>
      <c r="W1546" s="6">
        <f>0</f>
        <v>0</v>
      </c>
      <c r="X1546" s="4" t="s">
        <v>243</v>
      </c>
      <c r="Y1546" s="4" t="s">
        <v>241</v>
      </c>
      <c r="Z1546" s="4" t="s">
        <v>241</v>
      </c>
      <c r="AA1546" s="4" t="s">
        <v>241</v>
      </c>
      <c r="AD1546" s="4" t="s">
        <v>653</v>
      </c>
      <c r="AE1546" s="5" t="s">
        <v>241</v>
      </c>
      <c r="AF1546" s="5" t="s">
        <v>241</v>
      </c>
      <c r="AG1546" s="4" t="s">
        <v>241</v>
      </c>
      <c r="AH1546" s="5" t="s">
        <v>241</v>
      </c>
      <c r="AI1546" s="5" t="s">
        <v>3934</v>
      </c>
      <c r="AJ1546" s="4" t="s">
        <v>251</v>
      </c>
      <c r="AK1546" s="4" t="s">
        <v>241</v>
      </c>
      <c r="AQ1546" s="4" t="s">
        <v>241</v>
      </c>
      <c r="AR1546" s="4" t="s">
        <v>241</v>
      </c>
      <c r="AS1546" s="4" t="s">
        <v>241</v>
      </c>
      <c r="AT1546" s="5" t="s">
        <v>241</v>
      </c>
      <c r="AU1546" s="5" t="s">
        <v>241</v>
      </c>
      <c r="AV1546" s="5" t="s">
        <v>241</v>
      </c>
      <c r="AY1546" s="4" t="s">
        <v>286</v>
      </c>
      <c r="AZ1546" s="4" t="s">
        <v>286</v>
      </c>
      <c r="BA1546" s="4" t="s">
        <v>254</v>
      </c>
      <c r="BB1546" s="4" t="s">
        <v>3924</v>
      </c>
      <c r="BC1546" s="4" t="s">
        <v>255</v>
      </c>
      <c r="BD1546" s="4" t="s">
        <v>241</v>
      </c>
      <c r="BE1546" s="4" t="s">
        <v>257</v>
      </c>
      <c r="BF1546" s="4" t="s">
        <v>3926</v>
      </c>
      <c r="BJ1546" s="4" t="s">
        <v>288</v>
      </c>
      <c r="BK1546" s="5" t="s">
        <v>3934</v>
      </c>
      <c r="BL1546" s="4" t="s">
        <v>3927</v>
      </c>
      <c r="BM1546" s="4" t="s">
        <v>3928</v>
      </c>
      <c r="BN1546" s="4" t="s">
        <v>241</v>
      </c>
      <c r="BO1546" s="6">
        <f>0</f>
        <v>0</v>
      </c>
      <c r="BP1546" s="6">
        <f>320100</f>
        <v>320100</v>
      </c>
      <c r="BQ1546" s="4" t="s">
        <v>263</v>
      </c>
      <c r="BR1546" s="4" t="s">
        <v>264</v>
      </c>
      <c r="BS1546" s="4" t="s">
        <v>427</v>
      </c>
      <c r="BT1546" s="4" t="s">
        <v>3929</v>
      </c>
      <c r="BU1546" s="4" t="s">
        <v>264</v>
      </c>
      <c r="BV1546" s="4" t="s">
        <v>241</v>
      </c>
      <c r="BW1546" s="4" t="s">
        <v>3931</v>
      </c>
      <c r="BX1546" s="4" t="s">
        <v>3932</v>
      </c>
      <c r="BY1546" s="4" t="s">
        <v>3932</v>
      </c>
      <c r="CA1546" s="5" t="s">
        <v>4105</v>
      </c>
      <c r="CB1546" s="4" t="s">
        <v>263</v>
      </c>
      <c r="CC1546" s="4" t="s">
        <v>241</v>
      </c>
      <c r="CD1546" s="4" t="s">
        <v>241</v>
      </c>
      <c r="CE1546" s="4" t="s">
        <v>264</v>
      </c>
      <c r="CF1546" s="4" t="s">
        <v>241</v>
      </c>
      <c r="CG1546" s="4" t="s">
        <v>241</v>
      </c>
      <c r="CK1546" s="4" t="s">
        <v>241</v>
      </c>
      <c r="CL1546" s="4" t="s">
        <v>241</v>
      </c>
      <c r="CM1546" s="4" t="s">
        <v>278</v>
      </c>
      <c r="CO1546" s="4" t="s">
        <v>241</v>
      </c>
      <c r="CP1546" s="5" t="s">
        <v>268</v>
      </c>
      <c r="CQ1546" s="4" t="s">
        <v>269</v>
      </c>
      <c r="CR1546" s="4" t="s">
        <v>270</v>
      </c>
      <c r="CS1546" s="4" t="s">
        <v>293</v>
      </c>
      <c r="CT1546" s="4" t="s">
        <v>241</v>
      </c>
      <c r="CU1546" s="4">
        <v>0</v>
      </c>
      <c r="CV1546" s="4" t="s">
        <v>271</v>
      </c>
      <c r="CW1546" s="4" t="s">
        <v>332</v>
      </c>
      <c r="CX1546" s="4" t="s">
        <v>295</v>
      </c>
      <c r="CY1546" s="6">
        <f>320100</f>
        <v>320100</v>
      </c>
      <c r="CZ1546" s="6">
        <f>320100</f>
        <v>320100</v>
      </c>
      <c r="DA1546" s="6">
        <f>320100</f>
        <v>320100</v>
      </c>
      <c r="DB1546" s="6" t="s">
        <v>241</v>
      </c>
      <c r="DC1546" s="4" t="s">
        <v>241</v>
      </c>
      <c r="DD1546" s="4" t="s">
        <v>241</v>
      </c>
      <c r="DF1546" s="4" t="s">
        <v>241</v>
      </c>
      <c r="DG1546" s="6">
        <f>0</f>
        <v>0</v>
      </c>
      <c r="DH1546" s="5" t="s">
        <v>241</v>
      </c>
      <c r="DI1546" s="4" t="s">
        <v>241</v>
      </c>
      <c r="DJ1546" s="4" t="s">
        <v>241</v>
      </c>
      <c r="DK1546" s="4" t="s">
        <v>241</v>
      </c>
      <c r="DL1546" s="4" t="s">
        <v>241</v>
      </c>
      <c r="DM1546" s="4" t="s">
        <v>241</v>
      </c>
      <c r="DN1546" s="4" t="s">
        <v>241</v>
      </c>
      <c r="DO1546" s="6" t="s">
        <v>241</v>
      </c>
      <c r="DP1546" s="4" t="s">
        <v>241</v>
      </c>
      <c r="DQ1546" s="4" t="s">
        <v>251</v>
      </c>
      <c r="DR1546" s="4" t="s">
        <v>3926</v>
      </c>
      <c r="DS1546" s="4" t="s">
        <v>3926</v>
      </c>
      <c r="DT1546" s="4" t="s">
        <v>241</v>
      </c>
      <c r="DU1546" s="4" t="s">
        <v>241</v>
      </c>
      <c r="GN1546" s="4" t="s">
        <v>4112</v>
      </c>
      <c r="HR1546" s="4" t="s">
        <v>241</v>
      </c>
      <c r="HS1546" s="4" t="s">
        <v>241</v>
      </c>
      <c r="HT1546" s="4" t="s">
        <v>241</v>
      </c>
      <c r="HU1546" s="4" t="s">
        <v>241</v>
      </c>
      <c r="HV1546" s="4" t="s">
        <v>241</v>
      </c>
      <c r="HW1546" s="4" t="s">
        <v>241</v>
      </c>
      <c r="HX1546" s="4" t="s">
        <v>241</v>
      </c>
      <c r="HY1546" s="4" t="s">
        <v>241</v>
      </c>
      <c r="HZ1546" s="4" t="s">
        <v>241</v>
      </c>
      <c r="IA1546" s="4" t="s">
        <v>241</v>
      </c>
      <c r="IB1546" s="4" t="s">
        <v>241</v>
      </c>
      <c r="IC1546" s="4" t="s">
        <v>241</v>
      </c>
      <c r="ID1546" s="4" t="s">
        <v>241</v>
      </c>
      <c r="IE1546" s="4" t="s">
        <v>241</v>
      </c>
      <c r="IF1546" s="4" t="s">
        <v>241</v>
      </c>
    </row>
    <row r="1547" spans="1:240" x14ac:dyDescent="0.4">
      <c r="A1547" s="4">
        <v>2</v>
      </c>
      <c r="B1547" s="4" t="s">
        <v>239</v>
      </c>
      <c r="C1547" s="4">
        <v>1908</v>
      </c>
      <c r="D1547" s="4">
        <v>1</v>
      </c>
      <c r="E1547" s="4">
        <v>2</v>
      </c>
      <c r="F1547" s="4" t="s">
        <v>241</v>
      </c>
      <c r="I1547" s="4" t="s">
        <v>981</v>
      </c>
      <c r="J1547" s="4" t="s">
        <v>653</v>
      </c>
      <c r="K1547" s="4" t="s">
        <v>256</v>
      </c>
      <c r="L1547" s="4" t="s">
        <v>4103</v>
      </c>
      <c r="M1547" s="5" t="s">
        <v>4104</v>
      </c>
      <c r="N1547" s="4" t="s">
        <v>3976</v>
      </c>
      <c r="O1547" s="6">
        <f>1</f>
        <v>1</v>
      </c>
      <c r="P1547" s="4" t="s">
        <v>3937</v>
      </c>
      <c r="Q1547" s="6">
        <f>164450</f>
        <v>164450</v>
      </c>
      <c r="R1547" s="6">
        <f>164450</f>
        <v>164450</v>
      </c>
      <c r="S1547" s="5" t="s">
        <v>3934</v>
      </c>
      <c r="T1547" s="4" t="s">
        <v>333</v>
      </c>
      <c r="U1547" s="4" t="s">
        <v>241</v>
      </c>
      <c r="V1547" s="6">
        <f>0</f>
        <v>0</v>
      </c>
      <c r="W1547" s="6">
        <f>0</f>
        <v>0</v>
      </c>
      <c r="X1547" s="4" t="s">
        <v>243</v>
      </c>
      <c r="Y1547" s="4" t="s">
        <v>241</v>
      </c>
      <c r="Z1547" s="4" t="s">
        <v>241</v>
      </c>
      <c r="AA1547" s="4" t="s">
        <v>241</v>
      </c>
      <c r="AD1547" s="4" t="s">
        <v>653</v>
      </c>
      <c r="AE1547" s="5" t="s">
        <v>241</v>
      </c>
      <c r="AF1547" s="5" t="s">
        <v>241</v>
      </c>
      <c r="AG1547" s="4" t="s">
        <v>241</v>
      </c>
      <c r="AH1547" s="5" t="s">
        <v>241</v>
      </c>
      <c r="AI1547" s="5" t="s">
        <v>3934</v>
      </c>
      <c r="AJ1547" s="4" t="s">
        <v>251</v>
      </c>
      <c r="AK1547" s="4" t="s">
        <v>241</v>
      </c>
      <c r="AQ1547" s="4" t="s">
        <v>241</v>
      </c>
      <c r="AR1547" s="4" t="s">
        <v>241</v>
      </c>
      <c r="AS1547" s="4" t="s">
        <v>241</v>
      </c>
      <c r="AT1547" s="5" t="s">
        <v>241</v>
      </c>
      <c r="AU1547" s="5" t="s">
        <v>241</v>
      </c>
      <c r="AV1547" s="5" t="s">
        <v>241</v>
      </c>
      <c r="AY1547" s="4" t="s">
        <v>286</v>
      </c>
      <c r="AZ1547" s="4" t="s">
        <v>286</v>
      </c>
      <c r="BA1547" s="4" t="s">
        <v>254</v>
      </c>
      <c r="BB1547" s="4" t="s">
        <v>3924</v>
      </c>
      <c r="BC1547" s="4" t="s">
        <v>255</v>
      </c>
      <c r="BD1547" s="4" t="s">
        <v>241</v>
      </c>
      <c r="BE1547" s="4" t="s">
        <v>257</v>
      </c>
      <c r="BF1547" s="4" t="s">
        <v>3926</v>
      </c>
      <c r="BJ1547" s="4" t="s">
        <v>288</v>
      </c>
      <c r="BK1547" s="5" t="s">
        <v>3934</v>
      </c>
      <c r="BL1547" s="4" t="s">
        <v>3927</v>
      </c>
      <c r="BM1547" s="4" t="s">
        <v>3928</v>
      </c>
      <c r="BN1547" s="4" t="s">
        <v>241</v>
      </c>
      <c r="BO1547" s="6">
        <f>0</f>
        <v>0</v>
      </c>
      <c r="BP1547" s="6">
        <f>164450</f>
        <v>164450</v>
      </c>
      <c r="BQ1547" s="4" t="s">
        <v>263</v>
      </c>
      <c r="BR1547" s="4" t="s">
        <v>264</v>
      </c>
      <c r="BS1547" s="4" t="s">
        <v>427</v>
      </c>
      <c r="BT1547" s="4" t="s">
        <v>3929</v>
      </c>
      <c r="BU1547" s="4" t="s">
        <v>264</v>
      </c>
      <c r="BV1547" s="4" t="s">
        <v>241</v>
      </c>
      <c r="BW1547" s="4" t="s">
        <v>3931</v>
      </c>
      <c r="BX1547" s="4" t="s">
        <v>3932</v>
      </c>
      <c r="BY1547" s="4" t="s">
        <v>3932</v>
      </c>
      <c r="CA1547" s="5" t="s">
        <v>4105</v>
      </c>
      <c r="CB1547" s="4" t="s">
        <v>263</v>
      </c>
      <c r="CC1547" s="4" t="s">
        <v>241</v>
      </c>
      <c r="CD1547" s="4" t="s">
        <v>241</v>
      </c>
      <c r="CE1547" s="4" t="s">
        <v>264</v>
      </c>
      <c r="CF1547" s="4" t="s">
        <v>241</v>
      </c>
      <c r="CG1547" s="4" t="s">
        <v>241</v>
      </c>
      <c r="CK1547" s="4" t="s">
        <v>241</v>
      </c>
      <c r="CL1547" s="4" t="s">
        <v>241</v>
      </c>
      <c r="CM1547" s="4" t="s">
        <v>278</v>
      </c>
      <c r="CO1547" s="4" t="s">
        <v>241</v>
      </c>
      <c r="CP1547" s="5" t="s">
        <v>268</v>
      </c>
      <c r="CQ1547" s="4" t="s">
        <v>269</v>
      </c>
      <c r="CR1547" s="4" t="s">
        <v>270</v>
      </c>
      <c r="CS1547" s="4" t="s">
        <v>293</v>
      </c>
      <c r="CT1547" s="4" t="s">
        <v>241</v>
      </c>
      <c r="CU1547" s="4">
        <v>0</v>
      </c>
      <c r="CV1547" s="4" t="s">
        <v>271</v>
      </c>
      <c r="CW1547" s="4" t="s">
        <v>332</v>
      </c>
      <c r="CX1547" s="4" t="s">
        <v>295</v>
      </c>
      <c r="CY1547" s="6">
        <f t="shared" ref="CY1547:DA1548" si="102">164450</f>
        <v>164450</v>
      </c>
      <c r="CZ1547" s="6">
        <f t="shared" si="102"/>
        <v>164450</v>
      </c>
      <c r="DA1547" s="6">
        <f t="shared" si="102"/>
        <v>164450</v>
      </c>
      <c r="DB1547" s="6" t="s">
        <v>241</v>
      </c>
      <c r="DC1547" s="4" t="s">
        <v>241</v>
      </c>
      <c r="DD1547" s="4" t="s">
        <v>241</v>
      </c>
      <c r="DF1547" s="4" t="s">
        <v>241</v>
      </c>
      <c r="DG1547" s="6">
        <f>0</f>
        <v>0</v>
      </c>
      <c r="DH1547" s="5" t="s">
        <v>241</v>
      </c>
      <c r="DI1547" s="4" t="s">
        <v>241</v>
      </c>
      <c r="DJ1547" s="4" t="s">
        <v>241</v>
      </c>
      <c r="DK1547" s="4" t="s">
        <v>241</v>
      </c>
      <c r="DL1547" s="4" t="s">
        <v>241</v>
      </c>
      <c r="DM1547" s="4" t="s">
        <v>241</v>
      </c>
      <c r="DN1547" s="4" t="s">
        <v>241</v>
      </c>
      <c r="DO1547" s="6" t="s">
        <v>241</v>
      </c>
      <c r="DP1547" s="4" t="s">
        <v>241</v>
      </c>
      <c r="DQ1547" s="4" t="s">
        <v>251</v>
      </c>
      <c r="DR1547" s="4" t="s">
        <v>3926</v>
      </c>
      <c r="DS1547" s="4" t="s">
        <v>3926</v>
      </c>
      <c r="DT1547" s="4" t="s">
        <v>241</v>
      </c>
      <c r="DU1547" s="4" t="s">
        <v>241</v>
      </c>
      <c r="GN1547" s="4" t="s">
        <v>4106</v>
      </c>
      <c r="HR1547" s="4" t="s">
        <v>241</v>
      </c>
      <c r="HS1547" s="4" t="s">
        <v>241</v>
      </c>
      <c r="HT1547" s="4" t="s">
        <v>241</v>
      </c>
      <c r="HU1547" s="4" t="s">
        <v>241</v>
      </c>
      <c r="HV1547" s="4" t="s">
        <v>241</v>
      </c>
      <c r="HW1547" s="4" t="s">
        <v>241</v>
      </c>
      <c r="HX1547" s="4" t="s">
        <v>241</v>
      </c>
      <c r="HY1547" s="4" t="s">
        <v>241</v>
      </c>
      <c r="HZ1547" s="4" t="s">
        <v>241</v>
      </c>
      <c r="IA1547" s="4" t="s">
        <v>241</v>
      </c>
      <c r="IB1547" s="4" t="s">
        <v>241</v>
      </c>
      <c r="IC1547" s="4" t="s">
        <v>241</v>
      </c>
      <c r="ID1547" s="4" t="s">
        <v>241</v>
      </c>
      <c r="IE1547" s="4" t="s">
        <v>241</v>
      </c>
      <c r="IF1547" s="4" t="s">
        <v>241</v>
      </c>
    </row>
    <row r="1548" spans="1:240" x14ac:dyDescent="0.4">
      <c r="A1548" s="4">
        <v>2</v>
      </c>
      <c r="B1548" s="4" t="s">
        <v>239</v>
      </c>
      <c r="C1548" s="4">
        <v>1909</v>
      </c>
      <c r="D1548" s="4">
        <v>1</v>
      </c>
      <c r="E1548" s="4">
        <v>2</v>
      </c>
      <c r="F1548" s="4" t="s">
        <v>241</v>
      </c>
      <c r="I1548" s="4" t="s">
        <v>780</v>
      </c>
      <c r="J1548" s="4" t="s">
        <v>653</v>
      </c>
      <c r="K1548" s="4" t="s">
        <v>256</v>
      </c>
      <c r="L1548" s="4" t="s">
        <v>3977</v>
      </c>
      <c r="M1548" s="5" t="s">
        <v>3978</v>
      </c>
      <c r="N1548" s="4" t="s">
        <v>3976</v>
      </c>
      <c r="O1548" s="6">
        <f>1</f>
        <v>1</v>
      </c>
      <c r="P1548" s="4" t="s">
        <v>3937</v>
      </c>
      <c r="Q1548" s="6">
        <f>164450</f>
        <v>164450</v>
      </c>
      <c r="R1548" s="6">
        <f>164450</f>
        <v>164450</v>
      </c>
      <c r="S1548" s="5" t="s">
        <v>3934</v>
      </c>
      <c r="T1548" s="4" t="s">
        <v>333</v>
      </c>
      <c r="U1548" s="4" t="s">
        <v>241</v>
      </c>
      <c r="V1548" s="6">
        <f>0</f>
        <v>0</v>
      </c>
      <c r="W1548" s="6">
        <f>0</f>
        <v>0</v>
      </c>
      <c r="X1548" s="4" t="s">
        <v>243</v>
      </c>
      <c r="Y1548" s="4" t="s">
        <v>241</v>
      </c>
      <c r="Z1548" s="4" t="s">
        <v>241</v>
      </c>
      <c r="AA1548" s="4" t="s">
        <v>241</v>
      </c>
      <c r="AD1548" s="4" t="s">
        <v>653</v>
      </c>
      <c r="AE1548" s="5" t="s">
        <v>241</v>
      </c>
      <c r="AF1548" s="5" t="s">
        <v>241</v>
      </c>
      <c r="AG1548" s="4" t="s">
        <v>241</v>
      </c>
      <c r="AH1548" s="5" t="s">
        <v>241</v>
      </c>
      <c r="AI1548" s="5" t="s">
        <v>3934</v>
      </c>
      <c r="AJ1548" s="4" t="s">
        <v>251</v>
      </c>
      <c r="AK1548" s="4" t="s">
        <v>241</v>
      </c>
      <c r="AQ1548" s="4" t="s">
        <v>241</v>
      </c>
      <c r="AR1548" s="4" t="s">
        <v>241</v>
      </c>
      <c r="AS1548" s="4" t="s">
        <v>241</v>
      </c>
      <c r="AT1548" s="5" t="s">
        <v>241</v>
      </c>
      <c r="AU1548" s="5" t="s">
        <v>241</v>
      </c>
      <c r="AV1548" s="5" t="s">
        <v>241</v>
      </c>
      <c r="AY1548" s="4" t="s">
        <v>286</v>
      </c>
      <c r="AZ1548" s="4" t="s">
        <v>286</v>
      </c>
      <c r="BA1548" s="4" t="s">
        <v>254</v>
      </c>
      <c r="BB1548" s="4" t="s">
        <v>3924</v>
      </c>
      <c r="BC1548" s="4" t="s">
        <v>255</v>
      </c>
      <c r="BD1548" s="4" t="s">
        <v>241</v>
      </c>
      <c r="BE1548" s="4" t="s">
        <v>257</v>
      </c>
      <c r="BF1548" s="4" t="s">
        <v>3926</v>
      </c>
      <c r="BJ1548" s="4" t="s">
        <v>288</v>
      </c>
      <c r="BK1548" s="5" t="s">
        <v>3934</v>
      </c>
      <c r="BL1548" s="4" t="s">
        <v>3927</v>
      </c>
      <c r="BM1548" s="4" t="s">
        <v>3928</v>
      </c>
      <c r="BN1548" s="4" t="s">
        <v>241</v>
      </c>
      <c r="BO1548" s="6">
        <f>0</f>
        <v>0</v>
      </c>
      <c r="BP1548" s="6">
        <f>164450</f>
        <v>164450</v>
      </c>
      <c r="BQ1548" s="4" t="s">
        <v>263</v>
      </c>
      <c r="BR1548" s="4" t="s">
        <v>264</v>
      </c>
      <c r="BS1548" s="4" t="s">
        <v>427</v>
      </c>
      <c r="BT1548" s="4" t="s">
        <v>3948</v>
      </c>
      <c r="BU1548" s="4" t="s">
        <v>264</v>
      </c>
      <c r="BV1548" s="4" t="s">
        <v>241</v>
      </c>
      <c r="BW1548" s="4" t="s">
        <v>3931</v>
      </c>
      <c r="BX1548" s="4" t="s">
        <v>3932</v>
      </c>
      <c r="BY1548" s="4" t="s">
        <v>3932</v>
      </c>
      <c r="CA1548" s="5" t="s">
        <v>3979</v>
      </c>
      <c r="CB1548" s="4" t="s">
        <v>263</v>
      </c>
      <c r="CC1548" s="4" t="s">
        <v>241</v>
      </c>
      <c r="CD1548" s="4" t="s">
        <v>241</v>
      </c>
      <c r="CE1548" s="4" t="s">
        <v>264</v>
      </c>
      <c r="CF1548" s="4" t="s">
        <v>241</v>
      </c>
      <c r="CG1548" s="4" t="s">
        <v>241</v>
      </c>
      <c r="CK1548" s="4" t="s">
        <v>241</v>
      </c>
      <c r="CL1548" s="4" t="s">
        <v>241</v>
      </c>
      <c r="CM1548" s="4" t="s">
        <v>278</v>
      </c>
      <c r="CO1548" s="4" t="s">
        <v>241</v>
      </c>
      <c r="CP1548" s="5" t="s">
        <v>268</v>
      </c>
      <c r="CQ1548" s="4" t="s">
        <v>269</v>
      </c>
      <c r="CR1548" s="4" t="s">
        <v>270</v>
      </c>
      <c r="CS1548" s="4" t="s">
        <v>293</v>
      </c>
      <c r="CT1548" s="4" t="s">
        <v>241</v>
      </c>
      <c r="CU1548" s="4">
        <v>0</v>
      </c>
      <c r="CV1548" s="4" t="s">
        <v>271</v>
      </c>
      <c r="CW1548" s="4" t="s">
        <v>332</v>
      </c>
      <c r="CX1548" s="4" t="s">
        <v>295</v>
      </c>
      <c r="CY1548" s="6">
        <f t="shared" si="102"/>
        <v>164450</v>
      </c>
      <c r="CZ1548" s="6">
        <f t="shared" si="102"/>
        <v>164450</v>
      </c>
      <c r="DA1548" s="6">
        <f t="shared" si="102"/>
        <v>164450</v>
      </c>
      <c r="DB1548" s="6" t="s">
        <v>241</v>
      </c>
      <c r="DC1548" s="4" t="s">
        <v>241</v>
      </c>
      <c r="DD1548" s="4" t="s">
        <v>241</v>
      </c>
      <c r="DF1548" s="4" t="s">
        <v>241</v>
      </c>
      <c r="DG1548" s="6">
        <f>0</f>
        <v>0</v>
      </c>
      <c r="DH1548" s="5" t="s">
        <v>241</v>
      </c>
      <c r="DI1548" s="4" t="s">
        <v>241</v>
      </c>
      <c r="DJ1548" s="4" t="s">
        <v>241</v>
      </c>
      <c r="DK1548" s="4" t="s">
        <v>241</v>
      </c>
      <c r="DL1548" s="4" t="s">
        <v>241</v>
      </c>
      <c r="DM1548" s="4" t="s">
        <v>241</v>
      </c>
      <c r="DN1548" s="4" t="s">
        <v>241</v>
      </c>
      <c r="DO1548" s="6" t="s">
        <v>241</v>
      </c>
      <c r="DP1548" s="4" t="s">
        <v>241</v>
      </c>
      <c r="DQ1548" s="4" t="s">
        <v>251</v>
      </c>
      <c r="DR1548" s="4" t="s">
        <v>3926</v>
      </c>
      <c r="DS1548" s="4" t="s">
        <v>3926</v>
      </c>
      <c r="DT1548" s="4" t="s">
        <v>241</v>
      </c>
      <c r="DU1548" s="4" t="s">
        <v>241</v>
      </c>
      <c r="GN1548" s="4" t="s">
        <v>3980</v>
      </c>
      <c r="HR1548" s="4" t="s">
        <v>241</v>
      </c>
      <c r="HS1548" s="4" t="s">
        <v>241</v>
      </c>
      <c r="HT1548" s="4" t="s">
        <v>241</v>
      </c>
      <c r="HU1548" s="4" t="s">
        <v>241</v>
      </c>
      <c r="HV1548" s="4" t="s">
        <v>241</v>
      </c>
      <c r="HW1548" s="4" t="s">
        <v>241</v>
      </c>
      <c r="HX1548" s="4" t="s">
        <v>241</v>
      </c>
      <c r="HY1548" s="4" t="s">
        <v>241</v>
      </c>
      <c r="HZ1548" s="4" t="s">
        <v>241</v>
      </c>
      <c r="IA1548" s="4" t="s">
        <v>241</v>
      </c>
      <c r="IB1548" s="4" t="s">
        <v>241</v>
      </c>
      <c r="IC1548" s="4" t="s">
        <v>241</v>
      </c>
      <c r="ID1548" s="4" t="s">
        <v>241</v>
      </c>
      <c r="IE1548" s="4" t="s">
        <v>241</v>
      </c>
      <c r="IF1548" s="4" t="s">
        <v>241</v>
      </c>
    </row>
    <row r="1549" spans="1:240" x14ac:dyDescent="0.4">
      <c r="A1549" s="4">
        <v>2</v>
      </c>
      <c r="B1549" s="4" t="s">
        <v>239</v>
      </c>
      <c r="C1549" s="4">
        <v>1911</v>
      </c>
      <c r="D1549" s="4">
        <v>1</v>
      </c>
      <c r="E1549" s="4">
        <v>2</v>
      </c>
      <c r="F1549" s="4" t="s">
        <v>241</v>
      </c>
      <c r="I1549" s="4" t="s">
        <v>241</v>
      </c>
      <c r="J1549" s="4" t="s">
        <v>944</v>
      </c>
      <c r="K1549" s="4" t="s">
        <v>256</v>
      </c>
      <c r="L1549" s="4" t="s">
        <v>241</v>
      </c>
      <c r="N1549" s="4" t="s">
        <v>4017</v>
      </c>
      <c r="O1549" s="6">
        <f>0</f>
        <v>0</v>
      </c>
      <c r="P1549" s="4" t="s">
        <v>276</v>
      </c>
      <c r="Q1549" s="6">
        <f>909700</f>
        <v>909700</v>
      </c>
      <c r="R1549" s="6">
        <f>909700</f>
        <v>909700</v>
      </c>
      <c r="S1549" s="5" t="s">
        <v>289</v>
      </c>
      <c r="T1549" s="4" t="s">
        <v>322</v>
      </c>
      <c r="U1549" s="4" t="s">
        <v>241</v>
      </c>
      <c r="V1549" s="6">
        <f>0</f>
        <v>0</v>
      </c>
      <c r="W1549" s="6">
        <f>0</f>
        <v>0</v>
      </c>
      <c r="X1549" s="4" t="s">
        <v>243</v>
      </c>
      <c r="Y1549" s="4" t="s">
        <v>241</v>
      </c>
      <c r="Z1549" s="4" t="s">
        <v>241</v>
      </c>
      <c r="AA1549" s="4" t="s">
        <v>241</v>
      </c>
      <c r="AD1549" s="4" t="s">
        <v>944</v>
      </c>
      <c r="AE1549" s="5" t="s">
        <v>241</v>
      </c>
      <c r="AF1549" s="5" t="s">
        <v>241</v>
      </c>
      <c r="AG1549" s="4" t="s">
        <v>241</v>
      </c>
      <c r="AH1549" s="5" t="s">
        <v>241</v>
      </c>
      <c r="AI1549" s="5" t="s">
        <v>3925</v>
      </c>
      <c r="AJ1549" s="4" t="s">
        <v>251</v>
      </c>
      <c r="AK1549" s="4" t="s">
        <v>241</v>
      </c>
      <c r="AQ1549" s="4" t="s">
        <v>241</v>
      </c>
      <c r="AR1549" s="4" t="s">
        <v>241</v>
      </c>
      <c r="AS1549" s="4" t="s">
        <v>241</v>
      </c>
      <c r="AT1549" s="5" t="s">
        <v>241</v>
      </c>
      <c r="AU1549" s="5" t="s">
        <v>241</v>
      </c>
      <c r="AV1549" s="5" t="s">
        <v>241</v>
      </c>
      <c r="AY1549" s="4" t="s">
        <v>286</v>
      </c>
      <c r="AZ1549" s="4" t="s">
        <v>286</v>
      </c>
      <c r="BA1549" s="4" t="s">
        <v>254</v>
      </c>
      <c r="BB1549" s="4" t="s">
        <v>3924</v>
      </c>
      <c r="BC1549" s="4" t="s">
        <v>255</v>
      </c>
      <c r="BD1549" s="4" t="s">
        <v>241</v>
      </c>
      <c r="BE1549" s="4" t="s">
        <v>257</v>
      </c>
      <c r="BF1549" s="4" t="s">
        <v>3926</v>
      </c>
      <c r="BJ1549" s="4" t="s">
        <v>288</v>
      </c>
      <c r="BK1549" s="5" t="s">
        <v>3925</v>
      </c>
      <c r="BL1549" s="4" t="s">
        <v>3927</v>
      </c>
      <c r="BM1549" s="4" t="s">
        <v>3928</v>
      </c>
      <c r="BN1549" s="4" t="s">
        <v>241</v>
      </c>
      <c r="BO1549" s="6">
        <f>0</f>
        <v>0</v>
      </c>
      <c r="BP1549" s="6">
        <f>909700</f>
        <v>909700</v>
      </c>
      <c r="BQ1549" s="4" t="s">
        <v>263</v>
      </c>
      <c r="BR1549" s="4" t="s">
        <v>264</v>
      </c>
      <c r="BS1549" s="4" t="s">
        <v>3948</v>
      </c>
      <c r="BT1549" s="4" t="s">
        <v>3929</v>
      </c>
      <c r="BU1549" s="4" t="s">
        <v>3963</v>
      </c>
      <c r="BV1549" s="4" t="s">
        <v>241</v>
      </c>
      <c r="BW1549" s="4" t="s">
        <v>263</v>
      </c>
      <c r="BX1549" s="4" t="s">
        <v>3932</v>
      </c>
      <c r="BY1549" s="4" t="s">
        <v>3932</v>
      </c>
      <c r="CA1549" s="5" t="s">
        <v>4008</v>
      </c>
      <c r="CB1549" s="4" t="s">
        <v>263</v>
      </c>
      <c r="CC1549" s="4" t="s">
        <v>241</v>
      </c>
      <c r="CD1549" s="4" t="s">
        <v>241</v>
      </c>
      <c r="CE1549" s="4" t="s">
        <v>264</v>
      </c>
      <c r="CF1549" s="4" t="s">
        <v>241</v>
      </c>
      <c r="CG1549" s="4" t="s">
        <v>241</v>
      </c>
      <c r="CK1549" s="4" t="s">
        <v>241</v>
      </c>
      <c r="CL1549" s="4" t="s">
        <v>241</v>
      </c>
      <c r="CM1549" s="4" t="s">
        <v>278</v>
      </c>
      <c r="CO1549" s="4" t="s">
        <v>241</v>
      </c>
      <c r="CP1549" s="5" t="s">
        <v>268</v>
      </c>
      <c r="CQ1549" s="4" t="s">
        <v>269</v>
      </c>
      <c r="CR1549" s="4" t="s">
        <v>270</v>
      </c>
      <c r="CS1549" s="4" t="s">
        <v>293</v>
      </c>
      <c r="CT1549" s="4" t="s">
        <v>241</v>
      </c>
      <c r="CU1549" s="4">
        <v>0</v>
      </c>
      <c r="CV1549" s="4" t="s">
        <v>271</v>
      </c>
      <c r="CW1549" s="4" t="s">
        <v>415</v>
      </c>
      <c r="CX1549" s="4" t="s">
        <v>428</v>
      </c>
      <c r="CY1549" s="6">
        <f>0</f>
        <v>0</v>
      </c>
      <c r="CZ1549" s="6">
        <f>909700</f>
        <v>909700</v>
      </c>
      <c r="DA1549" s="6">
        <f>909700</f>
        <v>909700</v>
      </c>
      <c r="DB1549" s="6" t="s">
        <v>241</v>
      </c>
      <c r="DC1549" s="4" t="s">
        <v>241</v>
      </c>
      <c r="DD1549" s="4" t="s">
        <v>241</v>
      </c>
      <c r="DF1549" s="4" t="s">
        <v>241</v>
      </c>
      <c r="DG1549" s="6">
        <f>0</f>
        <v>0</v>
      </c>
      <c r="DH1549" s="5" t="s">
        <v>241</v>
      </c>
      <c r="DI1549" s="4" t="s">
        <v>241</v>
      </c>
      <c r="DJ1549" s="4" t="s">
        <v>241</v>
      </c>
      <c r="DK1549" s="4" t="s">
        <v>241</v>
      </c>
      <c r="DL1549" s="4" t="s">
        <v>241</v>
      </c>
      <c r="DM1549" s="4" t="s">
        <v>241</v>
      </c>
      <c r="DN1549" s="4" t="s">
        <v>241</v>
      </c>
      <c r="DO1549" s="6" t="s">
        <v>241</v>
      </c>
      <c r="DP1549" s="4" t="s">
        <v>241</v>
      </c>
      <c r="DQ1549" s="4" t="s">
        <v>251</v>
      </c>
      <c r="DR1549" s="4" t="s">
        <v>3926</v>
      </c>
      <c r="DS1549" s="4" t="s">
        <v>3926</v>
      </c>
      <c r="DT1549" s="4" t="s">
        <v>241</v>
      </c>
      <c r="DU1549" s="4" t="s">
        <v>241</v>
      </c>
      <c r="GN1549" s="4" t="s">
        <v>4018</v>
      </c>
      <c r="HR1549" s="4" t="s">
        <v>241</v>
      </c>
      <c r="HS1549" s="4" t="s">
        <v>241</v>
      </c>
      <c r="HT1549" s="4" t="s">
        <v>241</v>
      </c>
      <c r="HU1549" s="4" t="s">
        <v>241</v>
      </c>
      <c r="HV1549" s="4" t="s">
        <v>241</v>
      </c>
      <c r="HW1549" s="4" t="s">
        <v>241</v>
      </c>
      <c r="HX1549" s="4" t="s">
        <v>241</v>
      </c>
      <c r="HY1549" s="4" t="s">
        <v>241</v>
      </c>
      <c r="HZ1549" s="4" t="s">
        <v>241</v>
      </c>
      <c r="IA1549" s="4" t="s">
        <v>241</v>
      </c>
      <c r="IB1549" s="4" t="s">
        <v>241</v>
      </c>
      <c r="IC1549" s="4" t="s">
        <v>241</v>
      </c>
      <c r="ID1549" s="4" t="s">
        <v>241</v>
      </c>
      <c r="IE1549" s="4" t="s">
        <v>241</v>
      </c>
      <c r="IF1549" s="4" t="s">
        <v>241</v>
      </c>
    </row>
    <row r="1550" spans="1:240" x14ac:dyDescent="0.4">
      <c r="A1550" s="4">
        <v>2</v>
      </c>
      <c r="B1550" s="4" t="s">
        <v>239</v>
      </c>
      <c r="C1550" s="4">
        <v>1912</v>
      </c>
      <c r="D1550" s="4">
        <v>1</v>
      </c>
      <c r="E1550" s="4">
        <v>2</v>
      </c>
      <c r="F1550" s="4" t="s">
        <v>241</v>
      </c>
      <c r="I1550" s="4" t="s">
        <v>241</v>
      </c>
      <c r="J1550" s="4" t="s">
        <v>944</v>
      </c>
      <c r="K1550" s="4" t="s">
        <v>256</v>
      </c>
      <c r="L1550" s="4" t="s">
        <v>241</v>
      </c>
      <c r="N1550" s="4" t="s">
        <v>4007</v>
      </c>
      <c r="O1550" s="6">
        <f>0</f>
        <v>0</v>
      </c>
      <c r="P1550" s="4" t="s">
        <v>276</v>
      </c>
      <c r="Q1550" s="6">
        <f>808500</f>
        <v>808500</v>
      </c>
      <c r="R1550" s="6">
        <f>808500</f>
        <v>808500</v>
      </c>
      <c r="S1550" s="5" t="s">
        <v>289</v>
      </c>
      <c r="T1550" s="4" t="s">
        <v>322</v>
      </c>
      <c r="U1550" s="4" t="s">
        <v>241</v>
      </c>
      <c r="V1550" s="6">
        <f>0</f>
        <v>0</v>
      </c>
      <c r="W1550" s="6">
        <f>0</f>
        <v>0</v>
      </c>
      <c r="X1550" s="4" t="s">
        <v>243</v>
      </c>
      <c r="Y1550" s="4" t="s">
        <v>241</v>
      </c>
      <c r="Z1550" s="4" t="s">
        <v>241</v>
      </c>
      <c r="AA1550" s="4" t="s">
        <v>241</v>
      </c>
      <c r="AD1550" s="4" t="s">
        <v>944</v>
      </c>
      <c r="AE1550" s="5" t="s">
        <v>241</v>
      </c>
      <c r="AF1550" s="5" t="s">
        <v>241</v>
      </c>
      <c r="AG1550" s="4" t="s">
        <v>241</v>
      </c>
      <c r="AH1550" s="5" t="s">
        <v>241</v>
      </c>
      <c r="AI1550" s="5" t="s">
        <v>3925</v>
      </c>
      <c r="AJ1550" s="4" t="s">
        <v>251</v>
      </c>
      <c r="AK1550" s="4" t="s">
        <v>241</v>
      </c>
      <c r="AQ1550" s="4" t="s">
        <v>241</v>
      </c>
      <c r="AR1550" s="4" t="s">
        <v>241</v>
      </c>
      <c r="AS1550" s="4" t="s">
        <v>241</v>
      </c>
      <c r="AT1550" s="5" t="s">
        <v>241</v>
      </c>
      <c r="AU1550" s="5" t="s">
        <v>241</v>
      </c>
      <c r="AV1550" s="5" t="s">
        <v>241</v>
      </c>
      <c r="AY1550" s="4" t="s">
        <v>286</v>
      </c>
      <c r="AZ1550" s="4" t="s">
        <v>286</v>
      </c>
      <c r="BA1550" s="4" t="s">
        <v>254</v>
      </c>
      <c r="BB1550" s="4" t="s">
        <v>3924</v>
      </c>
      <c r="BC1550" s="4" t="s">
        <v>255</v>
      </c>
      <c r="BD1550" s="4" t="s">
        <v>241</v>
      </c>
      <c r="BE1550" s="4" t="s">
        <v>257</v>
      </c>
      <c r="BF1550" s="4" t="s">
        <v>3926</v>
      </c>
      <c r="BJ1550" s="4" t="s">
        <v>288</v>
      </c>
      <c r="BK1550" s="5" t="s">
        <v>3925</v>
      </c>
      <c r="BL1550" s="4" t="s">
        <v>3927</v>
      </c>
      <c r="BM1550" s="4" t="s">
        <v>3928</v>
      </c>
      <c r="BN1550" s="4" t="s">
        <v>241</v>
      </c>
      <c r="BO1550" s="6">
        <f>0</f>
        <v>0</v>
      </c>
      <c r="BP1550" s="6">
        <f>808500</f>
        <v>808500</v>
      </c>
      <c r="BQ1550" s="4" t="s">
        <v>263</v>
      </c>
      <c r="BR1550" s="4" t="s">
        <v>264</v>
      </c>
      <c r="BS1550" s="4" t="s">
        <v>3948</v>
      </c>
      <c r="BT1550" s="4" t="s">
        <v>3929</v>
      </c>
      <c r="BU1550" s="4" t="s">
        <v>3963</v>
      </c>
      <c r="BV1550" s="4" t="s">
        <v>241</v>
      </c>
      <c r="BW1550" s="4" t="s">
        <v>263</v>
      </c>
      <c r="BX1550" s="4" t="s">
        <v>3932</v>
      </c>
      <c r="BY1550" s="4" t="s">
        <v>3932</v>
      </c>
      <c r="CA1550" s="5" t="s">
        <v>4008</v>
      </c>
      <c r="CB1550" s="4" t="s">
        <v>263</v>
      </c>
      <c r="CC1550" s="4" t="s">
        <v>241</v>
      </c>
      <c r="CD1550" s="4" t="s">
        <v>241</v>
      </c>
      <c r="CE1550" s="4" t="s">
        <v>264</v>
      </c>
      <c r="CF1550" s="4" t="s">
        <v>241</v>
      </c>
      <c r="CG1550" s="4" t="s">
        <v>241</v>
      </c>
      <c r="CK1550" s="4" t="s">
        <v>241</v>
      </c>
      <c r="CL1550" s="4" t="s">
        <v>241</v>
      </c>
      <c r="CM1550" s="4" t="s">
        <v>278</v>
      </c>
      <c r="CO1550" s="4" t="s">
        <v>241</v>
      </c>
      <c r="CP1550" s="5" t="s">
        <v>268</v>
      </c>
      <c r="CQ1550" s="4" t="s">
        <v>269</v>
      </c>
      <c r="CR1550" s="4" t="s">
        <v>270</v>
      </c>
      <c r="CS1550" s="4" t="s">
        <v>293</v>
      </c>
      <c r="CT1550" s="4" t="s">
        <v>241</v>
      </c>
      <c r="CU1550" s="4">
        <v>0</v>
      </c>
      <c r="CV1550" s="4" t="s">
        <v>271</v>
      </c>
      <c r="CW1550" s="4" t="s">
        <v>415</v>
      </c>
      <c r="CX1550" s="4" t="s">
        <v>2779</v>
      </c>
      <c r="CY1550" s="6">
        <f>0</f>
        <v>0</v>
      </c>
      <c r="CZ1550" s="6">
        <f>808500</f>
        <v>808500</v>
      </c>
      <c r="DA1550" s="6">
        <f>808500</f>
        <v>808500</v>
      </c>
      <c r="DB1550" s="6" t="s">
        <v>241</v>
      </c>
      <c r="DC1550" s="4" t="s">
        <v>241</v>
      </c>
      <c r="DD1550" s="4" t="s">
        <v>241</v>
      </c>
      <c r="DF1550" s="4" t="s">
        <v>241</v>
      </c>
      <c r="DG1550" s="6">
        <f>0</f>
        <v>0</v>
      </c>
      <c r="DH1550" s="5" t="s">
        <v>241</v>
      </c>
      <c r="DI1550" s="4" t="s">
        <v>241</v>
      </c>
      <c r="DJ1550" s="4" t="s">
        <v>241</v>
      </c>
      <c r="DK1550" s="4" t="s">
        <v>241</v>
      </c>
      <c r="DL1550" s="4" t="s">
        <v>241</v>
      </c>
      <c r="DM1550" s="4" t="s">
        <v>241</v>
      </c>
      <c r="DN1550" s="4" t="s">
        <v>241</v>
      </c>
      <c r="DO1550" s="6" t="s">
        <v>241</v>
      </c>
      <c r="DP1550" s="4" t="s">
        <v>241</v>
      </c>
      <c r="DQ1550" s="4" t="s">
        <v>251</v>
      </c>
      <c r="DR1550" s="4" t="s">
        <v>3926</v>
      </c>
      <c r="DS1550" s="4" t="s">
        <v>3926</v>
      </c>
      <c r="DT1550" s="4" t="s">
        <v>241</v>
      </c>
      <c r="DU1550" s="4" t="s">
        <v>241</v>
      </c>
      <c r="GN1550" s="4" t="s">
        <v>4009</v>
      </c>
      <c r="HR1550" s="4" t="s">
        <v>241</v>
      </c>
      <c r="HS1550" s="4" t="s">
        <v>241</v>
      </c>
      <c r="HT1550" s="4" t="s">
        <v>241</v>
      </c>
      <c r="HU1550" s="4" t="s">
        <v>241</v>
      </c>
      <c r="HV1550" s="4" t="s">
        <v>241</v>
      </c>
      <c r="HW1550" s="4" t="s">
        <v>241</v>
      </c>
      <c r="HX1550" s="4" t="s">
        <v>241</v>
      </c>
      <c r="HY1550" s="4" t="s">
        <v>241</v>
      </c>
      <c r="HZ1550" s="4" t="s">
        <v>241</v>
      </c>
      <c r="IA1550" s="4" t="s">
        <v>241</v>
      </c>
      <c r="IB1550" s="4" t="s">
        <v>241</v>
      </c>
      <c r="IC1550" s="4" t="s">
        <v>241</v>
      </c>
      <c r="ID1550" s="4" t="s">
        <v>241</v>
      </c>
      <c r="IE1550" s="4" t="s">
        <v>241</v>
      </c>
      <c r="IF1550" s="4" t="s">
        <v>241</v>
      </c>
    </row>
    <row r="1551" spans="1:240" x14ac:dyDescent="0.4">
      <c r="A1551" s="4">
        <v>2</v>
      </c>
      <c r="B1551" s="4" t="s">
        <v>239</v>
      </c>
      <c r="C1551" s="4">
        <v>1913</v>
      </c>
      <c r="D1551" s="4">
        <v>1</v>
      </c>
      <c r="E1551" s="4">
        <v>2</v>
      </c>
      <c r="F1551" s="4" t="s">
        <v>241</v>
      </c>
      <c r="I1551" s="4" t="s">
        <v>241</v>
      </c>
      <c r="J1551" s="4" t="s">
        <v>944</v>
      </c>
      <c r="K1551" s="4" t="s">
        <v>256</v>
      </c>
      <c r="L1551" s="4" t="s">
        <v>241</v>
      </c>
      <c r="N1551" s="4" t="s">
        <v>3962</v>
      </c>
      <c r="O1551" s="6">
        <f>0</f>
        <v>0</v>
      </c>
      <c r="P1551" s="4" t="s">
        <v>276</v>
      </c>
      <c r="Q1551" s="6">
        <f>858000</f>
        <v>858000</v>
      </c>
      <c r="R1551" s="6">
        <f>858000</f>
        <v>858000</v>
      </c>
      <c r="S1551" s="5" t="s">
        <v>289</v>
      </c>
      <c r="T1551" s="4" t="s">
        <v>322</v>
      </c>
      <c r="U1551" s="4" t="s">
        <v>241</v>
      </c>
      <c r="V1551" s="6">
        <f>0</f>
        <v>0</v>
      </c>
      <c r="W1551" s="6">
        <f>0</f>
        <v>0</v>
      </c>
      <c r="X1551" s="4" t="s">
        <v>243</v>
      </c>
      <c r="Y1551" s="4" t="s">
        <v>241</v>
      </c>
      <c r="Z1551" s="4" t="s">
        <v>241</v>
      </c>
      <c r="AA1551" s="4" t="s">
        <v>241</v>
      </c>
      <c r="AD1551" s="4" t="s">
        <v>944</v>
      </c>
      <c r="AE1551" s="5" t="s">
        <v>241</v>
      </c>
      <c r="AF1551" s="5" t="s">
        <v>241</v>
      </c>
      <c r="AG1551" s="4" t="s">
        <v>241</v>
      </c>
      <c r="AH1551" s="5" t="s">
        <v>241</v>
      </c>
      <c r="AI1551" s="5" t="s">
        <v>3925</v>
      </c>
      <c r="AJ1551" s="4" t="s">
        <v>251</v>
      </c>
      <c r="AK1551" s="4" t="s">
        <v>241</v>
      </c>
      <c r="AQ1551" s="4" t="s">
        <v>241</v>
      </c>
      <c r="AR1551" s="4" t="s">
        <v>241</v>
      </c>
      <c r="AS1551" s="4" t="s">
        <v>241</v>
      </c>
      <c r="AT1551" s="5" t="s">
        <v>241</v>
      </c>
      <c r="AU1551" s="5" t="s">
        <v>241</v>
      </c>
      <c r="AV1551" s="5" t="s">
        <v>241</v>
      </c>
      <c r="AY1551" s="4" t="s">
        <v>286</v>
      </c>
      <c r="AZ1551" s="4" t="s">
        <v>286</v>
      </c>
      <c r="BA1551" s="4" t="s">
        <v>254</v>
      </c>
      <c r="BB1551" s="4" t="s">
        <v>3924</v>
      </c>
      <c r="BC1551" s="4" t="s">
        <v>255</v>
      </c>
      <c r="BD1551" s="4" t="s">
        <v>241</v>
      </c>
      <c r="BE1551" s="4" t="s">
        <v>257</v>
      </c>
      <c r="BF1551" s="4" t="s">
        <v>3926</v>
      </c>
      <c r="BJ1551" s="4" t="s">
        <v>288</v>
      </c>
      <c r="BK1551" s="5" t="s">
        <v>3925</v>
      </c>
      <c r="BL1551" s="4" t="s">
        <v>3927</v>
      </c>
      <c r="BM1551" s="4" t="s">
        <v>3928</v>
      </c>
      <c r="BN1551" s="4" t="s">
        <v>241</v>
      </c>
      <c r="BO1551" s="6">
        <f>0</f>
        <v>0</v>
      </c>
      <c r="BP1551" s="6">
        <f>858000</f>
        <v>858000</v>
      </c>
      <c r="BQ1551" s="4" t="s">
        <v>263</v>
      </c>
      <c r="BR1551" s="4" t="s">
        <v>264</v>
      </c>
      <c r="BS1551" s="4" t="s">
        <v>3948</v>
      </c>
      <c r="BT1551" s="4" t="s">
        <v>3929</v>
      </c>
      <c r="BU1551" s="4" t="s">
        <v>3963</v>
      </c>
      <c r="BV1551" s="4" t="s">
        <v>241</v>
      </c>
      <c r="BW1551" s="4" t="s">
        <v>263</v>
      </c>
      <c r="BX1551" s="4" t="s">
        <v>3932</v>
      </c>
      <c r="BY1551" s="4" t="s">
        <v>3932</v>
      </c>
      <c r="CA1551" s="5" t="s">
        <v>3964</v>
      </c>
      <c r="CB1551" s="4" t="s">
        <v>263</v>
      </c>
      <c r="CC1551" s="4" t="s">
        <v>241</v>
      </c>
      <c r="CD1551" s="4" t="s">
        <v>241</v>
      </c>
      <c r="CE1551" s="4" t="s">
        <v>264</v>
      </c>
      <c r="CF1551" s="4" t="s">
        <v>241</v>
      </c>
      <c r="CG1551" s="4" t="s">
        <v>241</v>
      </c>
      <c r="CK1551" s="4" t="s">
        <v>241</v>
      </c>
      <c r="CL1551" s="4" t="s">
        <v>241</v>
      </c>
      <c r="CM1551" s="4" t="s">
        <v>278</v>
      </c>
      <c r="CO1551" s="4" t="s">
        <v>241</v>
      </c>
      <c r="CP1551" s="5" t="s">
        <v>268</v>
      </c>
      <c r="CQ1551" s="4" t="s">
        <v>269</v>
      </c>
      <c r="CR1551" s="4" t="s">
        <v>270</v>
      </c>
      <c r="CS1551" s="4" t="s">
        <v>293</v>
      </c>
      <c r="CT1551" s="4" t="s">
        <v>241</v>
      </c>
      <c r="CU1551" s="4">
        <v>0</v>
      </c>
      <c r="CV1551" s="4" t="s">
        <v>271</v>
      </c>
      <c r="CW1551" s="4" t="s">
        <v>415</v>
      </c>
      <c r="CX1551" s="4" t="s">
        <v>428</v>
      </c>
      <c r="CY1551" s="6">
        <f>0</f>
        <v>0</v>
      </c>
      <c r="CZ1551" s="6">
        <f>858000</f>
        <v>858000</v>
      </c>
      <c r="DA1551" s="6">
        <f>858000</f>
        <v>858000</v>
      </c>
      <c r="DB1551" s="6" t="s">
        <v>241</v>
      </c>
      <c r="DC1551" s="4" t="s">
        <v>241</v>
      </c>
      <c r="DD1551" s="4" t="s">
        <v>241</v>
      </c>
      <c r="DF1551" s="4" t="s">
        <v>241</v>
      </c>
      <c r="DG1551" s="6">
        <f>0</f>
        <v>0</v>
      </c>
      <c r="DH1551" s="5" t="s">
        <v>241</v>
      </c>
      <c r="DI1551" s="4" t="s">
        <v>241</v>
      </c>
      <c r="DJ1551" s="4" t="s">
        <v>241</v>
      </c>
      <c r="DK1551" s="4" t="s">
        <v>241</v>
      </c>
      <c r="DL1551" s="4" t="s">
        <v>241</v>
      </c>
      <c r="DM1551" s="4" t="s">
        <v>241</v>
      </c>
      <c r="DN1551" s="4" t="s">
        <v>241</v>
      </c>
      <c r="DO1551" s="6" t="s">
        <v>241</v>
      </c>
      <c r="DP1551" s="4" t="s">
        <v>241</v>
      </c>
      <c r="DQ1551" s="4" t="s">
        <v>251</v>
      </c>
      <c r="DR1551" s="4" t="s">
        <v>3926</v>
      </c>
      <c r="DS1551" s="4" t="s">
        <v>3926</v>
      </c>
      <c r="DT1551" s="4" t="s">
        <v>241</v>
      </c>
      <c r="DU1551" s="4" t="s">
        <v>241</v>
      </c>
      <c r="GN1551" s="4" t="s">
        <v>3965</v>
      </c>
      <c r="HR1551" s="4" t="s">
        <v>241</v>
      </c>
      <c r="HS1551" s="4" t="s">
        <v>241</v>
      </c>
      <c r="HT1551" s="4" t="s">
        <v>241</v>
      </c>
      <c r="HU1551" s="4" t="s">
        <v>241</v>
      </c>
      <c r="HV1551" s="4" t="s">
        <v>241</v>
      </c>
      <c r="HW1551" s="4" t="s">
        <v>241</v>
      </c>
      <c r="HX1551" s="4" t="s">
        <v>241</v>
      </c>
      <c r="HY1551" s="4" t="s">
        <v>241</v>
      </c>
      <c r="HZ1551" s="4" t="s">
        <v>241</v>
      </c>
      <c r="IA1551" s="4" t="s">
        <v>241</v>
      </c>
      <c r="IB1551" s="4" t="s">
        <v>241</v>
      </c>
      <c r="IC1551" s="4" t="s">
        <v>241</v>
      </c>
      <c r="ID1551" s="4" t="s">
        <v>241</v>
      </c>
      <c r="IE1551" s="4" t="s">
        <v>241</v>
      </c>
      <c r="IF1551" s="4" t="s">
        <v>241</v>
      </c>
    </row>
    <row r="1552" spans="1:240" x14ac:dyDescent="0.4">
      <c r="A1552" s="4">
        <v>2</v>
      </c>
      <c r="B1552" s="4" t="s">
        <v>239</v>
      </c>
      <c r="C1552" s="4">
        <v>1914</v>
      </c>
      <c r="D1552" s="4">
        <v>1</v>
      </c>
      <c r="E1552" s="4">
        <v>2</v>
      </c>
      <c r="F1552" s="4" t="s">
        <v>241</v>
      </c>
      <c r="I1552" s="4" t="s">
        <v>241</v>
      </c>
      <c r="J1552" s="4" t="s">
        <v>944</v>
      </c>
      <c r="K1552" s="4" t="s">
        <v>256</v>
      </c>
      <c r="L1552" s="4" t="s">
        <v>241</v>
      </c>
      <c r="N1552" s="4" t="s">
        <v>3996</v>
      </c>
      <c r="O1552" s="6">
        <f>0</f>
        <v>0</v>
      </c>
      <c r="P1552" s="4" t="s">
        <v>276</v>
      </c>
      <c r="Q1552" s="6">
        <f>462000</f>
        <v>462000</v>
      </c>
      <c r="R1552" s="6">
        <f>462000</f>
        <v>462000</v>
      </c>
      <c r="S1552" s="5" t="s">
        <v>289</v>
      </c>
      <c r="T1552" s="4" t="s">
        <v>322</v>
      </c>
      <c r="U1552" s="4" t="s">
        <v>241</v>
      </c>
      <c r="V1552" s="6">
        <f>0</f>
        <v>0</v>
      </c>
      <c r="W1552" s="6">
        <f>0</f>
        <v>0</v>
      </c>
      <c r="X1552" s="4" t="s">
        <v>243</v>
      </c>
      <c r="Y1552" s="4" t="s">
        <v>241</v>
      </c>
      <c r="Z1552" s="4" t="s">
        <v>241</v>
      </c>
      <c r="AA1552" s="4" t="s">
        <v>241</v>
      </c>
      <c r="AD1552" s="4" t="s">
        <v>944</v>
      </c>
      <c r="AE1552" s="5" t="s">
        <v>241</v>
      </c>
      <c r="AF1552" s="5" t="s">
        <v>241</v>
      </c>
      <c r="AG1552" s="4" t="s">
        <v>241</v>
      </c>
      <c r="AH1552" s="5" t="s">
        <v>241</v>
      </c>
      <c r="AI1552" s="5" t="s">
        <v>3925</v>
      </c>
      <c r="AJ1552" s="4" t="s">
        <v>251</v>
      </c>
      <c r="AK1552" s="4" t="s">
        <v>241</v>
      </c>
      <c r="AQ1552" s="4" t="s">
        <v>241</v>
      </c>
      <c r="AR1552" s="4" t="s">
        <v>241</v>
      </c>
      <c r="AS1552" s="4" t="s">
        <v>241</v>
      </c>
      <c r="AT1552" s="5" t="s">
        <v>241</v>
      </c>
      <c r="AU1552" s="5" t="s">
        <v>241</v>
      </c>
      <c r="AV1552" s="5" t="s">
        <v>241</v>
      </c>
      <c r="AY1552" s="4" t="s">
        <v>286</v>
      </c>
      <c r="AZ1552" s="4" t="s">
        <v>286</v>
      </c>
      <c r="BA1552" s="4" t="s">
        <v>254</v>
      </c>
      <c r="BB1552" s="4" t="s">
        <v>3924</v>
      </c>
      <c r="BC1552" s="4" t="s">
        <v>255</v>
      </c>
      <c r="BD1552" s="4" t="s">
        <v>241</v>
      </c>
      <c r="BE1552" s="4" t="s">
        <v>257</v>
      </c>
      <c r="BF1552" s="4" t="s">
        <v>3926</v>
      </c>
      <c r="BJ1552" s="4" t="s">
        <v>288</v>
      </c>
      <c r="BK1552" s="5" t="s">
        <v>3925</v>
      </c>
      <c r="BL1552" s="4" t="s">
        <v>3927</v>
      </c>
      <c r="BM1552" s="4" t="s">
        <v>3928</v>
      </c>
      <c r="BN1552" s="4" t="s">
        <v>241</v>
      </c>
      <c r="BO1552" s="6">
        <f>0</f>
        <v>0</v>
      </c>
      <c r="BP1552" s="6">
        <f>462000</f>
        <v>462000</v>
      </c>
      <c r="BQ1552" s="4" t="s">
        <v>263</v>
      </c>
      <c r="BR1552" s="4" t="s">
        <v>264</v>
      </c>
      <c r="BS1552" s="4" t="s">
        <v>3948</v>
      </c>
      <c r="BT1552" s="4" t="s">
        <v>3929</v>
      </c>
      <c r="BU1552" s="4" t="s">
        <v>3963</v>
      </c>
      <c r="BV1552" s="4" t="s">
        <v>241</v>
      </c>
      <c r="BW1552" s="4" t="s">
        <v>263</v>
      </c>
      <c r="BX1552" s="4" t="s">
        <v>3932</v>
      </c>
      <c r="BY1552" s="4" t="s">
        <v>3932</v>
      </c>
      <c r="CA1552" s="5" t="s">
        <v>3964</v>
      </c>
      <c r="CB1552" s="4" t="s">
        <v>263</v>
      </c>
      <c r="CC1552" s="4" t="s">
        <v>241</v>
      </c>
      <c r="CD1552" s="4" t="s">
        <v>241</v>
      </c>
      <c r="CE1552" s="4" t="s">
        <v>264</v>
      </c>
      <c r="CF1552" s="4" t="s">
        <v>241</v>
      </c>
      <c r="CG1552" s="4" t="s">
        <v>241</v>
      </c>
      <c r="CK1552" s="4" t="s">
        <v>241</v>
      </c>
      <c r="CL1552" s="4" t="s">
        <v>241</v>
      </c>
      <c r="CM1552" s="4" t="s">
        <v>278</v>
      </c>
      <c r="CO1552" s="4" t="s">
        <v>241</v>
      </c>
      <c r="CP1552" s="5" t="s">
        <v>268</v>
      </c>
      <c r="CQ1552" s="4" t="s">
        <v>269</v>
      </c>
      <c r="CR1552" s="4" t="s">
        <v>270</v>
      </c>
      <c r="CS1552" s="4" t="s">
        <v>293</v>
      </c>
      <c r="CT1552" s="4" t="s">
        <v>241</v>
      </c>
      <c r="CU1552" s="4">
        <v>0</v>
      </c>
      <c r="CV1552" s="4" t="s">
        <v>271</v>
      </c>
      <c r="CW1552" s="4" t="s">
        <v>415</v>
      </c>
      <c r="CX1552" s="4" t="s">
        <v>428</v>
      </c>
      <c r="CY1552" s="6">
        <f>0</f>
        <v>0</v>
      </c>
      <c r="CZ1552" s="6">
        <f>462000</f>
        <v>462000</v>
      </c>
      <c r="DA1552" s="6">
        <f>462000</f>
        <v>462000</v>
      </c>
      <c r="DB1552" s="6" t="s">
        <v>241</v>
      </c>
      <c r="DC1552" s="4" t="s">
        <v>241</v>
      </c>
      <c r="DD1552" s="4" t="s">
        <v>241</v>
      </c>
      <c r="DF1552" s="4" t="s">
        <v>241</v>
      </c>
      <c r="DG1552" s="6">
        <f>0</f>
        <v>0</v>
      </c>
      <c r="DH1552" s="5" t="s">
        <v>241</v>
      </c>
      <c r="DI1552" s="4" t="s">
        <v>241</v>
      </c>
      <c r="DJ1552" s="4" t="s">
        <v>241</v>
      </c>
      <c r="DK1552" s="4" t="s">
        <v>241</v>
      </c>
      <c r="DL1552" s="4" t="s">
        <v>241</v>
      </c>
      <c r="DM1552" s="4" t="s">
        <v>241</v>
      </c>
      <c r="DN1552" s="4" t="s">
        <v>241</v>
      </c>
      <c r="DO1552" s="6" t="s">
        <v>241</v>
      </c>
      <c r="DP1552" s="4" t="s">
        <v>241</v>
      </c>
      <c r="DQ1552" s="4" t="s">
        <v>251</v>
      </c>
      <c r="DR1552" s="4" t="s">
        <v>3926</v>
      </c>
      <c r="DS1552" s="4" t="s">
        <v>3926</v>
      </c>
      <c r="DT1552" s="4" t="s">
        <v>241</v>
      </c>
      <c r="DU1552" s="4" t="s">
        <v>241</v>
      </c>
      <c r="GN1552" s="4" t="s">
        <v>3997</v>
      </c>
      <c r="HR1552" s="4" t="s">
        <v>241</v>
      </c>
      <c r="HS1552" s="4" t="s">
        <v>241</v>
      </c>
      <c r="HT1552" s="4" t="s">
        <v>241</v>
      </c>
      <c r="HU1552" s="4" t="s">
        <v>241</v>
      </c>
      <c r="HV1552" s="4" t="s">
        <v>241</v>
      </c>
      <c r="HW1552" s="4" t="s">
        <v>241</v>
      </c>
      <c r="HX1552" s="4" t="s">
        <v>241</v>
      </c>
      <c r="HY1552" s="4" t="s">
        <v>241</v>
      </c>
      <c r="HZ1552" s="4" t="s">
        <v>241</v>
      </c>
      <c r="IA1552" s="4" t="s">
        <v>241</v>
      </c>
      <c r="IB1552" s="4" t="s">
        <v>241</v>
      </c>
      <c r="IC1552" s="4" t="s">
        <v>241</v>
      </c>
      <c r="ID1552" s="4" t="s">
        <v>241</v>
      </c>
      <c r="IE1552" s="4" t="s">
        <v>241</v>
      </c>
      <c r="IF1552" s="4" t="s">
        <v>241</v>
      </c>
    </row>
    <row r="1553" spans="1:240" x14ac:dyDescent="0.4">
      <c r="A1553" s="4">
        <v>2</v>
      </c>
      <c r="B1553" s="4" t="s">
        <v>239</v>
      </c>
      <c r="C1553" s="4">
        <v>1915</v>
      </c>
      <c r="D1553" s="4">
        <v>1</v>
      </c>
      <c r="E1553" s="4">
        <v>3</v>
      </c>
      <c r="F1553" s="4" t="s">
        <v>240</v>
      </c>
      <c r="I1553" s="4" t="s">
        <v>241</v>
      </c>
      <c r="J1553" s="4" t="s">
        <v>406</v>
      </c>
      <c r="K1553" s="4" t="s">
        <v>256</v>
      </c>
      <c r="L1553" s="4" t="s">
        <v>3943</v>
      </c>
      <c r="M1553" s="5" t="s">
        <v>3945</v>
      </c>
      <c r="N1553" s="4" t="s">
        <v>3941</v>
      </c>
      <c r="O1553" s="6">
        <f>1</f>
        <v>1</v>
      </c>
      <c r="P1553" s="4" t="s">
        <v>3937</v>
      </c>
      <c r="Q1553" s="6">
        <f>23010000</f>
        <v>23010000</v>
      </c>
      <c r="R1553" s="6">
        <f>23010000</f>
        <v>23010000</v>
      </c>
      <c r="S1553" s="5" t="s">
        <v>3942</v>
      </c>
      <c r="T1553" s="4" t="s">
        <v>441</v>
      </c>
      <c r="U1553" s="4" t="s">
        <v>278</v>
      </c>
      <c r="V1553" s="6">
        <f>0</f>
        <v>0</v>
      </c>
      <c r="W1553" s="6">
        <f>0</f>
        <v>0</v>
      </c>
      <c r="X1553" s="4" t="s">
        <v>243</v>
      </c>
      <c r="Y1553" s="4" t="s">
        <v>244</v>
      </c>
      <c r="Z1553" s="4" t="s">
        <v>504</v>
      </c>
      <c r="AA1553" s="4" t="s">
        <v>241</v>
      </c>
      <c r="AD1553" s="4" t="s">
        <v>406</v>
      </c>
      <c r="AE1553" s="5" t="s">
        <v>3942</v>
      </c>
      <c r="AF1553" s="5" t="s">
        <v>3942</v>
      </c>
      <c r="AG1553" s="4" t="s">
        <v>241</v>
      </c>
      <c r="AH1553" s="5" t="s">
        <v>241</v>
      </c>
      <c r="AI1553" s="5" t="s">
        <v>3942</v>
      </c>
      <c r="AJ1553" s="4" t="s">
        <v>251</v>
      </c>
      <c r="AK1553" s="4" t="s">
        <v>252</v>
      </c>
      <c r="AL1553" s="4" t="s">
        <v>3944</v>
      </c>
      <c r="AQ1553" s="4" t="s">
        <v>241</v>
      </c>
      <c r="AR1553" s="4" t="s">
        <v>241</v>
      </c>
      <c r="AS1553" s="4" t="s">
        <v>241</v>
      </c>
      <c r="AT1553" s="5" t="s">
        <v>241</v>
      </c>
      <c r="AU1553" s="5" t="s">
        <v>241</v>
      </c>
      <c r="AV1553" s="5" t="s">
        <v>241</v>
      </c>
      <c r="AY1553" s="4" t="s">
        <v>286</v>
      </c>
      <c r="AZ1553" s="4" t="s">
        <v>286</v>
      </c>
      <c r="BA1553" s="4" t="s">
        <v>254</v>
      </c>
      <c r="BB1553" s="4" t="s">
        <v>3924</v>
      </c>
      <c r="BC1553" s="4" t="s">
        <v>255</v>
      </c>
      <c r="BD1553" s="4" t="s">
        <v>3946</v>
      </c>
      <c r="BE1553" s="4" t="s">
        <v>257</v>
      </c>
      <c r="BF1553" s="4" t="s">
        <v>3926</v>
      </c>
      <c r="BH1553" s="4" t="s">
        <v>500</v>
      </c>
      <c r="BJ1553" s="4" t="s">
        <v>288</v>
      </c>
      <c r="BK1553" s="5" t="s">
        <v>3925</v>
      </c>
      <c r="BL1553" s="4" t="s">
        <v>3927</v>
      </c>
      <c r="BM1553" s="4" t="s">
        <v>3928</v>
      </c>
      <c r="BN1553" s="4" t="s">
        <v>241</v>
      </c>
      <c r="BO1553" s="6">
        <f>0</f>
        <v>0</v>
      </c>
      <c r="BP1553" s="6">
        <f>10598247</f>
        <v>10598247</v>
      </c>
      <c r="BQ1553" s="4" t="s">
        <v>263</v>
      </c>
      <c r="BR1553" s="4" t="s">
        <v>264</v>
      </c>
      <c r="BS1553" s="4" t="s">
        <v>3947</v>
      </c>
      <c r="BT1553" s="4" t="s">
        <v>3929</v>
      </c>
      <c r="BU1553" s="4" t="s">
        <v>3948</v>
      </c>
      <c r="BV1553" s="4" t="s">
        <v>241</v>
      </c>
      <c r="CA1553" s="5" t="s">
        <v>3949</v>
      </c>
      <c r="CB1553" s="4" t="s">
        <v>263</v>
      </c>
      <c r="CC1553" s="4" t="s">
        <v>241</v>
      </c>
      <c r="CD1553" s="4" t="s">
        <v>241</v>
      </c>
      <c r="CE1553" s="4" t="s">
        <v>264</v>
      </c>
      <c r="CF1553" s="4" t="s">
        <v>3950</v>
      </c>
      <c r="CG1553" s="4" t="s">
        <v>3951</v>
      </c>
      <c r="CK1553" s="4" t="s">
        <v>291</v>
      </c>
      <c r="CL1553" s="4" t="s">
        <v>266</v>
      </c>
      <c r="CM1553" s="4" t="s">
        <v>278</v>
      </c>
      <c r="CO1553" s="4" t="s">
        <v>3942</v>
      </c>
      <c r="CP1553" s="5" t="s">
        <v>268</v>
      </c>
      <c r="CQ1553" s="4" t="s">
        <v>269</v>
      </c>
      <c r="CR1553" s="4" t="s">
        <v>270</v>
      </c>
      <c r="CS1553" s="4" t="s">
        <v>293</v>
      </c>
      <c r="CT1553" s="4" t="s">
        <v>241</v>
      </c>
      <c r="CU1553" s="4">
        <v>0</v>
      </c>
      <c r="CV1553" s="4" t="s">
        <v>271</v>
      </c>
      <c r="CW1553" s="4" t="s">
        <v>272</v>
      </c>
      <c r="CX1553" s="4" t="s">
        <v>487</v>
      </c>
      <c r="CY1553" s="6">
        <f>23010000</f>
        <v>23010000</v>
      </c>
      <c r="CZ1553" s="6">
        <f>23010000</f>
        <v>23010000</v>
      </c>
      <c r="DA1553" s="6">
        <f>23010000</f>
        <v>23010000</v>
      </c>
      <c r="DB1553" s="6" t="s">
        <v>241</v>
      </c>
      <c r="DC1553" s="4" t="s">
        <v>241</v>
      </c>
      <c r="DD1553" s="4" t="s">
        <v>241</v>
      </c>
      <c r="DF1553" s="4" t="s">
        <v>241</v>
      </c>
      <c r="DG1553" s="6">
        <f>0</f>
        <v>0</v>
      </c>
      <c r="DH1553" s="5" t="s">
        <v>241</v>
      </c>
      <c r="DI1553" s="4" t="s">
        <v>241</v>
      </c>
      <c r="DJ1553" s="4" t="s">
        <v>3952</v>
      </c>
      <c r="DK1553" s="4" t="s">
        <v>3953</v>
      </c>
      <c r="DL1553" s="4" t="s">
        <v>3954</v>
      </c>
      <c r="DM1553" s="4" t="s">
        <v>277</v>
      </c>
      <c r="DN1553" s="4" t="s">
        <v>241</v>
      </c>
      <c r="DO1553" s="6">
        <f>84.38</f>
        <v>84.38</v>
      </c>
      <c r="DP1553" s="4" t="s">
        <v>241</v>
      </c>
      <c r="DQ1553" s="4" t="s">
        <v>251</v>
      </c>
      <c r="DR1553" s="4" t="s">
        <v>3926</v>
      </c>
      <c r="DS1553" s="4" t="s">
        <v>3926</v>
      </c>
      <c r="DT1553" s="4" t="s">
        <v>241</v>
      </c>
      <c r="DU1553" s="4" t="s">
        <v>241</v>
      </c>
      <c r="GN1553" s="4" t="s">
        <v>3955</v>
      </c>
      <c r="HR1553" s="4" t="s">
        <v>241</v>
      </c>
      <c r="HS1553" s="4" t="s">
        <v>241</v>
      </c>
      <c r="HT1553" s="4" t="s">
        <v>241</v>
      </c>
      <c r="HU1553" s="4" t="s">
        <v>241</v>
      </c>
      <c r="HV1553" s="4" t="s">
        <v>241</v>
      </c>
      <c r="HW1553" s="4" t="s">
        <v>241</v>
      </c>
      <c r="HX1553" s="4" t="s">
        <v>241</v>
      </c>
      <c r="HY1553" s="4" t="s">
        <v>241</v>
      </c>
      <c r="HZ1553" s="4" t="s">
        <v>241</v>
      </c>
      <c r="IA1553" s="4" t="s">
        <v>241</v>
      </c>
      <c r="IB1553" s="4" t="s">
        <v>241</v>
      </c>
      <c r="IC1553" s="4" t="s">
        <v>241</v>
      </c>
      <c r="ID1553" s="4" t="s">
        <v>241</v>
      </c>
      <c r="IE1553" s="4" t="s">
        <v>241</v>
      </c>
      <c r="IF1553" s="4" t="s">
        <v>241</v>
      </c>
    </row>
    <row r="1554" spans="1:240" x14ac:dyDescent="0.4">
      <c r="A1554" s="4">
        <v>2</v>
      </c>
      <c r="B1554" s="4" t="s">
        <v>239</v>
      </c>
      <c r="C1554" s="4">
        <v>1954</v>
      </c>
      <c r="D1554" s="4">
        <v>1</v>
      </c>
      <c r="E1554" s="4">
        <v>3</v>
      </c>
      <c r="F1554" s="4" t="s">
        <v>241</v>
      </c>
      <c r="I1554" s="4" t="s">
        <v>241</v>
      </c>
      <c r="J1554" s="4" t="s">
        <v>406</v>
      </c>
      <c r="K1554" s="4" t="s">
        <v>256</v>
      </c>
      <c r="L1554" s="4" t="s">
        <v>241</v>
      </c>
      <c r="M1554" s="5" t="s">
        <v>3945</v>
      </c>
      <c r="N1554" s="4" t="s">
        <v>4129</v>
      </c>
      <c r="O1554" s="6">
        <f>1</f>
        <v>1</v>
      </c>
      <c r="P1554" s="4" t="s">
        <v>3937</v>
      </c>
      <c r="Q1554" s="6">
        <f>154315720</f>
        <v>154315720</v>
      </c>
      <c r="R1554" s="6">
        <f>154315720</f>
        <v>154315720</v>
      </c>
      <c r="S1554" s="5" t="s">
        <v>3942</v>
      </c>
      <c r="T1554" s="4" t="s">
        <v>401</v>
      </c>
      <c r="U1554" s="4" t="s">
        <v>241</v>
      </c>
      <c r="V1554" s="6">
        <f>0</f>
        <v>0</v>
      </c>
      <c r="W1554" s="6">
        <f>0</f>
        <v>0</v>
      </c>
      <c r="X1554" s="4" t="s">
        <v>243</v>
      </c>
      <c r="Y1554" s="4" t="s">
        <v>244</v>
      </c>
      <c r="Z1554" s="4" t="s">
        <v>504</v>
      </c>
      <c r="AA1554" s="4" t="s">
        <v>241</v>
      </c>
      <c r="AD1554" s="4" t="s">
        <v>406</v>
      </c>
      <c r="AE1554" s="5" t="s">
        <v>3942</v>
      </c>
      <c r="AF1554" s="5" t="s">
        <v>3942</v>
      </c>
      <c r="AG1554" s="4" t="s">
        <v>241</v>
      </c>
      <c r="AH1554" s="5" t="s">
        <v>241</v>
      </c>
      <c r="AI1554" s="5" t="s">
        <v>3942</v>
      </c>
      <c r="AJ1554" s="4" t="s">
        <v>251</v>
      </c>
      <c r="AK1554" s="4" t="s">
        <v>241</v>
      </c>
      <c r="AQ1554" s="4" t="s">
        <v>241</v>
      </c>
      <c r="AR1554" s="4" t="s">
        <v>241</v>
      </c>
      <c r="AS1554" s="4" t="s">
        <v>241</v>
      </c>
      <c r="AT1554" s="5" t="s">
        <v>241</v>
      </c>
      <c r="AU1554" s="5" t="s">
        <v>241</v>
      </c>
      <c r="AV1554" s="5" t="s">
        <v>241</v>
      </c>
      <c r="AY1554" s="4" t="s">
        <v>286</v>
      </c>
      <c r="AZ1554" s="4" t="s">
        <v>286</v>
      </c>
      <c r="BA1554" s="4" t="s">
        <v>254</v>
      </c>
      <c r="BB1554" s="4" t="s">
        <v>3924</v>
      </c>
      <c r="BC1554" s="4" t="s">
        <v>255</v>
      </c>
      <c r="BD1554" s="4" t="s">
        <v>3946</v>
      </c>
      <c r="BE1554" s="4" t="s">
        <v>257</v>
      </c>
      <c r="BF1554" s="4" t="s">
        <v>3926</v>
      </c>
      <c r="BJ1554" s="4" t="s">
        <v>288</v>
      </c>
      <c r="BK1554" s="5" t="s">
        <v>3925</v>
      </c>
      <c r="BL1554" s="4" t="s">
        <v>3927</v>
      </c>
      <c r="BM1554" s="4" t="s">
        <v>3928</v>
      </c>
      <c r="BN1554" s="4" t="s">
        <v>241</v>
      </c>
      <c r="BO1554" s="6">
        <f>0</f>
        <v>0</v>
      </c>
      <c r="BP1554" s="6">
        <f>71076753</f>
        <v>71076753</v>
      </c>
      <c r="BQ1554" s="4" t="s">
        <v>263</v>
      </c>
      <c r="BR1554" s="4" t="s">
        <v>264</v>
      </c>
      <c r="BS1554" s="4" t="s">
        <v>3947</v>
      </c>
      <c r="BT1554" s="4" t="s">
        <v>3929</v>
      </c>
      <c r="BU1554" s="4" t="s">
        <v>3948</v>
      </c>
      <c r="BV1554" s="4" t="s">
        <v>241</v>
      </c>
      <c r="CA1554" s="5" t="s">
        <v>3949</v>
      </c>
      <c r="CB1554" s="4" t="s">
        <v>263</v>
      </c>
      <c r="CC1554" s="4" t="s">
        <v>241</v>
      </c>
      <c r="CD1554" s="4" t="s">
        <v>241</v>
      </c>
      <c r="CE1554" s="4" t="s">
        <v>264</v>
      </c>
      <c r="CF1554" s="4" t="s">
        <v>3950</v>
      </c>
      <c r="CG1554" s="4" t="s">
        <v>3951</v>
      </c>
      <c r="CK1554" s="4" t="s">
        <v>241</v>
      </c>
      <c r="CL1554" s="4" t="s">
        <v>241</v>
      </c>
      <c r="CM1554" s="4" t="s">
        <v>278</v>
      </c>
      <c r="CO1554" s="4" t="s">
        <v>3942</v>
      </c>
      <c r="CP1554" s="5" t="s">
        <v>268</v>
      </c>
      <c r="CQ1554" s="4" t="s">
        <v>269</v>
      </c>
      <c r="CR1554" s="4" t="s">
        <v>270</v>
      </c>
      <c r="CS1554" s="4" t="s">
        <v>293</v>
      </c>
      <c r="CT1554" s="4" t="s">
        <v>241</v>
      </c>
      <c r="CU1554" s="4">
        <v>0</v>
      </c>
      <c r="CV1554" s="4" t="s">
        <v>4130</v>
      </c>
      <c r="CW1554" s="4" t="s">
        <v>4131</v>
      </c>
      <c r="CX1554" s="4" t="s">
        <v>4132</v>
      </c>
      <c r="CY1554" s="6">
        <f>154315720</f>
        <v>154315720</v>
      </c>
      <c r="CZ1554" s="6">
        <f>154315720</f>
        <v>154315720</v>
      </c>
      <c r="DA1554" s="6">
        <f>154315720</f>
        <v>154315720</v>
      </c>
      <c r="DB1554" s="6">
        <f>154315720</f>
        <v>154315720</v>
      </c>
      <c r="DC1554" s="4" t="s">
        <v>241</v>
      </c>
      <c r="DD1554" s="4" t="s">
        <v>241</v>
      </c>
      <c r="DF1554" s="4" t="s">
        <v>241</v>
      </c>
      <c r="DG1554" s="6">
        <f>0</f>
        <v>0</v>
      </c>
      <c r="DH1554" s="5" t="s">
        <v>241</v>
      </c>
      <c r="DI1554" s="4" t="s">
        <v>241</v>
      </c>
      <c r="DJ1554" s="4" t="s">
        <v>241</v>
      </c>
      <c r="DK1554" s="4" t="s">
        <v>241</v>
      </c>
      <c r="DL1554" s="4" t="s">
        <v>241</v>
      </c>
      <c r="DM1554" s="4" t="s">
        <v>241</v>
      </c>
      <c r="DN1554" s="4" t="s">
        <v>241</v>
      </c>
      <c r="DO1554" s="6" t="s">
        <v>241</v>
      </c>
      <c r="DP1554" s="4" t="s">
        <v>241</v>
      </c>
      <c r="DQ1554" s="4" t="s">
        <v>251</v>
      </c>
      <c r="DR1554" s="4" t="s">
        <v>3926</v>
      </c>
      <c r="DS1554" s="4" t="s">
        <v>3926</v>
      </c>
      <c r="DT1554" s="4" t="s">
        <v>241</v>
      </c>
      <c r="DU1554" s="4" t="s">
        <v>241</v>
      </c>
      <c r="GN1554" s="4" t="s">
        <v>4133</v>
      </c>
      <c r="HR1554" s="4" t="s">
        <v>241</v>
      </c>
      <c r="HS1554" s="4" t="s">
        <v>241</v>
      </c>
      <c r="HT1554" s="4" t="s">
        <v>241</v>
      </c>
      <c r="HU1554" s="4" t="s">
        <v>241</v>
      </c>
      <c r="HV1554" s="4" t="s">
        <v>241</v>
      </c>
      <c r="HW1554" s="4" t="s">
        <v>241</v>
      </c>
      <c r="HX1554" s="4" t="s">
        <v>241</v>
      </c>
      <c r="HY1554" s="4" t="s">
        <v>241</v>
      </c>
      <c r="HZ1554" s="4" t="s">
        <v>241</v>
      </c>
      <c r="IA1554" s="4" t="s">
        <v>241</v>
      </c>
      <c r="IB1554" s="4" t="s">
        <v>241</v>
      </c>
      <c r="IC1554" s="4" t="s">
        <v>241</v>
      </c>
      <c r="ID1554" s="4" t="s">
        <v>241</v>
      </c>
      <c r="IE1554" s="4" t="s">
        <v>241</v>
      </c>
      <c r="IF1554" s="4" t="s">
        <v>241</v>
      </c>
    </row>
  </sheetData>
  <autoFilter ref="A1:IT1554">
    <sortState ref="A2:IT1739">
      <sortCondition ref="C1"/>
    </sortState>
  </autoFilter>
  <phoneticPr fontId="1"/>
  <printOptions gridLines="1"/>
  <pageMargins left="0.70866141732283472" right="0.70866141732283472" top="0.74803149606299213" bottom="0.74803149606299213" header="0.31496062992125984" footer="0.31496062992125984"/>
  <pageSetup paperSize="8" scale="32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藤木 隆雄</dc:creator>
  <cp:lastModifiedBy>星　和希</cp:lastModifiedBy>
  <cp:lastPrinted>2023-04-17T02:32:39Z</cp:lastPrinted>
  <dcterms:created xsi:type="dcterms:W3CDTF">2015-11-06T11:18:40Z</dcterms:created>
  <dcterms:modified xsi:type="dcterms:W3CDTF">2023-04-17T04:38:22Z</dcterms:modified>
</cp:coreProperties>
</file>